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미수집 계정 관련 정보 취합\11월데이터 12월 공유\"/>
    </mc:Choice>
  </mc:AlternateContent>
  <bookViews>
    <workbookView xWindow="0" yWindow="0" windowWidth="28800" windowHeight="12285" activeTab="2"/>
  </bookViews>
  <sheets>
    <sheet name="20221205095104" sheetId="1" r:id="rId1"/>
    <sheet name="Sheet3" sheetId="4" r:id="rId2"/>
    <sheet name="Sheet4" sheetId="5" r:id="rId3"/>
    <sheet name="Sheet2" sheetId="3" r:id="rId4"/>
    <sheet name="Sheet1" sheetId="2" r:id="rId5"/>
  </sheets>
  <definedNames>
    <definedName name="_xlnm._FilterDatabase" localSheetId="0" hidden="1">'20221205095104'!$A$1:$N$2238</definedName>
    <definedName name="_xlnm._FilterDatabase" localSheetId="1" hidden="1">Sheet3!$B$2:$O$2239</definedName>
    <definedName name="_xlnm._FilterDatabase" localSheetId="2" hidden="1">Sheet4!$B$2:$G$146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" i="1"/>
  <c r="G147" i="2"/>
  <c r="G146" i="2"/>
  <c r="G145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2" i="1"/>
  <c r="H2" i="1" s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H110" i="1" s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I156" i="1"/>
  <c r="H156" i="1" s="1"/>
  <c r="I157" i="1"/>
  <c r="H157" i="1" s="1"/>
  <c r="I158" i="1"/>
  <c r="H158" i="1" s="1"/>
  <c r="I159" i="1"/>
  <c r="H159" i="1" s="1"/>
  <c r="I160" i="1"/>
  <c r="H160" i="1" s="1"/>
  <c r="I161" i="1"/>
  <c r="H161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H170" i="1" s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I179" i="1"/>
  <c r="H179" i="1" s="1"/>
  <c r="I180" i="1"/>
  <c r="H180" i="1" s="1"/>
  <c r="I181" i="1"/>
  <c r="H181" i="1" s="1"/>
  <c r="I182" i="1"/>
  <c r="H182" i="1" s="1"/>
  <c r="I183" i="1"/>
  <c r="H183" i="1" s="1"/>
  <c r="I184" i="1"/>
  <c r="H184" i="1" s="1"/>
  <c r="I185" i="1"/>
  <c r="H185" i="1" s="1"/>
  <c r="I186" i="1"/>
  <c r="H186" i="1" s="1"/>
  <c r="I187" i="1"/>
  <c r="H187" i="1" s="1"/>
  <c r="I188" i="1"/>
  <c r="H188" i="1" s="1"/>
  <c r="I189" i="1"/>
  <c r="H189" i="1" s="1"/>
  <c r="I190" i="1"/>
  <c r="H190" i="1" s="1"/>
  <c r="I191" i="1"/>
  <c r="H191" i="1" s="1"/>
  <c r="I192" i="1"/>
  <c r="H192" i="1" s="1"/>
  <c r="I193" i="1"/>
  <c r="H193" i="1" s="1"/>
  <c r="I194" i="1"/>
  <c r="H194" i="1" s="1"/>
  <c r="I195" i="1"/>
  <c r="H195" i="1" s="1"/>
  <c r="I196" i="1"/>
  <c r="H196" i="1" s="1"/>
  <c r="I197" i="1"/>
  <c r="H197" i="1" s="1"/>
  <c r="I198" i="1"/>
  <c r="H198" i="1" s="1"/>
  <c r="I199" i="1"/>
  <c r="H199" i="1" s="1"/>
  <c r="I200" i="1"/>
  <c r="H200" i="1" s="1"/>
  <c r="I201" i="1"/>
  <c r="H201" i="1" s="1"/>
  <c r="I202" i="1"/>
  <c r="H202" i="1" s="1"/>
  <c r="I203" i="1"/>
  <c r="H203" i="1" s="1"/>
  <c r="I204" i="1"/>
  <c r="H204" i="1" s="1"/>
  <c r="I205" i="1"/>
  <c r="H205" i="1" s="1"/>
  <c r="I206" i="1"/>
  <c r="H206" i="1" s="1"/>
  <c r="I207" i="1"/>
  <c r="H207" i="1" s="1"/>
  <c r="I208" i="1"/>
  <c r="H208" i="1" s="1"/>
  <c r="I209" i="1"/>
  <c r="H209" i="1" s="1"/>
  <c r="I210" i="1"/>
  <c r="H210" i="1" s="1"/>
  <c r="I211" i="1"/>
  <c r="H211" i="1" s="1"/>
  <c r="I212" i="1"/>
  <c r="H212" i="1" s="1"/>
  <c r="I213" i="1"/>
  <c r="H213" i="1" s="1"/>
  <c r="I214" i="1"/>
  <c r="H214" i="1" s="1"/>
  <c r="I215" i="1"/>
  <c r="H215" i="1" s="1"/>
  <c r="I216" i="1"/>
  <c r="H216" i="1" s="1"/>
  <c r="I217" i="1"/>
  <c r="H217" i="1" s="1"/>
  <c r="I218" i="1"/>
  <c r="H218" i="1" s="1"/>
  <c r="I219" i="1"/>
  <c r="H219" i="1" s="1"/>
  <c r="I220" i="1"/>
  <c r="H220" i="1" s="1"/>
  <c r="I221" i="1"/>
  <c r="H221" i="1" s="1"/>
  <c r="I222" i="1"/>
  <c r="H222" i="1" s="1"/>
  <c r="I223" i="1"/>
  <c r="H223" i="1" s="1"/>
  <c r="I224" i="1"/>
  <c r="H224" i="1" s="1"/>
  <c r="I225" i="1"/>
  <c r="H225" i="1" s="1"/>
  <c r="I226" i="1"/>
  <c r="H226" i="1" s="1"/>
  <c r="I227" i="1"/>
  <c r="H227" i="1" s="1"/>
  <c r="I228" i="1"/>
  <c r="H228" i="1" s="1"/>
  <c r="I229" i="1"/>
  <c r="H229" i="1" s="1"/>
  <c r="I230" i="1"/>
  <c r="H230" i="1" s="1"/>
  <c r="I231" i="1"/>
  <c r="H231" i="1" s="1"/>
  <c r="I232" i="1"/>
  <c r="H232" i="1" s="1"/>
  <c r="I233" i="1"/>
  <c r="H233" i="1" s="1"/>
  <c r="I234" i="1"/>
  <c r="H234" i="1" s="1"/>
  <c r="I235" i="1"/>
  <c r="H235" i="1" s="1"/>
  <c r="I236" i="1"/>
  <c r="H236" i="1" s="1"/>
  <c r="I237" i="1"/>
  <c r="H237" i="1" s="1"/>
  <c r="I238" i="1"/>
  <c r="H238" i="1" s="1"/>
  <c r="I239" i="1"/>
  <c r="H239" i="1" s="1"/>
  <c r="I240" i="1"/>
  <c r="H240" i="1" s="1"/>
  <c r="I241" i="1"/>
  <c r="H241" i="1" s="1"/>
  <c r="I242" i="1"/>
  <c r="H242" i="1" s="1"/>
  <c r="I243" i="1"/>
  <c r="H243" i="1" s="1"/>
  <c r="I244" i="1"/>
  <c r="H244" i="1" s="1"/>
  <c r="I245" i="1"/>
  <c r="H245" i="1" s="1"/>
  <c r="I246" i="1"/>
  <c r="H246" i="1" s="1"/>
  <c r="I247" i="1"/>
  <c r="H247" i="1" s="1"/>
  <c r="I248" i="1"/>
  <c r="H248" i="1" s="1"/>
  <c r="I249" i="1"/>
  <c r="H249" i="1" s="1"/>
  <c r="I250" i="1"/>
  <c r="H250" i="1" s="1"/>
  <c r="I251" i="1"/>
  <c r="H251" i="1" s="1"/>
  <c r="I252" i="1"/>
  <c r="H252" i="1" s="1"/>
  <c r="I253" i="1"/>
  <c r="H253" i="1" s="1"/>
  <c r="I254" i="1"/>
  <c r="H254" i="1" s="1"/>
  <c r="I255" i="1"/>
  <c r="H255" i="1" s="1"/>
  <c r="I256" i="1"/>
  <c r="H256" i="1" s="1"/>
  <c r="I257" i="1"/>
  <c r="H257" i="1" s="1"/>
  <c r="I258" i="1"/>
  <c r="H258" i="1" s="1"/>
  <c r="I259" i="1"/>
  <c r="H259" i="1" s="1"/>
  <c r="I260" i="1"/>
  <c r="H260" i="1" s="1"/>
  <c r="I261" i="1"/>
  <c r="H261" i="1" s="1"/>
  <c r="I262" i="1"/>
  <c r="H262" i="1" s="1"/>
  <c r="I263" i="1"/>
  <c r="H263" i="1" s="1"/>
  <c r="I264" i="1"/>
  <c r="H264" i="1" s="1"/>
  <c r="I265" i="1"/>
  <c r="H265" i="1" s="1"/>
  <c r="I266" i="1"/>
  <c r="H266" i="1" s="1"/>
  <c r="I267" i="1"/>
  <c r="H267" i="1" s="1"/>
  <c r="I268" i="1"/>
  <c r="H268" i="1" s="1"/>
  <c r="I269" i="1"/>
  <c r="H269" i="1" s="1"/>
  <c r="I270" i="1"/>
  <c r="H270" i="1" s="1"/>
  <c r="I271" i="1"/>
  <c r="H271" i="1" s="1"/>
  <c r="I272" i="1"/>
  <c r="H272" i="1" s="1"/>
  <c r="I273" i="1"/>
  <c r="H273" i="1" s="1"/>
  <c r="I274" i="1"/>
  <c r="H274" i="1" s="1"/>
  <c r="I275" i="1"/>
  <c r="H275" i="1" s="1"/>
  <c r="I276" i="1"/>
  <c r="H276" i="1" s="1"/>
  <c r="I277" i="1"/>
  <c r="H277" i="1" s="1"/>
  <c r="I278" i="1"/>
  <c r="H278" i="1" s="1"/>
  <c r="I279" i="1"/>
  <c r="H279" i="1" s="1"/>
  <c r="I280" i="1"/>
  <c r="H280" i="1" s="1"/>
  <c r="I281" i="1"/>
  <c r="H281" i="1" s="1"/>
  <c r="I282" i="1"/>
  <c r="H282" i="1" s="1"/>
  <c r="I283" i="1"/>
  <c r="H283" i="1" s="1"/>
  <c r="I284" i="1"/>
  <c r="H284" i="1" s="1"/>
  <c r="I285" i="1"/>
  <c r="H285" i="1" s="1"/>
  <c r="I286" i="1"/>
  <c r="H286" i="1" s="1"/>
  <c r="I287" i="1"/>
  <c r="H287" i="1" s="1"/>
  <c r="I288" i="1"/>
  <c r="H288" i="1" s="1"/>
  <c r="I289" i="1"/>
  <c r="H289" i="1" s="1"/>
  <c r="I290" i="1"/>
  <c r="H290" i="1" s="1"/>
  <c r="I291" i="1"/>
  <c r="H291" i="1" s="1"/>
  <c r="I292" i="1"/>
  <c r="H292" i="1" s="1"/>
  <c r="I293" i="1"/>
  <c r="H293" i="1" s="1"/>
  <c r="I294" i="1"/>
  <c r="H294" i="1" s="1"/>
  <c r="I295" i="1"/>
  <c r="H295" i="1" s="1"/>
  <c r="I296" i="1"/>
  <c r="H296" i="1" s="1"/>
  <c r="I297" i="1"/>
  <c r="H297" i="1" s="1"/>
  <c r="I298" i="1"/>
  <c r="H298" i="1" s="1"/>
  <c r="I299" i="1"/>
  <c r="H299" i="1" s="1"/>
  <c r="I300" i="1"/>
  <c r="H300" i="1" s="1"/>
  <c r="I301" i="1"/>
  <c r="H301" i="1" s="1"/>
  <c r="I302" i="1"/>
  <c r="H302" i="1" s="1"/>
  <c r="I303" i="1"/>
  <c r="H303" i="1" s="1"/>
  <c r="I304" i="1"/>
  <c r="H304" i="1" s="1"/>
  <c r="I305" i="1"/>
  <c r="H305" i="1" s="1"/>
  <c r="I306" i="1"/>
  <c r="H306" i="1" s="1"/>
  <c r="I307" i="1"/>
  <c r="H307" i="1" s="1"/>
  <c r="I308" i="1"/>
  <c r="H308" i="1" s="1"/>
  <c r="I309" i="1"/>
  <c r="H309" i="1" s="1"/>
  <c r="I310" i="1"/>
  <c r="H310" i="1" s="1"/>
  <c r="I311" i="1"/>
  <c r="H311" i="1" s="1"/>
  <c r="I312" i="1"/>
  <c r="H312" i="1" s="1"/>
  <c r="I313" i="1"/>
  <c r="H313" i="1" s="1"/>
  <c r="I314" i="1"/>
  <c r="H314" i="1" s="1"/>
  <c r="I315" i="1"/>
  <c r="H315" i="1" s="1"/>
  <c r="I316" i="1"/>
  <c r="H316" i="1" s="1"/>
  <c r="I317" i="1"/>
  <c r="H317" i="1" s="1"/>
  <c r="I318" i="1"/>
  <c r="H318" i="1" s="1"/>
  <c r="I319" i="1"/>
  <c r="H319" i="1" s="1"/>
  <c r="I320" i="1"/>
  <c r="H320" i="1" s="1"/>
  <c r="I321" i="1"/>
  <c r="H321" i="1" s="1"/>
  <c r="I322" i="1"/>
  <c r="H322" i="1" s="1"/>
  <c r="I323" i="1"/>
  <c r="H323" i="1" s="1"/>
  <c r="I324" i="1"/>
  <c r="H324" i="1" s="1"/>
  <c r="I325" i="1"/>
  <c r="H325" i="1" s="1"/>
  <c r="I326" i="1"/>
  <c r="H326" i="1" s="1"/>
  <c r="I327" i="1"/>
  <c r="H327" i="1" s="1"/>
  <c r="I328" i="1"/>
  <c r="H328" i="1" s="1"/>
  <c r="I329" i="1"/>
  <c r="H329" i="1" s="1"/>
  <c r="I330" i="1"/>
  <c r="H330" i="1" s="1"/>
  <c r="I331" i="1"/>
  <c r="H331" i="1" s="1"/>
  <c r="I332" i="1"/>
  <c r="H332" i="1" s="1"/>
  <c r="I333" i="1"/>
  <c r="H333" i="1" s="1"/>
  <c r="I334" i="1"/>
  <c r="H334" i="1" s="1"/>
  <c r="I335" i="1"/>
  <c r="H335" i="1" s="1"/>
  <c r="I336" i="1"/>
  <c r="H336" i="1" s="1"/>
  <c r="I337" i="1"/>
  <c r="H337" i="1" s="1"/>
  <c r="I338" i="1"/>
  <c r="H338" i="1" s="1"/>
  <c r="I339" i="1"/>
  <c r="H339" i="1" s="1"/>
  <c r="I340" i="1"/>
  <c r="H340" i="1" s="1"/>
  <c r="I341" i="1"/>
  <c r="H341" i="1" s="1"/>
  <c r="I342" i="1"/>
  <c r="H342" i="1" s="1"/>
  <c r="I343" i="1"/>
  <c r="H343" i="1" s="1"/>
  <c r="I344" i="1"/>
  <c r="H344" i="1" s="1"/>
  <c r="I345" i="1"/>
  <c r="H345" i="1" s="1"/>
  <c r="I346" i="1"/>
  <c r="H346" i="1" s="1"/>
  <c r="I347" i="1"/>
  <c r="H347" i="1" s="1"/>
  <c r="I348" i="1"/>
  <c r="H348" i="1" s="1"/>
  <c r="I349" i="1"/>
  <c r="H349" i="1" s="1"/>
  <c r="I350" i="1"/>
  <c r="H350" i="1" s="1"/>
  <c r="I351" i="1"/>
  <c r="H351" i="1" s="1"/>
  <c r="I352" i="1"/>
  <c r="H352" i="1" s="1"/>
  <c r="I353" i="1"/>
  <c r="H353" i="1" s="1"/>
  <c r="I354" i="1"/>
  <c r="H354" i="1" s="1"/>
  <c r="I355" i="1"/>
  <c r="H355" i="1" s="1"/>
  <c r="I356" i="1"/>
  <c r="H356" i="1" s="1"/>
  <c r="I357" i="1"/>
  <c r="H357" i="1" s="1"/>
  <c r="I358" i="1"/>
  <c r="H358" i="1" s="1"/>
  <c r="I359" i="1"/>
  <c r="H359" i="1" s="1"/>
  <c r="I360" i="1"/>
  <c r="H360" i="1" s="1"/>
  <c r="I361" i="1"/>
  <c r="H361" i="1" s="1"/>
  <c r="I362" i="1"/>
  <c r="H362" i="1" s="1"/>
  <c r="I363" i="1"/>
  <c r="H363" i="1" s="1"/>
  <c r="I364" i="1"/>
  <c r="H364" i="1" s="1"/>
  <c r="I365" i="1"/>
  <c r="H365" i="1" s="1"/>
  <c r="I366" i="1"/>
  <c r="H366" i="1" s="1"/>
  <c r="I367" i="1"/>
  <c r="H367" i="1" s="1"/>
  <c r="I368" i="1"/>
  <c r="H368" i="1" s="1"/>
  <c r="I369" i="1"/>
  <c r="H369" i="1" s="1"/>
  <c r="I370" i="1"/>
  <c r="H370" i="1" s="1"/>
  <c r="I371" i="1"/>
  <c r="H371" i="1" s="1"/>
  <c r="I372" i="1"/>
  <c r="H372" i="1" s="1"/>
  <c r="I373" i="1"/>
  <c r="H373" i="1" s="1"/>
  <c r="I374" i="1"/>
  <c r="H374" i="1" s="1"/>
  <c r="I375" i="1"/>
  <c r="H375" i="1" s="1"/>
  <c r="I376" i="1"/>
  <c r="H376" i="1" s="1"/>
  <c r="I377" i="1"/>
  <c r="H377" i="1" s="1"/>
  <c r="I378" i="1"/>
  <c r="H378" i="1" s="1"/>
  <c r="I379" i="1"/>
  <c r="H379" i="1" s="1"/>
  <c r="I380" i="1"/>
  <c r="H380" i="1" s="1"/>
  <c r="I381" i="1"/>
  <c r="H381" i="1" s="1"/>
  <c r="I382" i="1"/>
  <c r="H382" i="1" s="1"/>
  <c r="I383" i="1"/>
  <c r="H383" i="1" s="1"/>
  <c r="I384" i="1"/>
  <c r="H384" i="1" s="1"/>
  <c r="I385" i="1"/>
  <c r="H385" i="1" s="1"/>
  <c r="I386" i="1"/>
  <c r="H386" i="1" s="1"/>
  <c r="I387" i="1"/>
  <c r="H387" i="1" s="1"/>
  <c r="I388" i="1"/>
  <c r="H388" i="1" s="1"/>
  <c r="I389" i="1"/>
  <c r="H389" i="1" s="1"/>
  <c r="I390" i="1"/>
  <c r="H390" i="1" s="1"/>
  <c r="I391" i="1"/>
  <c r="H391" i="1" s="1"/>
  <c r="I392" i="1"/>
  <c r="H392" i="1" s="1"/>
  <c r="I393" i="1"/>
  <c r="H393" i="1" s="1"/>
  <c r="I394" i="1"/>
  <c r="H394" i="1" s="1"/>
  <c r="I395" i="1"/>
  <c r="H395" i="1" s="1"/>
  <c r="I396" i="1"/>
  <c r="H396" i="1" s="1"/>
  <c r="I397" i="1"/>
  <c r="H397" i="1" s="1"/>
  <c r="I398" i="1"/>
  <c r="H398" i="1" s="1"/>
  <c r="I399" i="1"/>
  <c r="H399" i="1" s="1"/>
  <c r="I400" i="1"/>
  <c r="H400" i="1" s="1"/>
  <c r="I401" i="1"/>
  <c r="H401" i="1" s="1"/>
  <c r="I402" i="1"/>
  <c r="H402" i="1" s="1"/>
  <c r="I403" i="1"/>
  <c r="H403" i="1" s="1"/>
  <c r="I404" i="1"/>
  <c r="H404" i="1" s="1"/>
  <c r="I405" i="1"/>
  <c r="H405" i="1" s="1"/>
  <c r="I406" i="1"/>
  <c r="H406" i="1" s="1"/>
  <c r="I407" i="1"/>
  <c r="H407" i="1" s="1"/>
  <c r="I408" i="1"/>
  <c r="H408" i="1" s="1"/>
  <c r="I409" i="1"/>
  <c r="H409" i="1" s="1"/>
  <c r="I410" i="1"/>
  <c r="H410" i="1" s="1"/>
  <c r="I411" i="1"/>
  <c r="H411" i="1" s="1"/>
  <c r="I412" i="1"/>
  <c r="H412" i="1" s="1"/>
  <c r="I413" i="1"/>
  <c r="H413" i="1" s="1"/>
  <c r="I414" i="1"/>
  <c r="H414" i="1" s="1"/>
  <c r="I415" i="1"/>
  <c r="H415" i="1" s="1"/>
  <c r="I416" i="1"/>
  <c r="H416" i="1" s="1"/>
  <c r="I417" i="1"/>
  <c r="H417" i="1" s="1"/>
  <c r="I418" i="1"/>
  <c r="H418" i="1" s="1"/>
  <c r="I419" i="1"/>
  <c r="H419" i="1" s="1"/>
  <c r="I420" i="1"/>
  <c r="H420" i="1" s="1"/>
  <c r="I421" i="1"/>
  <c r="H421" i="1" s="1"/>
  <c r="I422" i="1"/>
  <c r="H422" i="1" s="1"/>
  <c r="I423" i="1"/>
  <c r="H423" i="1" s="1"/>
  <c r="I424" i="1"/>
  <c r="H424" i="1" s="1"/>
  <c r="I425" i="1"/>
  <c r="H425" i="1" s="1"/>
  <c r="I426" i="1"/>
  <c r="H426" i="1" s="1"/>
  <c r="I427" i="1"/>
  <c r="H427" i="1" s="1"/>
  <c r="I428" i="1"/>
  <c r="H428" i="1" s="1"/>
  <c r="I429" i="1"/>
  <c r="H429" i="1" s="1"/>
  <c r="I430" i="1"/>
  <c r="H430" i="1" s="1"/>
  <c r="I431" i="1"/>
  <c r="H431" i="1" s="1"/>
  <c r="I432" i="1"/>
  <c r="H432" i="1" s="1"/>
  <c r="I433" i="1"/>
  <c r="H433" i="1" s="1"/>
  <c r="I434" i="1"/>
  <c r="H434" i="1" s="1"/>
  <c r="I435" i="1"/>
  <c r="H435" i="1" s="1"/>
  <c r="I436" i="1"/>
  <c r="H436" i="1" s="1"/>
  <c r="I437" i="1"/>
  <c r="H437" i="1" s="1"/>
  <c r="I438" i="1"/>
  <c r="H438" i="1" s="1"/>
  <c r="I439" i="1"/>
  <c r="H439" i="1" s="1"/>
  <c r="I440" i="1"/>
  <c r="H440" i="1" s="1"/>
  <c r="I441" i="1"/>
  <c r="H441" i="1" s="1"/>
  <c r="I442" i="1"/>
  <c r="H442" i="1" s="1"/>
  <c r="I443" i="1"/>
  <c r="H443" i="1" s="1"/>
  <c r="I444" i="1"/>
  <c r="H444" i="1" s="1"/>
  <c r="I445" i="1"/>
  <c r="H445" i="1" s="1"/>
  <c r="I446" i="1"/>
  <c r="H446" i="1" s="1"/>
  <c r="I447" i="1"/>
  <c r="H447" i="1" s="1"/>
  <c r="I448" i="1"/>
  <c r="H448" i="1" s="1"/>
  <c r="I449" i="1"/>
  <c r="H449" i="1" s="1"/>
  <c r="I450" i="1"/>
  <c r="H450" i="1" s="1"/>
  <c r="I451" i="1"/>
  <c r="H451" i="1" s="1"/>
  <c r="I452" i="1"/>
  <c r="H452" i="1" s="1"/>
  <c r="I453" i="1"/>
  <c r="H453" i="1" s="1"/>
  <c r="I454" i="1"/>
  <c r="H454" i="1" s="1"/>
  <c r="I455" i="1"/>
  <c r="H455" i="1" s="1"/>
  <c r="I456" i="1"/>
  <c r="H456" i="1" s="1"/>
  <c r="I457" i="1"/>
  <c r="H457" i="1" s="1"/>
  <c r="I458" i="1"/>
  <c r="H458" i="1" s="1"/>
  <c r="I459" i="1"/>
  <c r="H459" i="1" s="1"/>
  <c r="I460" i="1"/>
  <c r="H460" i="1" s="1"/>
  <c r="I461" i="1"/>
  <c r="H461" i="1" s="1"/>
  <c r="I462" i="1"/>
  <c r="H462" i="1" s="1"/>
  <c r="I463" i="1"/>
  <c r="H463" i="1" s="1"/>
  <c r="I464" i="1"/>
  <c r="H464" i="1" s="1"/>
  <c r="I465" i="1"/>
  <c r="H465" i="1" s="1"/>
  <c r="I466" i="1"/>
  <c r="H466" i="1" s="1"/>
  <c r="I467" i="1"/>
  <c r="H467" i="1" s="1"/>
  <c r="I468" i="1"/>
  <c r="H468" i="1" s="1"/>
  <c r="I469" i="1"/>
  <c r="H469" i="1" s="1"/>
  <c r="I470" i="1"/>
  <c r="H470" i="1" s="1"/>
  <c r="I471" i="1"/>
  <c r="H471" i="1" s="1"/>
  <c r="I472" i="1"/>
  <c r="H472" i="1" s="1"/>
  <c r="I473" i="1"/>
  <c r="H473" i="1" s="1"/>
  <c r="I474" i="1"/>
  <c r="H474" i="1" s="1"/>
  <c r="I475" i="1"/>
  <c r="H475" i="1" s="1"/>
  <c r="I476" i="1"/>
  <c r="H476" i="1" s="1"/>
  <c r="I477" i="1"/>
  <c r="H477" i="1" s="1"/>
  <c r="I478" i="1"/>
  <c r="H478" i="1" s="1"/>
  <c r="I479" i="1"/>
  <c r="H479" i="1" s="1"/>
  <c r="I480" i="1"/>
  <c r="H480" i="1" s="1"/>
  <c r="I481" i="1"/>
  <c r="H481" i="1" s="1"/>
  <c r="I482" i="1"/>
  <c r="H482" i="1" s="1"/>
  <c r="I483" i="1"/>
  <c r="H483" i="1" s="1"/>
  <c r="I484" i="1"/>
  <c r="H484" i="1" s="1"/>
  <c r="I485" i="1"/>
  <c r="H485" i="1" s="1"/>
  <c r="I486" i="1"/>
  <c r="H486" i="1" s="1"/>
  <c r="I487" i="1"/>
  <c r="H487" i="1" s="1"/>
  <c r="I488" i="1"/>
  <c r="H488" i="1" s="1"/>
  <c r="I489" i="1"/>
  <c r="H489" i="1" s="1"/>
  <c r="I490" i="1"/>
  <c r="H490" i="1" s="1"/>
  <c r="I491" i="1"/>
  <c r="H491" i="1" s="1"/>
  <c r="I492" i="1"/>
  <c r="H492" i="1" s="1"/>
  <c r="I493" i="1"/>
  <c r="H493" i="1" s="1"/>
  <c r="I494" i="1"/>
  <c r="H494" i="1" s="1"/>
  <c r="I495" i="1"/>
  <c r="H495" i="1" s="1"/>
  <c r="I496" i="1"/>
  <c r="H496" i="1" s="1"/>
  <c r="I497" i="1"/>
  <c r="H497" i="1" s="1"/>
  <c r="I498" i="1"/>
  <c r="H498" i="1" s="1"/>
  <c r="I499" i="1"/>
  <c r="H499" i="1" s="1"/>
  <c r="I500" i="1"/>
  <c r="H500" i="1" s="1"/>
  <c r="I501" i="1"/>
  <c r="H501" i="1" s="1"/>
  <c r="I502" i="1"/>
  <c r="H502" i="1" s="1"/>
  <c r="I503" i="1"/>
  <c r="H503" i="1" s="1"/>
  <c r="I504" i="1"/>
  <c r="H504" i="1" s="1"/>
  <c r="I505" i="1"/>
  <c r="H505" i="1" s="1"/>
  <c r="I506" i="1"/>
  <c r="H506" i="1" s="1"/>
  <c r="I507" i="1"/>
  <c r="H507" i="1" s="1"/>
  <c r="I508" i="1"/>
  <c r="H508" i="1" s="1"/>
  <c r="I509" i="1"/>
  <c r="H509" i="1" s="1"/>
  <c r="I510" i="1"/>
  <c r="H510" i="1" s="1"/>
  <c r="I511" i="1"/>
  <c r="H511" i="1" s="1"/>
  <c r="I512" i="1"/>
  <c r="H512" i="1" s="1"/>
  <c r="I513" i="1"/>
  <c r="H513" i="1" s="1"/>
  <c r="I514" i="1"/>
  <c r="H514" i="1" s="1"/>
  <c r="I515" i="1"/>
  <c r="H515" i="1" s="1"/>
  <c r="I516" i="1"/>
  <c r="H516" i="1" s="1"/>
  <c r="I517" i="1"/>
  <c r="H517" i="1" s="1"/>
  <c r="I518" i="1"/>
  <c r="H518" i="1" s="1"/>
  <c r="I519" i="1"/>
  <c r="H519" i="1" s="1"/>
  <c r="I520" i="1"/>
  <c r="H520" i="1" s="1"/>
  <c r="I521" i="1"/>
  <c r="H521" i="1" s="1"/>
  <c r="I522" i="1"/>
  <c r="H522" i="1" s="1"/>
  <c r="I523" i="1"/>
  <c r="H523" i="1" s="1"/>
  <c r="I524" i="1"/>
  <c r="H524" i="1" s="1"/>
  <c r="I525" i="1"/>
  <c r="H525" i="1" s="1"/>
  <c r="I526" i="1"/>
  <c r="H526" i="1" s="1"/>
  <c r="I527" i="1"/>
  <c r="H527" i="1" s="1"/>
  <c r="I528" i="1"/>
  <c r="H528" i="1" s="1"/>
  <c r="I529" i="1"/>
  <c r="H529" i="1" s="1"/>
  <c r="I530" i="1"/>
  <c r="H530" i="1" s="1"/>
  <c r="I531" i="1"/>
  <c r="H531" i="1" s="1"/>
  <c r="I532" i="1"/>
  <c r="H532" i="1" s="1"/>
  <c r="I533" i="1"/>
  <c r="H533" i="1" s="1"/>
  <c r="I534" i="1"/>
  <c r="H534" i="1" s="1"/>
  <c r="I535" i="1"/>
  <c r="H535" i="1" s="1"/>
  <c r="I536" i="1"/>
  <c r="H536" i="1" s="1"/>
  <c r="I537" i="1"/>
  <c r="H537" i="1" s="1"/>
  <c r="I538" i="1"/>
  <c r="H538" i="1" s="1"/>
  <c r="I539" i="1"/>
  <c r="H539" i="1" s="1"/>
  <c r="I540" i="1"/>
  <c r="H540" i="1" s="1"/>
  <c r="I541" i="1"/>
  <c r="H541" i="1" s="1"/>
  <c r="I542" i="1"/>
  <c r="H542" i="1" s="1"/>
  <c r="I543" i="1"/>
  <c r="H543" i="1" s="1"/>
  <c r="I544" i="1"/>
  <c r="H544" i="1" s="1"/>
  <c r="I545" i="1"/>
  <c r="H545" i="1" s="1"/>
  <c r="I546" i="1"/>
  <c r="H546" i="1" s="1"/>
  <c r="I547" i="1"/>
  <c r="H547" i="1" s="1"/>
  <c r="I548" i="1"/>
  <c r="H548" i="1" s="1"/>
  <c r="I549" i="1"/>
  <c r="H549" i="1" s="1"/>
  <c r="I550" i="1"/>
  <c r="H550" i="1" s="1"/>
  <c r="I551" i="1"/>
  <c r="H551" i="1" s="1"/>
  <c r="I552" i="1"/>
  <c r="H552" i="1" s="1"/>
  <c r="I553" i="1"/>
  <c r="H553" i="1" s="1"/>
  <c r="I554" i="1"/>
  <c r="H554" i="1" s="1"/>
  <c r="I555" i="1"/>
  <c r="H555" i="1" s="1"/>
  <c r="I556" i="1"/>
  <c r="H556" i="1" s="1"/>
  <c r="I557" i="1"/>
  <c r="H557" i="1" s="1"/>
  <c r="I558" i="1"/>
  <c r="H558" i="1" s="1"/>
  <c r="I559" i="1"/>
  <c r="H559" i="1" s="1"/>
  <c r="I560" i="1"/>
  <c r="H560" i="1" s="1"/>
  <c r="I561" i="1"/>
  <c r="H561" i="1" s="1"/>
  <c r="I562" i="1"/>
  <c r="H562" i="1" s="1"/>
  <c r="I563" i="1"/>
  <c r="H563" i="1" s="1"/>
  <c r="I564" i="1"/>
  <c r="H564" i="1" s="1"/>
  <c r="I565" i="1"/>
  <c r="H565" i="1" s="1"/>
  <c r="I566" i="1"/>
  <c r="H566" i="1" s="1"/>
  <c r="I567" i="1"/>
  <c r="H567" i="1" s="1"/>
  <c r="I568" i="1"/>
  <c r="H568" i="1" s="1"/>
  <c r="I569" i="1"/>
  <c r="H569" i="1" s="1"/>
  <c r="I570" i="1"/>
  <c r="H570" i="1" s="1"/>
  <c r="I571" i="1"/>
  <c r="H571" i="1" s="1"/>
  <c r="I572" i="1"/>
  <c r="H572" i="1" s="1"/>
  <c r="I573" i="1"/>
  <c r="H573" i="1" s="1"/>
  <c r="I574" i="1"/>
  <c r="H574" i="1" s="1"/>
  <c r="I575" i="1"/>
  <c r="H575" i="1" s="1"/>
  <c r="I576" i="1"/>
  <c r="H576" i="1" s="1"/>
  <c r="I577" i="1"/>
  <c r="H577" i="1" s="1"/>
  <c r="I578" i="1"/>
  <c r="H578" i="1" s="1"/>
  <c r="I579" i="1"/>
  <c r="H579" i="1" s="1"/>
  <c r="I580" i="1"/>
  <c r="H580" i="1" s="1"/>
  <c r="I581" i="1"/>
  <c r="H581" i="1" s="1"/>
  <c r="I582" i="1"/>
  <c r="H582" i="1" s="1"/>
  <c r="I583" i="1"/>
  <c r="H583" i="1" s="1"/>
  <c r="I584" i="1"/>
  <c r="H584" i="1" s="1"/>
  <c r="I585" i="1"/>
  <c r="H585" i="1" s="1"/>
  <c r="I586" i="1"/>
  <c r="H586" i="1" s="1"/>
  <c r="I587" i="1"/>
  <c r="H587" i="1" s="1"/>
  <c r="I588" i="1"/>
  <c r="H588" i="1" s="1"/>
  <c r="I589" i="1"/>
  <c r="H589" i="1" s="1"/>
  <c r="I590" i="1"/>
  <c r="H590" i="1" s="1"/>
  <c r="I591" i="1"/>
  <c r="H591" i="1" s="1"/>
  <c r="I592" i="1"/>
  <c r="H592" i="1" s="1"/>
  <c r="I593" i="1"/>
  <c r="H593" i="1" s="1"/>
  <c r="I594" i="1"/>
  <c r="H594" i="1" s="1"/>
  <c r="I595" i="1"/>
  <c r="H595" i="1" s="1"/>
  <c r="I596" i="1"/>
  <c r="H596" i="1" s="1"/>
  <c r="I597" i="1"/>
  <c r="H597" i="1" s="1"/>
  <c r="I598" i="1"/>
  <c r="H598" i="1" s="1"/>
  <c r="I599" i="1"/>
  <c r="H599" i="1" s="1"/>
  <c r="I600" i="1"/>
  <c r="H600" i="1" s="1"/>
  <c r="I601" i="1"/>
  <c r="H601" i="1" s="1"/>
  <c r="I602" i="1"/>
  <c r="H602" i="1" s="1"/>
  <c r="I603" i="1"/>
  <c r="H603" i="1" s="1"/>
  <c r="I604" i="1"/>
  <c r="H604" i="1" s="1"/>
  <c r="I605" i="1"/>
  <c r="H605" i="1" s="1"/>
  <c r="I606" i="1"/>
  <c r="H606" i="1" s="1"/>
  <c r="I607" i="1"/>
  <c r="H607" i="1" s="1"/>
  <c r="I608" i="1"/>
  <c r="H608" i="1" s="1"/>
  <c r="I609" i="1"/>
  <c r="H609" i="1" s="1"/>
  <c r="I610" i="1"/>
  <c r="H610" i="1" s="1"/>
  <c r="I611" i="1"/>
  <c r="H611" i="1" s="1"/>
  <c r="I612" i="1"/>
  <c r="H612" i="1" s="1"/>
  <c r="I613" i="1"/>
  <c r="H613" i="1" s="1"/>
  <c r="I614" i="1"/>
  <c r="H614" i="1" s="1"/>
  <c r="I615" i="1"/>
  <c r="H615" i="1" s="1"/>
  <c r="I616" i="1"/>
  <c r="H616" i="1" s="1"/>
  <c r="I617" i="1"/>
  <c r="H617" i="1" s="1"/>
  <c r="I618" i="1"/>
  <c r="H618" i="1" s="1"/>
  <c r="I619" i="1"/>
  <c r="H619" i="1" s="1"/>
  <c r="I620" i="1"/>
  <c r="H620" i="1" s="1"/>
  <c r="I621" i="1"/>
  <c r="H621" i="1" s="1"/>
  <c r="I622" i="1"/>
  <c r="H622" i="1" s="1"/>
  <c r="I623" i="1"/>
  <c r="H623" i="1" s="1"/>
  <c r="I624" i="1"/>
  <c r="H624" i="1" s="1"/>
  <c r="I625" i="1"/>
  <c r="H625" i="1" s="1"/>
  <c r="I626" i="1"/>
  <c r="H626" i="1" s="1"/>
  <c r="I627" i="1"/>
  <c r="H627" i="1" s="1"/>
  <c r="I628" i="1"/>
  <c r="H628" i="1" s="1"/>
  <c r="I629" i="1"/>
  <c r="H629" i="1" s="1"/>
  <c r="I630" i="1"/>
  <c r="H630" i="1" s="1"/>
  <c r="I631" i="1"/>
  <c r="H631" i="1" s="1"/>
  <c r="I632" i="1"/>
  <c r="H632" i="1" s="1"/>
  <c r="I633" i="1"/>
  <c r="H633" i="1" s="1"/>
  <c r="I634" i="1"/>
  <c r="H634" i="1" s="1"/>
  <c r="I635" i="1"/>
  <c r="H635" i="1" s="1"/>
  <c r="I636" i="1"/>
  <c r="H636" i="1" s="1"/>
  <c r="I637" i="1"/>
  <c r="H637" i="1" s="1"/>
  <c r="I638" i="1"/>
  <c r="H638" i="1" s="1"/>
  <c r="I639" i="1"/>
  <c r="H639" i="1" s="1"/>
  <c r="I640" i="1"/>
  <c r="H640" i="1" s="1"/>
  <c r="I641" i="1"/>
  <c r="H641" i="1" s="1"/>
  <c r="I642" i="1"/>
  <c r="H642" i="1" s="1"/>
  <c r="I643" i="1"/>
  <c r="H643" i="1" s="1"/>
  <c r="I644" i="1"/>
  <c r="H644" i="1" s="1"/>
  <c r="I645" i="1"/>
  <c r="H645" i="1" s="1"/>
  <c r="I646" i="1"/>
  <c r="H646" i="1" s="1"/>
  <c r="I647" i="1"/>
  <c r="H647" i="1" s="1"/>
  <c r="I648" i="1"/>
  <c r="H648" i="1" s="1"/>
  <c r="I649" i="1"/>
  <c r="H649" i="1" s="1"/>
  <c r="I650" i="1"/>
  <c r="H650" i="1" s="1"/>
  <c r="I651" i="1"/>
  <c r="H651" i="1" s="1"/>
  <c r="I652" i="1"/>
  <c r="H652" i="1" s="1"/>
  <c r="I653" i="1"/>
  <c r="H653" i="1" s="1"/>
  <c r="I654" i="1"/>
  <c r="H654" i="1" s="1"/>
  <c r="I655" i="1"/>
  <c r="H655" i="1" s="1"/>
  <c r="I656" i="1"/>
  <c r="H656" i="1" s="1"/>
  <c r="I657" i="1"/>
  <c r="H657" i="1" s="1"/>
  <c r="I658" i="1"/>
  <c r="H658" i="1" s="1"/>
  <c r="I659" i="1"/>
  <c r="H659" i="1" s="1"/>
  <c r="I660" i="1"/>
  <c r="H660" i="1" s="1"/>
  <c r="I661" i="1"/>
  <c r="H661" i="1" s="1"/>
  <c r="I662" i="1"/>
  <c r="H662" i="1" s="1"/>
  <c r="I663" i="1"/>
  <c r="H663" i="1" s="1"/>
  <c r="I664" i="1"/>
  <c r="H664" i="1" s="1"/>
  <c r="I665" i="1"/>
  <c r="H665" i="1" s="1"/>
  <c r="I666" i="1"/>
  <c r="H666" i="1" s="1"/>
  <c r="I667" i="1"/>
  <c r="H667" i="1" s="1"/>
  <c r="I668" i="1"/>
  <c r="H668" i="1" s="1"/>
  <c r="I669" i="1"/>
  <c r="H669" i="1" s="1"/>
  <c r="I670" i="1"/>
  <c r="H670" i="1" s="1"/>
  <c r="I671" i="1"/>
  <c r="H671" i="1" s="1"/>
  <c r="I672" i="1"/>
  <c r="H672" i="1" s="1"/>
  <c r="I673" i="1"/>
  <c r="H673" i="1" s="1"/>
  <c r="I674" i="1"/>
  <c r="H674" i="1" s="1"/>
  <c r="I675" i="1"/>
  <c r="H675" i="1" s="1"/>
  <c r="I676" i="1"/>
  <c r="H676" i="1" s="1"/>
  <c r="I677" i="1"/>
  <c r="H677" i="1" s="1"/>
  <c r="I678" i="1"/>
  <c r="H678" i="1" s="1"/>
  <c r="I679" i="1"/>
  <c r="H679" i="1" s="1"/>
  <c r="I680" i="1"/>
  <c r="H680" i="1" s="1"/>
  <c r="I681" i="1"/>
  <c r="H681" i="1" s="1"/>
  <c r="I682" i="1"/>
  <c r="H682" i="1" s="1"/>
  <c r="I683" i="1"/>
  <c r="H683" i="1" s="1"/>
  <c r="I684" i="1"/>
  <c r="H684" i="1" s="1"/>
  <c r="I685" i="1"/>
  <c r="H685" i="1" s="1"/>
  <c r="I686" i="1"/>
  <c r="H686" i="1" s="1"/>
  <c r="I687" i="1"/>
  <c r="H687" i="1" s="1"/>
  <c r="I688" i="1"/>
  <c r="H688" i="1" s="1"/>
  <c r="I689" i="1"/>
  <c r="H689" i="1" s="1"/>
  <c r="I690" i="1"/>
  <c r="H690" i="1" s="1"/>
  <c r="I691" i="1"/>
  <c r="H691" i="1" s="1"/>
  <c r="I692" i="1"/>
  <c r="H692" i="1" s="1"/>
  <c r="I693" i="1"/>
  <c r="H693" i="1" s="1"/>
  <c r="I694" i="1"/>
  <c r="H694" i="1" s="1"/>
  <c r="I695" i="1"/>
  <c r="H695" i="1" s="1"/>
  <c r="I696" i="1"/>
  <c r="H696" i="1" s="1"/>
  <c r="I697" i="1"/>
  <c r="H697" i="1" s="1"/>
  <c r="I698" i="1"/>
  <c r="H698" i="1" s="1"/>
  <c r="I699" i="1"/>
  <c r="H699" i="1" s="1"/>
  <c r="I700" i="1"/>
  <c r="H700" i="1" s="1"/>
  <c r="I701" i="1"/>
  <c r="H701" i="1" s="1"/>
  <c r="I702" i="1"/>
  <c r="H702" i="1" s="1"/>
  <c r="I703" i="1"/>
  <c r="H703" i="1" s="1"/>
  <c r="I704" i="1"/>
  <c r="H704" i="1" s="1"/>
  <c r="I705" i="1"/>
  <c r="H705" i="1" s="1"/>
  <c r="I706" i="1"/>
  <c r="H706" i="1" s="1"/>
  <c r="I707" i="1"/>
  <c r="H707" i="1" s="1"/>
  <c r="I708" i="1"/>
  <c r="H708" i="1" s="1"/>
  <c r="I709" i="1"/>
  <c r="H709" i="1" s="1"/>
  <c r="I710" i="1"/>
  <c r="H710" i="1" s="1"/>
  <c r="I711" i="1"/>
  <c r="H711" i="1" s="1"/>
  <c r="I712" i="1"/>
  <c r="H712" i="1" s="1"/>
  <c r="I713" i="1"/>
  <c r="H713" i="1" s="1"/>
  <c r="I714" i="1"/>
  <c r="H714" i="1" s="1"/>
  <c r="I715" i="1"/>
  <c r="H715" i="1" s="1"/>
  <c r="I716" i="1"/>
  <c r="H716" i="1" s="1"/>
  <c r="I717" i="1"/>
  <c r="H717" i="1" s="1"/>
  <c r="I718" i="1"/>
  <c r="H718" i="1" s="1"/>
  <c r="I719" i="1"/>
  <c r="H719" i="1" s="1"/>
  <c r="I720" i="1"/>
  <c r="H720" i="1" s="1"/>
  <c r="I721" i="1"/>
  <c r="H721" i="1" s="1"/>
  <c r="I722" i="1"/>
  <c r="H722" i="1" s="1"/>
  <c r="I723" i="1"/>
  <c r="H723" i="1" s="1"/>
  <c r="I724" i="1"/>
  <c r="H724" i="1" s="1"/>
  <c r="I725" i="1"/>
  <c r="H725" i="1" s="1"/>
  <c r="I726" i="1"/>
  <c r="H726" i="1" s="1"/>
  <c r="I727" i="1"/>
  <c r="H727" i="1" s="1"/>
  <c r="I728" i="1"/>
  <c r="H728" i="1" s="1"/>
  <c r="I729" i="1"/>
  <c r="H729" i="1" s="1"/>
  <c r="I730" i="1"/>
  <c r="H730" i="1" s="1"/>
  <c r="I731" i="1"/>
  <c r="H731" i="1" s="1"/>
  <c r="I732" i="1"/>
  <c r="H732" i="1" s="1"/>
  <c r="I733" i="1"/>
  <c r="H733" i="1" s="1"/>
  <c r="I734" i="1"/>
  <c r="H734" i="1" s="1"/>
  <c r="I735" i="1"/>
  <c r="H735" i="1" s="1"/>
  <c r="I736" i="1"/>
  <c r="H736" i="1" s="1"/>
  <c r="I737" i="1"/>
  <c r="H737" i="1" s="1"/>
  <c r="I738" i="1"/>
  <c r="H738" i="1" s="1"/>
  <c r="I739" i="1"/>
  <c r="H739" i="1" s="1"/>
  <c r="I740" i="1"/>
  <c r="H740" i="1" s="1"/>
  <c r="I741" i="1"/>
  <c r="H741" i="1" s="1"/>
  <c r="I742" i="1"/>
  <c r="H742" i="1" s="1"/>
  <c r="I743" i="1"/>
  <c r="H743" i="1" s="1"/>
  <c r="I744" i="1"/>
  <c r="H744" i="1" s="1"/>
  <c r="I745" i="1"/>
  <c r="H745" i="1" s="1"/>
  <c r="I746" i="1"/>
  <c r="H746" i="1" s="1"/>
  <c r="I747" i="1"/>
  <c r="H747" i="1" s="1"/>
  <c r="I748" i="1"/>
  <c r="H748" i="1" s="1"/>
  <c r="I749" i="1"/>
  <c r="H749" i="1" s="1"/>
  <c r="I750" i="1"/>
  <c r="H750" i="1" s="1"/>
  <c r="I751" i="1"/>
  <c r="H751" i="1" s="1"/>
  <c r="I752" i="1"/>
  <c r="H752" i="1" s="1"/>
  <c r="I753" i="1"/>
  <c r="H753" i="1" s="1"/>
  <c r="I754" i="1"/>
  <c r="H754" i="1" s="1"/>
  <c r="I755" i="1"/>
  <c r="H755" i="1" s="1"/>
  <c r="I756" i="1"/>
  <c r="H756" i="1" s="1"/>
  <c r="I757" i="1"/>
  <c r="H757" i="1" s="1"/>
  <c r="I758" i="1"/>
  <c r="H758" i="1" s="1"/>
  <c r="I759" i="1"/>
  <c r="H759" i="1" s="1"/>
  <c r="I760" i="1"/>
  <c r="H760" i="1" s="1"/>
  <c r="I761" i="1"/>
  <c r="H761" i="1" s="1"/>
  <c r="I762" i="1"/>
  <c r="H762" i="1" s="1"/>
  <c r="I763" i="1"/>
  <c r="H763" i="1" s="1"/>
  <c r="I764" i="1"/>
  <c r="H764" i="1" s="1"/>
  <c r="I765" i="1"/>
  <c r="H765" i="1" s="1"/>
  <c r="I766" i="1"/>
  <c r="H766" i="1" s="1"/>
  <c r="I767" i="1"/>
  <c r="H767" i="1" s="1"/>
  <c r="I768" i="1"/>
  <c r="H768" i="1" s="1"/>
  <c r="I769" i="1"/>
  <c r="H769" i="1" s="1"/>
  <c r="I770" i="1"/>
  <c r="H770" i="1" s="1"/>
  <c r="I771" i="1"/>
  <c r="H771" i="1" s="1"/>
  <c r="I772" i="1"/>
  <c r="H772" i="1" s="1"/>
  <c r="I773" i="1"/>
  <c r="H773" i="1" s="1"/>
  <c r="I774" i="1"/>
  <c r="H774" i="1" s="1"/>
  <c r="I775" i="1"/>
  <c r="H775" i="1" s="1"/>
  <c r="I776" i="1"/>
  <c r="H776" i="1" s="1"/>
  <c r="I777" i="1"/>
  <c r="H777" i="1" s="1"/>
  <c r="I778" i="1"/>
  <c r="H778" i="1" s="1"/>
  <c r="I779" i="1"/>
  <c r="H779" i="1" s="1"/>
  <c r="I780" i="1"/>
  <c r="H780" i="1" s="1"/>
  <c r="I781" i="1"/>
  <c r="H781" i="1" s="1"/>
  <c r="I782" i="1"/>
  <c r="H782" i="1" s="1"/>
  <c r="I783" i="1"/>
  <c r="H783" i="1" s="1"/>
  <c r="I784" i="1"/>
  <c r="H784" i="1" s="1"/>
  <c r="I785" i="1"/>
  <c r="H785" i="1" s="1"/>
  <c r="I786" i="1"/>
  <c r="H786" i="1" s="1"/>
  <c r="I787" i="1"/>
  <c r="H787" i="1" s="1"/>
  <c r="I788" i="1"/>
  <c r="H788" i="1" s="1"/>
  <c r="I789" i="1"/>
  <c r="H789" i="1" s="1"/>
  <c r="I790" i="1"/>
  <c r="H790" i="1" s="1"/>
  <c r="I791" i="1"/>
  <c r="H791" i="1" s="1"/>
  <c r="I792" i="1"/>
  <c r="H792" i="1" s="1"/>
  <c r="I793" i="1"/>
  <c r="H793" i="1" s="1"/>
  <c r="I794" i="1"/>
  <c r="H794" i="1" s="1"/>
  <c r="I795" i="1"/>
  <c r="H795" i="1" s="1"/>
  <c r="I796" i="1"/>
  <c r="H796" i="1" s="1"/>
  <c r="I797" i="1"/>
  <c r="H797" i="1" s="1"/>
  <c r="I798" i="1"/>
  <c r="H798" i="1" s="1"/>
  <c r="I799" i="1"/>
  <c r="H799" i="1" s="1"/>
  <c r="I800" i="1"/>
  <c r="H800" i="1" s="1"/>
  <c r="I801" i="1"/>
  <c r="H801" i="1" s="1"/>
  <c r="I802" i="1"/>
  <c r="H802" i="1" s="1"/>
  <c r="I803" i="1"/>
  <c r="H803" i="1" s="1"/>
  <c r="I804" i="1"/>
  <c r="H804" i="1" s="1"/>
  <c r="I805" i="1"/>
  <c r="H805" i="1" s="1"/>
  <c r="I806" i="1"/>
  <c r="H806" i="1" s="1"/>
  <c r="I807" i="1"/>
  <c r="H807" i="1" s="1"/>
  <c r="I808" i="1"/>
  <c r="H808" i="1" s="1"/>
  <c r="I809" i="1"/>
  <c r="H809" i="1" s="1"/>
  <c r="I810" i="1"/>
  <c r="H810" i="1" s="1"/>
  <c r="I811" i="1"/>
  <c r="H811" i="1" s="1"/>
  <c r="I812" i="1"/>
  <c r="H812" i="1" s="1"/>
  <c r="I813" i="1"/>
  <c r="H813" i="1" s="1"/>
  <c r="I814" i="1"/>
  <c r="H814" i="1" s="1"/>
  <c r="I815" i="1"/>
  <c r="H815" i="1" s="1"/>
  <c r="I816" i="1"/>
  <c r="H816" i="1" s="1"/>
  <c r="I817" i="1"/>
  <c r="H817" i="1" s="1"/>
  <c r="I818" i="1"/>
  <c r="H818" i="1" s="1"/>
  <c r="I819" i="1"/>
  <c r="H819" i="1" s="1"/>
  <c r="I820" i="1"/>
  <c r="H820" i="1" s="1"/>
  <c r="I821" i="1"/>
  <c r="H821" i="1" s="1"/>
  <c r="I822" i="1"/>
  <c r="H822" i="1" s="1"/>
  <c r="I823" i="1"/>
  <c r="H823" i="1" s="1"/>
  <c r="I824" i="1"/>
  <c r="H824" i="1" s="1"/>
  <c r="I825" i="1"/>
  <c r="H825" i="1" s="1"/>
  <c r="I826" i="1"/>
  <c r="H826" i="1" s="1"/>
  <c r="I827" i="1"/>
  <c r="H827" i="1" s="1"/>
  <c r="I828" i="1"/>
  <c r="H828" i="1" s="1"/>
  <c r="I829" i="1"/>
  <c r="H829" i="1" s="1"/>
  <c r="I830" i="1"/>
  <c r="H830" i="1" s="1"/>
  <c r="I831" i="1"/>
  <c r="H831" i="1" s="1"/>
  <c r="I832" i="1"/>
  <c r="H832" i="1" s="1"/>
  <c r="I833" i="1"/>
  <c r="H833" i="1" s="1"/>
  <c r="I834" i="1"/>
  <c r="H834" i="1" s="1"/>
  <c r="I835" i="1"/>
  <c r="H835" i="1" s="1"/>
  <c r="I836" i="1"/>
  <c r="H836" i="1" s="1"/>
  <c r="I837" i="1"/>
  <c r="H837" i="1" s="1"/>
  <c r="I838" i="1"/>
  <c r="H838" i="1" s="1"/>
  <c r="I839" i="1"/>
  <c r="H839" i="1" s="1"/>
  <c r="I840" i="1"/>
  <c r="H840" i="1" s="1"/>
  <c r="I841" i="1"/>
  <c r="H841" i="1" s="1"/>
  <c r="I842" i="1"/>
  <c r="H842" i="1" s="1"/>
  <c r="I843" i="1"/>
  <c r="H843" i="1" s="1"/>
  <c r="I844" i="1"/>
  <c r="H844" i="1" s="1"/>
  <c r="I845" i="1"/>
  <c r="H845" i="1" s="1"/>
  <c r="I846" i="1"/>
  <c r="H846" i="1" s="1"/>
  <c r="I847" i="1"/>
  <c r="H847" i="1" s="1"/>
  <c r="I848" i="1"/>
  <c r="H848" i="1" s="1"/>
  <c r="I849" i="1"/>
  <c r="H849" i="1" s="1"/>
  <c r="I850" i="1"/>
  <c r="H850" i="1" s="1"/>
  <c r="I851" i="1"/>
  <c r="H851" i="1" s="1"/>
  <c r="I852" i="1"/>
  <c r="H852" i="1" s="1"/>
  <c r="I853" i="1"/>
  <c r="H853" i="1" s="1"/>
  <c r="I854" i="1"/>
  <c r="H854" i="1" s="1"/>
  <c r="I855" i="1"/>
  <c r="H855" i="1" s="1"/>
  <c r="I856" i="1"/>
  <c r="H856" i="1" s="1"/>
  <c r="I857" i="1"/>
  <c r="H857" i="1" s="1"/>
  <c r="I858" i="1"/>
  <c r="H858" i="1" s="1"/>
  <c r="I859" i="1"/>
  <c r="H859" i="1" s="1"/>
  <c r="I860" i="1"/>
  <c r="H860" i="1" s="1"/>
  <c r="I861" i="1"/>
  <c r="H861" i="1" s="1"/>
  <c r="I862" i="1"/>
  <c r="H862" i="1" s="1"/>
  <c r="I863" i="1"/>
  <c r="H863" i="1" s="1"/>
  <c r="I864" i="1"/>
  <c r="H864" i="1" s="1"/>
  <c r="I865" i="1"/>
  <c r="H865" i="1" s="1"/>
  <c r="I866" i="1"/>
  <c r="H866" i="1" s="1"/>
  <c r="I867" i="1"/>
  <c r="H867" i="1" s="1"/>
  <c r="I868" i="1"/>
  <c r="H868" i="1" s="1"/>
  <c r="I869" i="1"/>
  <c r="H869" i="1" s="1"/>
  <c r="I870" i="1"/>
  <c r="H870" i="1" s="1"/>
  <c r="I871" i="1"/>
  <c r="H871" i="1" s="1"/>
  <c r="I872" i="1"/>
  <c r="H872" i="1" s="1"/>
  <c r="I873" i="1"/>
  <c r="H873" i="1" s="1"/>
  <c r="I874" i="1"/>
  <c r="H874" i="1" s="1"/>
  <c r="I875" i="1"/>
  <c r="H875" i="1" s="1"/>
  <c r="I876" i="1"/>
  <c r="H876" i="1" s="1"/>
  <c r="I877" i="1"/>
  <c r="H877" i="1" s="1"/>
  <c r="I878" i="1"/>
  <c r="H878" i="1" s="1"/>
  <c r="I879" i="1"/>
  <c r="H879" i="1" s="1"/>
  <c r="I880" i="1"/>
  <c r="H880" i="1" s="1"/>
  <c r="I881" i="1"/>
  <c r="H881" i="1" s="1"/>
  <c r="I882" i="1"/>
  <c r="H882" i="1" s="1"/>
  <c r="I883" i="1"/>
  <c r="H883" i="1" s="1"/>
  <c r="I884" i="1"/>
  <c r="H884" i="1" s="1"/>
  <c r="I885" i="1"/>
  <c r="H885" i="1" s="1"/>
  <c r="I886" i="1"/>
  <c r="H886" i="1" s="1"/>
  <c r="I887" i="1"/>
  <c r="H887" i="1" s="1"/>
  <c r="I888" i="1"/>
  <c r="H888" i="1" s="1"/>
  <c r="I889" i="1"/>
  <c r="H889" i="1" s="1"/>
  <c r="I890" i="1"/>
  <c r="H890" i="1" s="1"/>
  <c r="I891" i="1"/>
  <c r="H891" i="1" s="1"/>
  <c r="I892" i="1"/>
  <c r="H892" i="1" s="1"/>
  <c r="I893" i="1"/>
  <c r="H893" i="1" s="1"/>
  <c r="I894" i="1"/>
  <c r="H894" i="1" s="1"/>
  <c r="I895" i="1"/>
  <c r="H895" i="1" s="1"/>
  <c r="I896" i="1"/>
  <c r="H896" i="1" s="1"/>
  <c r="I897" i="1"/>
  <c r="H897" i="1" s="1"/>
  <c r="I898" i="1"/>
  <c r="H898" i="1" s="1"/>
  <c r="I899" i="1"/>
  <c r="H899" i="1" s="1"/>
  <c r="I900" i="1"/>
  <c r="H900" i="1" s="1"/>
  <c r="I901" i="1"/>
  <c r="H901" i="1" s="1"/>
  <c r="I902" i="1"/>
  <c r="H902" i="1" s="1"/>
  <c r="I903" i="1"/>
  <c r="H903" i="1" s="1"/>
  <c r="I904" i="1"/>
  <c r="H904" i="1" s="1"/>
  <c r="I905" i="1"/>
  <c r="H905" i="1" s="1"/>
  <c r="I906" i="1"/>
  <c r="H906" i="1" s="1"/>
  <c r="I907" i="1"/>
  <c r="H907" i="1" s="1"/>
  <c r="I908" i="1"/>
  <c r="H908" i="1" s="1"/>
  <c r="I909" i="1"/>
  <c r="H909" i="1" s="1"/>
  <c r="I910" i="1"/>
  <c r="H910" i="1" s="1"/>
  <c r="I911" i="1"/>
  <c r="H911" i="1" s="1"/>
  <c r="I912" i="1"/>
  <c r="H912" i="1" s="1"/>
  <c r="I913" i="1"/>
  <c r="H913" i="1" s="1"/>
  <c r="I914" i="1"/>
  <c r="H914" i="1" s="1"/>
  <c r="I915" i="1"/>
  <c r="H915" i="1" s="1"/>
  <c r="I916" i="1"/>
  <c r="H916" i="1" s="1"/>
  <c r="I917" i="1"/>
  <c r="H917" i="1" s="1"/>
  <c r="I918" i="1"/>
  <c r="H918" i="1" s="1"/>
  <c r="I919" i="1"/>
  <c r="H919" i="1" s="1"/>
  <c r="I920" i="1"/>
  <c r="H920" i="1" s="1"/>
  <c r="I921" i="1"/>
  <c r="H921" i="1" s="1"/>
  <c r="I922" i="1"/>
  <c r="H922" i="1" s="1"/>
  <c r="I923" i="1"/>
  <c r="H923" i="1" s="1"/>
  <c r="I924" i="1"/>
  <c r="H924" i="1" s="1"/>
  <c r="I925" i="1"/>
  <c r="H925" i="1" s="1"/>
  <c r="I926" i="1"/>
  <c r="H926" i="1" s="1"/>
  <c r="I927" i="1"/>
  <c r="H927" i="1" s="1"/>
  <c r="I928" i="1"/>
  <c r="H928" i="1" s="1"/>
  <c r="I929" i="1"/>
  <c r="H929" i="1" s="1"/>
  <c r="I930" i="1"/>
  <c r="H930" i="1" s="1"/>
  <c r="I931" i="1"/>
  <c r="H931" i="1" s="1"/>
  <c r="I932" i="1"/>
  <c r="H932" i="1" s="1"/>
  <c r="I933" i="1"/>
  <c r="H933" i="1" s="1"/>
  <c r="I934" i="1"/>
  <c r="H934" i="1" s="1"/>
  <c r="I935" i="1"/>
  <c r="H935" i="1" s="1"/>
  <c r="I936" i="1"/>
  <c r="H936" i="1" s="1"/>
  <c r="I937" i="1"/>
  <c r="H937" i="1" s="1"/>
  <c r="I938" i="1"/>
  <c r="H938" i="1" s="1"/>
  <c r="I939" i="1"/>
  <c r="H939" i="1" s="1"/>
  <c r="I940" i="1"/>
  <c r="H940" i="1" s="1"/>
  <c r="I941" i="1"/>
  <c r="H941" i="1" s="1"/>
  <c r="I942" i="1"/>
  <c r="H942" i="1" s="1"/>
  <c r="I943" i="1"/>
  <c r="H943" i="1" s="1"/>
  <c r="I944" i="1"/>
  <c r="H944" i="1" s="1"/>
  <c r="I945" i="1"/>
  <c r="H945" i="1" s="1"/>
  <c r="I946" i="1"/>
  <c r="H946" i="1" s="1"/>
  <c r="I947" i="1"/>
  <c r="H947" i="1" s="1"/>
  <c r="I948" i="1"/>
  <c r="H948" i="1" s="1"/>
  <c r="I949" i="1"/>
  <c r="H949" i="1" s="1"/>
  <c r="I950" i="1"/>
  <c r="H950" i="1" s="1"/>
  <c r="I951" i="1"/>
  <c r="H951" i="1" s="1"/>
  <c r="I952" i="1"/>
  <c r="H952" i="1" s="1"/>
  <c r="I953" i="1"/>
  <c r="H953" i="1" s="1"/>
  <c r="I954" i="1"/>
  <c r="H954" i="1" s="1"/>
  <c r="I955" i="1"/>
  <c r="H955" i="1" s="1"/>
  <c r="I956" i="1"/>
  <c r="H956" i="1" s="1"/>
  <c r="I957" i="1"/>
  <c r="H957" i="1" s="1"/>
  <c r="I958" i="1"/>
  <c r="H958" i="1" s="1"/>
  <c r="I959" i="1"/>
  <c r="H959" i="1" s="1"/>
  <c r="I960" i="1"/>
  <c r="H960" i="1" s="1"/>
  <c r="I961" i="1"/>
  <c r="H961" i="1" s="1"/>
  <c r="I962" i="1"/>
  <c r="H962" i="1" s="1"/>
  <c r="I963" i="1"/>
  <c r="H963" i="1" s="1"/>
  <c r="I964" i="1"/>
  <c r="H964" i="1" s="1"/>
  <c r="I965" i="1"/>
  <c r="H965" i="1" s="1"/>
  <c r="I966" i="1"/>
  <c r="H966" i="1" s="1"/>
  <c r="I967" i="1"/>
  <c r="H967" i="1" s="1"/>
  <c r="I968" i="1"/>
  <c r="H968" i="1" s="1"/>
  <c r="I969" i="1"/>
  <c r="H969" i="1" s="1"/>
  <c r="I970" i="1"/>
  <c r="H970" i="1" s="1"/>
  <c r="I971" i="1"/>
  <c r="H971" i="1" s="1"/>
  <c r="I972" i="1"/>
  <c r="H972" i="1" s="1"/>
  <c r="I973" i="1"/>
  <c r="H973" i="1" s="1"/>
  <c r="I974" i="1"/>
  <c r="H974" i="1" s="1"/>
  <c r="I975" i="1"/>
  <c r="H975" i="1" s="1"/>
  <c r="I976" i="1"/>
  <c r="H976" i="1" s="1"/>
  <c r="I977" i="1"/>
  <c r="H977" i="1" s="1"/>
  <c r="I978" i="1"/>
  <c r="H978" i="1" s="1"/>
  <c r="I979" i="1"/>
  <c r="H979" i="1" s="1"/>
  <c r="I980" i="1"/>
  <c r="H980" i="1" s="1"/>
  <c r="I981" i="1"/>
  <c r="H981" i="1" s="1"/>
  <c r="I982" i="1"/>
  <c r="H982" i="1" s="1"/>
  <c r="I983" i="1"/>
  <c r="H983" i="1" s="1"/>
  <c r="I984" i="1"/>
  <c r="H984" i="1" s="1"/>
  <c r="I985" i="1"/>
  <c r="H985" i="1" s="1"/>
  <c r="I986" i="1"/>
  <c r="H986" i="1" s="1"/>
  <c r="I987" i="1"/>
  <c r="H987" i="1" s="1"/>
  <c r="I988" i="1"/>
  <c r="H988" i="1" s="1"/>
  <c r="I989" i="1"/>
  <c r="H989" i="1" s="1"/>
  <c r="I990" i="1"/>
  <c r="H990" i="1" s="1"/>
  <c r="I991" i="1"/>
  <c r="H991" i="1" s="1"/>
  <c r="I992" i="1"/>
  <c r="H992" i="1" s="1"/>
  <c r="I993" i="1"/>
  <c r="H993" i="1" s="1"/>
  <c r="I994" i="1"/>
  <c r="H994" i="1" s="1"/>
  <c r="I995" i="1"/>
  <c r="H995" i="1" s="1"/>
  <c r="I996" i="1"/>
  <c r="H996" i="1" s="1"/>
  <c r="I997" i="1"/>
  <c r="H997" i="1" s="1"/>
  <c r="I998" i="1"/>
  <c r="H998" i="1" s="1"/>
  <c r="I999" i="1"/>
  <c r="H999" i="1" s="1"/>
  <c r="I1000" i="1"/>
  <c r="H1000" i="1" s="1"/>
  <c r="I1001" i="1"/>
  <c r="H1001" i="1" s="1"/>
  <c r="I1002" i="1"/>
  <c r="H1002" i="1" s="1"/>
  <c r="I1003" i="1"/>
  <c r="H1003" i="1" s="1"/>
  <c r="I1004" i="1"/>
  <c r="H1004" i="1" s="1"/>
  <c r="I1005" i="1"/>
  <c r="H1005" i="1" s="1"/>
  <c r="I1006" i="1"/>
  <c r="H1006" i="1" s="1"/>
  <c r="I1007" i="1"/>
  <c r="H1007" i="1" s="1"/>
  <c r="I1008" i="1"/>
  <c r="H1008" i="1" s="1"/>
  <c r="I1009" i="1"/>
  <c r="H1009" i="1" s="1"/>
  <c r="I1010" i="1"/>
  <c r="H1010" i="1" s="1"/>
  <c r="I1011" i="1"/>
  <c r="H1011" i="1" s="1"/>
  <c r="I1012" i="1"/>
  <c r="H1012" i="1" s="1"/>
  <c r="I1013" i="1"/>
  <c r="H1013" i="1" s="1"/>
  <c r="I1014" i="1"/>
  <c r="H1014" i="1" s="1"/>
  <c r="I1015" i="1"/>
  <c r="H1015" i="1" s="1"/>
  <c r="I1016" i="1"/>
  <c r="H1016" i="1" s="1"/>
  <c r="I1017" i="1"/>
  <c r="H1017" i="1" s="1"/>
  <c r="I1018" i="1"/>
  <c r="H1018" i="1" s="1"/>
  <c r="I1019" i="1"/>
  <c r="H1019" i="1" s="1"/>
  <c r="I1020" i="1"/>
  <c r="H1020" i="1" s="1"/>
  <c r="I1021" i="1"/>
  <c r="H1021" i="1" s="1"/>
  <c r="I1022" i="1"/>
  <c r="H1022" i="1" s="1"/>
  <c r="I1023" i="1"/>
  <c r="H1023" i="1" s="1"/>
  <c r="I1024" i="1"/>
  <c r="H1024" i="1" s="1"/>
  <c r="I1025" i="1"/>
  <c r="H1025" i="1" s="1"/>
  <c r="I1026" i="1"/>
  <c r="H1026" i="1" s="1"/>
  <c r="I1027" i="1"/>
  <c r="H1027" i="1" s="1"/>
  <c r="I1028" i="1"/>
  <c r="H1028" i="1" s="1"/>
  <c r="I1029" i="1"/>
  <c r="H1029" i="1" s="1"/>
  <c r="I1030" i="1"/>
  <c r="H1030" i="1" s="1"/>
  <c r="I1031" i="1"/>
  <c r="H1031" i="1" s="1"/>
  <c r="I1032" i="1"/>
  <c r="H1032" i="1" s="1"/>
  <c r="I1033" i="1"/>
  <c r="H1033" i="1" s="1"/>
  <c r="I1034" i="1"/>
  <c r="H1034" i="1" s="1"/>
  <c r="I1035" i="1"/>
  <c r="H1035" i="1" s="1"/>
  <c r="I1036" i="1"/>
  <c r="H1036" i="1" s="1"/>
  <c r="I1037" i="1"/>
  <c r="H1037" i="1" s="1"/>
  <c r="I1038" i="1"/>
  <c r="H1038" i="1" s="1"/>
  <c r="I1039" i="1"/>
  <c r="H1039" i="1" s="1"/>
  <c r="I1040" i="1"/>
  <c r="H1040" i="1" s="1"/>
  <c r="I1041" i="1"/>
  <c r="H1041" i="1" s="1"/>
  <c r="I1042" i="1"/>
  <c r="H1042" i="1" s="1"/>
  <c r="I1043" i="1"/>
  <c r="H1043" i="1" s="1"/>
  <c r="I1044" i="1"/>
  <c r="H1044" i="1" s="1"/>
  <c r="I1045" i="1"/>
  <c r="H1045" i="1" s="1"/>
  <c r="I1046" i="1"/>
  <c r="H1046" i="1" s="1"/>
  <c r="I1047" i="1"/>
  <c r="H1047" i="1" s="1"/>
  <c r="I1048" i="1"/>
  <c r="H1048" i="1" s="1"/>
  <c r="I1049" i="1"/>
  <c r="H1049" i="1" s="1"/>
  <c r="I1050" i="1"/>
  <c r="H1050" i="1" s="1"/>
  <c r="I1051" i="1"/>
  <c r="H1051" i="1" s="1"/>
  <c r="I1052" i="1"/>
  <c r="H1052" i="1" s="1"/>
  <c r="I1053" i="1"/>
  <c r="H1053" i="1" s="1"/>
  <c r="I1054" i="1"/>
  <c r="H1054" i="1" s="1"/>
  <c r="I1055" i="1"/>
  <c r="H1055" i="1" s="1"/>
  <c r="I1056" i="1"/>
  <c r="H1056" i="1" s="1"/>
  <c r="I1057" i="1"/>
  <c r="H1057" i="1" s="1"/>
  <c r="I1058" i="1"/>
  <c r="H1058" i="1" s="1"/>
  <c r="I1059" i="1"/>
  <c r="H1059" i="1" s="1"/>
  <c r="I1060" i="1"/>
  <c r="H1060" i="1" s="1"/>
  <c r="I1061" i="1"/>
  <c r="H1061" i="1" s="1"/>
  <c r="I1062" i="1"/>
  <c r="H1062" i="1" s="1"/>
  <c r="I1063" i="1"/>
  <c r="H1063" i="1" s="1"/>
  <c r="I1064" i="1"/>
  <c r="H1064" i="1" s="1"/>
  <c r="I1065" i="1"/>
  <c r="H1065" i="1" s="1"/>
  <c r="I1066" i="1"/>
  <c r="H1066" i="1" s="1"/>
  <c r="I1067" i="1"/>
  <c r="H1067" i="1" s="1"/>
  <c r="I1068" i="1"/>
  <c r="H1068" i="1" s="1"/>
  <c r="I1069" i="1"/>
  <c r="H1069" i="1" s="1"/>
  <c r="I1070" i="1"/>
  <c r="H1070" i="1" s="1"/>
  <c r="I1071" i="1"/>
  <c r="H1071" i="1" s="1"/>
  <c r="I1072" i="1"/>
  <c r="H1072" i="1" s="1"/>
  <c r="I1073" i="1"/>
  <c r="H1073" i="1" s="1"/>
  <c r="I1074" i="1"/>
  <c r="H1074" i="1" s="1"/>
  <c r="I1075" i="1"/>
  <c r="H1075" i="1" s="1"/>
  <c r="I1076" i="1"/>
  <c r="H1076" i="1" s="1"/>
  <c r="I1077" i="1"/>
  <c r="H1077" i="1" s="1"/>
  <c r="I1078" i="1"/>
  <c r="H1078" i="1" s="1"/>
  <c r="I1079" i="1"/>
  <c r="H1079" i="1" s="1"/>
  <c r="I1080" i="1"/>
  <c r="H1080" i="1" s="1"/>
  <c r="I1081" i="1"/>
  <c r="H1081" i="1" s="1"/>
  <c r="I1082" i="1"/>
  <c r="H1082" i="1" s="1"/>
  <c r="I1083" i="1"/>
  <c r="H1083" i="1" s="1"/>
  <c r="I1084" i="1"/>
  <c r="H1084" i="1" s="1"/>
  <c r="I1085" i="1"/>
  <c r="H1085" i="1" s="1"/>
  <c r="I1086" i="1"/>
  <c r="H1086" i="1" s="1"/>
  <c r="I1087" i="1"/>
  <c r="H1087" i="1" s="1"/>
  <c r="I1088" i="1"/>
  <c r="H1088" i="1" s="1"/>
  <c r="I1089" i="1"/>
  <c r="H1089" i="1" s="1"/>
  <c r="I1090" i="1"/>
  <c r="H1090" i="1" s="1"/>
  <c r="I1091" i="1"/>
  <c r="H1091" i="1" s="1"/>
  <c r="I1092" i="1"/>
  <c r="H1092" i="1" s="1"/>
  <c r="I1093" i="1"/>
  <c r="H1093" i="1" s="1"/>
  <c r="I1094" i="1"/>
  <c r="H1094" i="1" s="1"/>
  <c r="I1095" i="1"/>
  <c r="H1095" i="1" s="1"/>
  <c r="I1096" i="1"/>
  <c r="H1096" i="1" s="1"/>
  <c r="I1097" i="1"/>
  <c r="H1097" i="1" s="1"/>
  <c r="I1098" i="1"/>
  <c r="H1098" i="1" s="1"/>
  <c r="I1099" i="1"/>
  <c r="H1099" i="1" s="1"/>
  <c r="I1100" i="1"/>
  <c r="H1100" i="1" s="1"/>
  <c r="I1101" i="1"/>
  <c r="H1101" i="1" s="1"/>
  <c r="I1102" i="1"/>
  <c r="H1102" i="1" s="1"/>
  <c r="I1103" i="1"/>
  <c r="H1103" i="1" s="1"/>
  <c r="I1104" i="1"/>
  <c r="H1104" i="1" s="1"/>
  <c r="I1105" i="1"/>
  <c r="H1105" i="1" s="1"/>
  <c r="I1106" i="1"/>
  <c r="H1106" i="1" s="1"/>
  <c r="I1107" i="1"/>
  <c r="H1107" i="1" s="1"/>
  <c r="I1108" i="1"/>
  <c r="H1108" i="1" s="1"/>
  <c r="I1109" i="1"/>
  <c r="H1109" i="1" s="1"/>
  <c r="I1110" i="1"/>
  <c r="H1110" i="1" s="1"/>
  <c r="I1111" i="1"/>
  <c r="H1111" i="1" s="1"/>
  <c r="I1112" i="1"/>
  <c r="H1112" i="1" s="1"/>
  <c r="I1113" i="1"/>
  <c r="H1113" i="1" s="1"/>
  <c r="I1114" i="1"/>
  <c r="H1114" i="1" s="1"/>
  <c r="I1115" i="1"/>
  <c r="H1115" i="1" s="1"/>
  <c r="I1116" i="1"/>
  <c r="H1116" i="1" s="1"/>
  <c r="I1117" i="1"/>
  <c r="H1117" i="1" s="1"/>
  <c r="I1118" i="1"/>
  <c r="H1118" i="1" s="1"/>
  <c r="I1119" i="1"/>
  <c r="H1119" i="1" s="1"/>
  <c r="I1120" i="1"/>
  <c r="H1120" i="1" s="1"/>
  <c r="I1121" i="1"/>
  <c r="H1121" i="1" s="1"/>
  <c r="I1122" i="1"/>
  <c r="H1122" i="1" s="1"/>
  <c r="I1123" i="1"/>
  <c r="H1123" i="1" s="1"/>
  <c r="I1124" i="1"/>
  <c r="H1124" i="1" s="1"/>
  <c r="I1125" i="1"/>
  <c r="H1125" i="1" s="1"/>
  <c r="I1126" i="1"/>
  <c r="H1126" i="1" s="1"/>
  <c r="I1127" i="1"/>
  <c r="H1127" i="1" s="1"/>
  <c r="I1128" i="1"/>
  <c r="H1128" i="1" s="1"/>
  <c r="I1129" i="1"/>
  <c r="H1129" i="1" s="1"/>
  <c r="I1130" i="1"/>
  <c r="H1130" i="1" s="1"/>
  <c r="I1131" i="1"/>
  <c r="H1131" i="1" s="1"/>
  <c r="I1132" i="1"/>
  <c r="H1132" i="1" s="1"/>
  <c r="I1133" i="1"/>
  <c r="H1133" i="1" s="1"/>
  <c r="I1134" i="1"/>
  <c r="H1134" i="1" s="1"/>
  <c r="I1135" i="1"/>
  <c r="H1135" i="1" s="1"/>
  <c r="I1136" i="1"/>
  <c r="H1136" i="1" s="1"/>
  <c r="I1137" i="1"/>
  <c r="H1137" i="1" s="1"/>
  <c r="I1138" i="1"/>
  <c r="H1138" i="1" s="1"/>
  <c r="I1139" i="1"/>
  <c r="H1139" i="1" s="1"/>
  <c r="I1140" i="1"/>
  <c r="H1140" i="1" s="1"/>
  <c r="I1141" i="1"/>
  <c r="H1141" i="1" s="1"/>
  <c r="I1142" i="1"/>
  <c r="H1142" i="1" s="1"/>
  <c r="I1143" i="1"/>
  <c r="H1143" i="1" s="1"/>
  <c r="I1144" i="1"/>
  <c r="H1144" i="1" s="1"/>
  <c r="I1145" i="1"/>
  <c r="H1145" i="1" s="1"/>
  <c r="I1146" i="1"/>
  <c r="H1146" i="1" s="1"/>
  <c r="I1147" i="1"/>
  <c r="H1147" i="1" s="1"/>
  <c r="I1148" i="1"/>
  <c r="H1148" i="1" s="1"/>
  <c r="I1149" i="1"/>
  <c r="H1149" i="1" s="1"/>
  <c r="I1150" i="1"/>
  <c r="H1150" i="1" s="1"/>
  <c r="I1151" i="1"/>
  <c r="H1151" i="1" s="1"/>
  <c r="I1152" i="1"/>
  <c r="H1152" i="1" s="1"/>
  <c r="I1153" i="1"/>
  <c r="H1153" i="1" s="1"/>
  <c r="I1154" i="1"/>
  <c r="H1154" i="1" s="1"/>
  <c r="I1155" i="1"/>
  <c r="H1155" i="1" s="1"/>
  <c r="I1156" i="1"/>
  <c r="H1156" i="1" s="1"/>
  <c r="I1157" i="1"/>
  <c r="H1157" i="1" s="1"/>
  <c r="I1158" i="1"/>
  <c r="H1158" i="1" s="1"/>
  <c r="I1159" i="1"/>
  <c r="H1159" i="1" s="1"/>
  <c r="I1160" i="1"/>
  <c r="H1160" i="1" s="1"/>
  <c r="I1161" i="1"/>
  <c r="H1161" i="1" s="1"/>
  <c r="I1162" i="1"/>
  <c r="H1162" i="1" s="1"/>
  <c r="I1163" i="1"/>
  <c r="H1163" i="1" s="1"/>
  <c r="I1164" i="1"/>
  <c r="H1164" i="1" s="1"/>
  <c r="I1165" i="1"/>
  <c r="H1165" i="1" s="1"/>
  <c r="I1166" i="1"/>
  <c r="H1166" i="1" s="1"/>
  <c r="I1167" i="1"/>
  <c r="H1167" i="1" s="1"/>
  <c r="I1168" i="1"/>
  <c r="H1168" i="1" s="1"/>
  <c r="I1169" i="1"/>
  <c r="H1169" i="1" s="1"/>
  <c r="I1170" i="1"/>
  <c r="H1170" i="1" s="1"/>
  <c r="I1171" i="1"/>
  <c r="H1171" i="1" s="1"/>
  <c r="I1172" i="1"/>
  <c r="H1172" i="1" s="1"/>
  <c r="I1173" i="1"/>
  <c r="H1173" i="1" s="1"/>
  <c r="I1174" i="1"/>
  <c r="H1174" i="1" s="1"/>
  <c r="I1175" i="1"/>
  <c r="H1175" i="1" s="1"/>
  <c r="I1176" i="1"/>
  <c r="H1176" i="1" s="1"/>
  <c r="I1177" i="1"/>
  <c r="H1177" i="1" s="1"/>
  <c r="I1178" i="1"/>
  <c r="H1178" i="1" s="1"/>
  <c r="I1179" i="1"/>
  <c r="H1179" i="1" s="1"/>
  <c r="I1180" i="1"/>
  <c r="H1180" i="1" s="1"/>
  <c r="I1181" i="1"/>
  <c r="H1181" i="1" s="1"/>
  <c r="I1182" i="1"/>
  <c r="H1182" i="1" s="1"/>
  <c r="I1183" i="1"/>
  <c r="H1183" i="1" s="1"/>
  <c r="I1184" i="1"/>
  <c r="H1184" i="1" s="1"/>
  <c r="I1185" i="1"/>
  <c r="H1185" i="1" s="1"/>
  <c r="I1186" i="1"/>
  <c r="H1186" i="1" s="1"/>
  <c r="I1187" i="1"/>
  <c r="H1187" i="1" s="1"/>
  <c r="I1188" i="1"/>
  <c r="H1188" i="1" s="1"/>
  <c r="I1189" i="1"/>
  <c r="H1189" i="1" s="1"/>
  <c r="I1190" i="1"/>
  <c r="H1190" i="1" s="1"/>
  <c r="I1191" i="1"/>
  <c r="H1191" i="1" s="1"/>
  <c r="I1192" i="1"/>
  <c r="H1192" i="1" s="1"/>
  <c r="I1193" i="1"/>
  <c r="H1193" i="1" s="1"/>
  <c r="I1194" i="1"/>
  <c r="H1194" i="1" s="1"/>
  <c r="I1195" i="1"/>
  <c r="H1195" i="1" s="1"/>
  <c r="I1196" i="1"/>
  <c r="H1196" i="1" s="1"/>
  <c r="I1197" i="1"/>
  <c r="H1197" i="1" s="1"/>
  <c r="I1198" i="1"/>
  <c r="H1198" i="1" s="1"/>
  <c r="I1199" i="1"/>
  <c r="H1199" i="1" s="1"/>
  <c r="I1200" i="1"/>
  <c r="H1200" i="1" s="1"/>
  <c r="I1201" i="1"/>
  <c r="H1201" i="1" s="1"/>
  <c r="I1202" i="1"/>
  <c r="H1202" i="1" s="1"/>
  <c r="I1203" i="1"/>
  <c r="H1203" i="1" s="1"/>
  <c r="I1204" i="1"/>
  <c r="H1204" i="1" s="1"/>
  <c r="I1205" i="1"/>
  <c r="H1205" i="1" s="1"/>
  <c r="I1206" i="1"/>
  <c r="H1206" i="1" s="1"/>
  <c r="I1207" i="1"/>
  <c r="H1207" i="1" s="1"/>
  <c r="I1208" i="1"/>
  <c r="H1208" i="1" s="1"/>
  <c r="I1209" i="1"/>
  <c r="H1209" i="1" s="1"/>
  <c r="I1210" i="1"/>
  <c r="H1210" i="1" s="1"/>
  <c r="I1211" i="1"/>
  <c r="H1211" i="1" s="1"/>
  <c r="I1212" i="1"/>
  <c r="H1212" i="1" s="1"/>
  <c r="I1213" i="1"/>
  <c r="H1213" i="1" s="1"/>
  <c r="I1214" i="1"/>
  <c r="H1214" i="1" s="1"/>
  <c r="I1215" i="1"/>
  <c r="H1215" i="1" s="1"/>
  <c r="I1216" i="1"/>
  <c r="H1216" i="1" s="1"/>
  <c r="I1217" i="1"/>
  <c r="H1217" i="1" s="1"/>
  <c r="I1218" i="1"/>
  <c r="H1218" i="1" s="1"/>
  <c r="I1219" i="1"/>
  <c r="H1219" i="1" s="1"/>
  <c r="I1220" i="1"/>
  <c r="H1220" i="1" s="1"/>
  <c r="I1221" i="1"/>
  <c r="H1221" i="1" s="1"/>
  <c r="I1222" i="1"/>
  <c r="H1222" i="1" s="1"/>
  <c r="I1223" i="1"/>
  <c r="H1223" i="1" s="1"/>
  <c r="I1224" i="1"/>
  <c r="H1224" i="1" s="1"/>
  <c r="I1225" i="1"/>
  <c r="H1225" i="1" s="1"/>
  <c r="I1226" i="1"/>
  <c r="H1226" i="1" s="1"/>
  <c r="I1227" i="1"/>
  <c r="H1227" i="1" s="1"/>
  <c r="I1228" i="1"/>
  <c r="H1228" i="1" s="1"/>
  <c r="I1229" i="1"/>
  <c r="H1229" i="1" s="1"/>
  <c r="I1230" i="1"/>
  <c r="H1230" i="1" s="1"/>
  <c r="I1231" i="1"/>
  <c r="H1231" i="1" s="1"/>
  <c r="I1232" i="1"/>
  <c r="H1232" i="1" s="1"/>
  <c r="I1233" i="1"/>
  <c r="H1233" i="1" s="1"/>
  <c r="I1234" i="1"/>
  <c r="H1234" i="1" s="1"/>
  <c r="I1235" i="1"/>
  <c r="H1235" i="1" s="1"/>
  <c r="I1236" i="1"/>
  <c r="H1236" i="1" s="1"/>
  <c r="I1237" i="1"/>
  <c r="H1237" i="1" s="1"/>
  <c r="I1238" i="1"/>
  <c r="H1238" i="1" s="1"/>
  <c r="I1239" i="1"/>
  <c r="H1239" i="1" s="1"/>
  <c r="I1240" i="1"/>
  <c r="H1240" i="1" s="1"/>
  <c r="I1241" i="1"/>
  <c r="H1241" i="1" s="1"/>
  <c r="I1242" i="1"/>
  <c r="H1242" i="1" s="1"/>
  <c r="I1243" i="1"/>
  <c r="H1243" i="1" s="1"/>
  <c r="I1244" i="1"/>
  <c r="H1244" i="1" s="1"/>
  <c r="I1245" i="1"/>
  <c r="H1245" i="1" s="1"/>
  <c r="I1246" i="1"/>
  <c r="H1246" i="1" s="1"/>
  <c r="I1247" i="1"/>
  <c r="H1247" i="1" s="1"/>
  <c r="I1248" i="1"/>
  <c r="H1248" i="1" s="1"/>
  <c r="I1249" i="1"/>
  <c r="H1249" i="1" s="1"/>
  <c r="I1250" i="1"/>
  <c r="H1250" i="1" s="1"/>
  <c r="I1251" i="1"/>
  <c r="H1251" i="1" s="1"/>
  <c r="I1252" i="1"/>
  <c r="H1252" i="1" s="1"/>
  <c r="I1253" i="1"/>
  <c r="H1253" i="1" s="1"/>
  <c r="I1254" i="1"/>
  <c r="H1254" i="1" s="1"/>
  <c r="I1255" i="1"/>
  <c r="H1255" i="1" s="1"/>
  <c r="I1256" i="1"/>
  <c r="H1256" i="1" s="1"/>
  <c r="I1257" i="1"/>
  <c r="H1257" i="1" s="1"/>
  <c r="I1258" i="1"/>
  <c r="H1258" i="1" s="1"/>
  <c r="I1259" i="1"/>
  <c r="H1259" i="1" s="1"/>
  <c r="I1260" i="1"/>
  <c r="H1260" i="1" s="1"/>
  <c r="I1261" i="1"/>
  <c r="H1261" i="1" s="1"/>
  <c r="I1262" i="1"/>
  <c r="H1262" i="1" s="1"/>
  <c r="I1263" i="1"/>
  <c r="H1263" i="1" s="1"/>
  <c r="I1264" i="1"/>
  <c r="H1264" i="1" s="1"/>
  <c r="I1265" i="1"/>
  <c r="H1265" i="1" s="1"/>
  <c r="I1266" i="1"/>
  <c r="H1266" i="1" s="1"/>
  <c r="I1267" i="1"/>
  <c r="H1267" i="1" s="1"/>
  <c r="I1268" i="1"/>
  <c r="H1268" i="1" s="1"/>
  <c r="I1269" i="1"/>
  <c r="H1269" i="1" s="1"/>
  <c r="I1270" i="1"/>
  <c r="H1270" i="1" s="1"/>
  <c r="I1271" i="1"/>
  <c r="H1271" i="1" s="1"/>
  <c r="I1272" i="1"/>
  <c r="H1272" i="1" s="1"/>
  <c r="I1273" i="1"/>
  <c r="H1273" i="1" s="1"/>
  <c r="I1274" i="1"/>
  <c r="H1274" i="1" s="1"/>
  <c r="I1275" i="1"/>
  <c r="H1275" i="1" s="1"/>
  <c r="I1276" i="1"/>
  <c r="H1276" i="1" s="1"/>
  <c r="I1277" i="1"/>
  <c r="H1277" i="1" s="1"/>
  <c r="I1278" i="1"/>
  <c r="H1278" i="1" s="1"/>
  <c r="I1279" i="1"/>
  <c r="H1279" i="1" s="1"/>
  <c r="I1280" i="1"/>
  <c r="H1280" i="1" s="1"/>
  <c r="I1281" i="1"/>
  <c r="H1281" i="1" s="1"/>
  <c r="I1282" i="1"/>
  <c r="H1282" i="1" s="1"/>
  <c r="I1283" i="1"/>
  <c r="H1283" i="1" s="1"/>
  <c r="I1284" i="1"/>
  <c r="H1284" i="1" s="1"/>
  <c r="I1285" i="1"/>
  <c r="H1285" i="1" s="1"/>
  <c r="I1286" i="1"/>
  <c r="H1286" i="1" s="1"/>
  <c r="I1287" i="1"/>
  <c r="H1287" i="1" s="1"/>
  <c r="I1288" i="1"/>
  <c r="H1288" i="1" s="1"/>
  <c r="I1289" i="1"/>
  <c r="H1289" i="1" s="1"/>
  <c r="I1290" i="1"/>
  <c r="H1290" i="1" s="1"/>
  <c r="I1291" i="1"/>
  <c r="H1291" i="1" s="1"/>
  <c r="I1292" i="1"/>
  <c r="H1292" i="1" s="1"/>
  <c r="I1293" i="1"/>
  <c r="H1293" i="1" s="1"/>
  <c r="I1294" i="1"/>
  <c r="H1294" i="1" s="1"/>
  <c r="I1295" i="1"/>
  <c r="H1295" i="1" s="1"/>
  <c r="I1296" i="1"/>
  <c r="H1296" i="1" s="1"/>
  <c r="I1297" i="1"/>
  <c r="H1297" i="1" s="1"/>
  <c r="I1298" i="1"/>
  <c r="H1298" i="1" s="1"/>
  <c r="I1299" i="1"/>
  <c r="H1299" i="1" s="1"/>
  <c r="I1300" i="1"/>
  <c r="H1300" i="1" s="1"/>
  <c r="I1301" i="1"/>
  <c r="H1301" i="1" s="1"/>
  <c r="I1302" i="1"/>
  <c r="H1302" i="1" s="1"/>
  <c r="I1303" i="1"/>
  <c r="H1303" i="1" s="1"/>
  <c r="I1304" i="1"/>
  <c r="H1304" i="1" s="1"/>
  <c r="I1305" i="1"/>
  <c r="H1305" i="1" s="1"/>
  <c r="I1306" i="1"/>
  <c r="H1306" i="1" s="1"/>
  <c r="I1307" i="1"/>
  <c r="H1307" i="1" s="1"/>
  <c r="I1308" i="1"/>
  <c r="H1308" i="1" s="1"/>
  <c r="I1309" i="1"/>
  <c r="H1309" i="1" s="1"/>
  <c r="I1310" i="1"/>
  <c r="H1310" i="1" s="1"/>
  <c r="I1311" i="1"/>
  <c r="H1311" i="1" s="1"/>
  <c r="I1312" i="1"/>
  <c r="H1312" i="1" s="1"/>
  <c r="I1313" i="1"/>
  <c r="H1313" i="1" s="1"/>
  <c r="I1314" i="1"/>
  <c r="H1314" i="1" s="1"/>
  <c r="I1315" i="1"/>
  <c r="H1315" i="1" s="1"/>
  <c r="I1316" i="1"/>
  <c r="H1316" i="1" s="1"/>
  <c r="I1317" i="1"/>
  <c r="H1317" i="1" s="1"/>
  <c r="I1318" i="1"/>
  <c r="H1318" i="1" s="1"/>
  <c r="I1319" i="1"/>
  <c r="H1319" i="1" s="1"/>
  <c r="I1320" i="1"/>
  <c r="H1320" i="1" s="1"/>
  <c r="I1321" i="1"/>
  <c r="H1321" i="1" s="1"/>
  <c r="I1322" i="1"/>
  <c r="H1322" i="1" s="1"/>
  <c r="I1323" i="1"/>
  <c r="H1323" i="1" s="1"/>
  <c r="I1324" i="1"/>
  <c r="H1324" i="1" s="1"/>
  <c r="I1325" i="1"/>
  <c r="H1325" i="1" s="1"/>
  <c r="I1326" i="1"/>
  <c r="H1326" i="1" s="1"/>
  <c r="I1327" i="1"/>
  <c r="H1327" i="1" s="1"/>
  <c r="I1328" i="1"/>
  <c r="H1328" i="1" s="1"/>
  <c r="I1329" i="1"/>
  <c r="H1329" i="1" s="1"/>
  <c r="I1330" i="1"/>
  <c r="H1330" i="1" s="1"/>
  <c r="I1331" i="1"/>
  <c r="H1331" i="1" s="1"/>
  <c r="I1332" i="1"/>
  <c r="H1332" i="1" s="1"/>
  <c r="I1333" i="1"/>
  <c r="H1333" i="1" s="1"/>
  <c r="I1334" i="1"/>
  <c r="H1334" i="1" s="1"/>
  <c r="I1335" i="1"/>
  <c r="H1335" i="1" s="1"/>
  <c r="I1336" i="1"/>
  <c r="H1336" i="1" s="1"/>
  <c r="I1337" i="1"/>
  <c r="H1337" i="1" s="1"/>
  <c r="I1338" i="1"/>
  <c r="H1338" i="1" s="1"/>
  <c r="I1339" i="1"/>
  <c r="H1339" i="1" s="1"/>
  <c r="I1340" i="1"/>
  <c r="H1340" i="1" s="1"/>
  <c r="I1341" i="1"/>
  <c r="H1341" i="1" s="1"/>
  <c r="I1342" i="1"/>
  <c r="H1342" i="1" s="1"/>
  <c r="I1343" i="1"/>
  <c r="H1343" i="1" s="1"/>
  <c r="I1344" i="1"/>
  <c r="H1344" i="1" s="1"/>
  <c r="I1345" i="1"/>
  <c r="H1345" i="1" s="1"/>
  <c r="I1346" i="1"/>
  <c r="H1346" i="1" s="1"/>
  <c r="I1347" i="1"/>
  <c r="H1347" i="1" s="1"/>
  <c r="I1348" i="1"/>
  <c r="H1348" i="1" s="1"/>
  <c r="I1349" i="1"/>
  <c r="H1349" i="1" s="1"/>
  <c r="I1350" i="1"/>
  <c r="H1350" i="1" s="1"/>
  <c r="I1351" i="1"/>
  <c r="H1351" i="1" s="1"/>
  <c r="I1352" i="1"/>
  <c r="H1352" i="1" s="1"/>
  <c r="I1353" i="1"/>
  <c r="H1353" i="1" s="1"/>
  <c r="I1354" i="1"/>
  <c r="H1354" i="1" s="1"/>
  <c r="I1355" i="1"/>
  <c r="H1355" i="1" s="1"/>
  <c r="I1356" i="1"/>
  <c r="H1356" i="1" s="1"/>
  <c r="I1357" i="1"/>
  <c r="H1357" i="1" s="1"/>
  <c r="I1358" i="1"/>
  <c r="H1358" i="1" s="1"/>
  <c r="I1359" i="1"/>
  <c r="H1359" i="1" s="1"/>
  <c r="I1360" i="1"/>
  <c r="H1360" i="1" s="1"/>
  <c r="I1361" i="1"/>
  <c r="H1361" i="1" s="1"/>
  <c r="I1362" i="1"/>
  <c r="H1362" i="1" s="1"/>
  <c r="I1363" i="1"/>
  <c r="H1363" i="1" s="1"/>
  <c r="I1364" i="1"/>
  <c r="H1364" i="1" s="1"/>
  <c r="I1365" i="1"/>
  <c r="H1365" i="1" s="1"/>
  <c r="I1366" i="1"/>
  <c r="H1366" i="1" s="1"/>
  <c r="I1367" i="1"/>
  <c r="H1367" i="1" s="1"/>
  <c r="I1368" i="1"/>
  <c r="H1368" i="1" s="1"/>
  <c r="I1369" i="1"/>
  <c r="H1369" i="1" s="1"/>
  <c r="I1370" i="1"/>
  <c r="H1370" i="1" s="1"/>
  <c r="I1371" i="1"/>
  <c r="H1371" i="1" s="1"/>
  <c r="I1372" i="1"/>
  <c r="H1372" i="1" s="1"/>
  <c r="I1373" i="1"/>
  <c r="H1373" i="1" s="1"/>
  <c r="I1374" i="1"/>
  <c r="H1374" i="1" s="1"/>
  <c r="I1375" i="1"/>
  <c r="H1375" i="1" s="1"/>
  <c r="I1376" i="1"/>
  <c r="H1376" i="1" s="1"/>
  <c r="I1377" i="1"/>
  <c r="H1377" i="1" s="1"/>
  <c r="I1378" i="1"/>
  <c r="H1378" i="1" s="1"/>
  <c r="I1379" i="1"/>
  <c r="H1379" i="1" s="1"/>
  <c r="I1380" i="1"/>
  <c r="H1380" i="1" s="1"/>
  <c r="I1381" i="1"/>
  <c r="H1381" i="1" s="1"/>
  <c r="I1382" i="1"/>
  <c r="H1382" i="1" s="1"/>
  <c r="I1383" i="1"/>
  <c r="H1383" i="1" s="1"/>
  <c r="I1384" i="1"/>
  <c r="H1384" i="1" s="1"/>
  <c r="I1385" i="1"/>
  <c r="H1385" i="1" s="1"/>
  <c r="I1386" i="1"/>
  <c r="H1386" i="1" s="1"/>
  <c r="I1387" i="1"/>
  <c r="H1387" i="1" s="1"/>
  <c r="I1388" i="1"/>
  <c r="H1388" i="1" s="1"/>
  <c r="I1389" i="1"/>
  <c r="H1389" i="1" s="1"/>
  <c r="I1390" i="1"/>
  <c r="H1390" i="1" s="1"/>
  <c r="I1391" i="1"/>
  <c r="H1391" i="1" s="1"/>
  <c r="I1392" i="1"/>
  <c r="H1392" i="1" s="1"/>
  <c r="I1393" i="1"/>
  <c r="H1393" i="1" s="1"/>
  <c r="I1394" i="1"/>
  <c r="H1394" i="1" s="1"/>
  <c r="I1395" i="1"/>
  <c r="H1395" i="1" s="1"/>
  <c r="I1396" i="1"/>
  <c r="H1396" i="1" s="1"/>
  <c r="I1397" i="1"/>
  <c r="H1397" i="1" s="1"/>
  <c r="I1398" i="1"/>
  <c r="H1398" i="1" s="1"/>
  <c r="I1399" i="1"/>
  <c r="H1399" i="1" s="1"/>
  <c r="I1400" i="1"/>
  <c r="H1400" i="1" s="1"/>
  <c r="I1401" i="1"/>
  <c r="H1401" i="1" s="1"/>
  <c r="I1402" i="1"/>
  <c r="H1402" i="1" s="1"/>
  <c r="I1403" i="1"/>
  <c r="H1403" i="1" s="1"/>
  <c r="I1404" i="1"/>
  <c r="H1404" i="1" s="1"/>
  <c r="I1405" i="1"/>
  <c r="H1405" i="1" s="1"/>
  <c r="I1406" i="1"/>
  <c r="H1406" i="1" s="1"/>
  <c r="I1407" i="1"/>
  <c r="H1407" i="1" s="1"/>
  <c r="I1408" i="1"/>
  <c r="H1408" i="1" s="1"/>
  <c r="I1409" i="1"/>
  <c r="H1409" i="1" s="1"/>
  <c r="I1410" i="1"/>
  <c r="H1410" i="1" s="1"/>
  <c r="I1411" i="1"/>
  <c r="H1411" i="1" s="1"/>
  <c r="I1412" i="1"/>
  <c r="H1412" i="1" s="1"/>
  <c r="I1413" i="1"/>
  <c r="H1413" i="1" s="1"/>
  <c r="I1414" i="1"/>
  <c r="H1414" i="1" s="1"/>
  <c r="I1415" i="1"/>
  <c r="H1415" i="1" s="1"/>
  <c r="I1416" i="1"/>
  <c r="H1416" i="1" s="1"/>
  <c r="I1417" i="1"/>
  <c r="H1417" i="1" s="1"/>
  <c r="I1418" i="1"/>
  <c r="H1418" i="1" s="1"/>
  <c r="I1419" i="1"/>
  <c r="H1419" i="1" s="1"/>
  <c r="I1420" i="1"/>
  <c r="H1420" i="1" s="1"/>
  <c r="I1421" i="1"/>
  <c r="H1421" i="1" s="1"/>
  <c r="I1422" i="1"/>
  <c r="H1422" i="1" s="1"/>
  <c r="I1423" i="1"/>
  <c r="H1423" i="1" s="1"/>
  <c r="I1424" i="1"/>
  <c r="H1424" i="1" s="1"/>
  <c r="I1425" i="1"/>
  <c r="H1425" i="1" s="1"/>
  <c r="I1426" i="1"/>
  <c r="H1426" i="1" s="1"/>
  <c r="I1427" i="1"/>
  <c r="H1427" i="1" s="1"/>
  <c r="I1428" i="1"/>
  <c r="H1428" i="1" s="1"/>
  <c r="I1429" i="1"/>
  <c r="H1429" i="1" s="1"/>
  <c r="I1430" i="1"/>
  <c r="H1430" i="1" s="1"/>
  <c r="I1431" i="1"/>
  <c r="H1431" i="1" s="1"/>
  <c r="I1432" i="1"/>
  <c r="H1432" i="1" s="1"/>
  <c r="I1433" i="1"/>
  <c r="H1433" i="1" s="1"/>
  <c r="I1434" i="1"/>
  <c r="H1434" i="1" s="1"/>
  <c r="I1435" i="1"/>
  <c r="H1435" i="1" s="1"/>
  <c r="I1436" i="1"/>
  <c r="H1436" i="1" s="1"/>
  <c r="I1437" i="1"/>
  <c r="H1437" i="1" s="1"/>
  <c r="I1438" i="1"/>
  <c r="H1438" i="1" s="1"/>
  <c r="I1439" i="1"/>
  <c r="H1439" i="1" s="1"/>
  <c r="I1440" i="1"/>
  <c r="H1440" i="1" s="1"/>
  <c r="I1441" i="1"/>
  <c r="H1441" i="1" s="1"/>
  <c r="I1442" i="1"/>
  <c r="H1442" i="1" s="1"/>
  <c r="I1443" i="1"/>
  <c r="H1443" i="1" s="1"/>
  <c r="I1444" i="1"/>
  <c r="H1444" i="1" s="1"/>
  <c r="I1445" i="1"/>
  <c r="H1445" i="1" s="1"/>
  <c r="I1446" i="1"/>
  <c r="H1446" i="1" s="1"/>
  <c r="I1447" i="1"/>
  <c r="H1447" i="1" s="1"/>
  <c r="I1448" i="1"/>
  <c r="H1448" i="1" s="1"/>
  <c r="I1449" i="1"/>
  <c r="H1449" i="1" s="1"/>
  <c r="I1450" i="1"/>
  <c r="H1450" i="1" s="1"/>
  <c r="I1451" i="1"/>
  <c r="H1451" i="1" s="1"/>
  <c r="I1452" i="1"/>
  <c r="H1452" i="1" s="1"/>
  <c r="I1453" i="1"/>
  <c r="H1453" i="1" s="1"/>
  <c r="I1454" i="1"/>
  <c r="H1454" i="1" s="1"/>
  <c r="I1455" i="1"/>
  <c r="H1455" i="1" s="1"/>
  <c r="I1456" i="1"/>
  <c r="H1456" i="1" s="1"/>
  <c r="I1457" i="1"/>
  <c r="H1457" i="1" s="1"/>
  <c r="I1458" i="1"/>
  <c r="H1458" i="1" s="1"/>
  <c r="I1459" i="1"/>
  <c r="H1459" i="1" s="1"/>
  <c r="I1460" i="1"/>
  <c r="H1460" i="1" s="1"/>
  <c r="I1461" i="1"/>
  <c r="H1461" i="1" s="1"/>
  <c r="I1462" i="1"/>
  <c r="H1462" i="1" s="1"/>
  <c r="I1463" i="1"/>
  <c r="H1463" i="1" s="1"/>
  <c r="I1464" i="1"/>
  <c r="H1464" i="1" s="1"/>
  <c r="I1465" i="1"/>
  <c r="H1465" i="1" s="1"/>
  <c r="I1466" i="1"/>
  <c r="H1466" i="1" s="1"/>
  <c r="I1467" i="1"/>
  <c r="H1467" i="1" s="1"/>
  <c r="I1468" i="1"/>
  <c r="H1468" i="1" s="1"/>
  <c r="I1469" i="1"/>
  <c r="H1469" i="1" s="1"/>
  <c r="I1470" i="1"/>
  <c r="H1470" i="1" s="1"/>
  <c r="I1471" i="1"/>
  <c r="H1471" i="1" s="1"/>
  <c r="I1472" i="1"/>
  <c r="H1472" i="1" s="1"/>
  <c r="I1473" i="1"/>
  <c r="H1473" i="1" s="1"/>
  <c r="I1474" i="1"/>
  <c r="H1474" i="1" s="1"/>
  <c r="I1475" i="1"/>
  <c r="H1475" i="1" s="1"/>
  <c r="I1476" i="1"/>
  <c r="H1476" i="1" s="1"/>
  <c r="I1477" i="1"/>
  <c r="H1477" i="1" s="1"/>
  <c r="I1478" i="1"/>
  <c r="H1478" i="1" s="1"/>
  <c r="I1479" i="1"/>
  <c r="H1479" i="1" s="1"/>
  <c r="I1480" i="1"/>
  <c r="H1480" i="1" s="1"/>
  <c r="I1481" i="1"/>
  <c r="H1481" i="1" s="1"/>
  <c r="I1482" i="1"/>
  <c r="H1482" i="1" s="1"/>
  <c r="I1483" i="1"/>
  <c r="H1483" i="1" s="1"/>
  <c r="I1484" i="1"/>
  <c r="H1484" i="1" s="1"/>
  <c r="I1485" i="1"/>
  <c r="H1485" i="1" s="1"/>
  <c r="I1486" i="1"/>
  <c r="H1486" i="1" s="1"/>
  <c r="I1487" i="1"/>
  <c r="H1487" i="1" s="1"/>
  <c r="I1488" i="1"/>
  <c r="H1488" i="1" s="1"/>
  <c r="I1489" i="1"/>
  <c r="H1489" i="1" s="1"/>
  <c r="I1490" i="1"/>
  <c r="H1490" i="1" s="1"/>
  <c r="I1491" i="1"/>
  <c r="H1491" i="1" s="1"/>
  <c r="I1492" i="1"/>
  <c r="H1492" i="1" s="1"/>
  <c r="I1493" i="1"/>
  <c r="H1493" i="1" s="1"/>
  <c r="I1494" i="1"/>
  <c r="H1494" i="1" s="1"/>
  <c r="I1495" i="1"/>
  <c r="H1495" i="1" s="1"/>
  <c r="I1496" i="1"/>
  <c r="H1496" i="1" s="1"/>
  <c r="I1497" i="1"/>
  <c r="H1497" i="1" s="1"/>
  <c r="I1498" i="1"/>
  <c r="H1498" i="1" s="1"/>
  <c r="I1499" i="1"/>
  <c r="H1499" i="1" s="1"/>
  <c r="I1500" i="1"/>
  <c r="H1500" i="1" s="1"/>
  <c r="I1501" i="1"/>
  <c r="H1501" i="1" s="1"/>
  <c r="I1502" i="1"/>
  <c r="H1502" i="1" s="1"/>
  <c r="I1503" i="1"/>
  <c r="H1503" i="1" s="1"/>
  <c r="I1504" i="1"/>
  <c r="H1504" i="1" s="1"/>
  <c r="I1505" i="1"/>
  <c r="H1505" i="1" s="1"/>
  <c r="I1506" i="1"/>
  <c r="H1506" i="1" s="1"/>
  <c r="I1507" i="1"/>
  <c r="H1507" i="1" s="1"/>
  <c r="I1508" i="1"/>
  <c r="H1508" i="1" s="1"/>
  <c r="I1509" i="1"/>
  <c r="H1509" i="1" s="1"/>
  <c r="I1510" i="1"/>
  <c r="H1510" i="1" s="1"/>
  <c r="I1511" i="1"/>
  <c r="H1511" i="1" s="1"/>
  <c r="I1512" i="1"/>
  <c r="H1512" i="1" s="1"/>
  <c r="I1513" i="1"/>
  <c r="H1513" i="1" s="1"/>
  <c r="I1514" i="1"/>
  <c r="H1514" i="1" s="1"/>
  <c r="I1515" i="1"/>
  <c r="H1515" i="1" s="1"/>
  <c r="I1516" i="1"/>
  <c r="H1516" i="1" s="1"/>
  <c r="I1517" i="1"/>
  <c r="H1517" i="1" s="1"/>
  <c r="I1518" i="1"/>
  <c r="H1518" i="1" s="1"/>
  <c r="I1519" i="1"/>
  <c r="H1519" i="1" s="1"/>
  <c r="I1520" i="1"/>
  <c r="H1520" i="1" s="1"/>
  <c r="I1521" i="1"/>
  <c r="H1521" i="1" s="1"/>
  <c r="I1522" i="1"/>
  <c r="H1522" i="1" s="1"/>
  <c r="I1523" i="1"/>
  <c r="H1523" i="1" s="1"/>
  <c r="I1524" i="1"/>
  <c r="H1524" i="1" s="1"/>
  <c r="I1525" i="1"/>
  <c r="H1525" i="1" s="1"/>
  <c r="I1526" i="1"/>
  <c r="H1526" i="1" s="1"/>
  <c r="I1527" i="1"/>
  <c r="H1527" i="1" s="1"/>
  <c r="I1528" i="1"/>
  <c r="H1528" i="1" s="1"/>
  <c r="I1529" i="1"/>
  <c r="H1529" i="1" s="1"/>
  <c r="I1530" i="1"/>
  <c r="H1530" i="1" s="1"/>
  <c r="I1531" i="1"/>
  <c r="H1531" i="1" s="1"/>
  <c r="I1532" i="1"/>
  <c r="H1532" i="1" s="1"/>
  <c r="I1533" i="1"/>
  <c r="H1533" i="1" s="1"/>
  <c r="I1534" i="1"/>
  <c r="H1534" i="1" s="1"/>
  <c r="I1535" i="1"/>
  <c r="H1535" i="1" s="1"/>
  <c r="I1536" i="1"/>
  <c r="H1536" i="1" s="1"/>
  <c r="I1537" i="1"/>
  <c r="H1537" i="1" s="1"/>
  <c r="I1538" i="1"/>
  <c r="H1538" i="1" s="1"/>
  <c r="I1539" i="1"/>
  <c r="H1539" i="1" s="1"/>
  <c r="I1540" i="1"/>
  <c r="H1540" i="1" s="1"/>
  <c r="I1541" i="1"/>
  <c r="H1541" i="1" s="1"/>
  <c r="I1542" i="1"/>
  <c r="H1542" i="1" s="1"/>
  <c r="I1543" i="1"/>
  <c r="H1543" i="1" s="1"/>
  <c r="I1544" i="1"/>
  <c r="H1544" i="1" s="1"/>
  <c r="I1545" i="1"/>
  <c r="H1545" i="1" s="1"/>
  <c r="I1546" i="1"/>
  <c r="H1546" i="1" s="1"/>
  <c r="I1547" i="1"/>
  <c r="H1547" i="1" s="1"/>
  <c r="I1548" i="1"/>
  <c r="H1548" i="1" s="1"/>
  <c r="I1549" i="1"/>
  <c r="H1549" i="1" s="1"/>
  <c r="I1550" i="1"/>
  <c r="H1550" i="1" s="1"/>
  <c r="I1551" i="1"/>
  <c r="H1551" i="1" s="1"/>
  <c r="I1552" i="1"/>
  <c r="H1552" i="1" s="1"/>
  <c r="I1553" i="1"/>
  <c r="H1553" i="1" s="1"/>
  <c r="I1554" i="1"/>
  <c r="H1554" i="1" s="1"/>
  <c r="I1555" i="1"/>
  <c r="H1555" i="1" s="1"/>
  <c r="I1556" i="1"/>
  <c r="H1556" i="1" s="1"/>
  <c r="I1557" i="1"/>
  <c r="H1557" i="1" s="1"/>
  <c r="I1558" i="1"/>
  <c r="H1558" i="1" s="1"/>
  <c r="I1559" i="1"/>
  <c r="H1559" i="1" s="1"/>
  <c r="I1560" i="1"/>
  <c r="H1560" i="1" s="1"/>
  <c r="I1561" i="1"/>
  <c r="H1561" i="1" s="1"/>
  <c r="I1562" i="1"/>
  <c r="H1562" i="1" s="1"/>
  <c r="I1563" i="1"/>
  <c r="H1563" i="1" s="1"/>
  <c r="I1564" i="1"/>
  <c r="H1564" i="1" s="1"/>
  <c r="I1565" i="1"/>
  <c r="H1565" i="1" s="1"/>
  <c r="I1566" i="1"/>
  <c r="H1566" i="1" s="1"/>
  <c r="I1567" i="1"/>
  <c r="H1567" i="1" s="1"/>
  <c r="I1568" i="1"/>
  <c r="H1568" i="1" s="1"/>
  <c r="I1569" i="1"/>
  <c r="H1569" i="1" s="1"/>
  <c r="I1570" i="1"/>
  <c r="H1570" i="1" s="1"/>
  <c r="I1571" i="1"/>
  <c r="H1571" i="1" s="1"/>
  <c r="I1572" i="1"/>
  <c r="H1572" i="1" s="1"/>
  <c r="I1573" i="1"/>
  <c r="H1573" i="1" s="1"/>
  <c r="I1574" i="1"/>
  <c r="H1574" i="1" s="1"/>
  <c r="I1575" i="1"/>
  <c r="H1575" i="1" s="1"/>
  <c r="I1576" i="1"/>
  <c r="H1576" i="1" s="1"/>
  <c r="I1577" i="1"/>
  <c r="H1577" i="1" s="1"/>
  <c r="I1578" i="1"/>
  <c r="H1578" i="1" s="1"/>
  <c r="I1579" i="1"/>
  <c r="H1579" i="1" s="1"/>
  <c r="I1580" i="1"/>
  <c r="H1580" i="1" s="1"/>
  <c r="I1581" i="1"/>
  <c r="H1581" i="1" s="1"/>
  <c r="I1582" i="1"/>
  <c r="H1582" i="1" s="1"/>
  <c r="I1583" i="1"/>
  <c r="H1583" i="1" s="1"/>
  <c r="I1584" i="1"/>
  <c r="H1584" i="1" s="1"/>
  <c r="I1585" i="1"/>
  <c r="H1585" i="1" s="1"/>
  <c r="I1586" i="1"/>
  <c r="H1586" i="1" s="1"/>
  <c r="I1587" i="1"/>
  <c r="H1587" i="1" s="1"/>
  <c r="I1588" i="1"/>
  <c r="H1588" i="1" s="1"/>
  <c r="I1589" i="1"/>
  <c r="H1589" i="1" s="1"/>
  <c r="I1590" i="1"/>
  <c r="H1590" i="1" s="1"/>
  <c r="I1591" i="1"/>
  <c r="H1591" i="1" s="1"/>
  <c r="I1592" i="1"/>
  <c r="H1592" i="1" s="1"/>
  <c r="I1593" i="1"/>
  <c r="H1593" i="1" s="1"/>
  <c r="I1594" i="1"/>
  <c r="H1594" i="1" s="1"/>
  <c r="I1595" i="1"/>
  <c r="H1595" i="1" s="1"/>
  <c r="I1596" i="1"/>
  <c r="H1596" i="1" s="1"/>
  <c r="I1597" i="1"/>
  <c r="H1597" i="1" s="1"/>
  <c r="I1598" i="1"/>
  <c r="H1598" i="1" s="1"/>
  <c r="I1599" i="1"/>
  <c r="H1599" i="1" s="1"/>
  <c r="I1600" i="1"/>
  <c r="H1600" i="1" s="1"/>
  <c r="I1601" i="1"/>
  <c r="H1601" i="1" s="1"/>
  <c r="I1602" i="1"/>
  <c r="H1602" i="1" s="1"/>
  <c r="I1603" i="1"/>
  <c r="H1603" i="1" s="1"/>
  <c r="I1604" i="1"/>
  <c r="H1604" i="1" s="1"/>
  <c r="I1605" i="1"/>
  <c r="H1605" i="1" s="1"/>
  <c r="I1606" i="1"/>
  <c r="H1606" i="1" s="1"/>
  <c r="I1607" i="1"/>
  <c r="H1607" i="1" s="1"/>
  <c r="I1608" i="1"/>
  <c r="H1608" i="1" s="1"/>
  <c r="I1609" i="1"/>
  <c r="H1609" i="1" s="1"/>
  <c r="I1610" i="1"/>
  <c r="H1610" i="1" s="1"/>
  <c r="I1611" i="1"/>
  <c r="H1611" i="1" s="1"/>
  <c r="I1612" i="1"/>
  <c r="H1612" i="1" s="1"/>
  <c r="I1613" i="1"/>
  <c r="H1613" i="1" s="1"/>
  <c r="I1614" i="1"/>
  <c r="H1614" i="1" s="1"/>
  <c r="I1615" i="1"/>
  <c r="H1615" i="1" s="1"/>
  <c r="I1616" i="1"/>
  <c r="H1616" i="1" s="1"/>
  <c r="I1617" i="1"/>
  <c r="H1617" i="1" s="1"/>
  <c r="I1618" i="1"/>
  <c r="H1618" i="1" s="1"/>
  <c r="I1619" i="1"/>
  <c r="H1619" i="1" s="1"/>
  <c r="I1620" i="1"/>
  <c r="H1620" i="1" s="1"/>
  <c r="I1621" i="1"/>
  <c r="H1621" i="1" s="1"/>
  <c r="I1622" i="1"/>
  <c r="H1622" i="1" s="1"/>
  <c r="I1623" i="1"/>
  <c r="H1623" i="1" s="1"/>
  <c r="I1624" i="1"/>
  <c r="H1624" i="1" s="1"/>
  <c r="I1625" i="1"/>
  <c r="H1625" i="1" s="1"/>
  <c r="I1626" i="1"/>
  <c r="H1626" i="1" s="1"/>
  <c r="I1627" i="1"/>
  <c r="H1627" i="1" s="1"/>
  <c r="I1628" i="1"/>
  <c r="H1628" i="1" s="1"/>
  <c r="I1629" i="1"/>
  <c r="H1629" i="1" s="1"/>
  <c r="I1630" i="1"/>
  <c r="H1630" i="1" s="1"/>
  <c r="I1631" i="1"/>
  <c r="H1631" i="1" s="1"/>
  <c r="I1632" i="1"/>
  <c r="H1632" i="1" s="1"/>
  <c r="I1633" i="1"/>
  <c r="H1633" i="1" s="1"/>
  <c r="I1634" i="1"/>
  <c r="H1634" i="1" s="1"/>
  <c r="I1635" i="1"/>
  <c r="H1635" i="1" s="1"/>
  <c r="I1636" i="1"/>
  <c r="H1636" i="1" s="1"/>
  <c r="I1637" i="1"/>
  <c r="H1637" i="1" s="1"/>
  <c r="I1638" i="1"/>
  <c r="H1638" i="1" s="1"/>
  <c r="I1639" i="1"/>
  <c r="H1639" i="1" s="1"/>
  <c r="I1640" i="1"/>
  <c r="H1640" i="1" s="1"/>
  <c r="I1641" i="1"/>
  <c r="H1641" i="1" s="1"/>
  <c r="I1642" i="1"/>
  <c r="H1642" i="1" s="1"/>
  <c r="I1643" i="1"/>
  <c r="H1643" i="1" s="1"/>
  <c r="I1644" i="1"/>
  <c r="H1644" i="1" s="1"/>
  <c r="I1645" i="1"/>
  <c r="H1645" i="1" s="1"/>
  <c r="I1646" i="1"/>
  <c r="H1646" i="1" s="1"/>
  <c r="I1647" i="1"/>
  <c r="H1647" i="1" s="1"/>
  <c r="I1648" i="1"/>
  <c r="H1648" i="1" s="1"/>
  <c r="I1649" i="1"/>
  <c r="H1649" i="1" s="1"/>
  <c r="I1650" i="1"/>
  <c r="H1650" i="1" s="1"/>
  <c r="I1651" i="1"/>
  <c r="H1651" i="1" s="1"/>
  <c r="I1652" i="1"/>
  <c r="H1652" i="1" s="1"/>
  <c r="I1653" i="1"/>
  <c r="H1653" i="1" s="1"/>
  <c r="I1654" i="1"/>
  <c r="H1654" i="1" s="1"/>
  <c r="I1655" i="1"/>
  <c r="H1655" i="1" s="1"/>
  <c r="I1656" i="1"/>
  <c r="H1656" i="1" s="1"/>
  <c r="I1657" i="1"/>
  <c r="H1657" i="1" s="1"/>
  <c r="I1658" i="1"/>
  <c r="H1658" i="1" s="1"/>
  <c r="I1659" i="1"/>
  <c r="H1659" i="1" s="1"/>
  <c r="I1660" i="1"/>
  <c r="H1660" i="1" s="1"/>
  <c r="I1661" i="1"/>
  <c r="H1661" i="1" s="1"/>
  <c r="I1662" i="1"/>
  <c r="H1662" i="1" s="1"/>
  <c r="I1663" i="1"/>
  <c r="H1663" i="1" s="1"/>
  <c r="I1664" i="1"/>
  <c r="H1664" i="1" s="1"/>
  <c r="I1665" i="1"/>
  <c r="H1665" i="1" s="1"/>
  <c r="I1666" i="1"/>
  <c r="H1666" i="1" s="1"/>
  <c r="I1667" i="1"/>
  <c r="H1667" i="1" s="1"/>
  <c r="I1668" i="1"/>
  <c r="H1668" i="1" s="1"/>
  <c r="I1669" i="1"/>
  <c r="H1669" i="1" s="1"/>
  <c r="I1670" i="1"/>
  <c r="H1670" i="1" s="1"/>
  <c r="I1671" i="1"/>
  <c r="H1671" i="1" s="1"/>
  <c r="I1672" i="1"/>
  <c r="H1672" i="1" s="1"/>
  <c r="I1673" i="1"/>
  <c r="H1673" i="1" s="1"/>
  <c r="I1674" i="1"/>
  <c r="H1674" i="1" s="1"/>
  <c r="I1675" i="1"/>
  <c r="H1675" i="1" s="1"/>
  <c r="I1676" i="1"/>
  <c r="H1676" i="1" s="1"/>
  <c r="I1677" i="1"/>
  <c r="H1677" i="1" s="1"/>
  <c r="I1678" i="1"/>
  <c r="H1678" i="1" s="1"/>
  <c r="I1679" i="1"/>
  <c r="H1679" i="1" s="1"/>
  <c r="I1680" i="1"/>
  <c r="H1680" i="1" s="1"/>
  <c r="I1681" i="1"/>
  <c r="H1681" i="1" s="1"/>
  <c r="I1682" i="1"/>
  <c r="H1682" i="1" s="1"/>
  <c r="I1683" i="1"/>
  <c r="H1683" i="1" s="1"/>
  <c r="I1684" i="1"/>
  <c r="H1684" i="1" s="1"/>
  <c r="I1685" i="1"/>
  <c r="H1685" i="1" s="1"/>
  <c r="I1686" i="1"/>
  <c r="H1686" i="1" s="1"/>
  <c r="I1687" i="1"/>
  <c r="H1687" i="1" s="1"/>
  <c r="I1688" i="1"/>
  <c r="H1688" i="1" s="1"/>
  <c r="I1689" i="1"/>
  <c r="H1689" i="1" s="1"/>
  <c r="I1690" i="1"/>
  <c r="H1690" i="1" s="1"/>
  <c r="I1691" i="1"/>
  <c r="H1691" i="1" s="1"/>
  <c r="I1692" i="1"/>
  <c r="H1692" i="1" s="1"/>
  <c r="I1693" i="1"/>
  <c r="H1693" i="1" s="1"/>
  <c r="I1694" i="1"/>
  <c r="H1694" i="1" s="1"/>
  <c r="I1695" i="1"/>
  <c r="H1695" i="1" s="1"/>
  <c r="I1696" i="1"/>
  <c r="H1696" i="1" s="1"/>
  <c r="I1697" i="1"/>
  <c r="H1697" i="1" s="1"/>
  <c r="I1698" i="1"/>
  <c r="H1698" i="1" s="1"/>
  <c r="I1699" i="1"/>
  <c r="H1699" i="1" s="1"/>
  <c r="I1700" i="1"/>
  <c r="H1700" i="1" s="1"/>
  <c r="I1701" i="1"/>
  <c r="H1701" i="1" s="1"/>
  <c r="I1702" i="1"/>
  <c r="H1702" i="1" s="1"/>
  <c r="I1703" i="1"/>
  <c r="H1703" i="1" s="1"/>
  <c r="I1704" i="1"/>
  <c r="H1704" i="1" s="1"/>
  <c r="I1705" i="1"/>
  <c r="H1705" i="1" s="1"/>
  <c r="I1706" i="1"/>
  <c r="H1706" i="1" s="1"/>
  <c r="I1707" i="1"/>
  <c r="H1707" i="1" s="1"/>
  <c r="I1708" i="1"/>
  <c r="H1708" i="1" s="1"/>
  <c r="I1709" i="1"/>
  <c r="H1709" i="1" s="1"/>
  <c r="I1710" i="1"/>
  <c r="H1710" i="1" s="1"/>
  <c r="I1711" i="1"/>
  <c r="H1711" i="1" s="1"/>
  <c r="I1712" i="1"/>
  <c r="H1712" i="1" s="1"/>
  <c r="I1713" i="1"/>
  <c r="H1713" i="1" s="1"/>
  <c r="I1714" i="1"/>
  <c r="H1714" i="1" s="1"/>
  <c r="I1715" i="1"/>
  <c r="H1715" i="1" s="1"/>
  <c r="I1716" i="1"/>
  <c r="H1716" i="1" s="1"/>
  <c r="I1717" i="1"/>
  <c r="H1717" i="1" s="1"/>
  <c r="I1718" i="1"/>
  <c r="H1718" i="1" s="1"/>
  <c r="I1719" i="1"/>
  <c r="H1719" i="1" s="1"/>
  <c r="I1720" i="1"/>
  <c r="H1720" i="1" s="1"/>
  <c r="I1721" i="1"/>
  <c r="H1721" i="1" s="1"/>
  <c r="I1722" i="1"/>
  <c r="H1722" i="1" s="1"/>
  <c r="I1723" i="1"/>
  <c r="H1723" i="1" s="1"/>
  <c r="I1724" i="1"/>
  <c r="H1724" i="1" s="1"/>
  <c r="I1725" i="1"/>
  <c r="H1725" i="1" s="1"/>
  <c r="I1726" i="1"/>
  <c r="H1726" i="1" s="1"/>
  <c r="I1727" i="1"/>
  <c r="H1727" i="1" s="1"/>
  <c r="I1728" i="1"/>
  <c r="H1728" i="1" s="1"/>
  <c r="I1729" i="1"/>
  <c r="H1729" i="1" s="1"/>
  <c r="I1730" i="1"/>
  <c r="H1730" i="1" s="1"/>
  <c r="I1731" i="1"/>
  <c r="H1731" i="1" s="1"/>
  <c r="I1732" i="1"/>
  <c r="H1732" i="1" s="1"/>
  <c r="I1733" i="1"/>
  <c r="H1733" i="1" s="1"/>
  <c r="I1734" i="1"/>
  <c r="H1734" i="1" s="1"/>
  <c r="I1735" i="1"/>
  <c r="H1735" i="1" s="1"/>
  <c r="I1736" i="1"/>
  <c r="H1736" i="1" s="1"/>
  <c r="I1737" i="1"/>
  <c r="H1737" i="1" s="1"/>
  <c r="I1738" i="1"/>
  <c r="H1738" i="1" s="1"/>
  <c r="I1739" i="1"/>
  <c r="H1739" i="1" s="1"/>
  <c r="I1740" i="1"/>
  <c r="H1740" i="1" s="1"/>
  <c r="I1741" i="1"/>
  <c r="H1741" i="1" s="1"/>
  <c r="I1742" i="1"/>
  <c r="H1742" i="1" s="1"/>
  <c r="I1743" i="1"/>
  <c r="H1743" i="1" s="1"/>
  <c r="I1744" i="1"/>
  <c r="H1744" i="1" s="1"/>
  <c r="I1745" i="1"/>
  <c r="H1745" i="1" s="1"/>
  <c r="I1746" i="1"/>
  <c r="H1746" i="1" s="1"/>
  <c r="I1747" i="1"/>
  <c r="H1747" i="1" s="1"/>
  <c r="I1748" i="1"/>
  <c r="H1748" i="1" s="1"/>
  <c r="I1749" i="1"/>
  <c r="H1749" i="1" s="1"/>
  <c r="I1750" i="1"/>
  <c r="H1750" i="1" s="1"/>
  <c r="I1751" i="1"/>
  <c r="H1751" i="1" s="1"/>
  <c r="I1752" i="1"/>
  <c r="H1752" i="1" s="1"/>
  <c r="I1753" i="1"/>
  <c r="H1753" i="1" s="1"/>
  <c r="I1754" i="1"/>
  <c r="H1754" i="1" s="1"/>
  <c r="I1755" i="1"/>
  <c r="H1755" i="1" s="1"/>
  <c r="I1756" i="1"/>
  <c r="H1756" i="1" s="1"/>
  <c r="I1757" i="1"/>
  <c r="H1757" i="1" s="1"/>
  <c r="I1758" i="1"/>
  <c r="H1758" i="1" s="1"/>
  <c r="I1759" i="1"/>
  <c r="H1759" i="1" s="1"/>
  <c r="I1760" i="1"/>
  <c r="H1760" i="1" s="1"/>
  <c r="I1761" i="1"/>
  <c r="H1761" i="1" s="1"/>
  <c r="I1762" i="1"/>
  <c r="H1762" i="1" s="1"/>
  <c r="I1763" i="1"/>
  <c r="H1763" i="1" s="1"/>
  <c r="I1764" i="1"/>
  <c r="H1764" i="1" s="1"/>
  <c r="I1765" i="1"/>
  <c r="H1765" i="1" s="1"/>
  <c r="I1766" i="1"/>
  <c r="H1766" i="1" s="1"/>
  <c r="I1767" i="1"/>
  <c r="H1767" i="1" s="1"/>
  <c r="I1768" i="1"/>
  <c r="H1768" i="1" s="1"/>
  <c r="I1769" i="1"/>
  <c r="H1769" i="1" s="1"/>
  <c r="I1770" i="1"/>
  <c r="H1770" i="1" s="1"/>
  <c r="I1771" i="1"/>
  <c r="H1771" i="1" s="1"/>
  <c r="I1772" i="1"/>
  <c r="H1772" i="1" s="1"/>
  <c r="I1773" i="1"/>
  <c r="H1773" i="1" s="1"/>
  <c r="I1774" i="1"/>
  <c r="H1774" i="1" s="1"/>
  <c r="I1775" i="1"/>
  <c r="H1775" i="1" s="1"/>
  <c r="I1776" i="1"/>
  <c r="H1776" i="1" s="1"/>
  <c r="I1777" i="1"/>
  <c r="H1777" i="1" s="1"/>
  <c r="I1778" i="1"/>
  <c r="H1778" i="1" s="1"/>
  <c r="I1779" i="1"/>
  <c r="H1779" i="1" s="1"/>
  <c r="I1780" i="1"/>
  <c r="H1780" i="1" s="1"/>
  <c r="I1781" i="1"/>
  <c r="H1781" i="1" s="1"/>
  <c r="I1782" i="1"/>
  <c r="H1782" i="1" s="1"/>
  <c r="I1783" i="1"/>
  <c r="H1783" i="1" s="1"/>
  <c r="I1784" i="1"/>
  <c r="H1784" i="1" s="1"/>
  <c r="I1785" i="1"/>
  <c r="H1785" i="1" s="1"/>
  <c r="I1786" i="1"/>
  <c r="H1786" i="1" s="1"/>
  <c r="I1787" i="1"/>
  <c r="H1787" i="1" s="1"/>
  <c r="I1788" i="1"/>
  <c r="H1788" i="1" s="1"/>
  <c r="I1789" i="1"/>
  <c r="H1789" i="1" s="1"/>
  <c r="I1790" i="1"/>
  <c r="H1790" i="1" s="1"/>
  <c r="I1791" i="1"/>
  <c r="H1791" i="1" s="1"/>
  <c r="I1792" i="1"/>
  <c r="H1792" i="1" s="1"/>
  <c r="I1793" i="1"/>
  <c r="H1793" i="1" s="1"/>
  <c r="I1794" i="1"/>
  <c r="H1794" i="1" s="1"/>
  <c r="I1795" i="1"/>
  <c r="H1795" i="1" s="1"/>
  <c r="I1796" i="1"/>
  <c r="H1796" i="1" s="1"/>
  <c r="I1797" i="1"/>
  <c r="H1797" i="1" s="1"/>
  <c r="I1798" i="1"/>
  <c r="H1798" i="1" s="1"/>
  <c r="I1799" i="1"/>
  <c r="H1799" i="1" s="1"/>
  <c r="I1800" i="1"/>
  <c r="H1800" i="1" s="1"/>
  <c r="I1801" i="1"/>
  <c r="H1801" i="1" s="1"/>
  <c r="I1802" i="1"/>
  <c r="H1802" i="1" s="1"/>
  <c r="I1803" i="1"/>
  <c r="H1803" i="1" s="1"/>
  <c r="I1804" i="1"/>
  <c r="H1804" i="1" s="1"/>
  <c r="I1805" i="1"/>
  <c r="H1805" i="1" s="1"/>
  <c r="I1806" i="1"/>
  <c r="H1806" i="1" s="1"/>
  <c r="I1807" i="1"/>
  <c r="H1807" i="1" s="1"/>
  <c r="I1808" i="1"/>
  <c r="H1808" i="1" s="1"/>
  <c r="I1809" i="1"/>
  <c r="H1809" i="1" s="1"/>
  <c r="I1810" i="1"/>
  <c r="H1810" i="1" s="1"/>
  <c r="I1811" i="1"/>
  <c r="H1811" i="1" s="1"/>
  <c r="I1812" i="1"/>
  <c r="H1812" i="1" s="1"/>
  <c r="I1813" i="1"/>
  <c r="H1813" i="1" s="1"/>
  <c r="I1814" i="1"/>
  <c r="H1814" i="1" s="1"/>
  <c r="I1815" i="1"/>
  <c r="H1815" i="1" s="1"/>
  <c r="I1816" i="1"/>
  <c r="H1816" i="1" s="1"/>
  <c r="I1817" i="1"/>
  <c r="H1817" i="1" s="1"/>
  <c r="I1818" i="1"/>
  <c r="H1818" i="1" s="1"/>
  <c r="I1819" i="1"/>
  <c r="H1819" i="1" s="1"/>
  <c r="I1820" i="1"/>
  <c r="H1820" i="1" s="1"/>
  <c r="I1821" i="1"/>
  <c r="H1821" i="1" s="1"/>
  <c r="I1822" i="1"/>
  <c r="H1822" i="1" s="1"/>
  <c r="I1823" i="1"/>
  <c r="H1823" i="1" s="1"/>
  <c r="I1824" i="1"/>
  <c r="H1824" i="1" s="1"/>
  <c r="I1825" i="1"/>
  <c r="H1825" i="1" s="1"/>
  <c r="I1826" i="1"/>
  <c r="H1826" i="1" s="1"/>
  <c r="I1827" i="1"/>
  <c r="H1827" i="1" s="1"/>
  <c r="I1828" i="1"/>
  <c r="H1828" i="1" s="1"/>
  <c r="I1829" i="1"/>
  <c r="H1829" i="1" s="1"/>
  <c r="I1830" i="1"/>
  <c r="H1830" i="1" s="1"/>
  <c r="I1831" i="1"/>
  <c r="H1831" i="1" s="1"/>
  <c r="I1832" i="1"/>
  <c r="H1832" i="1" s="1"/>
  <c r="I1833" i="1"/>
  <c r="H1833" i="1" s="1"/>
  <c r="I1834" i="1"/>
  <c r="H1834" i="1" s="1"/>
  <c r="I1835" i="1"/>
  <c r="H1835" i="1" s="1"/>
  <c r="I1836" i="1"/>
  <c r="H1836" i="1" s="1"/>
  <c r="I1837" i="1"/>
  <c r="H1837" i="1" s="1"/>
  <c r="I1838" i="1"/>
  <c r="H1838" i="1" s="1"/>
  <c r="I1839" i="1"/>
  <c r="H1839" i="1" s="1"/>
  <c r="I1840" i="1"/>
  <c r="H1840" i="1" s="1"/>
  <c r="I1841" i="1"/>
  <c r="H1841" i="1" s="1"/>
  <c r="I1842" i="1"/>
  <c r="H1842" i="1" s="1"/>
  <c r="I1843" i="1"/>
  <c r="H1843" i="1" s="1"/>
  <c r="I1844" i="1"/>
  <c r="H1844" i="1" s="1"/>
  <c r="I1845" i="1"/>
  <c r="H1845" i="1" s="1"/>
  <c r="I1846" i="1"/>
  <c r="H1846" i="1" s="1"/>
  <c r="I1847" i="1"/>
  <c r="H1847" i="1" s="1"/>
  <c r="I1848" i="1"/>
  <c r="H1848" i="1" s="1"/>
  <c r="I1849" i="1"/>
  <c r="H1849" i="1" s="1"/>
  <c r="I1850" i="1"/>
  <c r="H1850" i="1" s="1"/>
  <c r="I1851" i="1"/>
  <c r="H1851" i="1" s="1"/>
  <c r="I1852" i="1"/>
  <c r="H1852" i="1" s="1"/>
  <c r="I1853" i="1"/>
  <c r="H1853" i="1" s="1"/>
  <c r="I1854" i="1"/>
  <c r="H1854" i="1" s="1"/>
  <c r="I1855" i="1"/>
  <c r="H1855" i="1" s="1"/>
  <c r="I1856" i="1"/>
  <c r="H1856" i="1" s="1"/>
  <c r="I1857" i="1"/>
  <c r="H1857" i="1" s="1"/>
  <c r="I1858" i="1"/>
  <c r="H1858" i="1" s="1"/>
  <c r="I1859" i="1"/>
  <c r="H1859" i="1" s="1"/>
  <c r="I1860" i="1"/>
  <c r="H1860" i="1" s="1"/>
  <c r="I1861" i="1"/>
  <c r="H1861" i="1" s="1"/>
  <c r="I1862" i="1"/>
  <c r="H1862" i="1" s="1"/>
  <c r="I1863" i="1"/>
  <c r="H1863" i="1" s="1"/>
  <c r="I1864" i="1"/>
  <c r="H1864" i="1" s="1"/>
  <c r="I1865" i="1"/>
  <c r="H1865" i="1" s="1"/>
  <c r="I1866" i="1"/>
  <c r="H1866" i="1" s="1"/>
  <c r="I1867" i="1"/>
  <c r="H1867" i="1" s="1"/>
  <c r="I1868" i="1"/>
  <c r="H1868" i="1" s="1"/>
  <c r="I1869" i="1"/>
  <c r="H1869" i="1" s="1"/>
  <c r="I1870" i="1"/>
  <c r="H1870" i="1" s="1"/>
  <c r="I1871" i="1"/>
  <c r="H1871" i="1" s="1"/>
  <c r="I1872" i="1"/>
  <c r="H1872" i="1" s="1"/>
  <c r="I1873" i="1"/>
  <c r="H1873" i="1" s="1"/>
  <c r="I1874" i="1"/>
  <c r="H1874" i="1" s="1"/>
  <c r="I1875" i="1"/>
  <c r="H1875" i="1" s="1"/>
  <c r="I1876" i="1"/>
  <c r="H1876" i="1" s="1"/>
  <c r="I1877" i="1"/>
  <c r="H1877" i="1" s="1"/>
  <c r="I1878" i="1"/>
  <c r="H1878" i="1" s="1"/>
  <c r="I1879" i="1"/>
  <c r="H1879" i="1" s="1"/>
  <c r="I1880" i="1"/>
  <c r="H1880" i="1" s="1"/>
  <c r="I1881" i="1"/>
  <c r="H1881" i="1" s="1"/>
  <c r="I1882" i="1"/>
  <c r="H1882" i="1" s="1"/>
  <c r="I1883" i="1"/>
  <c r="H1883" i="1" s="1"/>
  <c r="I1884" i="1"/>
  <c r="H1884" i="1" s="1"/>
  <c r="I1885" i="1"/>
  <c r="H1885" i="1" s="1"/>
  <c r="I1886" i="1"/>
  <c r="H1886" i="1" s="1"/>
  <c r="I1887" i="1"/>
  <c r="H1887" i="1" s="1"/>
  <c r="I1888" i="1"/>
  <c r="H1888" i="1" s="1"/>
  <c r="I1889" i="1"/>
  <c r="H1889" i="1" s="1"/>
  <c r="I1890" i="1"/>
  <c r="H1890" i="1" s="1"/>
  <c r="I1891" i="1"/>
  <c r="H1891" i="1" s="1"/>
  <c r="I1892" i="1"/>
  <c r="H1892" i="1" s="1"/>
  <c r="I1893" i="1"/>
  <c r="H1893" i="1" s="1"/>
  <c r="I1894" i="1"/>
  <c r="H1894" i="1" s="1"/>
  <c r="I1895" i="1"/>
  <c r="H1895" i="1" s="1"/>
  <c r="I1896" i="1"/>
  <c r="H1896" i="1" s="1"/>
  <c r="I1897" i="1"/>
  <c r="H1897" i="1" s="1"/>
  <c r="I1898" i="1"/>
  <c r="H1898" i="1" s="1"/>
  <c r="I1899" i="1"/>
  <c r="H1899" i="1" s="1"/>
  <c r="I1900" i="1"/>
  <c r="H1900" i="1" s="1"/>
  <c r="I1901" i="1"/>
  <c r="H1901" i="1" s="1"/>
  <c r="I1902" i="1"/>
  <c r="H1902" i="1" s="1"/>
  <c r="I1903" i="1"/>
  <c r="H1903" i="1" s="1"/>
  <c r="I1904" i="1"/>
  <c r="H1904" i="1" s="1"/>
  <c r="I1905" i="1"/>
  <c r="H1905" i="1" s="1"/>
  <c r="I1906" i="1"/>
  <c r="H1906" i="1" s="1"/>
  <c r="I1907" i="1"/>
  <c r="H1907" i="1" s="1"/>
  <c r="I1908" i="1"/>
  <c r="H1908" i="1" s="1"/>
  <c r="I1909" i="1"/>
  <c r="H1909" i="1" s="1"/>
  <c r="I1910" i="1"/>
  <c r="H1910" i="1" s="1"/>
  <c r="I1911" i="1"/>
  <c r="H1911" i="1" s="1"/>
  <c r="I1912" i="1"/>
  <c r="H1912" i="1" s="1"/>
  <c r="I1913" i="1"/>
  <c r="H1913" i="1" s="1"/>
  <c r="I1914" i="1"/>
  <c r="H1914" i="1" s="1"/>
  <c r="I1915" i="1"/>
  <c r="H1915" i="1" s="1"/>
  <c r="I1916" i="1"/>
  <c r="H1916" i="1" s="1"/>
  <c r="I1917" i="1"/>
  <c r="H1917" i="1" s="1"/>
  <c r="I1918" i="1"/>
  <c r="H1918" i="1" s="1"/>
  <c r="I1919" i="1"/>
  <c r="H1919" i="1" s="1"/>
  <c r="I1920" i="1"/>
  <c r="H1920" i="1" s="1"/>
  <c r="I1921" i="1"/>
  <c r="H1921" i="1" s="1"/>
  <c r="I1922" i="1"/>
  <c r="H1922" i="1" s="1"/>
  <c r="I1923" i="1"/>
  <c r="H1923" i="1" s="1"/>
  <c r="I1924" i="1"/>
  <c r="H1924" i="1" s="1"/>
  <c r="I1925" i="1"/>
  <c r="H1925" i="1" s="1"/>
  <c r="I1926" i="1"/>
  <c r="H1926" i="1" s="1"/>
  <c r="I1927" i="1"/>
  <c r="H1927" i="1" s="1"/>
  <c r="I1928" i="1"/>
  <c r="H1928" i="1" s="1"/>
  <c r="I1929" i="1"/>
  <c r="H1929" i="1" s="1"/>
  <c r="I1930" i="1"/>
  <c r="H1930" i="1" s="1"/>
  <c r="I1931" i="1"/>
  <c r="H1931" i="1" s="1"/>
  <c r="I1932" i="1"/>
  <c r="H1932" i="1" s="1"/>
  <c r="I1933" i="1"/>
  <c r="H1933" i="1" s="1"/>
  <c r="I1934" i="1"/>
  <c r="H1934" i="1" s="1"/>
  <c r="I1935" i="1"/>
  <c r="H1935" i="1" s="1"/>
  <c r="I1936" i="1"/>
  <c r="H1936" i="1" s="1"/>
  <c r="I1937" i="1"/>
  <c r="H1937" i="1" s="1"/>
  <c r="I1938" i="1"/>
  <c r="H1938" i="1" s="1"/>
  <c r="I1939" i="1"/>
  <c r="H1939" i="1" s="1"/>
  <c r="I1940" i="1"/>
  <c r="H1940" i="1" s="1"/>
  <c r="I1941" i="1"/>
  <c r="H1941" i="1" s="1"/>
  <c r="I1942" i="1"/>
  <c r="H1942" i="1" s="1"/>
  <c r="I1943" i="1"/>
  <c r="H1943" i="1" s="1"/>
  <c r="I1944" i="1"/>
  <c r="H1944" i="1" s="1"/>
  <c r="I1945" i="1"/>
  <c r="H1945" i="1" s="1"/>
  <c r="I1946" i="1"/>
  <c r="H1946" i="1" s="1"/>
  <c r="I1947" i="1"/>
  <c r="H1947" i="1" s="1"/>
  <c r="I1948" i="1"/>
  <c r="H1948" i="1" s="1"/>
  <c r="I1949" i="1"/>
  <c r="H1949" i="1" s="1"/>
  <c r="I1950" i="1"/>
  <c r="H1950" i="1" s="1"/>
  <c r="I1951" i="1"/>
  <c r="H1951" i="1" s="1"/>
  <c r="I1952" i="1"/>
  <c r="H1952" i="1" s="1"/>
  <c r="I1953" i="1"/>
  <c r="H1953" i="1" s="1"/>
  <c r="I1954" i="1"/>
  <c r="H1954" i="1" s="1"/>
  <c r="I1955" i="1"/>
  <c r="H1955" i="1" s="1"/>
  <c r="I1956" i="1"/>
  <c r="H1956" i="1" s="1"/>
  <c r="I1957" i="1"/>
  <c r="H1957" i="1" s="1"/>
  <c r="I1958" i="1"/>
  <c r="H1958" i="1" s="1"/>
  <c r="I1959" i="1"/>
  <c r="H1959" i="1" s="1"/>
  <c r="I1960" i="1"/>
  <c r="H1960" i="1" s="1"/>
  <c r="I1961" i="1"/>
  <c r="H1961" i="1" s="1"/>
  <c r="I1962" i="1"/>
  <c r="H1962" i="1" s="1"/>
  <c r="I1963" i="1"/>
  <c r="H1963" i="1" s="1"/>
  <c r="I1964" i="1"/>
  <c r="H1964" i="1" s="1"/>
  <c r="I1965" i="1"/>
  <c r="H1965" i="1" s="1"/>
  <c r="I1966" i="1"/>
  <c r="H1966" i="1" s="1"/>
  <c r="I1967" i="1"/>
  <c r="H1967" i="1" s="1"/>
  <c r="I1968" i="1"/>
  <c r="H1968" i="1" s="1"/>
  <c r="I1969" i="1"/>
  <c r="H1969" i="1" s="1"/>
  <c r="I1970" i="1"/>
  <c r="H1970" i="1" s="1"/>
  <c r="I1971" i="1"/>
  <c r="H1971" i="1" s="1"/>
  <c r="I1972" i="1"/>
  <c r="H1972" i="1" s="1"/>
  <c r="I1973" i="1"/>
  <c r="H1973" i="1" s="1"/>
  <c r="I1974" i="1"/>
  <c r="H1974" i="1" s="1"/>
  <c r="I1975" i="1"/>
  <c r="H1975" i="1" s="1"/>
  <c r="I1976" i="1"/>
  <c r="H1976" i="1" s="1"/>
  <c r="I1977" i="1"/>
  <c r="H1977" i="1" s="1"/>
  <c r="I1978" i="1"/>
  <c r="H1978" i="1" s="1"/>
  <c r="I1979" i="1"/>
  <c r="H1979" i="1" s="1"/>
  <c r="I1980" i="1"/>
  <c r="H1980" i="1" s="1"/>
  <c r="I1981" i="1"/>
  <c r="H1981" i="1" s="1"/>
  <c r="I1982" i="1"/>
  <c r="H1982" i="1" s="1"/>
  <c r="I1983" i="1"/>
  <c r="H1983" i="1" s="1"/>
  <c r="I1984" i="1"/>
  <c r="H1984" i="1" s="1"/>
  <c r="I1985" i="1"/>
  <c r="H1985" i="1" s="1"/>
  <c r="I1986" i="1"/>
  <c r="H1986" i="1" s="1"/>
  <c r="I1987" i="1"/>
  <c r="H1987" i="1" s="1"/>
  <c r="I1988" i="1"/>
  <c r="H1988" i="1" s="1"/>
  <c r="I1989" i="1"/>
  <c r="H1989" i="1" s="1"/>
  <c r="I1990" i="1"/>
  <c r="H1990" i="1" s="1"/>
  <c r="I1991" i="1"/>
  <c r="H1991" i="1" s="1"/>
  <c r="I1992" i="1"/>
  <c r="H1992" i="1" s="1"/>
  <c r="I1993" i="1"/>
  <c r="H1993" i="1" s="1"/>
  <c r="I1994" i="1"/>
  <c r="H1994" i="1" s="1"/>
  <c r="I1995" i="1"/>
  <c r="H1995" i="1" s="1"/>
  <c r="I1996" i="1"/>
  <c r="H1996" i="1" s="1"/>
  <c r="I1997" i="1"/>
  <c r="H1997" i="1" s="1"/>
  <c r="I1998" i="1"/>
  <c r="H1998" i="1" s="1"/>
  <c r="I1999" i="1"/>
  <c r="H1999" i="1" s="1"/>
  <c r="I2000" i="1"/>
  <c r="H2000" i="1" s="1"/>
  <c r="I2001" i="1"/>
  <c r="H2001" i="1" s="1"/>
  <c r="I2002" i="1"/>
  <c r="H2002" i="1" s="1"/>
  <c r="I2003" i="1"/>
  <c r="H2003" i="1" s="1"/>
  <c r="I2004" i="1"/>
  <c r="H2004" i="1" s="1"/>
  <c r="I2005" i="1"/>
  <c r="H2005" i="1" s="1"/>
  <c r="I2006" i="1"/>
  <c r="H2006" i="1" s="1"/>
  <c r="I2007" i="1"/>
  <c r="H2007" i="1" s="1"/>
  <c r="I2008" i="1"/>
  <c r="H2008" i="1" s="1"/>
  <c r="I2009" i="1"/>
  <c r="H2009" i="1" s="1"/>
  <c r="I2010" i="1"/>
  <c r="H2010" i="1" s="1"/>
  <c r="I2011" i="1"/>
  <c r="H2011" i="1" s="1"/>
  <c r="I2012" i="1"/>
  <c r="H2012" i="1" s="1"/>
  <c r="I2013" i="1"/>
  <c r="H2013" i="1" s="1"/>
  <c r="I2014" i="1"/>
  <c r="H2014" i="1" s="1"/>
  <c r="I2015" i="1"/>
  <c r="H2015" i="1" s="1"/>
  <c r="I2016" i="1"/>
  <c r="H2016" i="1" s="1"/>
  <c r="I2017" i="1"/>
  <c r="H2017" i="1" s="1"/>
  <c r="I2018" i="1"/>
  <c r="H2018" i="1" s="1"/>
  <c r="I2019" i="1"/>
  <c r="H2019" i="1" s="1"/>
  <c r="I2020" i="1"/>
  <c r="H2020" i="1" s="1"/>
  <c r="I2021" i="1"/>
  <c r="H2021" i="1" s="1"/>
  <c r="I2022" i="1"/>
  <c r="H2022" i="1" s="1"/>
  <c r="I2023" i="1"/>
  <c r="H2023" i="1" s="1"/>
  <c r="I2024" i="1"/>
  <c r="H2024" i="1" s="1"/>
  <c r="I2025" i="1"/>
  <c r="H2025" i="1" s="1"/>
  <c r="I2026" i="1"/>
  <c r="H2026" i="1" s="1"/>
  <c r="I2027" i="1"/>
  <c r="H2027" i="1" s="1"/>
  <c r="I2028" i="1"/>
  <c r="H2028" i="1" s="1"/>
  <c r="I2029" i="1"/>
  <c r="H2029" i="1" s="1"/>
  <c r="I2030" i="1"/>
  <c r="H2030" i="1" s="1"/>
  <c r="I2031" i="1"/>
  <c r="H2031" i="1" s="1"/>
  <c r="I2032" i="1"/>
  <c r="H2032" i="1" s="1"/>
  <c r="I2033" i="1"/>
  <c r="H2033" i="1" s="1"/>
  <c r="I2034" i="1"/>
  <c r="H2034" i="1" s="1"/>
  <c r="I2035" i="1"/>
  <c r="H2035" i="1" s="1"/>
  <c r="I2036" i="1"/>
  <c r="H2036" i="1" s="1"/>
  <c r="I2037" i="1"/>
  <c r="H2037" i="1" s="1"/>
  <c r="I2038" i="1"/>
  <c r="H2038" i="1" s="1"/>
  <c r="I2039" i="1"/>
  <c r="H2039" i="1" s="1"/>
  <c r="I2040" i="1"/>
  <c r="H2040" i="1" s="1"/>
  <c r="I2041" i="1"/>
  <c r="H2041" i="1" s="1"/>
  <c r="I2042" i="1"/>
  <c r="H2042" i="1" s="1"/>
  <c r="I2043" i="1"/>
  <c r="H2043" i="1" s="1"/>
  <c r="I2044" i="1"/>
  <c r="H2044" i="1" s="1"/>
  <c r="I2045" i="1"/>
  <c r="H2045" i="1" s="1"/>
  <c r="I2046" i="1"/>
  <c r="H2046" i="1" s="1"/>
  <c r="I2047" i="1"/>
  <c r="H2047" i="1" s="1"/>
  <c r="I2048" i="1"/>
  <c r="H2048" i="1" s="1"/>
  <c r="I2049" i="1"/>
  <c r="H2049" i="1" s="1"/>
  <c r="I2050" i="1"/>
  <c r="H2050" i="1" s="1"/>
  <c r="I2051" i="1"/>
  <c r="H2051" i="1" s="1"/>
  <c r="I2052" i="1"/>
  <c r="H2052" i="1" s="1"/>
  <c r="I2053" i="1"/>
  <c r="H2053" i="1" s="1"/>
  <c r="I2054" i="1"/>
  <c r="H2054" i="1" s="1"/>
  <c r="I2055" i="1"/>
  <c r="H2055" i="1" s="1"/>
  <c r="I2056" i="1"/>
  <c r="H2056" i="1" s="1"/>
  <c r="I2057" i="1"/>
  <c r="H2057" i="1" s="1"/>
  <c r="I2058" i="1"/>
  <c r="H2058" i="1" s="1"/>
  <c r="I2059" i="1"/>
  <c r="H2059" i="1" s="1"/>
  <c r="I2060" i="1"/>
  <c r="H2060" i="1" s="1"/>
  <c r="I2061" i="1"/>
  <c r="H2061" i="1" s="1"/>
  <c r="I2062" i="1"/>
  <c r="H2062" i="1" s="1"/>
  <c r="I2063" i="1"/>
  <c r="H2063" i="1" s="1"/>
  <c r="I2064" i="1"/>
  <c r="H2064" i="1" s="1"/>
  <c r="I2065" i="1"/>
  <c r="H2065" i="1" s="1"/>
  <c r="I2066" i="1"/>
  <c r="H2066" i="1" s="1"/>
  <c r="I2067" i="1"/>
  <c r="H2067" i="1" s="1"/>
  <c r="I2068" i="1"/>
  <c r="H2068" i="1" s="1"/>
  <c r="I2069" i="1"/>
  <c r="H2069" i="1" s="1"/>
  <c r="I2070" i="1"/>
  <c r="H2070" i="1" s="1"/>
  <c r="I2071" i="1"/>
  <c r="H2071" i="1" s="1"/>
  <c r="I2072" i="1"/>
  <c r="H2072" i="1" s="1"/>
  <c r="I2073" i="1"/>
  <c r="H2073" i="1" s="1"/>
  <c r="I2074" i="1"/>
  <c r="H2074" i="1" s="1"/>
  <c r="I2075" i="1"/>
  <c r="H2075" i="1" s="1"/>
  <c r="I2076" i="1"/>
  <c r="H2076" i="1" s="1"/>
  <c r="I2077" i="1"/>
  <c r="H2077" i="1" s="1"/>
  <c r="I2078" i="1"/>
  <c r="H2078" i="1" s="1"/>
  <c r="I2079" i="1"/>
  <c r="H2079" i="1" s="1"/>
  <c r="I2080" i="1"/>
  <c r="H2080" i="1" s="1"/>
  <c r="I2081" i="1"/>
  <c r="H2081" i="1" s="1"/>
  <c r="I2082" i="1"/>
  <c r="H2082" i="1" s="1"/>
  <c r="I2083" i="1"/>
  <c r="H2083" i="1" s="1"/>
  <c r="I2084" i="1"/>
  <c r="H2084" i="1" s="1"/>
  <c r="I2085" i="1"/>
  <c r="H2085" i="1" s="1"/>
  <c r="I2086" i="1"/>
  <c r="H2086" i="1" s="1"/>
  <c r="I2087" i="1"/>
  <c r="H2087" i="1" s="1"/>
  <c r="I2088" i="1"/>
  <c r="H2088" i="1" s="1"/>
  <c r="I2089" i="1"/>
  <c r="H2089" i="1" s="1"/>
  <c r="I2090" i="1"/>
  <c r="H2090" i="1" s="1"/>
  <c r="I2091" i="1"/>
  <c r="H2091" i="1" s="1"/>
  <c r="I2092" i="1"/>
  <c r="H2092" i="1" s="1"/>
  <c r="I2093" i="1"/>
  <c r="H2093" i="1" s="1"/>
  <c r="I2094" i="1"/>
  <c r="H2094" i="1" s="1"/>
  <c r="I2095" i="1"/>
  <c r="H2095" i="1" s="1"/>
  <c r="I2096" i="1"/>
  <c r="H2096" i="1" s="1"/>
  <c r="I2097" i="1"/>
  <c r="H2097" i="1" s="1"/>
  <c r="I2098" i="1"/>
  <c r="H2098" i="1" s="1"/>
  <c r="I2099" i="1"/>
  <c r="H2099" i="1" s="1"/>
  <c r="I2100" i="1"/>
  <c r="H2100" i="1" s="1"/>
  <c r="I2101" i="1"/>
  <c r="H2101" i="1" s="1"/>
  <c r="I2102" i="1"/>
  <c r="H2102" i="1" s="1"/>
  <c r="I2103" i="1"/>
  <c r="H2103" i="1" s="1"/>
  <c r="I2104" i="1"/>
  <c r="H2104" i="1" s="1"/>
  <c r="I2105" i="1"/>
  <c r="H2105" i="1" s="1"/>
  <c r="I2106" i="1"/>
  <c r="H2106" i="1" s="1"/>
  <c r="I2107" i="1"/>
  <c r="H2107" i="1" s="1"/>
  <c r="I2108" i="1"/>
  <c r="H2108" i="1" s="1"/>
  <c r="I2109" i="1"/>
  <c r="H2109" i="1" s="1"/>
  <c r="I2110" i="1"/>
  <c r="H2110" i="1" s="1"/>
  <c r="I2111" i="1"/>
  <c r="H2111" i="1" s="1"/>
  <c r="I2112" i="1"/>
  <c r="H2112" i="1" s="1"/>
  <c r="I2113" i="1"/>
  <c r="H2113" i="1" s="1"/>
  <c r="I2114" i="1"/>
  <c r="H2114" i="1" s="1"/>
  <c r="I2115" i="1"/>
  <c r="H2115" i="1" s="1"/>
  <c r="I2116" i="1"/>
  <c r="H2116" i="1" s="1"/>
  <c r="I2117" i="1"/>
  <c r="H2117" i="1" s="1"/>
  <c r="I2118" i="1"/>
  <c r="H2118" i="1" s="1"/>
  <c r="I2119" i="1"/>
  <c r="H2119" i="1" s="1"/>
  <c r="I2120" i="1"/>
  <c r="H2120" i="1" s="1"/>
  <c r="I2121" i="1"/>
  <c r="H2121" i="1" s="1"/>
  <c r="I2122" i="1"/>
  <c r="H2122" i="1" s="1"/>
  <c r="I2123" i="1"/>
  <c r="H2123" i="1" s="1"/>
  <c r="I2124" i="1"/>
  <c r="H2124" i="1" s="1"/>
  <c r="I2125" i="1"/>
  <c r="H2125" i="1" s="1"/>
  <c r="I2126" i="1"/>
  <c r="H2126" i="1" s="1"/>
  <c r="I2127" i="1"/>
  <c r="H2127" i="1" s="1"/>
  <c r="I2128" i="1"/>
  <c r="H2128" i="1" s="1"/>
  <c r="I2129" i="1"/>
  <c r="H2129" i="1" s="1"/>
  <c r="I2130" i="1"/>
  <c r="H2130" i="1" s="1"/>
  <c r="I2131" i="1"/>
  <c r="H2131" i="1" s="1"/>
  <c r="I2132" i="1"/>
  <c r="H2132" i="1" s="1"/>
  <c r="I2133" i="1"/>
  <c r="H2133" i="1" s="1"/>
  <c r="I2134" i="1"/>
  <c r="H2134" i="1" s="1"/>
  <c r="I2135" i="1"/>
  <c r="H2135" i="1" s="1"/>
  <c r="I2136" i="1"/>
  <c r="H2136" i="1" s="1"/>
  <c r="I2137" i="1"/>
  <c r="H2137" i="1" s="1"/>
  <c r="I2138" i="1"/>
  <c r="H2138" i="1" s="1"/>
  <c r="I2139" i="1"/>
  <c r="H2139" i="1" s="1"/>
  <c r="I2140" i="1"/>
  <c r="H2140" i="1" s="1"/>
  <c r="I2141" i="1"/>
  <c r="H2141" i="1" s="1"/>
  <c r="I2142" i="1"/>
  <c r="H2142" i="1" s="1"/>
  <c r="I2143" i="1"/>
  <c r="H2143" i="1" s="1"/>
  <c r="I2144" i="1"/>
  <c r="H2144" i="1" s="1"/>
  <c r="I2145" i="1"/>
  <c r="H2145" i="1" s="1"/>
  <c r="I2146" i="1"/>
  <c r="H2146" i="1" s="1"/>
  <c r="I2147" i="1"/>
  <c r="H2147" i="1" s="1"/>
  <c r="I2148" i="1"/>
  <c r="H2148" i="1" s="1"/>
  <c r="I2149" i="1"/>
  <c r="H2149" i="1" s="1"/>
  <c r="I2150" i="1"/>
  <c r="H2150" i="1" s="1"/>
  <c r="I2151" i="1"/>
  <c r="H2151" i="1" s="1"/>
  <c r="I2152" i="1"/>
  <c r="H2152" i="1" s="1"/>
  <c r="I2153" i="1"/>
  <c r="H2153" i="1" s="1"/>
  <c r="I2154" i="1"/>
  <c r="H2154" i="1" s="1"/>
  <c r="I2155" i="1"/>
  <c r="H2155" i="1" s="1"/>
  <c r="I2156" i="1"/>
  <c r="H2156" i="1" s="1"/>
  <c r="I2157" i="1"/>
  <c r="H2157" i="1" s="1"/>
  <c r="I2158" i="1"/>
  <c r="H2158" i="1" s="1"/>
  <c r="I2159" i="1"/>
  <c r="H2159" i="1" s="1"/>
  <c r="I2160" i="1"/>
  <c r="H2160" i="1" s="1"/>
  <c r="I2161" i="1"/>
  <c r="H2161" i="1" s="1"/>
  <c r="I2162" i="1"/>
  <c r="H2162" i="1" s="1"/>
  <c r="I2163" i="1"/>
  <c r="H2163" i="1" s="1"/>
  <c r="I2164" i="1"/>
  <c r="H2164" i="1" s="1"/>
  <c r="I2165" i="1"/>
  <c r="H2165" i="1" s="1"/>
  <c r="I2166" i="1"/>
  <c r="H2166" i="1" s="1"/>
  <c r="I2167" i="1"/>
  <c r="H2167" i="1" s="1"/>
  <c r="I2168" i="1"/>
  <c r="H2168" i="1" s="1"/>
  <c r="I2169" i="1"/>
  <c r="H2169" i="1" s="1"/>
  <c r="I2170" i="1"/>
  <c r="H2170" i="1" s="1"/>
  <c r="I2171" i="1"/>
  <c r="H2171" i="1" s="1"/>
  <c r="I2172" i="1"/>
  <c r="H2172" i="1" s="1"/>
  <c r="I2173" i="1"/>
  <c r="H2173" i="1" s="1"/>
  <c r="I2174" i="1"/>
  <c r="H2174" i="1" s="1"/>
  <c r="I2175" i="1"/>
  <c r="H2175" i="1" s="1"/>
  <c r="I2176" i="1"/>
  <c r="H2176" i="1" s="1"/>
  <c r="I2177" i="1"/>
  <c r="H2177" i="1" s="1"/>
  <c r="I2178" i="1"/>
  <c r="H2178" i="1" s="1"/>
  <c r="I2179" i="1"/>
  <c r="H2179" i="1" s="1"/>
  <c r="I2180" i="1"/>
  <c r="H2180" i="1" s="1"/>
  <c r="I2181" i="1"/>
  <c r="H2181" i="1" s="1"/>
  <c r="I2182" i="1"/>
  <c r="H2182" i="1" s="1"/>
  <c r="I2183" i="1"/>
  <c r="H2183" i="1" s="1"/>
  <c r="I2184" i="1"/>
  <c r="H2184" i="1" s="1"/>
  <c r="I2185" i="1"/>
  <c r="H2185" i="1" s="1"/>
  <c r="I2186" i="1"/>
  <c r="H2186" i="1" s="1"/>
  <c r="I2187" i="1"/>
  <c r="H2187" i="1" s="1"/>
  <c r="I2188" i="1"/>
  <c r="H2188" i="1" s="1"/>
  <c r="I2189" i="1"/>
  <c r="H2189" i="1" s="1"/>
  <c r="I2190" i="1"/>
  <c r="H2190" i="1" s="1"/>
  <c r="I2191" i="1"/>
  <c r="H2191" i="1" s="1"/>
  <c r="I2192" i="1"/>
  <c r="H2192" i="1" s="1"/>
  <c r="I2193" i="1"/>
  <c r="H2193" i="1" s="1"/>
  <c r="I2194" i="1"/>
  <c r="H2194" i="1" s="1"/>
  <c r="I2195" i="1"/>
  <c r="H2195" i="1" s="1"/>
  <c r="I2196" i="1"/>
  <c r="H2196" i="1" s="1"/>
  <c r="I2197" i="1"/>
  <c r="H2197" i="1" s="1"/>
  <c r="I2198" i="1"/>
  <c r="H2198" i="1" s="1"/>
  <c r="I2199" i="1"/>
  <c r="H2199" i="1" s="1"/>
  <c r="I2200" i="1"/>
  <c r="H2200" i="1" s="1"/>
  <c r="I2201" i="1"/>
  <c r="H2201" i="1" s="1"/>
  <c r="I2202" i="1"/>
  <c r="H2202" i="1" s="1"/>
  <c r="I2203" i="1"/>
  <c r="H2203" i="1" s="1"/>
  <c r="I2204" i="1"/>
  <c r="H2204" i="1" s="1"/>
  <c r="I2205" i="1"/>
  <c r="H2205" i="1" s="1"/>
  <c r="I2206" i="1"/>
  <c r="H2206" i="1" s="1"/>
  <c r="I2207" i="1"/>
  <c r="H2207" i="1" s="1"/>
  <c r="I2208" i="1"/>
  <c r="H2208" i="1" s="1"/>
  <c r="I2209" i="1"/>
  <c r="H2209" i="1" s="1"/>
  <c r="I2210" i="1"/>
  <c r="H2210" i="1" s="1"/>
  <c r="I2211" i="1"/>
  <c r="H2211" i="1" s="1"/>
  <c r="I2212" i="1"/>
  <c r="H2212" i="1" s="1"/>
  <c r="I2213" i="1"/>
  <c r="H2213" i="1" s="1"/>
  <c r="I2214" i="1"/>
  <c r="H2214" i="1" s="1"/>
  <c r="I2215" i="1"/>
  <c r="H2215" i="1" s="1"/>
  <c r="I2216" i="1"/>
  <c r="H2216" i="1" s="1"/>
  <c r="I2217" i="1"/>
  <c r="H2217" i="1" s="1"/>
  <c r="I2218" i="1"/>
  <c r="H2218" i="1" s="1"/>
  <c r="I2219" i="1"/>
  <c r="H2219" i="1" s="1"/>
  <c r="I2220" i="1"/>
  <c r="H2220" i="1" s="1"/>
  <c r="I2221" i="1"/>
  <c r="H2221" i="1" s="1"/>
  <c r="I2222" i="1"/>
  <c r="H2222" i="1" s="1"/>
  <c r="I2223" i="1"/>
  <c r="H2223" i="1" s="1"/>
  <c r="I2224" i="1"/>
  <c r="H2224" i="1" s="1"/>
  <c r="I2225" i="1"/>
  <c r="H2225" i="1" s="1"/>
  <c r="I2226" i="1"/>
  <c r="H2226" i="1" s="1"/>
  <c r="I2227" i="1"/>
  <c r="H2227" i="1" s="1"/>
  <c r="I2228" i="1"/>
  <c r="H2228" i="1" s="1"/>
  <c r="I2229" i="1"/>
  <c r="H2229" i="1" s="1"/>
  <c r="I2230" i="1"/>
  <c r="H2230" i="1" s="1"/>
  <c r="I2231" i="1"/>
  <c r="H2231" i="1" s="1"/>
  <c r="I2232" i="1"/>
  <c r="H2232" i="1" s="1"/>
  <c r="I2233" i="1"/>
  <c r="H2233" i="1" s="1"/>
  <c r="I2234" i="1"/>
  <c r="H2234" i="1" s="1"/>
  <c r="I2235" i="1"/>
  <c r="H2235" i="1" s="1"/>
  <c r="I2236" i="1"/>
  <c r="H2236" i="1" s="1"/>
  <c r="I2237" i="1"/>
  <c r="H2237" i="1" s="1"/>
  <c r="I2238" i="1"/>
  <c r="H2238" i="1" s="1"/>
  <c r="N2222" i="1" l="1"/>
  <c r="M2222" i="1"/>
  <c r="N2174" i="1"/>
  <c r="M2174" i="1"/>
  <c r="N2197" i="1"/>
  <c r="M2197" i="1"/>
  <c r="N2188" i="1"/>
  <c r="M2188" i="1"/>
  <c r="N2148" i="1"/>
  <c r="M2148" i="1"/>
  <c r="N2100" i="1"/>
  <c r="M2100" i="1"/>
  <c r="N2060" i="1"/>
  <c r="M2060" i="1"/>
  <c r="N1972" i="1"/>
  <c r="M1972" i="1"/>
  <c r="M2218" i="1"/>
  <c r="N2218" i="1"/>
  <c r="N2170" i="1"/>
  <c r="M2170" i="1"/>
  <c r="N2122" i="1"/>
  <c r="M2122" i="1"/>
  <c r="N2058" i="1"/>
  <c r="M2058" i="1"/>
  <c r="N2233" i="1"/>
  <c r="M2233" i="1"/>
  <c r="N2177" i="1"/>
  <c r="M2177" i="1"/>
  <c r="N2137" i="1"/>
  <c r="M2137" i="1"/>
  <c r="N2049" i="1"/>
  <c r="M2049" i="1"/>
  <c r="N2234" i="1"/>
  <c r="M2234" i="1"/>
  <c r="N2202" i="1"/>
  <c r="M2202" i="1"/>
  <c r="N2154" i="1"/>
  <c r="M2154" i="1"/>
  <c r="N2114" i="1"/>
  <c r="M2114" i="1"/>
  <c r="N2074" i="1"/>
  <c r="M2074" i="1"/>
  <c r="N2042" i="1"/>
  <c r="M2042" i="1"/>
  <c r="N2026" i="1"/>
  <c r="M2026" i="1"/>
  <c r="N2010" i="1"/>
  <c r="M2010" i="1"/>
  <c r="N1978" i="1"/>
  <c r="M1978" i="1"/>
  <c r="N1962" i="1"/>
  <c r="M1962" i="1"/>
  <c r="N1866" i="1"/>
  <c r="M1866" i="1"/>
  <c r="N2201" i="1"/>
  <c r="M2201" i="1"/>
  <c r="N2113" i="1"/>
  <c r="M2113" i="1"/>
  <c r="N2158" i="1"/>
  <c r="M2158" i="1"/>
  <c r="N2126" i="1"/>
  <c r="M2126" i="1"/>
  <c r="N2102" i="1"/>
  <c r="M2102" i="1"/>
  <c r="N2094" i="1"/>
  <c r="M2094" i="1"/>
  <c r="N2078" i="1"/>
  <c r="M2078" i="1"/>
  <c r="N2070" i="1"/>
  <c r="M2070" i="1"/>
  <c r="N2062" i="1"/>
  <c r="M2062" i="1"/>
  <c r="N2046" i="1"/>
  <c r="M2046" i="1"/>
  <c r="N2038" i="1"/>
  <c r="M2038" i="1"/>
  <c r="N2030" i="1"/>
  <c r="M2030" i="1"/>
  <c r="N2014" i="1"/>
  <c r="M2014" i="1"/>
  <c r="N2006" i="1"/>
  <c r="M2006" i="1"/>
  <c r="N1998" i="1"/>
  <c r="M1998" i="1"/>
  <c r="N1982" i="1"/>
  <c r="M1982" i="1"/>
  <c r="N1974" i="1"/>
  <c r="M1974" i="1"/>
  <c r="N1966" i="1"/>
  <c r="M1966" i="1"/>
  <c r="N1950" i="1"/>
  <c r="M1950" i="1"/>
  <c r="N1918" i="1"/>
  <c r="M1918" i="1"/>
  <c r="N1886" i="1"/>
  <c r="M1886" i="1"/>
  <c r="N1854" i="1"/>
  <c r="M1854" i="1"/>
  <c r="N2190" i="1"/>
  <c r="M2190" i="1"/>
  <c r="N2110" i="1"/>
  <c r="M2110" i="1"/>
  <c r="N2157" i="1"/>
  <c r="M2157" i="1"/>
  <c r="N2133" i="1"/>
  <c r="M2133" i="1"/>
  <c r="N2125" i="1"/>
  <c r="M2125" i="1"/>
  <c r="N2101" i="1"/>
  <c r="M2101" i="1"/>
  <c r="N2093" i="1"/>
  <c r="M2093" i="1"/>
  <c r="N2069" i="1"/>
  <c r="M2069" i="1"/>
  <c r="N2061" i="1"/>
  <c r="M2061" i="1"/>
  <c r="N2037" i="1"/>
  <c r="M2037" i="1"/>
  <c r="N2029" i="1"/>
  <c r="M2029" i="1"/>
  <c r="N2005" i="1"/>
  <c r="M2005" i="1"/>
  <c r="N1997" i="1"/>
  <c r="M1997" i="1"/>
  <c r="N1973" i="1"/>
  <c r="M1973" i="1"/>
  <c r="N1941" i="1"/>
  <c r="M1941" i="1"/>
  <c r="N1909" i="1"/>
  <c r="M1909" i="1"/>
  <c r="N1877" i="1"/>
  <c r="M1877" i="1"/>
  <c r="N2238" i="1"/>
  <c r="M2238" i="1"/>
  <c r="N2206" i="1"/>
  <c r="M2206" i="1"/>
  <c r="N2134" i="1"/>
  <c r="M2134" i="1"/>
  <c r="N2165" i="1"/>
  <c r="M2165" i="1"/>
  <c r="N2196" i="1"/>
  <c r="M2196" i="1"/>
  <c r="N2124" i="1"/>
  <c r="M2124" i="1"/>
  <c r="N2052" i="1"/>
  <c r="M2052" i="1"/>
  <c r="N2020" i="1"/>
  <c r="M2020" i="1"/>
  <c r="N1988" i="1"/>
  <c r="M1988" i="1"/>
  <c r="N1956" i="1"/>
  <c r="M1956" i="1"/>
  <c r="N1940" i="1"/>
  <c r="M1940" i="1"/>
  <c r="N1876" i="1"/>
  <c r="M1876" i="1"/>
  <c r="N1844" i="1"/>
  <c r="M1844" i="1"/>
  <c r="N2142" i="1"/>
  <c r="M2142" i="1"/>
  <c r="N2221" i="1"/>
  <c r="M2221" i="1"/>
  <c r="N2228" i="1"/>
  <c r="M2228" i="1"/>
  <c r="N2180" i="1"/>
  <c r="M2180" i="1"/>
  <c r="M2092" i="1"/>
  <c r="N2092" i="1"/>
  <c r="N2004" i="1"/>
  <c r="M2004" i="1"/>
  <c r="M2219" i="1"/>
  <c r="N2219" i="1"/>
  <c r="N2211" i="1"/>
  <c r="M2211" i="1"/>
  <c r="N2187" i="1"/>
  <c r="M2187" i="1"/>
  <c r="N2179" i="1"/>
  <c r="M2179" i="1"/>
  <c r="N2155" i="1"/>
  <c r="M2155" i="1"/>
  <c r="N2147" i="1"/>
  <c r="M2147" i="1"/>
  <c r="N2123" i="1"/>
  <c r="M2123" i="1"/>
  <c r="N2115" i="1"/>
  <c r="M2115" i="1"/>
  <c r="N2091" i="1"/>
  <c r="M2091" i="1"/>
  <c r="N2083" i="1"/>
  <c r="M2083" i="1"/>
  <c r="N2059" i="1"/>
  <c r="M2059" i="1"/>
  <c r="N2051" i="1"/>
  <c r="M2051" i="1"/>
  <c r="N2027" i="1"/>
  <c r="M2027" i="1"/>
  <c r="N2019" i="1"/>
  <c r="M2019" i="1"/>
  <c r="N1995" i="1"/>
  <c r="M1995" i="1"/>
  <c r="N1963" i="1"/>
  <c r="M1963" i="1"/>
  <c r="N1931" i="1"/>
  <c r="M1931" i="1"/>
  <c r="N1899" i="1"/>
  <c r="M1899" i="1"/>
  <c r="N2230" i="1"/>
  <c r="M2230" i="1"/>
  <c r="N2166" i="1"/>
  <c r="M2166" i="1"/>
  <c r="N2229" i="1"/>
  <c r="M2229" i="1"/>
  <c r="N2212" i="1"/>
  <c r="M2212" i="1"/>
  <c r="N2164" i="1"/>
  <c r="M2164" i="1"/>
  <c r="N2132" i="1"/>
  <c r="M2132" i="1"/>
  <c r="N2084" i="1"/>
  <c r="M2084" i="1"/>
  <c r="N2028" i="1"/>
  <c r="M2028" i="1"/>
  <c r="N1964" i="1"/>
  <c r="M1964" i="1"/>
  <c r="N2186" i="1"/>
  <c r="M2186" i="1"/>
  <c r="N2138" i="1"/>
  <c r="M2138" i="1"/>
  <c r="N2090" i="1"/>
  <c r="M2090" i="1"/>
  <c r="N2050" i="1"/>
  <c r="M2050" i="1"/>
  <c r="N2018" i="1"/>
  <c r="M2018" i="1"/>
  <c r="N1986" i="1"/>
  <c r="M1986" i="1"/>
  <c r="N1930" i="1"/>
  <c r="M1930" i="1"/>
  <c r="N1898" i="1"/>
  <c r="M1898" i="1"/>
  <c r="N1834" i="1"/>
  <c r="M1834" i="1"/>
  <c r="N2198" i="1"/>
  <c r="M2198" i="1"/>
  <c r="N2189" i="1"/>
  <c r="M2189" i="1"/>
  <c r="N2220" i="1"/>
  <c r="M2220" i="1"/>
  <c r="N2156" i="1"/>
  <c r="M2156" i="1"/>
  <c r="N2116" i="1"/>
  <c r="M2116" i="1"/>
  <c r="N2068" i="1"/>
  <c r="M2068" i="1"/>
  <c r="N2036" i="1"/>
  <c r="M2036" i="1"/>
  <c r="N1996" i="1"/>
  <c r="M1996" i="1"/>
  <c r="N1908" i="1"/>
  <c r="M1908" i="1"/>
  <c r="N2210" i="1"/>
  <c r="M2210" i="1"/>
  <c r="N2178" i="1"/>
  <c r="M2178" i="1"/>
  <c r="N2146" i="1"/>
  <c r="M2146" i="1"/>
  <c r="N2106" i="1"/>
  <c r="M2106" i="1"/>
  <c r="N2082" i="1"/>
  <c r="M2082" i="1"/>
  <c r="N1994" i="1"/>
  <c r="M1994" i="1"/>
  <c r="N2209" i="1"/>
  <c r="M2209" i="1"/>
  <c r="N2169" i="1"/>
  <c r="M2169" i="1"/>
  <c r="N2145" i="1"/>
  <c r="M2145" i="1"/>
  <c r="N2105" i="1"/>
  <c r="M2105" i="1"/>
  <c r="N2081" i="1"/>
  <c r="M2081" i="1"/>
  <c r="N2073" i="1"/>
  <c r="M2073" i="1"/>
  <c r="N2041" i="1"/>
  <c r="M2041" i="1"/>
  <c r="N2017" i="1"/>
  <c r="M2017" i="1"/>
  <c r="N2009" i="1"/>
  <c r="M2009" i="1"/>
  <c r="N1985" i="1"/>
  <c r="M1985" i="1"/>
  <c r="N1953" i="1"/>
  <c r="M1953" i="1"/>
  <c r="N1921" i="1"/>
  <c r="M1921" i="1"/>
  <c r="N1889" i="1"/>
  <c r="M1889" i="1"/>
  <c r="N2162" i="1"/>
  <c r="M2162" i="1"/>
  <c r="N2098" i="1"/>
  <c r="M2098" i="1"/>
  <c r="N1906" i="1"/>
  <c r="M1906" i="1"/>
  <c r="N1850" i="1"/>
  <c r="M1850" i="1"/>
  <c r="N1778" i="1"/>
  <c r="M1778" i="1"/>
  <c r="N1738" i="1"/>
  <c r="M1738" i="1"/>
  <c r="N1682" i="1"/>
  <c r="M1682" i="1"/>
  <c r="N1634" i="1"/>
  <c r="M1634" i="1"/>
  <c r="N1578" i="1"/>
  <c r="M1578" i="1"/>
  <c r="N1522" i="1"/>
  <c r="M1522" i="1"/>
  <c r="N1466" i="1"/>
  <c r="M1466" i="1"/>
  <c r="N1386" i="1"/>
  <c r="M1386" i="1"/>
  <c r="N2089" i="1"/>
  <c r="M2089" i="1"/>
  <c r="N2025" i="1"/>
  <c r="M2025" i="1"/>
  <c r="N2223" i="1"/>
  <c r="M2223" i="1"/>
  <c r="N2199" i="1"/>
  <c r="M2199" i="1"/>
  <c r="N2159" i="1"/>
  <c r="M2159" i="1"/>
  <c r="N2103" i="1"/>
  <c r="M2103" i="1"/>
  <c r="N2214" i="1"/>
  <c r="M2214" i="1"/>
  <c r="N2086" i="1"/>
  <c r="M2086" i="1"/>
  <c r="N1926" i="1"/>
  <c r="M1926" i="1"/>
  <c r="N1894" i="1"/>
  <c r="M1894" i="1"/>
  <c r="N1870" i="1"/>
  <c r="M1870" i="1"/>
  <c r="N1822" i="1"/>
  <c r="M1822" i="1"/>
  <c r="N1790" i="1"/>
  <c r="M1790" i="1"/>
  <c r="N1766" i="1"/>
  <c r="M1766" i="1"/>
  <c r="N1742" i="1"/>
  <c r="M1742" i="1"/>
  <c r="N1710" i="1"/>
  <c r="M1710" i="1"/>
  <c r="N1686" i="1"/>
  <c r="M1686" i="1"/>
  <c r="N1654" i="1"/>
  <c r="M1654" i="1"/>
  <c r="N1614" i="1"/>
  <c r="M1614" i="1"/>
  <c r="N1582" i="1"/>
  <c r="M1582" i="1"/>
  <c r="N1550" i="1"/>
  <c r="M1550" i="1"/>
  <c r="N1518" i="1"/>
  <c r="M1518" i="1"/>
  <c r="N1478" i="1"/>
  <c r="M1478" i="1"/>
  <c r="N1438" i="1"/>
  <c r="M1438" i="1"/>
  <c r="N1350" i="1"/>
  <c r="M1350" i="1"/>
  <c r="N2237" i="1"/>
  <c r="M2237" i="1"/>
  <c r="N2173" i="1"/>
  <c r="M2173" i="1"/>
  <c r="N2236" i="1"/>
  <c r="M2236" i="1"/>
  <c r="N2204" i="1"/>
  <c r="M2204" i="1"/>
  <c r="N2140" i="1"/>
  <c r="M2140" i="1"/>
  <c r="N2076" i="1"/>
  <c r="M2076" i="1"/>
  <c r="N2012" i="1"/>
  <c r="M2012" i="1"/>
  <c r="N1948" i="1"/>
  <c r="M1948" i="1"/>
  <c r="N1924" i="1"/>
  <c r="M1924" i="1"/>
  <c r="N1892" i="1"/>
  <c r="M1892" i="1"/>
  <c r="N1836" i="1"/>
  <c r="M1836" i="1"/>
  <c r="N2235" i="1"/>
  <c r="M2235" i="1"/>
  <c r="N2227" i="1"/>
  <c r="M2227" i="1"/>
  <c r="N2203" i="1"/>
  <c r="M2203" i="1"/>
  <c r="N2195" i="1"/>
  <c r="M2195" i="1"/>
  <c r="N2171" i="1"/>
  <c r="M2171" i="1"/>
  <c r="N2163" i="1"/>
  <c r="M2163" i="1"/>
  <c r="N2139" i="1"/>
  <c r="M2139" i="1"/>
  <c r="N2131" i="1"/>
  <c r="M2131" i="1"/>
  <c r="N2107" i="1"/>
  <c r="M2107" i="1"/>
  <c r="N2099" i="1"/>
  <c r="M2099" i="1"/>
  <c r="N2075" i="1"/>
  <c r="M2075" i="1"/>
  <c r="N2067" i="1"/>
  <c r="M2067" i="1"/>
  <c r="N2043" i="1"/>
  <c r="M2043" i="1"/>
  <c r="N2035" i="1"/>
  <c r="M2035" i="1"/>
  <c r="N2011" i="1"/>
  <c r="M2011" i="1"/>
  <c r="N2003" i="1"/>
  <c r="M2003" i="1"/>
  <c r="N1987" i="1"/>
  <c r="M1987" i="1"/>
  <c r="N1979" i="1"/>
  <c r="M1979" i="1"/>
  <c r="N1971" i="1"/>
  <c r="M1971" i="1"/>
  <c r="N1955" i="1"/>
  <c r="M1955" i="1"/>
  <c r="N1947" i="1"/>
  <c r="M1947" i="1"/>
  <c r="N1939" i="1"/>
  <c r="M1939" i="1"/>
  <c r="N1923" i="1"/>
  <c r="M1923" i="1"/>
  <c r="N1915" i="1"/>
  <c r="M1915" i="1"/>
  <c r="N1907" i="1"/>
  <c r="M1907" i="1"/>
  <c r="N1891" i="1"/>
  <c r="M1891" i="1"/>
  <c r="N1883" i="1"/>
  <c r="M1883" i="1"/>
  <c r="N1875" i="1"/>
  <c r="M1875" i="1"/>
  <c r="N1867" i="1"/>
  <c r="M1867" i="1"/>
  <c r="N1859" i="1"/>
  <c r="M1859" i="1"/>
  <c r="N1851" i="1"/>
  <c r="M1851" i="1"/>
  <c r="N1843" i="1"/>
  <c r="M1843" i="1"/>
  <c r="N1835" i="1"/>
  <c r="M1835" i="1"/>
  <c r="N1827" i="1"/>
  <c r="M1827" i="1"/>
  <c r="N1819" i="1"/>
  <c r="M1819" i="1"/>
  <c r="N1811" i="1"/>
  <c r="M1811" i="1"/>
  <c r="N1803" i="1"/>
  <c r="M1803" i="1"/>
  <c r="N1795" i="1"/>
  <c r="M1795" i="1"/>
  <c r="N1787" i="1"/>
  <c r="M1787" i="1"/>
  <c r="N1779" i="1"/>
  <c r="M1779" i="1"/>
  <c r="N1771" i="1"/>
  <c r="M1771" i="1"/>
  <c r="N1763" i="1"/>
  <c r="M1763" i="1"/>
  <c r="N1755" i="1"/>
  <c r="M1755" i="1"/>
  <c r="N1747" i="1"/>
  <c r="M1747" i="1"/>
  <c r="N1739" i="1"/>
  <c r="M1739" i="1"/>
  <c r="N1731" i="1"/>
  <c r="M1731" i="1"/>
  <c r="N1723" i="1"/>
  <c r="M1723" i="1"/>
  <c r="N1715" i="1"/>
  <c r="M1715" i="1"/>
  <c r="N1707" i="1"/>
  <c r="M1707" i="1"/>
  <c r="N1699" i="1"/>
  <c r="M1699" i="1"/>
  <c r="N1691" i="1"/>
  <c r="M1691" i="1"/>
  <c r="N1683" i="1"/>
  <c r="M1683" i="1"/>
  <c r="N1675" i="1"/>
  <c r="M1675" i="1"/>
  <c r="N1667" i="1"/>
  <c r="M1667" i="1"/>
  <c r="N1659" i="1"/>
  <c r="M1659" i="1"/>
  <c r="N1651" i="1"/>
  <c r="M1651" i="1"/>
  <c r="N1643" i="1"/>
  <c r="M1643" i="1"/>
  <c r="N1635" i="1"/>
  <c r="M1635" i="1"/>
  <c r="N1627" i="1"/>
  <c r="M1627" i="1"/>
  <c r="N1619" i="1"/>
  <c r="M1619" i="1"/>
  <c r="N1611" i="1"/>
  <c r="M1611" i="1"/>
  <c r="N1603" i="1"/>
  <c r="M1603" i="1"/>
  <c r="N1595" i="1"/>
  <c r="M1595" i="1"/>
  <c r="N1587" i="1"/>
  <c r="M1587" i="1"/>
  <c r="N1579" i="1"/>
  <c r="M1579" i="1"/>
  <c r="N1571" i="1"/>
  <c r="M1571" i="1"/>
  <c r="N1563" i="1"/>
  <c r="M1563" i="1"/>
  <c r="N1555" i="1"/>
  <c r="M1555" i="1"/>
  <c r="N1547" i="1"/>
  <c r="M1547" i="1"/>
  <c r="N1539" i="1"/>
  <c r="M1539" i="1"/>
  <c r="N1531" i="1"/>
  <c r="M1531" i="1"/>
  <c r="N1523" i="1"/>
  <c r="M1523" i="1"/>
  <c r="N1515" i="1"/>
  <c r="M1515" i="1"/>
  <c r="N1507" i="1"/>
  <c r="M1507" i="1"/>
  <c r="N1499" i="1"/>
  <c r="M1499" i="1"/>
  <c r="N1491" i="1"/>
  <c r="M1491" i="1"/>
  <c r="N1483" i="1"/>
  <c r="M1483" i="1"/>
  <c r="N1475" i="1"/>
  <c r="M1475" i="1"/>
  <c r="N1467" i="1"/>
  <c r="M1467" i="1"/>
  <c r="N1459" i="1"/>
  <c r="M1459" i="1"/>
  <c r="N1451" i="1"/>
  <c r="M1451" i="1"/>
  <c r="N1443" i="1"/>
  <c r="M1443" i="1"/>
  <c r="N1435" i="1"/>
  <c r="M1435" i="1"/>
  <c r="N1427" i="1"/>
  <c r="M1427" i="1"/>
  <c r="N1419" i="1"/>
  <c r="M1419" i="1"/>
  <c r="N1411" i="1"/>
  <c r="M1411" i="1"/>
  <c r="N1403" i="1"/>
  <c r="M1403" i="1"/>
  <c r="N1395" i="1"/>
  <c r="M1395" i="1"/>
  <c r="N1387" i="1"/>
  <c r="M1387" i="1"/>
  <c r="N1379" i="1"/>
  <c r="M1379" i="1"/>
  <c r="N1371" i="1"/>
  <c r="M1371" i="1"/>
  <c r="N1363" i="1"/>
  <c r="M1363" i="1"/>
  <c r="N1355" i="1"/>
  <c r="M1355" i="1"/>
  <c r="N1347" i="1"/>
  <c r="M1347" i="1"/>
  <c r="N1339" i="1"/>
  <c r="M1339" i="1"/>
  <c r="N1331" i="1"/>
  <c r="M1331" i="1"/>
  <c r="N1323" i="1"/>
  <c r="M1323" i="1"/>
  <c r="N1315" i="1"/>
  <c r="M1315" i="1"/>
  <c r="N1307" i="1"/>
  <c r="M1307" i="1"/>
  <c r="N1299" i="1"/>
  <c r="M1299" i="1"/>
  <c r="N1291" i="1"/>
  <c r="M1291" i="1"/>
  <c r="N1283" i="1"/>
  <c r="M1283" i="1"/>
  <c r="N1275" i="1"/>
  <c r="M1275" i="1"/>
  <c r="N1267" i="1"/>
  <c r="M1267" i="1"/>
  <c r="N1259" i="1"/>
  <c r="M1259" i="1"/>
  <c r="N1251" i="1"/>
  <c r="M1251" i="1"/>
  <c r="N1243" i="1"/>
  <c r="M1243" i="1"/>
  <c r="N1235" i="1"/>
  <c r="M1235" i="1"/>
  <c r="N1227" i="1"/>
  <c r="M1227" i="1"/>
  <c r="N1219" i="1"/>
  <c r="M1219" i="1"/>
  <c r="N1211" i="1"/>
  <c r="M1211" i="1"/>
  <c r="N1203" i="1"/>
  <c r="M1203" i="1"/>
  <c r="N1195" i="1"/>
  <c r="M1195" i="1"/>
  <c r="N1187" i="1"/>
  <c r="M1187" i="1"/>
  <c r="N1179" i="1"/>
  <c r="M1179" i="1"/>
  <c r="N1171" i="1"/>
  <c r="M1171" i="1"/>
  <c r="N1163" i="1"/>
  <c r="M1163" i="1"/>
  <c r="N1155" i="1"/>
  <c r="M1155" i="1"/>
  <c r="N1147" i="1"/>
  <c r="M1147" i="1"/>
  <c r="N1139" i="1"/>
  <c r="M1139" i="1"/>
  <c r="N1131" i="1"/>
  <c r="M1131" i="1"/>
  <c r="N1123" i="1"/>
  <c r="M1123" i="1"/>
  <c r="N1115" i="1"/>
  <c r="M1115" i="1"/>
  <c r="N1107" i="1"/>
  <c r="M1107" i="1"/>
  <c r="N1099" i="1"/>
  <c r="M1099" i="1"/>
  <c r="N1091" i="1"/>
  <c r="M1091" i="1"/>
  <c r="N1083" i="1"/>
  <c r="M1083" i="1"/>
  <c r="N1075" i="1"/>
  <c r="M1075" i="1"/>
  <c r="N1067" i="1"/>
  <c r="M1067" i="1"/>
  <c r="N1059" i="1"/>
  <c r="M1059" i="1"/>
  <c r="N1051" i="1"/>
  <c r="M1051" i="1"/>
  <c r="N1043" i="1"/>
  <c r="M1043" i="1"/>
  <c r="N1035" i="1"/>
  <c r="M1035" i="1"/>
  <c r="N1027" i="1"/>
  <c r="M1027" i="1"/>
  <c r="N1019" i="1"/>
  <c r="M1019" i="1"/>
  <c r="N1011" i="1"/>
  <c r="M1011" i="1"/>
  <c r="N1003" i="1"/>
  <c r="M1003" i="1"/>
  <c r="N995" i="1"/>
  <c r="M995" i="1"/>
  <c r="N987" i="1"/>
  <c r="M987" i="1"/>
  <c r="N979" i="1"/>
  <c r="M979" i="1"/>
  <c r="N971" i="1"/>
  <c r="M971" i="1"/>
  <c r="N963" i="1"/>
  <c r="M963" i="1"/>
  <c r="N955" i="1"/>
  <c r="M955" i="1"/>
  <c r="N947" i="1"/>
  <c r="M947" i="1"/>
  <c r="N939" i="1"/>
  <c r="M939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3" i="1"/>
  <c r="M603" i="1"/>
  <c r="N595" i="1"/>
  <c r="M595" i="1"/>
  <c r="N587" i="1"/>
  <c r="M587" i="1"/>
  <c r="N579" i="1"/>
  <c r="M579" i="1"/>
  <c r="N571" i="1"/>
  <c r="M571" i="1"/>
  <c r="N563" i="1"/>
  <c r="M563" i="1"/>
  <c r="N555" i="1"/>
  <c r="M555" i="1"/>
  <c r="N547" i="1"/>
  <c r="M547" i="1"/>
  <c r="N539" i="1"/>
  <c r="M539" i="1"/>
  <c r="N531" i="1"/>
  <c r="M531" i="1"/>
  <c r="N523" i="1"/>
  <c r="M523" i="1"/>
  <c r="N515" i="1"/>
  <c r="M515" i="1"/>
  <c r="N507" i="1"/>
  <c r="M507" i="1"/>
  <c r="N499" i="1"/>
  <c r="M499" i="1"/>
  <c r="N491" i="1"/>
  <c r="M491" i="1"/>
  <c r="N483" i="1"/>
  <c r="M483" i="1"/>
  <c r="N475" i="1"/>
  <c r="M475" i="1"/>
  <c r="N467" i="1"/>
  <c r="M467" i="1"/>
  <c r="N459" i="1"/>
  <c r="M459" i="1"/>
  <c r="N451" i="1"/>
  <c r="M451" i="1"/>
  <c r="N443" i="1"/>
  <c r="M443" i="1"/>
  <c r="N435" i="1"/>
  <c r="M435" i="1"/>
  <c r="N427" i="1"/>
  <c r="M427" i="1"/>
  <c r="N419" i="1"/>
  <c r="M419" i="1"/>
  <c r="N411" i="1"/>
  <c r="M411" i="1"/>
  <c r="N403" i="1"/>
  <c r="M403" i="1"/>
  <c r="N395" i="1"/>
  <c r="M395" i="1"/>
  <c r="N387" i="1"/>
  <c r="M387" i="1"/>
  <c r="N379" i="1"/>
  <c r="M379" i="1"/>
  <c r="N371" i="1"/>
  <c r="M371" i="1"/>
  <c r="N363" i="1"/>
  <c r="M363" i="1"/>
  <c r="N355" i="1"/>
  <c r="M355" i="1"/>
  <c r="N347" i="1"/>
  <c r="M347" i="1"/>
  <c r="N339" i="1"/>
  <c r="M339" i="1"/>
  <c r="N331" i="1"/>
  <c r="M331" i="1"/>
  <c r="N323" i="1"/>
  <c r="M323" i="1"/>
  <c r="N315" i="1"/>
  <c r="M315" i="1"/>
  <c r="N307" i="1"/>
  <c r="M307" i="1"/>
  <c r="N299" i="1"/>
  <c r="M299" i="1"/>
  <c r="N291" i="1"/>
  <c r="M291" i="1"/>
  <c r="N283" i="1"/>
  <c r="M283" i="1"/>
  <c r="N275" i="1"/>
  <c r="M275" i="1"/>
  <c r="N267" i="1"/>
  <c r="M267" i="1"/>
  <c r="N259" i="1"/>
  <c r="M259" i="1"/>
  <c r="N251" i="1"/>
  <c r="M251" i="1"/>
  <c r="N243" i="1"/>
  <c r="M243" i="1"/>
  <c r="N235" i="1"/>
  <c r="M235" i="1"/>
  <c r="N227" i="1"/>
  <c r="M227" i="1"/>
  <c r="N219" i="1"/>
  <c r="M219" i="1"/>
  <c r="N211" i="1"/>
  <c r="M211" i="1"/>
  <c r="N203" i="1"/>
  <c r="M203" i="1"/>
  <c r="N195" i="1"/>
  <c r="M195" i="1"/>
  <c r="N187" i="1"/>
  <c r="M187" i="1"/>
  <c r="N179" i="1"/>
  <c r="M179" i="1"/>
  <c r="N171" i="1"/>
  <c r="M171" i="1"/>
  <c r="N163" i="1"/>
  <c r="M163" i="1"/>
  <c r="N155" i="1"/>
  <c r="M155" i="1"/>
  <c r="N147" i="1"/>
  <c r="M147" i="1"/>
  <c r="N139" i="1"/>
  <c r="M139" i="1"/>
  <c r="N131" i="1"/>
  <c r="M131" i="1"/>
  <c r="N123" i="1"/>
  <c r="M123" i="1"/>
  <c r="N115" i="1"/>
  <c r="M115" i="1"/>
  <c r="N107" i="1"/>
  <c r="M107" i="1"/>
  <c r="N99" i="1"/>
  <c r="M99" i="1"/>
  <c r="N91" i="1"/>
  <c r="M91" i="1"/>
  <c r="N83" i="1"/>
  <c r="M83" i="1"/>
  <c r="N75" i="1"/>
  <c r="M75" i="1"/>
  <c r="N67" i="1"/>
  <c r="M67" i="1"/>
  <c r="N59" i="1"/>
  <c r="M59" i="1"/>
  <c r="N51" i="1"/>
  <c r="M51" i="1"/>
  <c r="N43" i="1"/>
  <c r="M43" i="1"/>
  <c r="N35" i="1"/>
  <c r="M35" i="1"/>
  <c r="N27" i="1"/>
  <c r="M27" i="1"/>
  <c r="N19" i="1"/>
  <c r="M19" i="1"/>
  <c r="N11" i="1"/>
  <c r="M11" i="1"/>
  <c r="N3" i="1"/>
  <c r="M3" i="1"/>
  <c r="M2194" i="1"/>
  <c r="N2194" i="1"/>
  <c r="N2002" i="1"/>
  <c r="M2002" i="1"/>
  <c r="N1922" i="1"/>
  <c r="M1922" i="1"/>
  <c r="N1858" i="1"/>
  <c r="M1858" i="1"/>
  <c r="N1794" i="1"/>
  <c r="M1794" i="1"/>
  <c r="N1754" i="1"/>
  <c r="M1754" i="1"/>
  <c r="N1658" i="1"/>
  <c r="M1658" i="1"/>
  <c r="N1570" i="1"/>
  <c r="M1570" i="1"/>
  <c r="N1514" i="1"/>
  <c r="M1514" i="1"/>
  <c r="N1458" i="1"/>
  <c r="M1458" i="1"/>
  <c r="N1450" i="1"/>
  <c r="M1450" i="1"/>
  <c r="N1442" i="1"/>
  <c r="M1442" i="1"/>
  <c r="N1434" i="1"/>
  <c r="M1434" i="1"/>
  <c r="N1426" i="1"/>
  <c r="M1426" i="1"/>
  <c r="N1418" i="1"/>
  <c r="M1418" i="1"/>
  <c r="N1410" i="1"/>
  <c r="M1410" i="1"/>
  <c r="N1378" i="1"/>
  <c r="M1378" i="1"/>
  <c r="N1338" i="1"/>
  <c r="M1338" i="1"/>
  <c r="N1330" i="1"/>
  <c r="M1330" i="1"/>
  <c r="N1322" i="1"/>
  <c r="M1322" i="1"/>
  <c r="N1314" i="1"/>
  <c r="M1314" i="1"/>
  <c r="N1306" i="1"/>
  <c r="M1306" i="1"/>
  <c r="N1298" i="1"/>
  <c r="M1298" i="1"/>
  <c r="N1290" i="1"/>
  <c r="M1290" i="1"/>
  <c r="N1282" i="1"/>
  <c r="M1282" i="1"/>
  <c r="N1274" i="1"/>
  <c r="M1274" i="1"/>
  <c r="N1266" i="1"/>
  <c r="M1266" i="1"/>
  <c r="N1258" i="1"/>
  <c r="M1258" i="1"/>
  <c r="N1250" i="1"/>
  <c r="M1250" i="1"/>
  <c r="N1242" i="1"/>
  <c r="M1242" i="1"/>
  <c r="N1234" i="1"/>
  <c r="M1234" i="1"/>
  <c r="N1226" i="1"/>
  <c r="M1226" i="1"/>
  <c r="N1218" i="1"/>
  <c r="M1218" i="1"/>
  <c r="N1210" i="1"/>
  <c r="M1210" i="1"/>
  <c r="N1202" i="1"/>
  <c r="M1202" i="1"/>
  <c r="N1194" i="1"/>
  <c r="M1194" i="1"/>
  <c r="N1186" i="1"/>
  <c r="M1186" i="1"/>
  <c r="N1178" i="1"/>
  <c r="M1178" i="1"/>
  <c r="N1170" i="1"/>
  <c r="M1170" i="1"/>
  <c r="N1162" i="1"/>
  <c r="M1162" i="1"/>
  <c r="N1154" i="1"/>
  <c r="M1154" i="1"/>
  <c r="N1146" i="1"/>
  <c r="M1146" i="1"/>
  <c r="N1138" i="1"/>
  <c r="M1138" i="1"/>
  <c r="N1130" i="1"/>
  <c r="M1130" i="1"/>
  <c r="N1122" i="1"/>
  <c r="M1122" i="1"/>
  <c r="N1114" i="1"/>
  <c r="M1114" i="1"/>
  <c r="N1106" i="1"/>
  <c r="M1106" i="1"/>
  <c r="N1098" i="1"/>
  <c r="M1098" i="1"/>
  <c r="N1090" i="1"/>
  <c r="M1090" i="1"/>
  <c r="N1082" i="1"/>
  <c r="M1082" i="1"/>
  <c r="N1074" i="1"/>
  <c r="M1074" i="1"/>
  <c r="N1066" i="1"/>
  <c r="M1066" i="1"/>
  <c r="N1058" i="1"/>
  <c r="M1058" i="1"/>
  <c r="N1050" i="1"/>
  <c r="M1050" i="1"/>
  <c r="N1042" i="1"/>
  <c r="M1042" i="1"/>
  <c r="N1034" i="1"/>
  <c r="M1034" i="1"/>
  <c r="N1026" i="1"/>
  <c r="M1026" i="1"/>
  <c r="N1018" i="1"/>
  <c r="M1018" i="1"/>
  <c r="N1010" i="1"/>
  <c r="M1010" i="1"/>
  <c r="N1002" i="1"/>
  <c r="M1002" i="1"/>
  <c r="N994" i="1"/>
  <c r="M994" i="1"/>
  <c r="N986" i="1"/>
  <c r="M986" i="1"/>
  <c r="N978" i="1"/>
  <c r="M978" i="1"/>
  <c r="N970" i="1"/>
  <c r="M970" i="1"/>
  <c r="N962" i="1"/>
  <c r="M962" i="1"/>
  <c r="N954" i="1"/>
  <c r="M954" i="1"/>
  <c r="N946" i="1"/>
  <c r="M946" i="1"/>
  <c r="N938" i="1"/>
  <c r="M938" i="1"/>
  <c r="N930" i="1"/>
  <c r="M930" i="1"/>
  <c r="N922" i="1"/>
  <c r="M922" i="1"/>
  <c r="N914" i="1"/>
  <c r="M914" i="1"/>
  <c r="N906" i="1"/>
  <c r="M906" i="1"/>
  <c r="N898" i="1"/>
  <c r="M898" i="1"/>
  <c r="N890" i="1"/>
  <c r="M890" i="1"/>
  <c r="N882" i="1"/>
  <c r="M882" i="1"/>
  <c r="N874" i="1"/>
  <c r="M874" i="1"/>
  <c r="N866" i="1"/>
  <c r="M866" i="1"/>
  <c r="N858" i="1"/>
  <c r="M858" i="1"/>
  <c r="N850" i="1"/>
  <c r="M850" i="1"/>
  <c r="N842" i="1"/>
  <c r="M842" i="1"/>
  <c r="N834" i="1"/>
  <c r="M834" i="1"/>
  <c r="N826" i="1"/>
  <c r="M826" i="1"/>
  <c r="N818" i="1"/>
  <c r="M818" i="1"/>
  <c r="N810" i="1"/>
  <c r="M810" i="1"/>
  <c r="N802" i="1"/>
  <c r="M802" i="1"/>
  <c r="N794" i="1"/>
  <c r="M794" i="1"/>
  <c r="N786" i="1"/>
  <c r="M786" i="1"/>
  <c r="N778" i="1"/>
  <c r="M778" i="1"/>
  <c r="N770" i="1"/>
  <c r="M770" i="1"/>
  <c r="N762" i="1"/>
  <c r="M762" i="1"/>
  <c r="N754" i="1"/>
  <c r="M754" i="1"/>
  <c r="N746" i="1"/>
  <c r="M746" i="1"/>
  <c r="N738" i="1"/>
  <c r="M738" i="1"/>
  <c r="N730" i="1"/>
  <c r="M730" i="1"/>
  <c r="N722" i="1"/>
  <c r="M722" i="1"/>
  <c r="N714" i="1"/>
  <c r="M714" i="1"/>
  <c r="N706" i="1"/>
  <c r="M706" i="1"/>
  <c r="N698" i="1"/>
  <c r="M698" i="1"/>
  <c r="N690" i="1"/>
  <c r="M690" i="1"/>
  <c r="N682" i="1"/>
  <c r="M682" i="1"/>
  <c r="N674" i="1"/>
  <c r="M674" i="1"/>
  <c r="N666" i="1"/>
  <c r="M666" i="1"/>
  <c r="N658" i="1"/>
  <c r="M658" i="1"/>
  <c r="N650" i="1"/>
  <c r="M650" i="1"/>
  <c r="N642" i="1"/>
  <c r="M642" i="1"/>
  <c r="N634" i="1"/>
  <c r="M634" i="1"/>
  <c r="N626" i="1"/>
  <c r="M626" i="1"/>
  <c r="N618" i="1"/>
  <c r="M618" i="1"/>
  <c r="N610" i="1"/>
  <c r="M610" i="1"/>
  <c r="N602" i="1"/>
  <c r="M602" i="1"/>
  <c r="N594" i="1"/>
  <c r="M594" i="1"/>
  <c r="N586" i="1"/>
  <c r="M586" i="1"/>
  <c r="N578" i="1"/>
  <c r="M578" i="1"/>
  <c r="N570" i="1"/>
  <c r="M570" i="1"/>
  <c r="N562" i="1"/>
  <c r="M562" i="1"/>
  <c r="N554" i="1"/>
  <c r="M554" i="1"/>
  <c r="N546" i="1"/>
  <c r="M546" i="1"/>
  <c r="N538" i="1"/>
  <c r="M538" i="1"/>
  <c r="N530" i="1"/>
  <c r="M530" i="1"/>
  <c r="N522" i="1"/>
  <c r="M522" i="1"/>
  <c r="N514" i="1"/>
  <c r="M514" i="1"/>
  <c r="N506" i="1"/>
  <c r="M506" i="1"/>
  <c r="N498" i="1"/>
  <c r="M498" i="1"/>
  <c r="N490" i="1"/>
  <c r="M490" i="1"/>
  <c r="N482" i="1"/>
  <c r="M482" i="1"/>
  <c r="N474" i="1"/>
  <c r="M474" i="1"/>
  <c r="N466" i="1"/>
  <c r="M466" i="1"/>
  <c r="N458" i="1"/>
  <c r="M458" i="1"/>
  <c r="N450" i="1"/>
  <c r="M450" i="1"/>
  <c r="N442" i="1"/>
  <c r="M442" i="1"/>
  <c r="N434" i="1"/>
  <c r="M434" i="1"/>
  <c r="N426" i="1"/>
  <c r="M426" i="1"/>
  <c r="N418" i="1"/>
  <c r="M418" i="1"/>
  <c r="N410" i="1"/>
  <c r="M410" i="1"/>
  <c r="N402" i="1"/>
  <c r="M402" i="1"/>
  <c r="N394" i="1"/>
  <c r="M394" i="1"/>
  <c r="N386" i="1"/>
  <c r="M386" i="1"/>
  <c r="N378" i="1"/>
  <c r="M378" i="1"/>
  <c r="N370" i="1"/>
  <c r="M370" i="1"/>
  <c r="N362" i="1"/>
  <c r="M362" i="1"/>
  <c r="N354" i="1"/>
  <c r="M354" i="1"/>
  <c r="N346" i="1"/>
  <c r="M346" i="1"/>
  <c r="N338" i="1"/>
  <c r="M338" i="1"/>
  <c r="N330" i="1"/>
  <c r="M330" i="1"/>
  <c r="N322" i="1"/>
  <c r="M322" i="1"/>
  <c r="N314" i="1"/>
  <c r="M314" i="1"/>
  <c r="N306" i="1"/>
  <c r="M306" i="1"/>
  <c r="N298" i="1"/>
  <c r="M298" i="1"/>
  <c r="N290" i="1"/>
  <c r="M290" i="1"/>
  <c r="N282" i="1"/>
  <c r="M282" i="1"/>
  <c r="N274" i="1"/>
  <c r="M274" i="1"/>
  <c r="N266" i="1"/>
  <c r="M266" i="1"/>
  <c r="N258" i="1"/>
  <c r="M258" i="1"/>
  <c r="N250" i="1"/>
  <c r="M250" i="1"/>
  <c r="N242" i="1"/>
  <c r="M242" i="1"/>
  <c r="N234" i="1"/>
  <c r="M234" i="1"/>
  <c r="N226" i="1"/>
  <c r="M226" i="1"/>
  <c r="N218" i="1"/>
  <c r="M218" i="1"/>
  <c r="N210" i="1"/>
  <c r="M210" i="1"/>
  <c r="N202" i="1"/>
  <c r="M202" i="1"/>
  <c r="N194" i="1"/>
  <c r="M194" i="1"/>
  <c r="N186" i="1"/>
  <c r="M186" i="1"/>
  <c r="N178" i="1"/>
  <c r="M178" i="1"/>
  <c r="N170" i="1"/>
  <c r="M170" i="1"/>
  <c r="N162" i="1"/>
  <c r="M162" i="1"/>
  <c r="N154" i="1"/>
  <c r="M154" i="1"/>
  <c r="N146" i="1"/>
  <c r="M146" i="1"/>
  <c r="N138" i="1"/>
  <c r="M138" i="1"/>
  <c r="N130" i="1"/>
  <c r="M130" i="1"/>
  <c r="N122" i="1"/>
  <c r="M122" i="1"/>
  <c r="N114" i="1"/>
  <c r="M114" i="1"/>
  <c r="N106" i="1"/>
  <c r="M106" i="1"/>
  <c r="N98" i="1"/>
  <c r="M98" i="1"/>
  <c r="N90" i="1"/>
  <c r="M90" i="1"/>
  <c r="N82" i="1"/>
  <c r="M82" i="1"/>
  <c r="N74" i="1"/>
  <c r="M74" i="1"/>
  <c r="N58" i="1"/>
  <c r="M58" i="1"/>
  <c r="N50" i="1"/>
  <c r="M50" i="1"/>
  <c r="N42" i="1"/>
  <c r="M42" i="1"/>
  <c r="N26" i="1"/>
  <c r="M26" i="1"/>
  <c r="N2066" i="1"/>
  <c r="M2066" i="1"/>
  <c r="N1970" i="1"/>
  <c r="M1970" i="1"/>
  <c r="N1874" i="1"/>
  <c r="M1874" i="1"/>
  <c r="N1802" i="1"/>
  <c r="M1802" i="1"/>
  <c r="N1762" i="1"/>
  <c r="M1762" i="1"/>
  <c r="N1706" i="1"/>
  <c r="M1706" i="1"/>
  <c r="N1642" i="1"/>
  <c r="M1642" i="1"/>
  <c r="N1586" i="1"/>
  <c r="M1586" i="1"/>
  <c r="N1530" i="1"/>
  <c r="M1530" i="1"/>
  <c r="N1402" i="1"/>
  <c r="M1402" i="1"/>
  <c r="N2225" i="1"/>
  <c r="M2225" i="1"/>
  <c r="N2121" i="1"/>
  <c r="M2121" i="1"/>
  <c r="N2065" i="1"/>
  <c r="M2065" i="1"/>
  <c r="N2001" i="1"/>
  <c r="M2001" i="1"/>
  <c r="N1993" i="1"/>
  <c r="M1993" i="1"/>
  <c r="M1977" i="1"/>
  <c r="N1977" i="1"/>
  <c r="N1969" i="1"/>
  <c r="M1969" i="1"/>
  <c r="N1961" i="1"/>
  <c r="M1961" i="1"/>
  <c r="N1945" i="1"/>
  <c r="M1945" i="1"/>
  <c r="N1937" i="1"/>
  <c r="M1937" i="1"/>
  <c r="N1929" i="1"/>
  <c r="M1929" i="1"/>
  <c r="N1913" i="1"/>
  <c r="M1913" i="1"/>
  <c r="N1905" i="1"/>
  <c r="M1905" i="1"/>
  <c r="N1897" i="1"/>
  <c r="M1897" i="1"/>
  <c r="N1881" i="1"/>
  <c r="M1881" i="1"/>
  <c r="N1873" i="1"/>
  <c r="M1873" i="1"/>
  <c r="N1865" i="1"/>
  <c r="M1865" i="1"/>
  <c r="N1857" i="1"/>
  <c r="M1857" i="1"/>
  <c r="N1849" i="1"/>
  <c r="M1849" i="1"/>
  <c r="N1841" i="1"/>
  <c r="M1841" i="1"/>
  <c r="N1833" i="1"/>
  <c r="M1833" i="1"/>
  <c r="N1825" i="1"/>
  <c r="M1825" i="1"/>
  <c r="N1817" i="1"/>
  <c r="M1817" i="1"/>
  <c r="N1809" i="1"/>
  <c r="M1809" i="1"/>
  <c r="N1801" i="1"/>
  <c r="M1801" i="1"/>
  <c r="N1793" i="1"/>
  <c r="M1793" i="1"/>
  <c r="N1785" i="1"/>
  <c r="M1785" i="1"/>
  <c r="N1777" i="1"/>
  <c r="M1777" i="1"/>
  <c r="N1769" i="1"/>
  <c r="M1769" i="1"/>
  <c r="N1761" i="1"/>
  <c r="M1761" i="1"/>
  <c r="N1753" i="1"/>
  <c r="M1753" i="1"/>
  <c r="N1745" i="1"/>
  <c r="M1745" i="1"/>
  <c r="N1737" i="1"/>
  <c r="M1737" i="1"/>
  <c r="N1729" i="1"/>
  <c r="M1729" i="1"/>
  <c r="N1721" i="1"/>
  <c r="M1721" i="1"/>
  <c r="N1713" i="1"/>
  <c r="M1713" i="1"/>
  <c r="M1705" i="1"/>
  <c r="N1705" i="1"/>
  <c r="N1697" i="1"/>
  <c r="M1697" i="1"/>
  <c r="N1689" i="1"/>
  <c r="M1689" i="1"/>
  <c r="N1681" i="1"/>
  <c r="M1681" i="1"/>
  <c r="N1673" i="1"/>
  <c r="M1673" i="1"/>
  <c r="N1665" i="1"/>
  <c r="M1665" i="1"/>
  <c r="N1657" i="1"/>
  <c r="M1657" i="1"/>
  <c r="N1649" i="1"/>
  <c r="M1649" i="1"/>
  <c r="N1641" i="1"/>
  <c r="M1641" i="1"/>
  <c r="N1633" i="1"/>
  <c r="M1633" i="1"/>
  <c r="N1625" i="1"/>
  <c r="M1625" i="1"/>
  <c r="N1617" i="1"/>
  <c r="M1617" i="1"/>
  <c r="N1609" i="1"/>
  <c r="M1609" i="1"/>
  <c r="N1601" i="1"/>
  <c r="M1601" i="1"/>
  <c r="N1593" i="1"/>
  <c r="M1593" i="1"/>
  <c r="N1585" i="1"/>
  <c r="M1585" i="1"/>
  <c r="N1577" i="1"/>
  <c r="M1577" i="1"/>
  <c r="N1569" i="1"/>
  <c r="M1569" i="1"/>
  <c r="N1561" i="1"/>
  <c r="M1561" i="1"/>
  <c r="N1553" i="1"/>
  <c r="M1553" i="1"/>
  <c r="N1545" i="1"/>
  <c r="M1545" i="1"/>
  <c r="N1537" i="1"/>
  <c r="M1537" i="1"/>
  <c r="N1529" i="1"/>
  <c r="M1529" i="1"/>
  <c r="N1521" i="1"/>
  <c r="M1521" i="1"/>
  <c r="N1513" i="1"/>
  <c r="M1513" i="1"/>
  <c r="N1505" i="1"/>
  <c r="M1505" i="1"/>
  <c r="N1497" i="1"/>
  <c r="M1497" i="1"/>
  <c r="N1489" i="1"/>
  <c r="M1489" i="1"/>
  <c r="N1481" i="1"/>
  <c r="M1481" i="1"/>
  <c r="N1473" i="1"/>
  <c r="M1473" i="1"/>
  <c r="N1465" i="1"/>
  <c r="M1465" i="1"/>
  <c r="N1457" i="1"/>
  <c r="M1457" i="1"/>
  <c r="N1449" i="1"/>
  <c r="M1449" i="1"/>
  <c r="N1441" i="1"/>
  <c r="M1441" i="1"/>
  <c r="N1433" i="1"/>
  <c r="M1433" i="1"/>
  <c r="N1425" i="1"/>
  <c r="M1425" i="1"/>
  <c r="N1417" i="1"/>
  <c r="M1417" i="1"/>
  <c r="N1409" i="1"/>
  <c r="M1409" i="1"/>
  <c r="N1401" i="1"/>
  <c r="M1401" i="1"/>
  <c r="N1393" i="1"/>
  <c r="M1393" i="1"/>
  <c r="N1385" i="1"/>
  <c r="M1385" i="1"/>
  <c r="N1377" i="1"/>
  <c r="M1377" i="1"/>
  <c r="N1369" i="1"/>
  <c r="M1369" i="1"/>
  <c r="N1361" i="1"/>
  <c r="M1361" i="1"/>
  <c r="N1353" i="1"/>
  <c r="M1353" i="1"/>
  <c r="N1345" i="1"/>
  <c r="M1345" i="1"/>
  <c r="N1337" i="1"/>
  <c r="M1337" i="1"/>
  <c r="N1329" i="1"/>
  <c r="M1329" i="1"/>
  <c r="N1321" i="1"/>
  <c r="M1321" i="1"/>
  <c r="N1313" i="1"/>
  <c r="M1313" i="1"/>
  <c r="N1305" i="1"/>
  <c r="M1305" i="1"/>
  <c r="N1297" i="1"/>
  <c r="M1297" i="1"/>
  <c r="N1289" i="1"/>
  <c r="M1289" i="1"/>
  <c r="N1281" i="1"/>
  <c r="M1281" i="1"/>
  <c r="N1273" i="1"/>
  <c r="M1273" i="1"/>
  <c r="N1265" i="1"/>
  <c r="M1265" i="1"/>
  <c r="N1257" i="1"/>
  <c r="M1257" i="1"/>
  <c r="N1249" i="1"/>
  <c r="M1249" i="1"/>
  <c r="N1241" i="1"/>
  <c r="M1241" i="1"/>
  <c r="N1233" i="1"/>
  <c r="M1233" i="1"/>
  <c r="N1225" i="1"/>
  <c r="M1225" i="1"/>
  <c r="N1217" i="1"/>
  <c r="M1217" i="1"/>
  <c r="N1209" i="1"/>
  <c r="M1209" i="1"/>
  <c r="N1201" i="1"/>
  <c r="M1201" i="1"/>
  <c r="N1193" i="1"/>
  <c r="M1193" i="1"/>
  <c r="N1185" i="1"/>
  <c r="M1185" i="1"/>
  <c r="N1177" i="1"/>
  <c r="M1177" i="1"/>
  <c r="N1169" i="1"/>
  <c r="M1169" i="1"/>
  <c r="N1161" i="1"/>
  <c r="M1161" i="1"/>
  <c r="N1153" i="1"/>
  <c r="M1153" i="1"/>
  <c r="N1145" i="1"/>
  <c r="M1145" i="1"/>
  <c r="N1137" i="1"/>
  <c r="M1137" i="1"/>
  <c r="N1129" i="1"/>
  <c r="M1129" i="1"/>
  <c r="N1121" i="1"/>
  <c r="M1121" i="1"/>
  <c r="N1113" i="1"/>
  <c r="M1113" i="1"/>
  <c r="N1105" i="1"/>
  <c r="M1105" i="1"/>
  <c r="N1097" i="1"/>
  <c r="M1097" i="1"/>
  <c r="N1089" i="1"/>
  <c r="M1089" i="1"/>
  <c r="N1081" i="1"/>
  <c r="M1081" i="1"/>
  <c r="N1073" i="1"/>
  <c r="M1073" i="1"/>
  <c r="N1065" i="1"/>
  <c r="M1065" i="1"/>
  <c r="N1057" i="1"/>
  <c r="M1057" i="1"/>
  <c r="N1049" i="1"/>
  <c r="M1049" i="1"/>
  <c r="N1041" i="1"/>
  <c r="M1041" i="1"/>
  <c r="N1033" i="1"/>
  <c r="M1033" i="1"/>
  <c r="N1025" i="1"/>
  <c r="M1025" i="1"/>
  <c r="N1017" i="1"/>
  <c r="M1017" i="1"/>
  <c r="N1009" i="1"/>
  <c r="M1009" i="1"/>
  <c r="N1001" i="1"/>
  <c r="M1001" i="1"/>
  <c r="N993" i="1"/>
  <c r="M993" i="1"/>
  <c r="N985" i="1"/>
  <c r="M985" i="1"/>
  <c r="N977" i="1"/>
  <c r="M977" i="1"/>
  <c r="N969" i="1"/>
  <c r="M969" i="1"/>
  <c r="N961" i="1"/>
  <c r="M961" i="1"/>
  <c r="N953" i="1"/>
  <c r="M953" i="1"/>
  <c r="N945" i="1"/>
  <c r="M945" i="1"/>
  <c r="N937" i="1"/>
  <c r="M937" i="1"/>
  <c r="N929" i="1"/>
  <c r="M929" i="1"/>
  <c r="N921" i="1"/>
  <c r="M921" i="1"/>
  <c r="N913" i="1"/>
  <c r="M913" i="1"/>
  <c r="N905" i="1"/>
  <c r="M905" i="1"/>
  <c r="N897" i="1"/>
  <c r="M897" i="1"/>
  <c r="N889" i="1"/>
  <c r="M889" i="1"/>
  <c r="N881" i="1"/>
  <c r="M881" i="1"/>
  <c r="N873" i="1"/>
  <c r="M873" i="1"/>
  <c r="N865" i="1"/>
  <c r="M865" i="1"/>
  <c r="N857" i="1"/>
  <c r="M857" i="1"/>
  <c r="N849" i="1"/>
  <c r="M849" i="1"/>
  <c r="N841" i="1"/>
  <c r="M841" i="1"/>
  <c r="N833" i="1"/>
  <c r="M833" i="1"/>
  <c r="N825" i="1"/>
  <c r="M825" i="1"/>
  <c r="N817" i="1"/>
  <c r="M817" i="1"/>
  <c r="N809" i="1"/>
  <c r="M809" i="1"/>
  <c r="N801" i="1"/>
  <c r="M801" i="1"/>
  <c r="N793" i="1"/>
  <c r="M793" i="1"/>
  <c r="N785" i="1"/>
  <c r="M785" i="1"/>
  <c r="N777" i="1"/>
  <c r="M777" i="1"/>
  <c r="N769" i="1"/>
  <c r="M769" i="1"/>
  <c r="N761" i="1"/>
  <c r="M761" i="1"/>
  <c r="N753" i="1"/>
  <c r="M753" i="1"/>
  <c r="N745" i="1"/>
  <c r="M745" i="1"/>
  <c r="N737" i="1"/>
  <c r="M737" i="1"/>
  <c r="N729" i="1"/>
  <c r="M729" i="1"/>
  <c r="N721" i="1"/>
  <c r="M721" i="1"/>
  <c r="N713" i="1"/>
  <c r="M713" i="1"/>
  <c r="N705" i="1"/>
  <c r="M705" i="1"/>
  <c r="N697" i="1"/>
  <c r="M697" i="1"/>
  <c r="N689" i="1"/>
  <c r="M689" i="1"/>
  <c r="N681" i="1"/>
  <c r="M681" i="1"/>
  <c r="N673" i="1"/>
  <c r="M673" i="1"/>
  <c r="N665" i="1"/>
  <c r="M665" i="1"/>
  <c r="N657" i="1"/>
  <c r="M657" i="1"/>
  <c r="N649" i="1"/>
  <c r="M649" i="1"/>
  <c r="N641" i="1"/>
  <c r="M641" i="1"/>
  <c r="N633" i="1"/>
  <c r="M633" i="1"/>
  <c r="N625" i="1"/>
  <c r="M625" i="1"/>
  <c r="N617" i="1"/>
  <c r="M617" i="1"/>
  <c r="N609" i="1"/>
  <c r="M609" i="1"/>
  <c r="N601" i="1"/>
  <c r="M601" i="1"/>
  <c r="N593" i="1"/>
  <c r="M593" i="1"/>
  <c r="N585" i="1"/>
  <c r="M585" i="1"/>
  <c r="N577" i="1"/>
  <c r="M577" i="1"/>
  <c r="N569" i="1"/>
  <c r="M569" i="1"/>
  <c r="N561" i="1"/>
  <c r="M561" i="1"/>
  <c r="N553" i="1"/>
  <c r="M553" i="1"/>
  <c r="N545" i="1"/>
  <c r="M545" i="1"/>
  <c r="N537" i="1"/>
  <c r="M537" i="1"/>
  <c r="N529" i="1"/>
  <c r="M529" i="1"/>
  <c r="N521" i="1"/>
  <c r="M521" i="1"/>
  <c r="N513" i="1"/>
  <c r="M513" i="1"/>
  <c r="N505" i="1"/>
  <c r="M505" i="1"/>
  <c r="N497" i="1"/>
  <c r="M497" i="1"/>
  <c r="N489" i="1"/>
  <c r="M489" i="1"/>
  <c r="N481" i="1"/>
  <c r="M481" i="1"/>
  <c r="N473" i="1"/>
  <c r="M473" i="1"/>
  <c r="N465" i="1"/>
  <c r="M465" i="1"/>
  <c r="N457" i="1"/>
  <c r="M457" i="1"/>
  <c r="N449" i="1"/>
  <c r="M449" i="1"/>
  <c r="N441" i="1"/>
  <c r="M441" i="1"/>
  <c r="N433" i="1"/>
  <c r="M433" i="1"/>
  <c r="N425" i="1"/>
  <c r="M425" i="1"/>
  <c r="N417" i="1"/>
  <c r="M417" i="1"/>
  <c r="N409" i="1"/>
  <c r="M409" i="1"/>
  <c r="N401" i="1"/>
  <c r="M401" i="1"/>
  <c r="N393" i="1"/>
  <c r="M393" i="1"/>
  <c r="N385" i="1"/>
  <c r="M385" i="1"/>
  <c r="N377" i="1"/>
  <c r="M377" i="1"/>
  <c r="N369" i="1"/>
  <c r="M369" i="1"/>
  <c r="N361" i="1"/>
  <c r="M361" i="1"/>
  <c r="N353" i="1"/>
  <c r="M353" i="1"/>
  <c r="N345" i="1"/>
  <c r="M345" i="1"/>
  <c r="N337" i="1"/>
  <c r="M337" i="1"/>
  <c r="N329" i="1"/>
  <c r="M329" i="1"/>
  <c r="N321" i="1"/>
  <c r="M321" i="1"/>
  <c r="N313" i="1"/>
  <c r="M313" i="1"/>
  <c r="N305" i="1"/>
  <c r="M305" i="1"/>
  <c r="N297" i="1"/>
  <c r="M297" i="1"/>
  <c r="N289" i="1"/>
  <c r="M289" i="1"/>
  <c r="N281" i="1"/>
  <c r="M281" i="1"/>
  <c r="N273" i="1"/>
  <c r="M273" i="1"/>
  <c r="N265" i="1"/>
  <c r="M265" i="1"/>
  <c r="N257" i="1"/>
  <c r="M257" i="1"/>
  <c r="N249" i="1"/>
  <c r="M249" i="1"/>
  <c r="N241" i="1"/>
  <c r="M241" i="1"/>
  <c r="N233" i="1"/>
  <c r="M233" i="1"/>
  <c r="N225" i="1"/>
  <c r="M225" i="1"/>
  <c r="N217" i="1"/>
  <c r="M217" i="1"/>
  <c r="N209" i="1"/>
  <c r="M209" i="1"/>
  <c r="N201" i="1"/>
  <c r="M201" i="1"/>
  <c r="N193" i="1"/>
  <c r="M193" i="1"/>
  <c r="N185" i="1"/>
  <c r="M185" i="1"/>
  <c r="N177" i="1"/>
  <c r="M177" i="1"/>
  <c r="N169" i="1"/>
  <c r="M169" i="1"/>
  <c r="N161" i="1"/>
  <c r="M161" i="1"/>
  <c r="N153" i="1"/>
  <c r="M153" i="1"/>
  <c r="N145" i="1"/>
  <c r="M145" i="1"/>
  <c r="N137" i="1"/>
  <c r="M137" i="1"/>
  <c r="N129" i="1"/>
  <c r="M129" i="1"/>
  <c r="N121" i="1"/>
  <c r="M121" i="1"/>
  <c r="N113" i="1"/>
  <c r="M113" i="1"/>
  <c r="N105" i="1"/>
  <c r="M105" i="1"/>
  <c r="N97" i="1"/>
  <c r="M97" i="1"/>
  <c r="N89" i="1"/>
  <c r="M89" i="1"/>
  <c r="N81" i="1"/>
  <c r="M81" i="1"/>
  <c r="N73" i="1"/>
  <c r="M73" i="1"/>
  <c r="N65" i="1"/>
  <c r="M65" i="1"/>
  <c r="N57" i="1"/>
  <c r="M57" i="1"/>
  <c r="N49" i="1"/>
  <c r="M49" i="1"/>
  <c r="N41" i="1"/>
  <c r="M41" i="1"/>
  <c r="N33" i="1"/>
  <c r="M33" i="1"/>
  <c r="N25" i="1"/>
  <c r="M25" i="1"/>
  <c r="N17" i="1"/>
  <c r="M17" i="1"/>
  <c r="N9" i="1"/>
  <c r="M9" i="1"/>
  <c r="N2034" i="1"/>
  <c r="M2034" i="1"/>
  <c r="N1914" i="1"/>
  <c r="M1914" i="1"/>
  <c r="N1842" i="1"/>
  <c r="M1842" i="1"/>
  <c r="N1714" i="1"/>
  <c r="M1714" i="1"/>
  <c r="N1650" i="1"/>
  <c r="M1650" i="1"/>
  <c r="N1594" i="1"/>
  <c r="M1594" i="1"/>
  <c r="N1490" i="1"/>
  <c r="M1490" i="1"/>
  <c r="N1362" i="1"/>
  <c r="M1362" i="1"/>
  <c r="N2161" i="1"/>
  <c r="M2161" i="1"/>
  <c r="N2057" i="1"/>
  <c r="M2057" i="1"/>
  <c r="N2232" i="1"/>
  <c r="M2232" i="1"/>
  <c r="N2224" i="1"/>
  <c r="M2224" i="1"/>
  <c r="N2216" i="1"/>
  <c r="M2216" i="1"/>
  <c r="N2208" i="1"/>
  <c r="M2208" i="1"/>
  <c r="N2200" i="1"/>
  <c r="M2200" i="1"/>
  <c r="N2192" i="1"/>
  <c r="M2192" i="1"/>
  <c r="N2184" i="1"/>
  <c r="M2184" i="1"/>
  <c r="N2176" i="1"/>
  <c r="M2176" i="1"/>
  <c r="N2168" i="1"/>
  <c r="M2168" i="1"/>
  <c r="N2160" i="1"/>
  <c r="M2160" i="1"/>
  <c r="N2152" i="1"/>
  <c r="M2152" i="1"/>
  <c r="N2144" i="1"/>
  <c r="M2144" i="1"/>
  <c r="N2136" i="1"/>
  <c r="M2136" i="1"/>
  <c r="N2128" i="1"/>
  <c r="M2128" i="1"/>
  <c r="N2120" i="1"/>
  <c r="M2120" i="1"/>
  <c r="N2112" i="1"/>
  <c r="M2112" i="1"/>
  <c r="N2104" i="1"/>
  <c r="M2104" i="1"/>
  <c r="N2096" i="1"/>
  <c r="M2096" i="1"/>
  <c r="N2088" i="1"/>
  <c r="M2088" i="1"/>
  <c r="N2080" i="1"/>
  <c r="M2080" i="1"/>
  <c r="N2072" i="1"/>
  <c r="M2072" i="1"/>
  <c r="N2064" i="1"/>
  <c r="M2064" i="1"/>
  <c r="N2056" i="1"/>
  <c r="M2056" i="1"/>
  <c r="N2048" i="1"/>
  <c r="M2048" i="1"/>
  <c r="N2040" i="1"/>
  <c r="M2040" i="1"/>
  <c r="N2032" i="1"/>
  <c r="M2032" i="1"/>
  <c r="N2024" i="1"/>
  <c r="M2024" i="1"/>
  <c r="N2016" i="1"/>
  <c r="M2016" i="1"/>
  <c r="N2008" i="1"/>
  <c r="M2008" i="1"/>
  <c r="N2000" i="1"/>
  <c r="M2000" i="1"/>
  <c r="N1992" i="1"/>
  <c r="M1992" i="1"/>
  <c r="N1984" i="1"/>
  <c r="M1984" i="1"/>
  <c r="N1976" i="1"/>
  <c r="M1976" i="1"/>
  <c r="N1968" i="1"/>
  <c r="M1968" i="1"/>
  <c r="N1960" i="1"/>
  <c r="M1960" i="1"/>
  <c r="N1952" i="1"/>
  <c r="M1952" i="1"/>
  <c r="N1944" i="1"/>
  <c r="M1944" i="1"/>
  <c r="N1936" i="1"/>
  <c r="M1936" i="1"/>
  <c r="N1928" i="1"/>
  <c r="M1928" i="1"/>
  <c r="N1920" i="1"/>
  <c r="M1920" i="1"/>
  <c r="N1912" i="1"/>
  <c r="M1912" i="1"/>
  <c r="N1904" i="1"/>
  <c r="M1904" i="1"/>
  <c r="N1896" i="1"/>
  <c r="M1896" i="1"/>
  <c r="N1888" i="1"/>
  <c r="M1888" i="1"/>
  <c r="M1880" i="1"/>
  <c r="N1880" i="1"/>
  <c r="N1872" i="1"/>
  <c r="M1872" i="1"/>
  <c r="N1864" i="1"/>
  <c r="M1864" i="1"/>
  <c r="N1856" i="1"/>
  <c r="M1856" i="1"/>
  <c r="N1848" i="1"/>
  <c r="M1848" i="1"/>
  <c r="N1840" i="1"/>
  <c r="M1840" i="1"/>
  <c r="N1832" i="1"/>
  <c r="M1832" i="1"/>
  <c r="N1824" i="1"/>
  <c r="M1824" i="1"/>
  <c r="N1816" i="1"/>
  <c r="M1816" i="1"/>
  <c r="N1808" i="1"/>
  <c r="M1808" i="1"/>
  <c r="N1800" i="1"/>
  <c r="M1800" i="1"/>
  <c r="N1792" i="1"/>
  <c r="M1792" i="1"/>
  <c r="N1784" i="1"/>
  <c r="M1784" i="1"/>
  <c r="N1776" i="1"/>
  <c r="M1776" i="1"/>
  <c r="N1768" i="1"/>
  <c r="M1768" i="1"/>
  <c r="N1760" i="1"/>
  <c r="M1760" i="1"/>
  <c r="N1752" i="1"/>
  <c r="M1752" i="1"/>
  <c r="M1744" i="1"/>
  <c r="N1744" i="1"/>
  <c r="N1736" i="1"/>
  <c r="M1736" i="1"/>
  <c r="N1728" i="1"/>
  <c r="M1728" i="1"/>
  <c r="N1720" i="1"/>
  <c r="M1720" i="1"/>
  <c r="N1712" i="1"/>
  <c r="M1712" i="1"/>
  <c r="N1704" i="1"/>
  <c r="M1704" i="1"/>
  <c r="N1696" i="1"/>
  <c r="M1696" i="1"/>
  <c r="N1688" i="1"/>
  <c r="M1688" i="1"/>
  <c r="M1680" i="1"/>
  <c r="N1680" i="1"/>
  <c r="N1672" i="1"/>
  <c r="M1672" i="1"/>
  <c r="N1664" i="1"/>
  <c r="M1664" i="1"/>
  <c r="N1656" i="1"/>
  <c r="M1656" i="1"/>
  <c r="N1648" i="1"/>
  <c r="M1648" i="1"/>
  <c r="N1640" i="1"/>
  <c r="M1640" i="1"/>
  <c r="N1632" i="1"/>
  <c r="M1632" i="1"/>
  <c r="N1624" i="1"/>
  <c r="M1624" i="1"/>
  <c r="N1616" i="1"/>
  <c r="M1616" i="1"/>
  <c r="N1608" i="1"/>
  <c r="M1608" i="1"/>
  <c r="N1600" i="1"/>
  <c r="M1600" i="1"/>
  <c r="N1592" i="1"/>
  <c r="M1592" i="1"/>
  <c r="N1584" i="1"/>
  <c r="M1584" i="1"/>
  <c r="N1576" i="1"/>
  <c r="M1576" i="1"/>
  <c r="N1568" i="1"/>
  <c r="M1568" i="1"/>
  <c r="N1560" i="1"/>
  <c r="M1560" i="1"/>
  <c r="N1552" i="1"/>
  <c r="M1552" i="1"/>
  <c r="N1544" i="1"/>
  <c r="M1544" i="1"/>
  <c r="N1536" i="1"/>
  <c r="M1536" i="1"/>
  <c r="N1528" i="1"/>
  <c r="M1528" i="1"/>
  <c r="N1520" i="1"/>
  <c r="M1520" i="1"/>
  <c r="N1512" i="1"/>
  <c r="M1512" i="1"/>
  <c r="N1504" i="1"/>
  <c r="M1504" i="1"/>
  <c r="N1496" i="1"/>
  <c r="M1496" i="1"/>
  <c r="N1488" i="1"/>
  <c r="M1488" i="1"/>
  <c r="N1480" i="1"/>
  <c r="M1480" i="1"/>
  <c r="N1472" i="1"/>
  <c r="M1472" i="1"/>
  <c r="N1464" i="1"/>
  <c r="M1464" i="1"/>
  <c r="N1456" i="1"/>
  <c r="M1456" i="1"/>
  <c r="N1448" i="1"/>
  <c r="M1448" i="1"/>
  <c r="N1440" i="1"/>
  <c r="M1440" i="1"/>
  <c r="N1432" i="1"/>
  <c r="M1432" i="1"/>
  <c r="N1424" i="1"/>
  <c r="M1424" i="1"/>
  <c r="N1416" i="1"/>
  <c r="M1416" i="1"/>
  <c r="N1408" i="1"/>
  <c r="M1408" i="1"/>
  <c r="N1400" i="1"/>
  <c r="M1400" i="1"/>
  <c r="N1392" i="1"/>
  <c r="M1392" i="1"/>
  <c r="N1384" i="1"/>
  <c r="M1384" i="1"/>
  <c r="N1376" i="1"/>
  <c r="M1376" i="1"/>
  <c r="N1368" i="1"/>
  <c r="M1368" i="1"/>
  <c r="N1360" i="1"/>
  <c r="M1360" i="1"/>
  <c r="N1352" i="1"/>
  <c r="M1352" i="1"/>
  <c r="N1344" i="1"/>
  <c r="M1344" i="1"/>
  <c r="N1336" i="1"/>
  <c r="M1336" i="1"/>
  <c r="N1328" i="1"/>
  <c r="M1328" i="1"/>
  <c r="N1320" i="1"/>
  <c r="M1320" i="1"/>
  <c r="N1312" i="1"/>
  <c r="M1312" i="1"/>
  <c r="N1304" i="1"/>
  <c r="M1304" i="1"/>
  <c r="N1296" i="1"/>
  <c r="M1296" i="1"/>
  <c r="N1288" i="1"/>
  <c r="M1288" i="1"/>
  <c r="N1280" i="1"/>
  <c r="M1280" i="1"/>
  <c r="N1272" i="1"/>
  <c r="M1272" i="1"/>
  <c r="N1264" i="1"/>
  <c r="M1264" i="1"/>
  <c r="N1256" i="1"/>
  <c r="M1256" i="1"/>
  <c r="N1248" i="1"/>
  <c r="M1248" i="1"/>
  <c r="N1240" i="1"/>
  <c r="M1240" i="1"/>
  <c r="N1232" i="1"/>
  <c r="M1232" i="1"/>
  <c r="N1224" i="1"/>
  <c r="M1224" i="1"/>
  <c r="N1216" i="1"/>
  <c r="M1216" i="1"/>
  <c r="N1208" i="1"/>
  <c r="M1208" i="1"/>
  <c r="N1200" i="1"/>
  <c r="M1200" i="1"/>
  <c r="N1192" i="1"/>
  <c r="M1192" i="1"/>
  <c r="N1184" i="1"/>
  <c r="M1184" i="1"/>
  <c r="N1176" i="1"/>
  <c r="M1176" i="1"/>
  <c r="N1168" i="1"/>
  <c r="M1168" i="1"/>
  <c r="N1160" i="1"/>
  <c r="M1160" i="1"/>
  <c r="N1152" i="1"/>
  <c r="M1152" i="1"/>
  <c r="N1144" i="1"/>
  <c r="M1144" i="1"/>
  <c r="N1136" i="1"/>
  <c r="M1136" i="1"/>
  <c r="N1128" i="1"/>
  <c r="M1128" i="1"/>
  <c r="N1120" i="1"/>
  <c r="M1120" i="1"/>
  <c r="N1112" i="1"/>
  <c r="M1112" i="1"/>
  <c r="N1104" i="1"/>
  <c r="M1104" i="1"/>
  <c r="N1096" i="1"/>
  <c r="M1096" i="1"/>
  <c r="N1088" i="1"/>
  <c r="M1088" i="1"/>
  <c r="N1080" i="1"/>
  <c r="M1080" i="1"/>
  <c r="N1072" i="1"/>
  <c r="M1072" i="1"/>
  <c r="N1064" i="1"/>
  <c r="M1064" i="1"/>
  <c r="N1056" i="1"/>
  <c r="M1056" i="1"/>
  <c r="N1048" i="1"/>
  <c r="M1048" i="1"/>
  <c r="N1040" i="1"/>
  <c r="M1040" i="1"/>
  <c r="N1032" i="1"/>
  <c r="M1032" i="1"/>
  <c r="N1024" i="1"/>
  <c r="M1024" i="1"/>
  <c r="N1016" i="1"/>
  <c r="M1016" i="1"/>
  <c r="N1008" i="1"/>
  <c r="M1008" i="1"/>
  <c r="N1000" i="1"/>
  <c r="M1000" i="1"/>
  <c r="N992" i="1"/>
  <c r="M992" i="1"/>
  <c r="N984" i="1"/>
  <c r="M984" i="1"/>
  <c r="N976" i="1"/>
  <c r="M976" i="1"/>
  <c r="N968" i="1"/>
  <c r="M968" i="1"/>
  <c r="N960" i="1"/>
  <c r="M960" i="1"/>
  <c r="N952" i="1"/>
  <c r="M952" i="1"/>
  <c r="N944" i="1"/>
  <c r="M944" i="1"/>
  <c r="N936" i="1"/>
  <c r="M936" i="1"/>
  <c r="N928" i="1"/>
  <c r="M928" i="1"/>
  <c r="N920" i="1"/>
  <c r="M920" i="1"/>
  <c r="N912" i="1"/>
  <c r="M912" i="1"/>
  <c r="N904" i="1"/>
  <c r="M904" i="1"/>
  <c r="N896" i="1"/>
  <c r="M896" i="1"/>
  <c r="N888" i="1"/>
  <c r="M888" i="1"/>
  <c r="N880" i="1"/>
  <c r="M880" i="1"/>
  <c r="N872" i="1"/>
  <c r="M872" i="1"/>
  <c r="N864" i="1"/>
  <c r="M864" i="1"/>
  <c r="N856" i="1"/>
  <c r="M856" i="1"/>
  <c r="N848" i="1"/>
  <c r="M848" i="1"/>
  <c r="N840" i="1"/>
  <c r="M840" i="1"/>
  <c r="N832" i="1"/>
  <c r="M832" i="1"/>
  <c r="N824" i="1"/>
  <c r="M824" i="1"/>
  <c r="N816" i="1"/>
  <c r="M816" i="1"/>
  <c r="N808" i="1"/>
  <c r="M808" i="1"/>
  <c r="N800" i="1"/>
  <c r="M800" i="1"/>
  <c r="N792" i="1"/>
  <c r="M792" i="1"/>
  <c r="N784" i="1"/>
  <c r="M784" i="1"/>
  <c r="N776" i="1"/>
  <c r="M776" i="1"/>
  <c r="N768" i="1"/>
  <c r="M768" i="1"/>
  <c r="N760" i="1"/>
  <c r="M760" i="1"/>
  <c r="N752" i="1"/>
  <c r="M752" i="1"/>
  <c r="N744" i="1"/>
  <c r="M744" i="1"/>
  <c r="N736" i="1"/>
  <c r="M736" i="1"/>
  <c r="N728" i="1"/>
  <c r="M728" i="1"/>
  <c r="N720" i="1"/>
  <c r="M720" i="1"/>
  <c r="N712" i="1"/>
  <c r="M712" i="1"/>
  <c r="N704" i="1"/>
  <c r="M704" i="1"/>
  <c r="N696" i="1"/>
  <c r="M696" i="1"/>
  <c r="N688" i="1"/>
  <c r="M688" i="1"/>
  <c r="N680" i="1"/>
  <c r="M680" i="1"/>
  <c r="N672" i="1"/>
  <c r="M672" i="1"/>
  <c r="N664" i="1"/>
  <c r="M664" i="1"/>
  <c r="N656" i="1"/>
  <c r="M656" i="1"/>
  <c r="N648" i="1"/>
  <c r="M648" i="1"/>
  <c r="N640" i="1"/>
  <c r="M640" i="1"/>
  <c r="N632" i="1"/>
  <c r="M632" i="1"/>
  <c r="N624" i="1"/>
  <c r="M624" i="1"/>
  <c r="N616" i="1"/>
  <c r="M616" i="1"/>
  <c r="N608" i="1"/>
  <c r="M608" i="1"/>
  <c r="N600" i="1"/>
  <c r="M600" i="1"/>
  <c r="N592" i="1"/>
  <c r="M592" i="1"/>
  <c r="N584" i="1"/>
  <c r="M584" i="1"/>
  <c r="N576" i="1"/>
  <c r="M576" i="1"/>
  <c r="N568" i="1"/>
  <c r="M568" i="1"/>
  <c r="N560" i="1"/>
  <c r="M560" i="1"/>
  <c r="N552" i="1"/>
  <c r="M552" i="1"/>
  <c r="N544" i="1"/>
  <c r="M544" i="1"/>
  <c r="N536" i="1"/>
  <c r="M536" i="1"/>
  <c r="N528" i="1"/>
  <c r="M528" i="1"/>
  <c r="N520" i="1"/>
  <c r="M520" i="1"/>
  <c r="N512" i="1"/>
  <c r="M512" i="1"/>
  <c r="N504" i="1"/>
  <c r="M504" i="1"/>
  <c r="N496" i="1"/>
  <c r="M496" i="1"/>
  <c r="N488" i="1"/>
  <c r="M488" i="1"/>
  <c r="N480" i="1"/>
  <c r="M480" i="1"/>
  <c r="N472" i="1"/>
  <c r="M472" i="1"/>
  <c r="N464" i="1"/>
  <c r="M464" i="1"/>
  <c r="N456" i="1"/>
  <c r="M456" i="1"/>
  <c r="N448" i="1"/>
  <c r="M448" i="1"/>
  <c r="N440" i="1"/>
  <c r="M440" i="1"/>
  <c r="N432" i="1"/>
  <c r="M432" i="1"/>
  <c r="N424" i="1"/>
  <c r="M424" i="1"/>
  <c r="N416" i="1"/>
  <c r="M416" i="1"/>
  <c r="N408" i="1"/>
  <c r="M408" i="1"/>
  <c r="N400" i="1"/>
  <c r="M400" i="1"/>
  <c r="N392" i="1"/>
  <c r="M392" i="1"/>
  <c r="N384" i="1"/>
  <c r="M384" i="1"/>
  <c r="N376" i="1"/>
  <c r="M376" i="1"/>
  <c r="N368" i="1"/>
  <c r="M368" i="1"/>
  <c r="N360" i="1"/>
  <c r="M360" i="1"/>
  <c r="N352" i="1"/>
  <c r="M352" i="1"/>
  <c r="N344" i="1"/>
  <c r="M344" i="1"/>
  <c r="N336" i="1"/>
  <c r="M336" i="1"/>
  <c r="N328" i="1"/>
  <c r="M328" i="1"/>
  <c r="N320" i="1"/>
  <c r="M320" i="1"/>
  <c r="N312" i="1"/>
  <c r="M312" i="1"/>
  <c r="N304" i="1"/>
  <c r="M304" i="1"/>
  <c r="N296" i="1"/>
  <c r="M296" i="1"/>
  <c r="N288" i="1"/>
  <c r="M288" i="1"/>
  <c r="N280" i="1"/>
  <c r="M280" i="1"/>
  <c r="N272" i="1"/>
  <c r="M272" i="1"/>
  <c r="N264" i="1"/>
  <c r="M264" i="1"/>
  <c r="N256" i="1"/>
  <c r="M256" i="1"/>
  <c r="N248" i="1"/>
  <c r="M248" i="1"/>
  <c r="N240" i="1"/>
  <c r="M240" i="1"/>
  <c r="N232" i="1"/>
  <c r="M232" i="1"/>
  <c r="N224" i="1"/>
  <c r="M224" i="1"/>
  <c r="N216" i="1"/>
  <c r="M216" i="1"/>
  <c r="N208" i="1"/>
  <c r="M208" i="1"/>
  <c r="N200" i="1"/>
  <c r="M200" i="1"/>
  <c r="N192" i="1"/>
  <c r="M192" i="1"/>
  <c r="N184" i="1"/>
  <c r="M184" i="1"/>
  <c r="N176" i="1"/>
  <c r="M176" i="1"/>
  <c r="N168" i="1"/>
  <c r="M168" i="1"/>
  <c r="N160" i="1"/>
  <c r="M160" i="1"/>
  <c r="N152" i="1"/>
  <c r="M152" i="1"/>
  <c r="N144" i="1"/>
  <c r="M144" i="1"/>
  <c r="N136" i="1"/>
  <c r="M136" i="1"/>
  <c r="N128" i="1"/>
  <c r="M128" i="1"/>
  <c r="N120" i="1"/>
  <c r="M120" i="1"/>
  <c r="N112" i="1"/>
  <c r="M112" i="1"/>
  <c r="N104" i="1"/>
  <c r="M104" i="1"/>
  <c r="N96" i="1"/>
  <c r="M96" i="1"/>
  <c r="N88" i="1"/>
  <c r="M88" i="1"/>
  <c r="N80" i="1"/>
  <c r="M80" i="1"/>
  <c r="N72" i="1"/>
  <c r="M72" i="1"/>
  <c r="N64" i="1"/>
  <c r="M64" i="1"/>
  <c r="N56" i="1"/>
  <c r="M56" i="1"/>
  <c r="N48" i="1"/>
  <c r="M48" i="1"/>
  <c r="N40" i="1"/>
  <c r="M40" i="1"/>
  <c r="N32" i="1"/>
  <c r="M32" i="1"/>
  <c r="N24" i="1"/>
  <c r="M24" i="1"/>
  <c r="N16" i="1"/>
  <c r="M16" i="1"/>
  <c r="N8" i="1"/>
  <c r="M8" i="1"/>
  <c r="N2226" i="1"/>
  <c r="M2226" i="1"/>
  <c r="N1946" i="1"/>
  <c r="M1946" i="1"/>
  <c r="N1890" i="1"/>
  <c r="M1890" i="1"/>
  <c r="N1810" i="1"/>
  <c r="M1810" i="1"/>
  <c r="N1746" i="1"/>
  <c r="M1746" i="1"/>
  <c r="N1690" i="1"/>
  <c r="M1690" i="1"/>
  <c r="N1626" i="1"/>
  <c r="M1626" i="1"/>
  <c r="N1554" i="1"/>
  <c r="M1554" i="1"/>
  <c r="N1482" i="1"/>
  <c r="M1482" i="1"/>
  <c r="N1346" i="1"/>
  <c r="M1346" i="1"/>
  <c r="N2185" i="1"/>
  <c r="M2185" i="1"/>
  <c r="N2129" i="1"/>
  <c r="M2129" i="1"/>
  <c r="N2215" i="1"/>
  <c r="M2215" i="1"/>
  <c r="N2175" i="1"/>
  <c r="M2175" i="1"/>
  <c r="N2143" i="1"/>
  <c r="M2143" i="1"/>
  <c r="N2127" i="1"/>
  <c r="M2127" i="1"/>
  <c r="N2119" i="1"/>
  <c r="M2119" i="1"/>
  <c r="N2079" i="1"/>
  <c r="M2079" i="1"/>
  <c r="N2071" i="1"/>
  <c r="M2071" i="1"/>
  <c r="N2063" i="1"/>
  <c r="M2063" i="1"/>
  <c r="N2055" i="1"/>
  <c r="M2055" i="1"/>
  <c r="N2047" i="1"/>
  <c r="M2047" i="1"/>
  <c r="N2039" i="1"/>
  <c r="M2039" i="1"/>
  <c r="N2031" i="1"/>
  <c r="M2031" i="1"/>
  <c r="N2023" i="1"/>
  <c r="M2023" i="1"/>
  <c r="N2015" i="1"/>
  <c r="M2015" i="1"/>
  <c r="N2007" i="1"/>
  <c r="M2007" i="1"/>
  <c r="M1999" i="1"/>
  <c r="N1999" i="1"/>
  <c r="N1991" i="1"/>
  <c r="M1991" i="1"/>
  <c r="N1983" i="1"/>
  <c r="M1983" i="1"/>
  <c r="N1975" i="1"/>
  <c r="M1975" i="1"/>
  <c r="N1967" i="1"/>
  <c r="M1967" i="1"/>
  <c r="N1959" i="1"/>
  <c r="M1959" i="1"/>
  <c r="N1951" i="1"/>
  <c r="M1951" i="1"/>
  <c r="N1943" i="1"/>
  <c r="M1943" i="1"/>
  <c r="N1935" i="1"/>
  <c r="M1935" i="1"/>
  <c r="N1927" i="1"/>
  <c r="M1927" i="1"/>
  <c r="N1919" i="1"/>
  <c r="M1919" i="1"/>
  <c r="N1911" i="1"/>
  <c r="M1911" i="1"/>
  <c r="N1903" i="1"/>
  <c r="M1903" i="1"/>
  <c r="N1895" i="1"/>
  <c r="M1895" i="1"/>
  <c r="N1887" i="1"/>
  <c r="M1887" i="1"/>
  <c r="N1879" i="1"/>
  <c r="M1879" i="1"/>
  <c r="N1871" i="1"/>
  <c r="M1871" i="1"/>
  <c r="N1863" i="1"/>
  <c r="M1863" i="1"/>
  <c r="N1855" i="1"/>
  <c r="M1855" i="1"/>
  <c r="N1847" i="1"/>
  <c r="M1847" i="1"/>
  <c r="N1839" i="1"/>
  <c r="M1839" i="1"/>
  <c r="N1831" i="1"/>
  <c r="M1831" i="1"/>
  <c r="M1823" i="1"/>
  <c r="N1823" i="1"/>
  <c r="N1815" i="1"/>
  <c r="M1815" i="1"/>
  <c r="N1807" i="1"/>
  <c r="M1807" i="1"/>
  <c r="N1799" i="1"/>
  <c r="M1799" i="1"/>
  <c r="N1791" i="1"/>
  <c r="M1791" i="1"/>
  <c r="M1783" i="1"/>
  <c r="N1783" i="1"/>
  <c r="N1775" i="1"/>
  <c r="M1775" i="1"/>
  <c r="N1767" i="1"/>
  <c r="M1767" i="1"/>
  <c r="N1759" i="1"/>
  <c r="M1759" i="1"/>
  <c r="N1751" i="1"/>
  <c r="M1751" i="1"/>
  <c r="N1743" i="1"/>
  <c r="M1743" i="1"/>
  <c r="N1735" i="1"/>
  <c r="M1735" i="1"/>
  <c r="N1727" i="1"/>
  <c r="M1727" i="1"/>
  <c r="N1719" i="1"/>
  <c r="M1719" i="1"/>
  <c r="N1711" i="1"/>
  <c r="M1711" i="1"/>
  <c r="N1703" i="1"/>
  <c r="M1703" i="1"/>
  <c r="N1695" i="1"/>
  <c r="M1695" i="1"/>
  <c r="N1687" i="1"/>
  <c r="M1687" i="1"/>
  <c r="N1679" i="1"/>
  <c r="M1679" i="1"/>
  <c r="N1671" i="1"/>
  <c r="M1671" i="1"/>
  <c r="N1663" i="1"/>
  <c r="M1663" i="1"/>
  <c r="N1655" i="1"/>
  <c r="M1655" i="1"/>
  <c r="N1647" i="1"/>
  <c r="M1647" i="1"/>
  <c r="N1639" i="1"/>
  <c r="M1639" i="1"/>
  <c r="N1631" i="1"/>
  <c r="M1631" i="1"/>
  <c r="N1623" i="1"/>
  <c r="M1623" i="1"/>
  <c r="N1615" i="1"/>
  <c r="M1615" i="1"/>
  <c r="N1607" i="1"/>
  <c r="M1607" i="1"/>
  <c r="N1599" i="1"/>
  <c r="M1599" i="1"/>
  <c r="N1591" i="1"/>
  <c r="M1591" i="1"/>
  <c r="N1583" i="1"/>
  <c r="M1583" i="1"/>
  <c r="N1575" i="1"/>
  <c r="M1575" i="1"/>
  <c r="N1567" i="1"/>
  <c r="M1567" i="1"/>
  <c r="N1559" i="1"/>
  <c r="M1559" i="1"/>
  <c r="N1551" i="1"/>
  <c r="M1551" i="1"/>
  <c r="N1543" i="1"/>
  <c r="M1543" i="1"/>
  <c r="N1535" i="1"/>
  <c r="M1535" i="1"/>
  <c r="N1527" i="1"/>
  <c r="M1527" i="1"/>
  <c r="N1519" i="1"/>
  <c r="M1519" i="1"/>
  <c r="N1511" i="1"/>
  <c r="M1511" i="1"/>
  <c r="N1503" i="1"/>
  <c r="M1503" i="1"/>
  <c r="N1495" i="1"/>
  <c r="M1495" i="1"/>
  <c r="N1487" i="1"/>
  <c r="M1487" i="1"/>
  <c r="N1479" i="1"/>
  <c r="M1479" i="1"/>
  <c r="N1471" i="1"/>
  <c r="M1471" i="1"/>
  <c r="N1463" i="1"/>
  <c r="M1463" i="1"/>
  <c r="N1455" i="1"/>
  <c r="M1455" i="1"/>
  <c r="N1447" i="1"/>
  <c r="M1447" i="1"/>
  <c r="N1439" i="1"/>
  <c r="M1439" i="1"/>
  <c r="N1431" i="1"/>
  <c r="M1431" i="1"/>
  <c r="N1423" i="1"/>
  <c r="M1423" i="1"/>
  <c r="N1415" i="1"/>
  <c r="M1415" i="1"/>
  <c r="N1407" i="1"/>
  <c r="M1407" i="1"/>
  <c r="N1399" i="1"/>
  <c r="M1399" i="1"/>
  <c r="N1391" i="1"/>
  <c r="M1391" i="1"/>
  <c r="N1383" i="1"/>
  <c r="M1383" i="1"/>
  <c r="N1375" i="1"/>
  <c r="M1375" i="1"/>
  <c r="N1367" i="1"/>
  <c r="M1367" i="1"/>
  <c r="N1359" i="1"/>
  <c r="M1359" i="1"/>
  <c r="N1351" i="1"/>
  <c r="M1351" i="1"/>
  <c r="N1343" i="1"/>
  <c r="M1343" i="1"/>
  <c r="N1335" i="1"/>
  <c r="M1335" i="1"/>
  <c r="N1327" i="1"/>
  <c r="M1327" i="1"/>
  <c r="N1319" i="1"/>
  <c r="M1319" i="1"/>
  <c r="N1311" i="1"/>
  <c r="M1311" i="1"/>
  <c r="N1303" i="1"/>
  <c r="M1303" i="1"/>
  <c r="N1295" i="1"/>
  <c r="M1295" i="1"/>
  <c r="N1287" i="1"/>
  <c r="M1287" i="1"/>
  <c r="N1279" i="1"/>
  <c r="M1279" i="1"/>
  <c r="N1271" i="1"/>
  <c r="M1271" i="1"/>
  <c r="N1263" i="1"/>
  <c r="M1263" i="1"/>
  <c r="N1255" i="1"/>
  <c r="M1255" i="1"/>
  <c r="N1247" i="1"/>
  <c r="M1247" i="1"/>
  <c r="N1239" i="1"/>
  <c r="M1239" i="1"/>
  <c r="N1231" i="1"/>
  <c r="M1231" i="1"/>
  <c r="N1223" i="1"/>
  <c r="M1223" i="1"/>
  <c r="N1215" i="1"/>
  <c r="M1215" i="1"/>
  <c r="N1207" i="1"/>
  <c r="M1207" i="1"/>
  <c r="N1199" i="1"/>
  <c r="M1199" i="1"/>
  <c r="N1191" i="1"/>
  <c r="M1191" i="1"/>
  <c r="N1183" i="1"/>
  <c r="M1183" i="1"/>
  <c r="N1175" i="1"/>
  <c r="M1175" i="1"/>
  <c r="N1167" i="1"/>
  <c r="M1167" i="1"/>
  <c r="N1159" i="1"/>
  <c r="M1159" i="1"/>
  <c r="N1151" i="1"/>
  <c r="M1151" i="1"/>
  <c r="N1143" i="1"/>
  <c r="M1143" i="1"/>
  <c r="N1135" i="1"/>
  <c r="M1135" i="1"/>
  <c r="N1127" i="1"/>
  <c r="M1127" i="1"/>
  <c r="N1119" i="1"/>
  <c r="M1119" i="1"/>
  <c r="N1111" i="1"/>
  <c r="M1111" i="1"/>
  <c r="N1103" i="1"/>
  <c r="M1103" i="1"/>
  <c r="N1095" i="1"/>
  <c r="M1095" i="1"/>
  <c r="N1087" i="1"/>
  <c r="M1087" i="1"/>
  <c r="N1079" i="1"/>
  <c r="M1079" i="1"/>
  <c r="N1071" i="1"/>
  <c r="M1071" i="1"/>
  <c r="N1063" i="1"/>
  <c r="M1063" i="1"/>
  <c r="N1055" i="1"/>
  <c r="M1055" i="1"/>
  <c r="N1047" i="1"/>
  <c r="M1047" i="1"/>
  <c r="N1039" i="1"/>
  <c r="M1039" i="1"/>
  <c r="N1031" i="1"/>
  <c r="M1031" i="1"/>
  <c r="N1023" i="1"/>
  <c r="M1023" i="1"/>
  <c r="N1015" i="1"/>
  <c r="M1015" i="1"/>
  <c r="N1007" i="1"/>
  <c r="M1007" i="1"/>
  <c r="N999" i="1"/>
  <c r="M999" i="1"/>
  <c r="N991" i="1"/>
  <c r="M991" i="1"/>
  <c r="N983" i="1"/>
  <c r="M983" i="1"/>
  <c r="N975" i="1"/>
  <c r="M975" i="1"/>
  <c r="N967" i="1"/>
  <c r="M967" i="1"/>
  <c r="N959" i="1"/>
  <c r="M959" i="1"/>
  <c r="N951" i="1"/>
  <c r="M951" i="1"/>
  <c r="N943" i="1"/>
  <c r="M943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N631" i="1"/>
  <c r="M631" i="1"/>
  <c r="N623" i="1"/>
  <c r="M623" i="1"/>
  <c r="N615" i="1"/>
  <c r="M615" i="1"/>
  <c r="N607" i="1"/>
  <c r="M607" i="1"/>
  <c r="N599" i="1"/>
  <c r="M599" i="1"/>
  <c r="N591" i="1"/>
  <c r="M591" i="1"/>
  <c r="N583" i="1"/>
  <c r="M583" i="1"/>
  <c r="N575" i="1"/>
  <c r="M575" i="1"/>
  <c r="N567" i="1"/>
  <c r="M567" i="1"/>
  <c r="N559" i="1"/>
  <c r="M559" i="1"/>
  <c r="N551" i="1"/>
  <c r="M551" i="1"/>
  <c r="N543" i="1"/>
  <c r="M543" i="1"/>
  <c r="N535" i="1"/>
  <c r="M535" i="1"/>
  <c r="N527" i="1"/>
  <c r="M527" i="1"/>
  <c r="N519" i="1"/>
  <c r="M519" i="1"/>
  <c r="N511" i="1"/>
  <c r="M511" i="1"/>
  <c r="N503" i="1"/>
  <c r="M503" i="1"/>
  <c r="N495" i="1"/>
  <c r="M495" i="1"/>
  <c r="N487" i="1"/>
  <c r="M487" i="1"/>
  <c r="N479" i="1"/>
  <c r="M479" i="1"/>
  <c r="N471" i="1"/>
  <c r="M471" i="1"/>
  <c r="N463" i="1"/>
  <c r="M463" i="1"/>
  <c r="N455" i="1"/>
  <c r="M455" i="1"/>
  <c r="N447" i="1"/>
  <c r="M447" i="1"/>
  <c r="N439" i="1"/>
  <c r="M439" i="1"/>
  <c r="N431" i="1"/>
  <c r="M431" i="1"/>
  <c r="N423" i="1"/>
  <c r="M423" i="1"/>
  <c r="N415" i="1"/>
  <c r="M415" i="1"/>
  <c r="N407" i="1"/>
  <c r="M407" i="1"/>
  <c r="N399" i="1"/>
  <c r="M399" i="1"/>
  <c r="N391" i="1"/>
  <c r="M391" i="1"/>
  <c r="N383" i="1"/>
  <c r="M383" i="1"/>
  <c r="N375" i="1"/>
  <c r="M375" i="1"/>
  <c r="N367" i="1"/>
  <c r="M367" i="1"/>
  <c r="N359" i="1"/>
  <c r="M359" i="1"/>
  <c r="N351" i="1"/>
  <c r="M351" i="1"/>
  <c r="N343" i="1"/>
  <c r="M343" i="1"/>
  <c r="N335" i="1"/>
  <c r="M335" i="1"/>
  <c r="N327" i="1"/>
  <c r="M327" i="1"/>
  <c r="N319" i="1"/>
  <c r="M319" i="1"/>
  <c r="N311" i="1"/>
  <c r="M311" i="1"/>
  <c r="N303" i="1"/>
  <c r="M303" i="1"/>
  <c r="N295" i="1"/>
  <c r="M295" i="1"/>
  <c r="N287" i="1"/>
  <c r="M287" i="1"/>
  <c r="N279" i="1"/>
  <c r="M279" i="1"/>
  <c r="N271" i="1"/>
  <c r="M271" i="1"/>
  <c r="N263" i="1"/>
  <c r="M263" i="1"/>
  <c r="N255" i="1"/>
  <c r="M255" i="1"/>
  <c r="N247" i="1"/>
  <c r="M247" i="1"/>
  <c r="N239" i="1"/>
  <c r="M239" i="1"/>
  <c r="N231" i="1"/>
  <c r="M231" i="1"/>
  <c r="N223" i="1"/>
  <c r="M223" i="1"/>
  <c r="N215" i="1"/>
  <c r="M215" i="1"/>
  <c r="N207" i="1"/>
  <c r="M207" i="1"/>
  <c r="N199" i="1"/>
  <c r="M199" i="1"/>
  <c r="N191" i="1"/>
  <c r="M191" i="1"/>
  <c r="N183" i="1"/>
  <c r="M183" i="1"/>
  <c r="N175" i="1"/>
  <c r="M175" i="1"/>
  <c r="N167" i="1"/>
  <c r="M167" i="1"/>
  <c r="N159" i="1"/>
  <c r="M159" i="1"/>
  <c r="N1938" i="1"/>
  <c r="M1938" i="1"/>
  <c r="N1770" i="1"/>
  <c r="M1770" i="1"/>
  <c r="N1698" i="1"/>
  <c r="M1698" i="1"/>
  <c r="N1610" i="1"/>
  <c r="M1610" i="1"/>
  <c r="N1538" i="1"/>
  <c r="M1538" i="1"/>
  <c r="N1474" i="1"/>
  <c r="M1474" i="1"/>
  <c r="N1354" i="1"/>
  <c r="M1354" i="1"/>
  <c r="N2097" i="1"/>
  <c r="M2097" i="1"/>
  <c r="N2191" i="1"/>
  <c r="M2191" i="1"/>
  <c r="N2151" i="1"/>
  <c r="M2151" i="1"/>
  <c r="N2095" i="1"/>
  <c r="M2095" i="1"/>
  <c r="N2150" i="1"/>
  <c r="M2150" i="1"/>
  <c r="N2054" i="1"/>
  <c r="M2054" i="1"/>
  <c r="N1902" i="1"/>
  <c r="M1902" i="1"/>
  <c r="N1846" i="1"/>
  <c r="M1846" i="1"/>
  <c r="N1798" i="1"/>
  <c r="M1798" i="1"/>
  <c r="N1758" i="1"/>
  <c r="M1758" i="1"/>
  <c r="N1718" i="1"/>
  <c r="M1718" i="1"/>
  <c r="N1662" i="1"/>
  <c r="M1662" i="1"/>
  <c r="N1630" i="1"/>
  <c r="M1630" i="1"/>
  <c r="N1590" i="1"/>
  <c r="M1590" i="1"/>
  <c r="N1558" i="1"/>
  <c r="M1558" i="1"/>
  <c r="N1526" i="1"/>
  <c r="M1526" i="1"/>
  <c r="N1494" i="1"/>
  <c r="M1494" i="1"/>
  <c r="N1462" i="1"/>
  <c r="M1462" i="1"/>
  <c r="N1454" i="1"/>
  <c r="M1454" i="1"/>
  <c r="N1422" i="1"/>
  <c r="M1422" i="1"/>
  <c r="N1414" i="1"/>
  <c r="M1414" i="1"/>
  <c r="N1406" i="1"/>
  <c r="M1406" i="1"/>
  <c r="N1398" i="1"/>
  <c r="M1398" i="1"/>
  <c r="N1390" i="1"/>
  <c r="M1390" i="1"/>
  <c r="N1382" i="1"/>
  <c r="M1382" i="1"/>
  <c r="N1374" i="1"/>
  <c r="M1374" i="1"/>
  <c r="N1366" i="1"/>
  <c r="M1366" i="1"/>
  <c r="N1358" i="1"/>
  <c r="M1358" i="1"/>
  <c r="N1326" i="1"/>
  <c r="M1326" i="1"/>
  <c r="N1318" i="1"/>
  <c r="M1318" i="1"/>
  <c r="N1310" i="1"/>
  <c r="M1310" i="1"/>
  <c r="N1302" i="1"/>
  <c r="M1302" i="1"/>
  <c r="N1294" i="1"/>
  <c r="M1294" i="1"/>
  <c r="N1286" i="1"/>
  <c r="M1286" i="1"/>
  <c r="N1278" i="1"/>
  <c r="M1278" i="1"/>
  <c r="N1270" i="1"/>
  <c r="M1270" i="1"/>
  <c r="N1262" i="1"/>
  <c r="M1262" i="1"/>
  <c r="N1254" i="1"/>
  <c r="M1254" i="1"/>
  <c r="N1246" i="1"/>
  <c r="M1246" i="1"/>
  <c r="N1238" i="1"/>
  <c r="M1238" i="1"/>
  <c r="N1230" i="1"/>
  <c r="M1230" i="1"/>
  <c r="N1222" i="1"/>
  <c r="M1222" i="1"/>
  <c r="N1214" i="1"/>
  <c r="M1214" i="1"/>
  <c r="N1206" i="1"/>
  <c r="M1206" i="1"/>
  <c r="N1198" i="1"/>
  <c r="M1198" i="1"/>
  <c r="N1190" i="1"/>
  <c r="M1190" i="1"/>
  <c r="N1182" i="1"/>
  <c r="M1182" i="1"/>
  <c r="N1174" i="1"/>
  <c r="M1174" i="1"/>
  <c r="N1166" i="1"/>
  <c r="M1166" i="1"/>
  <c r="N1158" i="1"/>
  <c r="M1158" i="1"/>
  <c r="N1150" i="1"/>
  <c r="M1150" i="1"/>
  <c r="N1142" i="1"/>
  <c r="M1142" i="1"/>
  <c r="N1134" i="1"/>
  <c r="M1134" i="1"/>
  <c r="N1126" i="1"/>
  <c r="M1126" i="1"/>
  <c r="N1118" i="1"/>
  <c r="M1118" i="1"/>
  <c r="N1110" i="1"/>
  <c r="M1110" i="1"/>
  <c r="N1102" i="1"/>
  <c r="M1102" i="1"/>
  <c r="N1094" i="1"/>
  <c r="M1094" i="1"/>
  <c r="N1086" i="1"/>
  <c r="M1086" i="1"/>
  <c r="N1078" i="1"/>
  <c r="M1078" i="1"/>
  <c r="N1070" i="1"/>
  <c r="M1070" i="1"/>
  <c r="N1062" i="1"/>
  <c r="M1062" i="1"/>
  <c r="N1054" i="1"/>
  <c r="M1054" i="1"/>
  <c r="N1046" i="1"/>
  <c r="M1046" i="1"/>
  <c r="N1038" i="1"/>
  <c r="M1038" i="1"/>
  <c r="N1030" i="1"/>
  <c r="M1030" i="1"/>
  <c r="N1022" i="1"/>
  <c r="M1022" i="1"/>
  <c r="N1014" i="1"/>
  <c r="M1014" i="1"/>
  <c r="N1006" i="1"/>
  <c r="M1006" i="1"/>
  <c r="N998" i="1"/>
  <c r="M998" i="1"/>
  <c r="N990" i="1"/>
  <c r="M990" i="1"/>
  <c r="N982" i="1"/>
  <c r="M982" i="1"/>
  <c r="N974" i="1"/>
  <c r="M974" i="1"/>
  <c r="N966" i="1"/>
  <c r="M966" i="1"/>
  <c r="N958" i="1"/>
  <c r="M958" i="1"/>
  <c r="N950" i="1"/>
  <c r="M950" i="1"/>
  <c r="N942" i="1"/>
  <c r="M942" i="1"/>
  <c r="N934" i="1"/>
  <c r="M934" i="1"/>
  <c r="N926" i="1"/>
  <c r="M926" i="1"/>
  <c r="N918" i="1"/>
  <c r="M918" i="1"/>
  <c r="N910" i="1"/>
  <c r="M910" i="1"/>
  <c r="N902" i="1"/>
  <c r="M902" i="1"/>
  <c r="N894" i="1"/>
  <c r="M894" i="1"/>
  <c r="N886" i="1"/>
  <c r="M886" i="1"/>
  <c r="N878" i="1"/>
  <c r="M878" i="1"/>
  <c r="N870" i="1"/>
  <c r="M870" i="1"/>
  <c r="N862" i="1"/>
  <c r="M862" i="1"/>
  <c r="N854" i="1"/>
  <c r="M854" i="1"/>
  <c r="N846" i="1"/>
  <c r="M846" i="1"/>
  <c r="N838" i="1"/>
  <c r="M838" i="1"/>
  <c r="N830" i="1"/>
  <c r="M830" i="1"/>
  <c r="N822" i="1"/>
  <c r="M822" i="1"/>
  <c r="N814" i="1"/>
  <c r="M814" i="1"/>
  <c r="N806" i="1"/>
  <c r="M806" i="1"/>
  <c r="N798" i="1"/>
  <c r="M798" i="1"/>
  <c r="N790" i="1"/>
  <c r="M790" i="1"/>
  <c r="N782" i="1"/>
  <c r="M782" i="1"/>
  <c r="N774" i="1"/>
  <c r="M774" i="1"/>
  <c r="N766" i="1"/>
  <c r="M766" i="1"/>
  <c r="N758" i="1"/>
  <c r="M758" i="1"/>
  <c r="N750" i="1"/>
  <c r="M750" i="1"/>
  <c r="N742" i="1"/>
  <c r="M742" i="1"/>
  <c r="N734" i="1"/>
  <c r="M734" i="1"/>
  <c r="N726" i="1"/>
  <c r="M726" i="1"/>
  <c r="N718" i="1"/>
  <c r="M718" i="1"/>
  <c r="N710" i="1"/>
  <c r="M710" i="1"/>
  <c r="N702" i="1"/>
  <c r="M702" i="1"/>
  <c r="N694" i="1"/>
  <c r="M694" i="1"/>
  <c r="N686" i="1"/>
  <c r="M686" i="1"/>
  <c r="N678" i="1"/>
  <c r="M678" i="1"/>
  <c r="N670" i="1"/>
  <c r="M670" i="1"/>
  <c r="N662" i="1"/>
  <c r="M662" i="1"/>
  <c r="N654" i="1"/>
  <c r="M654" i="1"/>
  <c r="N646" i="1"/>
  <c r="M646" i="1"/>
  <c r="N638" i="1"/>
  <c r="M638" i="1"/>
  <c r="N630" i="1"/>
  <c r="M630" i="1"/>
  <c r="N622" i="1"/>
  <c r="M622" i="1"/>
  <c r="N614" i="1"/>
  <c r="M614" i="1"/>
  <c r="N606" i="1"/>
  <c r="M606" i="1"/>
  <c r="N598" i="1"/>
  <c r="M598" i="1"/>
  <c r="N590" i="1"/>
  <c r="M590" i="1"/>
  <c r="N582" i="1"/>
  <c r="M582" i="1"/>
  <c r="N574" i="1"/>
  <c r="M574" i="1"/>
  <c r="N566" i="1"/>
  <c r="M566" i="1"/>
  <c r="N558" i="1"/>
  <c r="M558" i="1"/>
  <c r="N550" i="1"/>
  <c r="M550" i="1"/>
  <c r="N542" i="1"/>
  <c r="M542" i="1"/>
  <c r="N534" i="1"/>
  <c r="M534" i="1"/>
  <c r="N526" i="1"/>
  <c r="M526" i="1"/>
  <c r="N518" i="1"/>
  <c r="M518" i="1"/>
  <c r="N510" i="1"/>
  <c r="M510" i="1"/>
  <c r="N502" i="1"/>
  <c r="M502" i="1"/>
  <c r="N494" i="1"/>
  <c r="M494" i="1"/>
  <c r="N486" i="1"/>
  <c r="M486" i="1"/>
  <c r="N478" i="1"/>
  <c r="M478" i="1"/>
  <c r="N470" i="1"/>
  <c r="M470" i="1"/>
  <c r="N462" i="1"/>
  <c r="M462" i="1"/>
  <c r="N454" i="1"/>
  <c r="M454" i="1"/>
  <c r="N446" i="1"/>
  <c r="M446" i="1"/>
  <c r="N438" i="1"/>
  <c r="M438" i="1"/>
  <c r="N430" i="1"/>
  <c r="M430" i="1"/>
  <c r="N422" i="1"/>
  <c r="M422" i="1"/>
  <c r="N414" i="1"/>
  <c r="M414" i="1"/>
  <c r="N406" i="1"/>
  <c r="M406" i="1"/>
  <c r="N398" i="1"/>
  <c r="M398" i="1"/>
  <c r="N390" i="1"/>
  <c r="M390" i="1"/>
  <c r="N382" i="1"/>
  <c r="M382" i="1"/>
  <c r="N374" i="1"/>
  <c r="M374" i="1"/>
  <c r="N366" i="1"/>
  <c r="M366" i="1"/>
  <c r="N358" i="1"/>
  <c r="M358" i="1"/>
  <c r="N350" i="1"/>
  <c r="M350" i="1"/>
  <c r="N342" i="1"/>
  <c r="M342" i="1"/>
  <c r="N334" i="1"/>
  <c r="M334" i="1"/>
  <c r="N326" i="1"/>
  <c r="M326" i="1"/>
  <c r="N318" i="1"/>
  <c r="M318" i="1"/>
  <c r="N310" i="1"/>
  <c r="M310" i="1"/>
  <c r="N302" i="1"/>
  <c r="M302" i="1"/>
  <c r="N294" i="1"/>
  <c r="M294" i="1"/>
  <c r="N270" i="1"/>
  <c r="M270" i="1"/>
  <c r="N2130" i="1"/>
  <c r="M2130" i="1"/>
  <c r="N1954" i="1"/>
  <c r="M1954" i="1"/>
  <c r="N1818" i="1"/>
  <c r="M1818" i="1"/>
  <c r="N1730" i="1"/>
  <c r="M1730" i="1"/>
  <c r="N1674" i="1"/>
  <c r="M1674" i="1"/>
  <c r="N1602" i="1"/>
  <c r="M1602" i="1"/>
  <c r="N1546" i="1"/>
  <c r="M1546" i="1"/>
  <c r="N1498" i="1"/>
  <c r="M1498" i="1"/>
  <c r="N1394" i="1"/>
  <c r="M1394" i="1"/>
  <c r="N2193" i="1"/>
  <c r="M2193" i="1"/>
  <c r="N2033" i="1"/>
  <c r="M2033" i="1"/>
  <c r="N2231" i="1"/>
  <c r="M2231" i="1"/>
  <c r="N2183" i="1"/>
  <c r="M2183" i="1"/>
  <c r="N2111" i="1"/>
  <c r="M2111" i="1"/>
  <c r="N2022" i="1"/>
  <c r="M2022" i="1"/>
  <c r="N1958" i="1"/>
  <c r="M1958" i="1"/>
  <c r="N1934" i="1"/>
  <c r="M1934" i="1"/>
  <c r="N1878" i="1"/>
  <c r="M1878" i="1"/>
  <c r="N1838" i="1"/>
  <c r="M1838" i="1"/>
  <c r="N1806" i="1"/>
  <c r="M1806" i="1"/>
  <c r="N1774" i="1"/>
  <c r="M1774" i="1"/>
  <c r="N1734" i="1"/>
  <c r="M1734" i="1"/>
  <c r="N1702" i="1"/>
  <c r="M1702" i="1"/>
  <c r="N1670" i="1"/>
  <c r="M1670" i="1"/>
  <c r="N1638" i="1"/>
  <c r="M1638" i="1"/>
  <c r="N1606" i="1"/>
  <c r="M1606" i="1"/>
  <c r="N1574" i="1"/>
  <c r="M1574" i="1"/>
  <c r="N1542" i="1"/>
  <c r="M1542" i="1"/>
  <c r="N1510" i="1"/>
  <c r="M1510" i="1"/>
  <c r="N1486" i="1"/>
  <c r="M1486" i="1"/>
  <c r="N1446" i="1"/>
  <c r="M1446" i="1"/>
  <c r="N1342" i="1"/>
  <c r="M1342" i="1"/>
  <c r="N2213" i="1"/>
  <c r="M2213" i="1"/>
  <c r="N2141" i="1"/>
  <c r="M2141" i="1"/>
  <c r="N2109" i="1"/>
  <c r="M2109" i="1"/>
  <c r="N2085" i="1"/>
  <c r="M2085" i="1"/>
  <c r="N2077" i="1"/>
  <c r="M2077" i="1"/>
  <c r="N2053" i="1"/>
  <c r="M2053" i="1"/>
  <c r="N2045" i="1"/>
  <c r="M2045" i="1"/>
  <c r="N2021" i="1"/>
  <c r="M2021" i="1"/>
  <c r="N2013" i="1"/>
  <c r="M2013" i="1"/>
  <c r="N1989" i="1"/>
  <c r="M1989" i="1"/>
  <c r="N1981" i="1"/>
  <c r="M1981" i="1"/>
  <c r="N1965" i="1"/>
  <c r="M1965" i="1"/>
  <c r="N1957" i="1"/>
  <c r="M1957" i="1"/>
  <c r="N1949" i="1"/>
  <c r="M1949" i="1"/>
  <c r="N1933" i="1"/>
  <c r="M1933" i="1"/>
  <c r="N1925" i="1"/>
  <c r="M1925" i="1"/>
  <c r="N1917" i="1"/>
  <c r="M1917" i="1"/>
  <c r="N1901" i="1"/>
  <c r="M1901" i="1"/>
  <c r="N1893" i="1"/>
  <c r="M1893" i="1"/>
  <c r="N1885" i="1"/>
  <c r="M1885" i="1"/>
  <c r="N1869" i="1"/>
  <c r="M1869" i="1"/>
  <c r="N1861" i="1"/>
  <c r="M1861" i="1"/>
  <c r="N1853" i="1"/>
  <c r="M1853" i="1"/>
  <c r="N1845" i="1"/>
  <c r="M1845" i="1"/>
  <c r="N1837" i="1"/>
  <c r="M1837" i="1"/>
  <c r="N1829" i="1"/>
  <c r="M1829" i="1"/>
  <c r="N1821" i="1"/>
  <c r="M1821" i="1"/>
  <c r="N1813" i="1"/>
  <c r="M1813" i="1"/>
  <c r="N1805" i="1"/>
  <c r="M1805" i="1"/>
  <c r="N1797" i="1"/>
  <c r="M1797" i="1"/>
  <c r="N1789" i="1"/>
  <c r="M1789" i="1"/>
  <c r="N1781" i="1"/>
  <c r="M1781" i="1"/>
  <c r="N1773" i="1"/>
  <c r="M1773" i="1"/>
  <c r="N1765" i="1"/>
  <c r="M1765" i="1"/>
  <c r="N1757" i="1"/>
  <c r="M1757" i="1"/>
  <c r="N1749" i="1"/>
  <c r="M1749" i="1"/>
  <c r="N1741" i="1"/>
  <c r="M1741" i="1"/>
  <c r="N1733" i="1"/>
  <c r="M1733" i="1"/>
  <c r="N1725" i="1"/>
  <c r="M1725" i="1"/>
  <c r="N1717" i="1"/>
  <c r="M1717" i="1"/>
  <c r="N1709" i="1"/>
  <c r="M1709" i="1"/>
  <c r="N1701" i="1"/>
  <c r="M1701" i="1"/>
  <c r="N1693" i="1"/>
  <c r="M1693" i="1"/>
  <c r="N1685" i="1"/>
  <c r="M1685" i="1"/>
  <c r="N1677" i="1"/>
  <c r="M1677" i="1"/>
  <c r="N1669" i="1"/>
  <c r="M1669" i="1"/>
  <c r="N1661" i="1"/>
  <c r="M1661" i="1"/>
  <c r="N1653" i="1"/>
  <c r="M1653" i="1"/>
  <c r="N1645" i="1"/>
  <c r="M1645" i="1"/>
  <c r="N1637" i="1"/>
  <c r="M1637" i="1"/>
  <c r="N1629" i="1"/>
  <c r="M1629" i="1"/>
  <c r="N1621" i="1"/>
  <c r="M1621" i="1"/>
  <c r="N1613" i="1"/>
  <c r="M1613" i="1"/>
  <c r="N1605" i="1"/>
  <c r="M1605" i="1"/>
  <c r="N1597" i="1"/>
  <c r="M1597" i="1"/>
  <c r="N1589" i="1"/>
  <c r="M1589" i="1"/>
  <c r="N1581" i="1"/>
  <c r="M1581" i="1"/>
  <c r="N1573" i="1"/>
  <c r="M1573" i="1"/>
  <c r="N1565" i="1"/>
  <c r="M1565" i="1"/>
  <c r="N1557" i="1"/>
  <c r="M1557" i="1"/>
  <c r="N1549" i="1"/>
  <c r="M1549" i="1"/>
  <c r="N1541" i="1"/>
  <c r="M1541" i="1"/>
  <c r="N1533" i="1"/>
  <c r="M1533" i="1"/>
  <c r="N1525" i="1"/>
  <c r="M1525" i="1"/>
  <c r="N1517" i="1"/>
  <c r="M1517" i="1"/>
  <c r="N1509" i="1"/>
  <c r="M1509" i="1"/>
  <c r="N1501" i="1"/>
  <c r="M1501" i="1"/>
  <c r="N1493" i="1"/>
  <c r="M1493" i="1"/>
  <c r="N1485" i="1"/>
  <c r="M1485" i="1"/>
  <c r="N1477" i="1"/>
  <c r="M1477" i="1"/>
  <c r="N1469" i="1"/>
  <c r="M1469" i="1"/>
  <c r="N1461" i="1"/>
  <c r="M1461" i="1"/>
  <c r="N1453" i="1"/>
  <c r="M1453" i="1"/>
  <c r="N1445" i="1"/>
  <c r="M1445" i="1"/>
  <c r="N1437" i="1"/>
  <c r="M1437" i="1"/>
  <c r="N1429" i="1"/>
  <c r="M1429" i="1"/>
  <c r="N1421" i="1"/>
  <c r="M1421" i="1"/>
  <c r="N1413" i="1"/>
  <c r="M1413" i="1"/>
  <c r="N1405" i="1"/>
  <c r="M1405" i="1"/>
  <c r="N1397" i="1"/>
  <c r="M1397" i="1"/>
  <c r="N1389" i="1"/>
  <c r="M1389" i="1"/>
  <c r="N1381" i="1"/>
  <c r="M1381" i="1"/>
  <c r="N1373" i="1"/>
  <c r="M1373" i="1"/>
  <c r="N1365" i="1"/>
  <c r="M1365" i="1"/>
  <c r="N1357" i="1"/>
  <c r="M1357" i="1"/>
  <c r="N1349" i="1"/>
  <c r="M1349" i="1"/>
  <c r="N1341" i="1"/>
  <c r="M1341" i="1"/>
  <c r="N1333" i="1"/>
  <c r="M1333" i="1"/>
  <c r="N1325" i="1"/>
  <c r="M1325" i="1"/>
  <c r="N1317" i="1"/>
  <c r="M1317" i="1"/>
  <c r="N1309" i="1"/>
  <c r="M1309" i="1"/>
  <c r="N1301" i="1"/>
  <c r="M1301" i="1"/>
  <c r="N1293" i="1"/>
  <c r="M1293" i="1"/>
  <c r="N1285" i="1"/>
  <c r="M1285" i="1"/>
  <c r="N1277" i="1"/>
  <c r="M1277" i="1"/>
  <c r="N1269" i="1"/>
  <c r="M1269" i="1"/>
  <c r="N1261" i="1"/>
  <c r="M1261" i="1"/>
  <c r="N1253" i="1"/>
  <c r="M1253" i="1"/>
  <c r="N1245" i="1"/>
  <c r="M1245" i="1"/>
  <c r="N1237" i="1"/>
  <c r="M1237" i="1"/>
  <c r="N1229" i="1"/>
  <c r="M1229" i="1"/>
  <c r="N1221" i="1"/>
  <c r="M1221" i="1"/>
  <c r="N1213" i="1"/>
  <c r="M1213" i="1"/>
  <c r="N1205" i="1"/>
  <c r="M1205" i="1"/>
  <c r="N1197" i="1"/>
  <c r="M1197" i="1"/>
  <c r="N1189" i="1"/>
  <c r="M1189" i="1"/>
  <c r="N1181" i="1"/>
  <c r="M1181" i="1"/>
  <c r="N1173" i="1"/>
  <c r="M1173" i="1"/>
  <c r="N1165" i="1"/>
  <c r="M1165" i="1"/>
  <c r="N1157" i="1"/>
  <c r="M1157" i="1"/>
  <c r="N1149" i="1"/>
  <c r="M1149" i="1"/>
  <c r="N1141" i="1"/>
  <c r="M1141" i="1"/>
  <c r="N1133" i="1"/>
  <c r="M1133" i="1"/>
  <c r="N1125" i="1"/>
  <c r="M1125" i="1"/>
  <c r="N1117" i="1"/>
  <c r="M1117" i="1"/>
  <c r="N1109" i="1"/>
  <c r="M1109" i="1"/>
  <c r="N1101" i="1"/>
  <c r="M1101" i="1"/>
  <c r="N1093" i="1"/>
  <c r="M1093" i="1"/>
  <c r="N1085" i="1"/>
  <c r="M1085" i="1"/>
  <c r="N1077" i="1"/>
  <c r="M1077" i="1"/>
  <c r="N1069" i="1"/>
  <c r="M1069" i="1"/>
  <c r="N1061" i="1"/>
  <c r="M1061" i="1"/>
  <c r="N1053" i="1"/>
  <c r="M1053" i="1"/>
  <c r="N1045" i="1"/>
  <c r="M1045" i="1"/>
  <c r="N1037" i="1"/>
  <c r="M1037" i="1"/>
  <c r="N1029" i="1"/>
  <c r="M1029" i="1"/>
  <c r="N1021" i="1"/>
  <c r="M1021" i="1"/>
  <c r="N1013" i="1"/>
  <c r="M1013" i="1"/>
  <c r="N1005" i="1"/>
  <c r="M1005" i="1"/>
  <c r="N997" i="1"/>
  <c r="M997" i="1"/>
  <c r="N989" i="1"/>
  <c r="M989" i="1"/>
  <c r="N981" i="1"/>
  <c r="M981" i="1"/>
  <c r="N973" i="1"/>
  <c r="M973" i="1"/>
  <c r="N965" i="1"/>
  <c r="M965" i="1"/>
  <c r="N957" i="1"/>
  <c r="M957" i="1"/>
  <c r="N949" i="1"/>
  <c r="M949" i="1"/>
  <c r="N941" i="1"/>
  <c r="M941" i="1"/>
  <c r="N933" i="1"/>
  <c r="M933" i="1"/>
  <c r="N925" i="1"/>
  <c r="M925" i="1"/>
  <c r="N917" i="1"/>
  <c r="M917" i="1"/>
  <c r="N909" i="1"/>
  <c r="M909" i="1"/>
  <c r="N901" i="1"/>
  <c r="M901" i="1"/>
  <c r="N893" i="1"/>
  <c r="M893" i="1"/>
  <c r="N885" i="1"/>
  <c r="M885" i="1"/>
  <c r="N877" i="1"/>
  <c r="M877" i="1"/>
  <c r="N869" i="1"/>
  <c r="M869" i="1"/>
  <c r="N861" i="1"/>
  <c r="M861" i="1"/>
  <c r="N853" i="1"/>
  <c r="M853" i="1"/>
  <c r="N845" i="1"/>
  <c r="M845" i="1"/>
  <c r="N837" i="1"/>
  <c r="M837" i="1"/>
  <c r="N829" i="1"/>
  <c r="M829" i="1"/>
  <c r="N821" i="1"/>
  <c r="M821" i="1"/>
  <c r="N813" i="1"/>
  <c r="M813" i="1"/>
  <c r="N805" i="1"/>
  <c r="M805" i="1"/>
  <c r="N797" i="1"/>
  <c r="M797" i="1"/>
  <c r="N789" i="1"/>
  <c r="M789" i="1"/>
  <c r="N781" i="1"/>
  <c r="M781" i="1"/>
  <c r="N773" i="1"/>
  <c r="M773" i="1"/>
  <c r="N765" i="1"/>
  <c r="M765" i="1"/>
  <c r="N757" i="1"/>
  <c r="M757" i="1"/>
  <c r="N749" i="1"/>
  <c r="M749" i="1"/>
  <c r="N741" i="1"/>
  <c r="M741" i="1"/>
  <c r="N733" i="1"/>
  <c r="M733" i="1"/>
  <c r="N725" i="1"/>
  <c r="M725" i="1"/>
  <c r="N717" i="1"/>
  <c r="M717" i="1"/>
  <c r="N709" i="1"/>
  <c r="M709" i="1"/>
  <c r="N701" i="1"/>
  <c r="M701" i="1"/>
  <c r="N693" i="1"/>
  <c r="M693" i="1"/>
  <c r="N685" i="1"/>
  <c r="M685" i="1"/>
  <c r="N677" i="1"/>
  <c r="M677" i="1"/>
  <c r="N669" i="1"/>
  <c r="M669" i="1"/>
  <c r="N661" i="1"/>
  <c r="M661" i="1"/>
  <c r="N653" i="1"/>
  <c r="M653" i="1"/>
  <c r="N645" i="1"/>
  <c r="M645" i="1"/>
  <c r="N637" i="1"/>
  <c r="M637" i="1"/>
  <c r="N629" i="1"/>
  <c r="M629" i="1"/>
  <c r="N621" i="1"/>
  <c r="M621" i="1"/>
  <c r="N613" i="1"/>
  <c r="M613" i="1"/>
  <c r="N605" i="1"/>
  <c r="M605" i="1"/>
  <c r="N597" i="1"/>
  <c r="M597" i="1"/>
  <c r="N589" i="1"/>
  <c r="M589" i="1"/>
  <c r="N581" i="1"/>
  <c r="M581" i="1"/>
  <c r="N573" i="1"/>
  <c r="M573" i="1"/>
  <c r="N565" i="1"/>
  <c r="M565" i="1"/>
  <c r="N557" i="1"/>
  <c r="M557" i="1"/>
  <c r="N549" i="1"/>
  <c r="M549" i="1"/>
  <c r="N541" i="1"/>
  <c r="M541" i="1"/>
  <c r="N533" i="1"/>
  <c r="M533" i="1"/>
  <c r="N525" i="1"/>
  <c r="M525" i="1"/>
  <c r="N517" i="1"/>
  <c r="M517" i="1"/>
  <c r="N509" i="1"/>
  <c r="M509" i="1"/>
  <c r="N501" i="1"/>
  <c r="M501" i="1"/>
  <c r="N493" i="1"/>
  <c r="M493" i="1"/>
  <c r="N485" i="1"/>
  <c r="M485" i="1"/>
  <c r="N477" i="1"/>
  <c r="M477" i="1"/>
  <c r="N469" i="1"/>
  <c r="M469" i="1"/>
  <c r="N461" i="1"/>
  <c r="M461" i="1"/>
  <c r="N453" i="1"/>
  <c r="M453" i="1"/>
  <c r="N445" i="1"/>
  <c r="M445" i="1"/>
  <c r="N437" i="1"/>
  <c r="M437" i="1"/>
  <c r="N429" i="1"/>
  <c r="M429" i="1"/>
  <c r="N421" i="1"/>
  <c r="M421" i="1"/>
  <c r="N413" i="1"/>
  <c r="M413" i="1"/>
  <c r="N405" i="1"/>
  <c r="M405" i="1"/>
  <c r="N397" i="1"/>
  <c r="M397" i="1"/>
  <c r="N389" i="1"/>
  <c r="M389" i="1"/>
  <c r="N381" i="1"/>
  <c r="M381" i="1"/>
  <c r="N373" i="1"/>
  <c r="M373" i="1"/>
  <c r="N365" i="1"/>
  <c r="M365" i="1"/>
  <c r="N357" i="1"/>
  <c r="M357" i="1"/>
  <c r="N349" i="1"/>
  <c r="M349" i="1"/>
  <c r="N341" i="1"/>
  <c r="M341" i="1"/>
  <c r="N333" i="1"/>
  <c r="M333" i="1"/>
  <c r="N325" i="1"/>
  <c r="M325" i="1"/>
  <c r="N317" i="1"/>
  <c r="M317" i="1"/>
  <c r="N309" i="1"/>
  <c r="M309" i="1"/>
  <c r="N301" i="1"/>
  <c r="M301" i="1"/>
  <c r="N293" i="1"/>
  <c r="M293" i="1"/>
  <c r="N285" i="1"/>
  <c r="M285" i="1"/>
  <c r="N277" i="1"/>
  <c r="M277" i="1"/>
  <c r="N269" i="1"/>
  <c r="M269" i="1"/>
  <c r="N261" i="1"/>
  <c r="M261" i="1"/>
  <c r="N253" i="1"/>
  <c r="M253" i="1"/>
  <c r="N245" i="1"/>
  <c r="M245" i="1"/>
  <c r="N237" i="1"/>
  <c r="M237" i="1"/>
  <c r="N229" i="1"/>
  <c r="M229" i="1"/>
  <c r="N221" i="1"/>
  <c r="M221" i="1"/>
  <c r="N213" i="1"/>
  <c r="M213" i="1"/>
  <c r="N205" i="1"/>
  <c r="M205" i="1"/>
  <c r="N197" i="1"/>
  <c r="M197" i="1"/>
  <c r="N1882" i="1"/>
  <c r="M1882" i="1"/>
  <c r="N1826" i="1"/>
  <c r="M1826" i="1"/>
  <c r="N1786" i="1"/>
  <c r="M1786" i="1"/>
  <c r="N1722" i="1"/>
  <c r="M1722" i="1"/>
  <c r="N1666" i="1"/>
  <c r="M1666" i="1"/>
  <c r="N1618" i="1"/>
  <c r="M1618" i="1"/>
  <c r="N1562" i="1"/>
  <c r="M1562" i="1"/>
  <c r="N1506" i="1"/>
  <c r="M1506" i="1"/>
  <c r="N1370" i="1"/>
  <c r="M1370" i="1"/>
  <c r="N2217" i="1"/>
  <c r="M2217" i="1"/>
  <c r="N2153" i="1"/>
  <c r="M2153" i="1"/>
  <c r="N2207" i="1"/>
  <c r="M2207" i="1"/>
  <c r="N2167" i="1"/>
  <c r="M2167" i="1"/>
  <c r="N2135" i="1"/>
  <c r="M2135" i="1"/>
  <c r="N2087" i="1"/>
  <c r="M2087" i="1"/>
  <c r="N2182" i="1"/>
  <c r="M2182" i="1"/>
  <c r="N2118" i="1"/>
  <c r="M2118" i="1"/>
  <c r="N1990" i="1"/>
  <c r="M1990" i="1"/>
  <c r="N1942" i="1"/>
  <c r="M1942" i="1"/>
  <c r="N1910" i="1"/>
  <c r="M1910" i="1"/>
  <c r="N1862" i="1"/>
  <c r="M1862" i="1"/>
  <c r="N1830" i="1"/>
  <c r="M1830" i="1"/>
  <c r="N1814" i="1"/>
  <c r="M1814" i="1"/>
  <c r="N1782" i="1"/>
  <c r="M1782" i="1"/>
  <c r="N1750" i="1"/>
  <c r="M1750" i="1"/>
  <c r="N1726" i="1"/>
  <c r="M1726" i="1"/>
  <c r="N1694" i="1"/>
  <c r="M1694" i="1"/>
  <c r="N1678" i="1"/>
  <c r="M1678" i="1"/>
  <c r="N1646" i="1"/>
  <c r="M1646" i="1"/>
  <c r="N1622" i="1"/>
  <c r="M1622" i="1"/>
  <c r="N1598" i="1"/>
  <c r="M1598" i="1"/>
  <c r="N1566" i="1"/>
  <c r="M1566" i="1"/>
  <c r="N1534" i="1"/>
  <c r="M1534" i="1"/>
  <c r="N1502" i="1"/>
  <c r="M1502" i="1"/>
  <c r="N1470" i="1"/>
  <c r="M1470" i="1"/>
  <c r="N1430" i="1"/>
  <c r="M1430" i="1"/>
  <c r="N1334" i="1"/>
  <c r="M1334" i="1"/>
  <c r="N2205" i="1"/>
  <c r="M2205" i="1"/>
  <c r="N2181" i="1"/>
  <c r="M2181" i="1"/>
  <c r="N2149" i="1"/>
  <c r="M2149" i="1"/>
  <c r="N2117" i="1"/>
  <c r="M2117" i="1"/>
  <c r="N2172" i="1"/>
  <c r="M2172" i="1"/>
  <c r="N2108" i="1"/>
  <c r="M2108" i="1"/>
  <c r="N2044" i="1"/>
  <c r="M2044" i="1"/>
  <c r="N1980" i="1"/>
  <c r="M1980" i="1"/>
  <c r="N1932" i="1"/>
  <c r="M1932" i="1"/>
  <c r="N1916" i="1"/>
  <c r="M1916" i="1"/>
  <c r="N1900" i="1"/>
  <c r="M1900" i="1"/>
  <c r="N1884" i="1"/>
  <c r="M1884" i="1"/>
  <c r="N1868" i="1"/>
  <c r="M1868" i="1"/>
  <c r="N1860" i="1"/>
  <c r="M1860" i="1"/>
  <c r="N1852" i="1"/>
  <c r="M1852" i="1"/>
  <c r="N1828" i="1"/>
  <c r="M1828" i="1"/>
  <c r="N1820" i="1"/>
  <c r="M1820" i="1"/>
  <c r="N1812" i="1"/>
  <c r="M1812" i="1"/>
  <c r="N1804" i="1"/>
  <c r="M1804" i="1"/>
  <c r="N1796" i="1"/>
  <c r="M1796" i="1"/>
  <c r="N1788" i="1"/>
  <c r="M1788" i="1"/>
  <c r="N1780" i="1"/>
  <c r="M1780" i="1"/>
  <c r="N1772" i="1"/>
  <c r="M1772" i="1"/>
  <c r="N1764" i="1"/>
  <c r="M1764" i="1"/>
  <c r="N1756" i="1"/>
  <c r="M1756" i="1"/>
  <c r="N1748" i="1"/>
  <c r="M1748" i="1"/>
  <c r="N1740" i="1"/>
  <c r="M1740" i="1"/>
  <c r="N1732" i="1"/>
  <c r="M1732" i="1"/>
  <c r="N1724" i="1"/>
  <c r="M1724" i="1"/>
  <c r="N1716" i="1"/>
  <c r="M1716" i="1"/>
  <c r="N1708" i="1"/>
  <c r="M1708" i="1"/>
  <c r="N1700" i="1"/>
  <c r="M1700" i="1"/>
  <c r="N1692" i="1"/>
  <c r="M1692" i="1"/>
  <c r="N1684" i="1"/>
  <c r="M1684" i="1"/>
  <c r="N1676" i="1"/>
  <c r="M1676" i="1"/>
  <c r="N1668" i="1"/>
  <c r="M1668" i="1"/>
  <c r="N1660" i="1"/>
  <c r="M1660" i="1"/>
  <c r="N1652" i="1"/>
  <c r="M1652" i="1"/>
  <c r="N1644" i="1"/>
  <c r="M1644" i="1"/>
  <c r="N1636" i="1"/>
  <c r="M1636" i="1"/>
  <c r="N1628" i="1"/>
  <c r="M1628" i="1"/>
  <c r="N1620" i="1"/>
  <c r="M1620" i="1"/>
  <c r="N1612" i="1"/>
  <c r="M1612" i="1"/>
  <c r="N1604" i="1"/>
  <c r="M1604" i="1"/>
  <c r="N1596" i="1"/>
  <c r="M1596" i="1"/>
  <c r="N1588" i="1"/>
  <c r="M1588" i="1"/>
  <c r="N1580" i="1"/>
  <c r="M1580" i="1"/>
  <c r="N1572" i="1"/>
  <c r="M1572" i="1"/>
  <c r="N1564" i="1"/>
  <c r="M1564" i="1"/>
  <c r="N1556" i="1"/>
  <c r="M1556" i="1"/>
  <c r="N1548" i="1"/>
  <c r="M1548" i="1"/>
  <c r="N1540" i="1"/>
  <c r="M1540" i="1"/>
  <c r="N1532" i="1"/>
  <c r="M1532" i="1"/>
  <c r="N1524" i="1"/>
  <c r="M1524" i="1"/>
  <c r="N1516" i="1"/>
  <c r="M1516" i="1"/>
  <c r="N1508" i="1"/>
  <c r="M1508" i="1"/>
  <c r="N1500" i="1"/>
  <c r="M1500" i="1"/>
  <c r="N1492" i="1"/>
  <c r="M1492" i="1"/>
  <c r="N1484" i="1"/>
  <c r="M1484" i="1"/>
  <c r="N1476" i="1"/>
  <c r="M1476" i="1"/>
  <c r="N1468" i="1"/>
  <c r="M1468" i="1"/>
  <c r="N1460" i="1"/>
  <c r="M1460" i="1"/>
  <c r="N1452" i="1"/>
  <c r="M1452" i="1"/>
  <c r="N1444" i="1"/>
  <c r="M1444" i="1"/>
  <c r="N1436" i="1"/>
  <c r="M1436" i="1"/>
  <c r="N1428" i="1"/>
  <c r="M1428" i="1"/>
  <c r="N1420" i="1"/>
  <c r="M1420" i="1"/>
  <c r="N1412" i="1"/>
  <c r="M1412" i="1"/>
  <c r="N1404" i="1"/>
  <c r="M1404" i="1"/>
  <c r="N1396" i="1"/>
  <c r="M1396" i="1"/>
  <c r="N1388" i="1"/>
  <c r="M1388" i="1"/>
  <c r="N1380" i="1"/>
  <c r="M1380" i="1"/>
  <c r="N1372" i="1"/>
  <c r="M1372" i="1"/>
  <c r="N1364" i="1"/>
  <c r="M1364" i="1"/>
  <c r="N1356" i="1"/>
  <c r="M1356" i="1"/>
  <c r="N1348" i="1"/>
  <c r="M1348" i="1"/>
  <c r="N1340" i="1"/>
  <c r="M1340" i="1"/>
  <c r="N1332" i="1"/>
  <c r="M1332" i="1"/>
  <c r="N1324" i="1"/>
  <c r="M1324" i="1"/>
  <c r="N1316" i="1"/>
  <c r="M1316" i="1"/>
  <c r="N1308" i="1"/>
  <c r="M1308" i="1"/>
  <c r="N1300" i="1"/>
  <c r="M1300" i="1"/>
  <c r="N1292" i="1"/>
  <c r="M1292" i="1"/>
  <c r="N1284" i="1"/>
  <c r="M1284" i="1"/>
  <c r="N1276" i="1"/>
  <c r="M1276" i="1"/>
  <c r="N1268" i="1"/>
  <c r="M1268" i="1"/>
  <c r="N1260" i="1"/>
  <c r="M1260" i="1"/>
  <c r="N1252" i="1"/>
  <c r="M1252" i="1"/>
  <c r="N1244" i="1"/>
  <c r="M1244" i="1"/>
  <c r="N1236" i="1"/>
  <c r="M1236" i="1"/>
  <c r="N1228" i="1"/>
  <c r="M1228" i="1"/>
  <c r="N1220" i="1"/>
  <c r="M1220" i="1"/>
  <c r="N1212" i="1"/>
  <c r="M1212" i="1"/>
  <c r="N1204" i="1"/>
  <c r="M1204" i="1"/>
  <c r="N1196" i="1"/>
  <c r="M1196" i="1"/>
  <c r="N1188" i="1"/>
  <c r="M1188" i="1"/>
  <c r="N1180" i="1"/>
  <c r="M1180" i="1"/>
  <c r="N1172" i="1"/>
  <c r="M1172" i="1"/>
  <c r="N1164" i="1"/>
  <c r="M1164" i="1"/>
  <c r="N1156" i="1"/>
  <c r="M1156" i="1"/>
  <c r="N1148" i="1"/>
  <c r="M1148" i="1"/>
  <c r="N1140" i="1"/>
  <c r="M1140" i="1"/>
  <c r="N1132" i="1"/>
  <c r="M1132" i="1"/>
  <c r="N1124" i="1"/>
  <c r="M1124" i="1"/>
  <c r="N1116" i="1"/>
  <c r="M1116" i="1"/>
  <c r="N1108" i="1"/>
  <c r="M1108" i="1"/>
  <c r="N1100" i="1"/>
  <c r="M1100" i="1"/>
  <c r="N1092" i="1"/>
  <c r="M1092" i="1"/>
  <c r="N1084" i="1"/>
  <c r="M1084" i="1"/>
  <c r="N1076" i="1"/>
  <c r="M1076" i="1"/>
  <c r="N1068" i="1"/>
  <c r="M1068" i="1"/>
  <c r="N1060" i="1"/>
  <c r="M1060" i="1"/>
  <c r="N1052" i="1"/>
  <c r="M1052" i="1"/>
  <c r="N1044" i="1"/>
  <c r="M1044" i="1"/>
  <c r="N1036" i="1"/>
  <c r="M1036" i="1"/>
  <c r="N1028" i="1"/>
  <c r="M1028" i="1"/>
  <c r="N1020" i="1"/>
  <c r="M1020" i="1"/>
  <c r="N1012" i="1"/>
  <c r="M1012" i="1"/>
  <c r="N1004" i="1"/>
  <c r="M1004" i="1"/>
  <c r="N996" i="1"/>
  <c r="M996" i="1"/>
  <c r="N988" i="1"/>
  <c r="M988" i="1"/>
  <c r="N980" i="1"/>
  <c r="M980" i="1"/>
  <c r="N972" i="1"/>
  <c r="M972" i="1"/>
  <c r="N964" i="1"/>
  <c r="M964" i="1"/>
  <c r="N956" i="1"/>
  <c r="M956" i="1"/>
  <c r="N948" i="1"/>
  <c r="M948" i="1"/>
  <c r="N940" i="1"/>
  <c r="M940" i="1"/>
  <c r="N932" i="1"/>
  <c r="M932" i="1"/>
  <c r="N924" i="1"/>
  <c r="M924" i="1"/>
  <c r="N916" i="1"/>
  <c r="M916" i="1"/>
  <c r="N908" i="1"/>
  <c r="M908" i="1"/>
  <c r="N900" i="1"/>
  <c r="M900" i="1"/>
  <c r="N892" i="1"/>
  <c r="M892" i="1"/>
  <c r="N884" i="1"/>
  <c r="M884" i="1"/>
  <c r="N876" i="1"/>
  <c r="M876" i="1"/>
  <c r="N868" i="1"/>
  <c r="M868" i="1"/>
  <c r="N860" i="1"/>
  <c r="M860" i="1"/>
  <c r="N852" i="1"/>
  <c r="M852" i="1"/>
  <c r="N844" i="1"/>
  <c r="M844" i="1"/>
  <c r="N836" i="1"/>
  <c r="M836" i="1"/>
  <c r="N828" i="1"/>
  <c r="M828" i="1"/>
  <c r="N820" i="1"/>
  <c r="M820" i="1"/>
  <c r="N812" i="1"/>
  <c r="M812" i="1"/>
  <c r="N804" i="1"/>
  <c r="M804" i="1"/>
  <c r="N796" i="1"/>
  <c r="M796" i="1"/>
  <c r="N788" i="1"/>
  <c r="M788" i="1"/>
  <c r="N780" i="1"/>
  <c r="M780" i="1"/>
  <c r="N772" i="1"/>
  <c r="M772" i="1"/>
  <c r="N764" i="1"/>
  <c r="M764" i="1"/>
  <c r="N756" i="1"/>
  <c r="M756" i="1"/>
  <c r="N748" i="1"/>
  <c r="M748" i="1"/>
  <c r="N740" i="1"/>
  <c r="M740" i="1"/>
  <c r="N732" i="1"/>
  <c r="M732" i="1"/>
  <c r="N724" i="1"/>
  <c r="M724" i="1"/>
  <c r="N716" i="1"/>
  <c r="M716" i="1"/>
  <c r="N708" i="1"/>
  <c r="M708" i="1"/>
  <c r="N700" i="1"/>
  <c r="M700" i="1"/>
  <c r="N692" i="1"/>
  <c r="M692" i="1"/>
  <c r="N684" i="1"/>
  <c r="M684" i="1"/>
  <c r="N676" i="1"/>
  <c r="M676" i="1"/>
  <c r="N668" i="1"/>
  <c r="M668" i="1"/>
  <c r="N660" i="1"/>
  <c r="M660" i="1"/>
  <c r="N652" i="1"/>
  <c r="M652" i="1"/>
  <c r="N644" i="1"/>
  <c r="M644" i="1"/>
  <c r="N636" i="1"/>
  <c r="M636" i="1"/>
  <c r="N628" i="1"/>
  <c r="M628" i="1"/>
  <c r="N620" i="1"/>
  <c r="M620" i="1"/>
  <c r="N612" i="1"/>
  <c r="M612" i="1"/>
  <c r="N604" i="1"/>
  <c r="M604" i="1"/>
  <c r="N596" i="1"/>
  <c r="M596" i="1"/>
  <c r="N588" i="1"/>
  <c r="M588" i="1"/>
  <c r="N580" i="1"/>
  <c r="M580" i="1"/>
  <c r="N572" i="1"/>
  <c r="M572" i="1"/>
  <c r="N564" i="1"/>
  <c r="M564" i="1"/>
  <c r="N556" i="1"/>
  <c r="M556" i="1"/>
  <c r="N548" i="1"/>
  <c r="M548" i="1"/>
  <c r="N540" i="1"/>
  <c r="M540" i="1"/>
  <c r="N532" i="1"/>
  <c r="M532" i="1"/>
  <c r="N524" i="1"/>
  <c r="M524" i="1"/>
  <c r="N516" i="1"/>
  <c r="M516" i="1"/>
  <c r="N508" i="1"/>
  <c r="M508" i="1"/>
  <c r="N500" i="1"/>
  <c r="M500" i="1"/>
  <c r="N492" i="1"/>
  <c r="M492" i="1"/>
  <c r="N484" i="1"/>
  <c r="M484" i="1"/>
  <c r="N476" i="1"/>
  <c r="M476" i="1"/>
  <c r="N468" i="1"/>
  <c r="M468" i="1"/>
  <c r="N460" i="1"/>
  <c r="M460" i="1"/>
  <c r="N452" i="1"/>
  <c r="M452" i="1"/>
  <c r="N444" i="1"/>
  <c r="M444" i="1"/>
  <c r="N436" i="1"/>
  <c r="M436" i="1"/>
  <c r="N428" i="1"/>
  <c r="M428" i="1"/>
  <c r="N420" i="1"/>
  <c r="M420" i="1"/>
  <c r="N412" i="1"/>
  <c r="M412" i="1"/>
  <c r="N404" i="1"/>
  <c r="M404" i="1"/>
  <c r="N396" i="1"/>
  <c r="M396" i="1"/>
  <c r="N388" i="1"/>
  <c r="M388" i="1"/>
  <c r="N380" i="1"/>
  <c r="M380" i="1"/>
  <c r="N372" i="1"/>
  <c r="M372" i="1"/>
  <c r="N364" i="1"/>
  <c r="M364" i="1"/>
  <c r="N356" i="1"/>
  <c r="M356" i="1"/>
  <c r="N348" i="1"/>
  <c r="M348" i="1"/>
  <c r="N340" i="1"/>
  <c r="M340" i="1"/>
  <c r="N332" i="1"/>
  <c r="M332" i="1"/>
  <c r="N324" i="1"/>
  <c r="M324" i="1"/>
  <c r="N316" i="1"/>
  <c r="M316" i="1"/>
  <c r="N308" i="1"/>
  <c r="M308" i="1"/>
  <c r="N300" i="1"/>
  <c r="M300" i="1"/>
  <c r="N292" i="1"/>
  <c r="M292" i="1"/>
  <c r="N284" i="1"/>
  <c r="M284" i="1"/>
  <c r="N276" i="1"/>
  <c r="M276" i="1"/>
  <c r="N268" i="1"/>
  <c r="M268" i="1"/>
  <c r="N260" i="1"/>
  <c r="M260" i="1"/>
  <c r="N252" i="1"/>
  <c r="M252" i="1"/>
  <c r="N244" i="1"/>
  <c r="M244" i="1"/>
  <c r="N236" i="1"/>
  <c r="M236" i="1"/>
  <c r="N228" i="1"/>
  <c r="M228" i="1"/>
  <c r="N220" i="1"/>
  <c r="M220" i="1"/>
  <c r="N212" i="1"/>
  <c r="M212" i="1"/>
  <c r="N204" i="1"/>
  <c r="M204" i="1"/>
  <c r="N196" i="1"/>
  <c r="M196" i="1"/>
  <c r="N188" i="1"/>
  <c r="M188" i="1"/>
  <c r="N180" i="1"/>
  <c r="M180" i="1"/>
  <c r="N172" i="1"/>
  <c r="M172" i="1"/>
  <c r="N164" i="1"/>
  <c r="M164" i="1"/>
  <c r="N156" i="1"/>
  <c r="M156" i="1"/>
  <c r="N148" i="1"/>
  <c r="M148" i="1"/>
  <c r="N140" i="1"/>
  <c r="M140" i="1"/>
  <c r="N132" i="1"/>
  <c r="M132" i="1"/>
  <c r="N124" i="1"/>
  <c r="M124" i="1"/>
  <c r="N116" i="1"/>
  <c r="M116" i="1"/>
  <c r="N108" i="1"/>
  <c r="M108" i="1"/>
  <c r="N100" i="1"/>
  <c r="M100" i="1"/>
  <c r="N92" i="1"/>
  <c r="M92" i="1"/>
  <c r="N84" i="1"/>
  <c r="M84" i="1"/>
  <c r="N76" i="1"/>
  <c r="M76" i="1"/>
  <c r="N68" i="1"/>
  <c r="M68" i="1"/>
  <c r="N60" i="1"/>
  <c r="M60" i="1"/>
  <c r="N52" i="1"/>
  <c r="M52" i="1"/>
  <c r="N44" i="1"/>
  <c r="M44" i="1"/>
  <c r="N36" i="1"/>
  <c r="M36" i="1"/>
  <c r="N28" i="1"/>
  <c r="M28" i="1"/>
  <c r="N20" i="1"/>
  <c r="M20" i="1"/>
  <c r="N12" i="1"/>
  <c r="M12" i="1"/>
  <c r="N4" i="1"/>
  <c r="M4" i="1"/>
  <c r="N286" i="1"/>
  <c r="M286" i="1"/>
  <c r="N278" i="1"/>
  <c r="M278" i="1"/>
  <c r="N262" i="1"/>
  <c r="M262" i="1"/>
  <c r="N254" i="1"/>
  <c r="M254" i="1"/>
  <c r="N246" i="1"/>
  <c r="M246" i="1"/>
  <c r="N238" i="1"/>
  <c r="M238" i="1"/>
  <c r="N230" i="1"/>
  <c r="M230" i="1"/>
  <c r="N222" i="1"/>
  <c r="M222" i="1"/>
  <c r="N214" i="1"/>
  <c r="M214" i="1"/>
  <c r="N206" i="1"/>
  <c r="M206" i="1"/>
  <c r="N198" i="1"/>
  <c r="M198" i="1"/>
  <c r="N190" i="1"/>
  <c r="M190" i="1"/>
  <c r="N182" i="1"/>
  <c r="M182" i="1"/>
  <c r="N174" i="1"/>
  <c r="M174" i="1"/>
  <c r="N166" i="1"/>
  <c r="M166" i="1"/>
  <c r="N158" i="1"/>
  <c r="M158" i="1"/>
  <c r="N150" i="1"/>
  <c r="M150" i="1"/>
  <c r="N142" i="1"/>
  <c r="M142" i="1"/>
  <c r="N134" i="1"/>
  <c r="M134" i="1"/>
  <c r="N126" i="1"/>
  <c r="M126" i="1"/>
  <c r="N118" i="1"/>
  <c r="M118" i="1"/>
  <c r="N110" i="1"/>
  <c r="M110" i="1"/>
  <c r="N102" i="1"/>
  <c r="M102" i="1"/>
  <c r="N94" i="1"/>
  <c r="M94" i="1"/>
  <c r="N86" i="1"/>
  <c r="M86" i="1"/>
  <c r="N78" i="1"/>
  <c r="M78" i="1"/>
  <c r="N70" i="1"/>
  <c r="M70" i="1"/>
  <c r="N62" i="1"/>
  <c r="M62" i="1"/>
  <c r="N54" i="1"/>
  <c r="M54" i="1"/>
  <c r="N46" i="1"/>
  <c r="M46" i="1"/>
  <c r="N38" i="1"/>
  <c r="M38" i="1"/>
  <c r="N30" i="1"/>
  <c r="M30" i="1"/>
  <c r="N22" i="1"/>
  <c r="M22" i="1"/>
  <c r="N14" i="1"/>
  <c r="M14" i="1"/>
  <c r="N6" i="1"/>
  <c r="M6" i="1"/>
  <c r="N189" i="1"/>
  <c r="M189" i="1"/>
  <c r="N181" i="1"/>
  <c r="M181" i="1"/>
  <c r="N173" i="1"/>
  <c r="M173" i="1"/>
  <c r="N165" i="1"/>
  <c r="M165" i="1"/>
  <c r="N157" i="1"/>
  <c r="M157" i="1"/>
  <c r="N149" i="1"/>
  <c r="M149" i="1"/>
  <c r="N141" i="1"/>
  <c r="M141" i="1"/>
  <c r="N133" i="1"/>
  <c r="M133" i="1"/>
  <c r="N125" i="1"/>
  <c r="M125" i="1"/>
  <c r="N117" i="1"/>
  <c r="M117" i="1"/>
  <c r="N109" i="1"/>
  <c r="M109" i="1"/>
  <c r="N101" i="1"/>
  <c r="M101" i="1"/>
  <c r="N93" i="1"/>
  <c r="M93" i="1"/>
  <c r="N85" i="1"/>
  <c r="M85" i="1"/>
  <c r="N77" i="1"/>
  <c r="M77" i="1"/>
  <c r="N69" i="1"/>
  <c r="M69" i="1"/>
  <c r="N61" i="1"/>
  <c r="M61" i="1"/>
  <c r="N53" i="1"/>
  <c r="M53" i="1"/>
  <c r="N45" i="1"/>
  <c r="M45" i="1"/>
  <c r="N37" i="1"/>
  <c r="M37" i="1"/>
  <c r="N29" i="1"/>
  <c r="M29" i="1"/>
  <c r="N21" i="1"/>
  <c r="M21" i="1"/>
  <c r="N13" i="1"/>
  <c r="M13" i="1"/>
  <c r="N5" i="1"/>
  <c r="M5" i="1"/>
  <c r="N151" i="1"/>
  <c r="M151" i="1"/>
  <c r="N143" i="1"/>
  <c r="M143" i="1"/>
  <c r="N135" i="1"/>
  <c r="M135" i="1"/>
  <c r="N127" i="1"/>
  <c r="M127" i="1"/>
  <c r="N119" i="1"/>
  <c r="M119" i="1"/>
  <c r="N111" i="1"/>
  <c r="M111" i="1"/>
  <c r="N103" i="1"/>
  <c r="M103" i="1"/>
  <c r="N95" i="1"/>
  <c r="M95" i="1"/>
  <c r="N87" i="1"/>
  <c r="M87" i="1"/>
  <c r="N79" i="1"/>
  <c r="M79" i="1"/>
  <c r="N71" i="1"/>
  <c r="M71" i="1"/>
  <c r="N63" i="1"/>
  <c r="M63" i="1"/>
  <c r="N55" i="1"/>
  <c r="M55" i="1"/>
  <c r="N47" i="1"/>
  <c r="M47" i="1"/>
  <c r="N39" i="1"/>
  <c r="M39" i="1"/>
  <c r="N31" i="1"/>
  <c r="M31" i="1"/>
  <c r="N23" i="1"/>
  <c r="M23" i="1"/>
  <c r="N15" i="1"/>
  <c r="M15" i="1"/>
  <c r="N7" i="1"/>
  <c r="M7" i="1"/>
  <c r="N66" i="1"/>
  <c r="M66" i="1"/>
  <c r="N34" i="1"/>
  <c r="M34" i="1"/>
  <c r="N18" i="1"/>
  <c r="M18" i="1"/>
  <c r="N2" i="1"/>
  <c r="M2" i="1"/>
  <c r="N10" i="1"/>
  <c r="M10" i="1"/>
</calcChain>
</file>

<file path=xl/sharedStrings.xml><?xml version="1.0" encoding="utf-8"?>
<sst xmlns="http://schemas.openxmlformats.org/spreadsheetml/2006/main" count="35057" uniqueCount="10186">
  <si>
    <t>본부</t>
  </si>
  <si>
    <t>팀</t>
  </si>
  <si>
    <t>담당자</t>
  </si>
  <si>
    <t>매체</t>
  </si>
  <si>
    <t>계정</t>
  </si>
  <si>
    <t>소진액</t>
  </si>
  <si>
    <t>기간</t>
  </si>
  <si>
    <t>광고주명</t>
  </si>
  <si>
    <t>광고사업3부문</t>
  </si>
  <si>
    <t>제휴사업본부-마케팅팀</t>
  </si>
  <si>
    <t>김송이</t>
  </si>
  <si>
    <t>NAVER</t>
  </si>
  <si>
    <t>아산그라시아펜션</t>
  </si>
  <si>
    <t>제휴사업본부-성과운영팀</t>
  </si>
  <si>
    <t>이주원</t>
  </si>
  <si>
    <t>sm수미산업</t>
  </si>
  <si>
    <t>광고사업2부문</t>
  </si>
  <si>
    <t>세일즈본부</t>
  </si>
  <si>
    <t>김종관</t>
  </si>
  <si>
    <t>샤이어골드</t>
  </si>
  <si>
    <t>이계욱</t>
  </si>
  <si>
    <t>태능쇼핑백</t>
  </si>
  <si>
    <t>디지털플래닝</t>
  </si>
  <si>
    <t>온라인마케팅팀</t>
  </si>
  <si>
    <t>제갈민주_D</t>
  </si>
  <si>
    <t>토담</t>
  </si>
  <si>
    <t>(주)대성산업개발</t>
  </si>
  <si>
    <t>함철원</t>
  </si>
  <si>
    <t>한훤펜션</t>
  </si>
  <si>
    <t>이대성</t>
  </si>
  <si>
    <t>금원조명</t>
  </si>
  <si>
    <t>노선채</t>
  </si>
  <si>
    <t>신일수산</t>
  </si>
  <si>
    <t>정래현</t>
  </si>
  <si>
    <t>동남탱크보트</t>
  </si>
  <si>
    <t>김경익</t>
  </si>
  <si>
    <t>에듀인쇄기획</t>
  </si>
  <si>
    <t>박병재</t>
  </si>
  <si>
    <t>한국종합개발</t>
  </si>
  <si>
    <t>정미진</t>
  </si>
  <si>
    <t>런전자</t>
  </si>
  <si>
    <t>광고사업1부문</t>
  </si>
  <si>
    <t>광고사업1부문_E7팀</t>
  </si>
  <si>
    <t>김도연_E7</t>
  </si>
  <si>
    <t>(주)디지털프라자용산</t>
  </si>
  <si>
    <t>박수정</t>
  </si>
  <si>
    <t>247핏</t>
  </si>
  <si>
    <t>김유현</t>
  </si>
  <si>
    <t>24클린솔루션</t>
  </si>
  <si>
    <t>김소정</t>
  </si>
  <si>
    <t>259컴퍼니</t>
  </si>
  <si>
    <t>강승규</t>
  </si>
  <si>
    <t>금강만물</t>
  </si>
  <si>
    <t>기정헌</t>
  </si>
  <si>
    <t>ㅋㅋ쿠키</t>
  </si>
  <si>
    <t>고려이앤아이</t>
  </si>
  <si>
    <t>마케팅본부-1팀</t>
  </si>
  <si>
    <t>윤홍이</t>
  </si>
  <si>
    <t>굿모닝보청기(청주)</t>
  </si>
  <si>
    <t>안지연</t>
  </si>
  <si>
    <t>한국레이저정밀</t>
  </si>
  <si>
    <t>365힐링의원</t>
  </si>
  <si>
    <t>권원정</t>
  </si>
  <si>
    <t>365리빙</t>
  </si>
  <si>
    <t>박현진</t>
  </si>
  <si>
    <t>쓰리지에프</t>
  </si>
  <si>
    <t>고현수</t>
  </si>
  <si>
    <t>이미지라인</t>
  </si>
  <si>
    <t>오팔집</t>
  </si>
  <si>
    <t>침향사랑</t>
  </si>
  <si>
    <t>식스티세컨즈</t>
  </si>
  <si>
    <t>한화호텔앤드리조트(주)</t>
  </si>
  <si>
    <t>일진기업 (조이볼라드)</t>
  </si>
  <si>
    <t>최한기</t>
  </si>
  <si>
    <t>양향자푸드앤코디아카데미</t>
  </si>
  <si>
    <t>선은호</t>
  </si>
  <si>
    <t>혜정속기사</t>
  </si>
  <si>
    <t>드림환경자원</t>
  </si>
  <si>
    <t>변상윤</t>
  </si>
  <si>
    <t>빌딩로그인</t>
  </si>
  <si>
    <t>모듈종합상사</t>
  </si>
  <si>
    <t>새마을환경</t>
  </si>
  <si>
    <t>현수막팩토리</t>
  </si>
  <si>
    <t>제휴사업본부-채널영업채널파트</t>
  </si>
  <si>
    <t>석진주</t>
  </si>
  <si>
    <t>에덴밸리 에이스스키샵</t>
  </si>
  <si>
    <t>이형주_D</t>
  </si>
  <si>
    <t>누브네 한결축산</t>
  </si>
  <si>
    <t>서대콜밴</t>
  </si>
  <si>
    <t>신한벽지</t>
  </si>
  <si>
    <t>ksa한국체대입시학원</t>
  </si>
  <si>
    <t>금동현</t>
  </si>
  <si>
    <t>조은소리보청기 광주</t>
  </si>
  <si>
    <t>김대영</t>
  </si>
  <si>
    <t>구구팩</t>
  </si>
  <si>
    <t>힙스</t>
  </si>
  <si>
    <t>이경수</t>
  </si>
  <si>
    <t>디자인하다</t>
  </si>
  <si>
    <t>대한웅변연합회(성현스피치아카데미)</t>
  </si>
  <si>
    <t>제빙기hm유통</t>
  </si>
  <si>
    <t>이승호</t>
  </si>
  <si>
    <t>바름</t>
  </si>
  <si>
    <t>김동현</t>
  </si>
  <si>
    <t>에이비씨상사(주)</t>
  </si>
  <si>
    <t>이지훈</t>
  </si>
  <si>
    <t>에어바운스천국</t>
  </si>
  <si>
    <t>김남균_D</t>
  </si>
  <si>
    <t>스카이(sky)학원</t>
  </si>
  <si>
    <t>주식회사 액센트리</t>
  </si>
  <si>
    <t>더스트헌터</t>
  </si>
  <si>
    <t>김현우</t>
  </si>
  <si>
    <t>애드인아트</t>
  </si>
  <si>
    <t>라이트존</t>
  </si>
  <si>
    <t>이지스씰링테크놀로지</t>
  </si>
  <si>
    <t>조혜원아동상담센터</t>
  </si>
  <si>
    <t>김보람</t>
  </si>
  <si>
    <t>에이펙</t>
  </si>
  <si>
    <t>에이에프지</t>
  </si>
  <si>
    <t>김한나_1</t>
  </si>
  <si>
    <t>아프리카안경 합정점</t>
  </si>
  <si>
    <t>개인택시정보센터</t>
  </si>
  <si>
    <t>하늘사다리</t>
  </si>
  <si>
    <t>조병철</t>
  </si>
  <si>
    <t>에이지엘 주식회사</t>
  </si>
  <si>
    <t>세라피쇼파</t>
  </si>
  <si>
    <t>목포홍가</t>
  </si>
  <si>
    <t>아이마코리아</t>
  </si>
  <si>
    <t>권도희</t>
  </si>
  <si>
    <t>아임삭</t>
  </si>
  <si>
    <t>영풍크린테크</t>
  </si>
  <si>
    <t>에어코세아</t>
  </si>
  <si>
    <t>아전이엔지</t>
  </si>
  <si>
    <t>아주키친서비스</t>
  </si>
  <si>
    <t>알구고(JW 생활건강)</t>
  </si>
  <si>
    <t>(주)에일리언테크놀로지아시아</t>
  </si>
  <si>
    <t>모든날기프트</t>
  </si>
  <si>
    <t>올인포케이</t>
  </si>
  <si>
    <t>최윤희</t>
  </si>
  <si>
    <t>(주)와이컬렉션</t>
  </si>
  <si>
    <t>알파동물메디컬센터</t>
  </si>
  <si>
    <t>청춘욕실</t>
  </si>
  <si>
    <t>하나철거</t>
  </si>
  <si>
    <t>박세진_1</t>
  </si>
  <si>
    <t>콤마씨</t>
  </si>
  <si>
    <t>에이엘테크</t>
  </si>
  <si>
    <t>리본스튜디오</t>
  </si>
  <si>
    <t>알즈너</t>
  </si>
  <si>
    <t>한국안전원</t>
  </si>
  <si>
    <t>힐링온펜션</t>
  </si>
  <si>
    <t>엔젤녹즙기</t>
  </si>
  <si>
    <t>한백지붕공사</t>
  </si>
  <si>
    <t>에코나노</t>
  </si>
  <si>
    <t>(주)혜지시스템</t>
  </si>
  <si>
    <t>굿모닝뷰티</t>
  </si>
  <si>
    <t>애니씰코리아</t>
  </si>
  <si>
    <t>애니시큐어 주식회사</t>
  </si>
  <si>
    <t>서승우</t>
  </si>
  <si>
    <t>에이펙스 이엠에스 스튜디오 김포풍무점</t>
  </si>
  <si>
    <t>에이펙스EMS스튜디오</t>
  </si>
  <si>
    <t>주식회사한울_돈치킨</t>
  </si>
  <si>
    <t>로앤법무사사무소</t>
  </si>
  <si>
    <t>주식회사 에이픽스게이밍</t>
  </si>
  <si>
    <t>에어팩코리아</t>
  </si>
  <si>
    <t>아펜즈</t>
  </si>
  <si>
    <t>퍼스트트렌드</t>
  </si>
  <si>
    <t>아프로시트</t>
  </si>
  <si>
    <t>뱅크몰</t>
  </si>
  <si>
    <t>제휴사업본부-1팀</t>
  </si>
  <si>
    <t>3부문1팀관리</t>
  </si>
  <si>
    <t>주식회사 지인플러스</t>
  </si>
  <si>
    <t>이일교</t>
  </si>
  <si>
    <t>제이에이치홀딩스</t>
  </si>
  <si>
    <t>큐브스퀘어</t>
  </si>
  <si>
    <t>아버스튜디오</t>
  </si>
  <si>
    <t>팀타이푼</t>
  </si>
  <si>
    <t>아리테크/기구설계/제품개발</t>
  </si>
  <si>
    <t>광고사업4부문</t>
  </si>
  <si>
    <t>디지털마케팅본부-디지털마케팅팀</t>
  </si>
  <si>
    <t>지사통합관리</t>
  </si>
  <si>
    <t>일동제약(주)</t>
  </si>
  <si>
    <t>아트이벤트</t>
  </si>
  <si>
    <t>좋은의안</t>
  </si>
  <si>
    <t>아트유</t>
  </si>
  <si>
    <t>에이에스</t>
  </si>
  <si>
    <t>한국폴리텍대 아산캠퍼스</t>
  </si>
  <si>
    <t>태원석면환경</t>
  </si>
  <si>
    <t>케이엠하이테크</t>
  </si>
  <si>
    <t>아시아여행사</t>
  </si>
  <si>
    <t>삼양밸브종합 판매 설치 AS점</t>
  </si>
  <si>
    <t>자동차이야기</t>
  </si>
  <si>
    <t>아테네 체대입시</t>
  </si>
  <si>
    <t>엣홈파스타</t>
  </si>
  <si>
    <t>아토바스</t>
  </si>
  <si>
    <t>에이투지필터</t>
  </si>
  <si>
    <t>에이투지어학원</t>
  </si>
  <si>
    <t>연세지움피부과</t>
  </si>
  <si>
    <t>자동문의고수</t>
  </si>
  <si>
    <t>마스터스뮤직</t>
  </si>
  <si>
    <t>아반</t>
  </si>
  <si>
    <t>주식화사 아빌라리조트</t>
  </si>
  <si>
    <t>현민무역</t>
  </si>
  <si>
    <t>(주)일주일아이앤씨</t>
  </si>
  <si>
    <t>페르수</t>
  </si>
  <si>
    <t>(주)비원오피스</t>
  </si>
  <si>
    <t>베이비송</t>
  </si>
  <si>
    <t>베이비플러스 동탄오산점</t>
  </si>
  <si>
    <t>어소향</t>
  </si>
  <si>
    <t>배짱인커뮤니케이션</t>
  </si>
  <si>
    <t>kb주택</t>
  </si>
  <si>
    <t>장똘뱅이 오마카세</t>
  </si>
  <si>
    <t>밸런스휠 수영강변점</t>
  </si>
  <si>
    <t>반딧불이 원주점</t>
  </si>
  <si>
    <t>가야방짜유기</t>
  </si>
  <si>
    <t>밥통앱</t>
  </si>
  <si>
    <t>형제상회</t>
  </si>
  <si>
    <t>KT소렘</t>
  </si>
  <si>
    <t>바로빌트</t>
  </si>
  <si>
    <t>김예진</t>
  </si>
  <si>
    <t>주식회사 보보</t>
  </si>
  <si>
    <t>까사모로(펜션뽀대 계정명)</t>
  </si>
  <si>
    <t>임미라</t>
  </si>
  <si>
    <t>(주)홈그라운드</t>
  </si>
  <si>
    <t>우리네펜션</t>
  </si>
  <si>
    <t>광고사업3부문_E7팀</t>
  </si>
  <si>
    <t>김유현/박세진_1/노선채/임미라</t>
  </si>
  <si>
    <t>이투스교육(청솔학원)</t>
  </si>
  <si>
    <t>비씨워터젯</t>
  </si>
  <si>
    <t>바닥재고려</t>
  </si>
  <si>
    <t>베베누보</t>
  </si>
  <si>
    <t>안성일</t>
  </si>
  <si>
    <t>벨샵</t>
  </si>
  <si>
    <t>헤어워크</t>
  </si>
  <si>
    <t>베니아</t>
  </si>
  <si>
    <t>잠실베스트동물메디컬센터</t>
  </si>
  <si>
    <t>베스트아트</t>
  </si>
  <si>
    <t>해오름물류</t>
  </si>
  <si>
    <t>박현빈_D</t>
  </si>
  <si>
    <t>베럴유(better U)</t>
  </si>
  <si>
    <t>베러데이</t>
  </si>
  <si>
    <t>굿모닝보청기(수원,용인광교센터)</t>
  </si>
  <si>
    <t>bf라인치과의원</t>
  </si>
  <si>
    <t>천사공인중개사</t>
  </si>
  <si>
    <t>(주)부현로지스</t>
  </si>
  <si>
    <t>베스트환경</t>
  </si>
  <si>
    <t>조건</t>
  </si>
  <si>
    <t>블루밍공식대리점</t>
  </si>
  <si>
    <t>징크원</t>
  </si>
  <si>
    <t>쌍봉목재사</t>
  </si>
  <si>
    <t>솔향기길 캠핑장</t>
  </si>
  <si>
    <t>서호글로벌(블링블링폰)</t>
  </si>
  <si>
    <t>블리스펜션</t>
  </si>
  <si>
    <t>제이알인더스트리</t>
  </si>
  <si>
    <t>레디코</t>
  </si>
  <si>
    <t>이은주_1</t>
  </si>
  <si>
    <t>블루인</t>
  </si>
  <si>
    <t>블루티움</t>
  </si>
  <si>
    <t>(주)블루윙</t>
  </si>
  <si>
    <t>보명시스템</t>
  </si>
  <si>
    <t>아이프린팅</t>
  </si>
  <si>
    <t>주식회사 몸앤정신</t>
  </si>
  <si>
    <t>보아스제과상사</t>
  </si>
  <si>
    <t>중부파렛트</t>
  </si>
  <si>
    <t>이지혜_2</t>
  </si>
  <si>
    <t>주식회사 빅비트</t>
  </si>
  <si>
    <t>디딤데코</t>
  </si>
  <si>
    <t>본글라스</t>
  </si>
  <si>
    <t>대유기획인쇄</t>
  </si>
  <si>
    <t>봄가간장게장</t>
  </si>
  <si>
    <t>퀸즈핫요가 신림점</t>
  </si>
  <si>
    <t>이계욱/위승지</t>
  </si>
  <si>
    <t>주식회사 디스피스</t>
  </si>
  <si>
    <t>드림스피치</t>
  </si>
  <si>
    <t>부스트업</t>
  </si>
  <si>
    <t>써니피치</t>
  </si>
  <si>
    <t>보람퀵서비스</t>
  </si>
  <si>
    <t>빅풋</t>
  </si>
  <si>
    <t>거산종합사무기</t>
  </si>
  <si>
    <t>연합파렛트</t>
  </si>
  <si>
    <t>주식회사 에이스종합물류</t>
  </si>
  <si>
    <t>이엔에스브레인맵</t>
  </si>
  <si>
    <t>(주)이엔제이에프</t>
  </si>
  <si>
    <t>brm연구소부산지회</t>
  </si>
  <si>
    <t>brm연구소 목동지회</t>
  </si>
  <si>
    <t>천미미</t>
  </si>
  <si>
    <t>(주)현대브러쉬시스템</t>
  </si>
  <si>
    <t>부산스카이차연합</t>
  </si>
  <si>
    <t>미오네일</t>
  </si>
  <si>
    <t>부산음향</t>
  </si>
  <si>
    <t>부산심리상담센터 함께</t>
  </si>
  <si>
    <t>스마트가이</t>
  </si>
  <si>
    <t>한모임</t>
  </si>
  <si>
    <t>제이엠트레이딩</t>
  </si>
  <si>
    <t>상일산업</t>
  </si>
  <si>
    <t>(주)부원산업</t>
  </si>
  <si>
    <t>시은소</t>
  </si>
  <si>
    <t>바이가미 부산</t>
  </si>
  <si>
    <t>남원목기</t>
  </si>
  <si>
    <t>에프앤씨코리아(fnc코리아)</t>
  </si>
  <si>
    <t>탑전선케이블</t>
  </si>
  <si>
    <t>케이블테크(주)</t>
  </si>
  <si>
    <t>카페이서(홍천점)</t>
  </si>
  <si>
    <t>카페이서(남양주점)</t>
  </si>
  <si>
    <t>콜밴요정</t>
  </si>
  <si>
    <t>빚다</t>
  </si>
  <si>
    <t>기륭데이타</t>
  </si>
  <si>
    <t>커리어메이킹</t>
  </si>
  <si>
    <t>(주)와이어트</t>
  </si>
  <si>
    <t>초이스화물</t>
  </si>
  <si>
    <t>카원</t>
  </si>
  <si>
    <t>카스</t>
  </si>
  <si>
    <t>이채연</t>
  </si>
  <si>
    <t>제이에스텍</t>
  </si>
  <si>
    <t>독립광고</t>
  </si>
  <si>
    <t>시사어학원</t>
  </si>
  <si>
    <t>안경선</t>
  </si>
  <si>
    <t>씨비씨미디어</t>
  </si>
  <si>
    <t>칼천지</t>
  </si>
  <si>
    <t>샤플리헤어</t>
  </si>
  <si>
    <t>(주)씨큐레이션</t>
  </si>
  <si>
    <t>(주)씨디네트웍스</t>
  </si>
  <si>
    <t>센트럴T성형외과</t>
  </si>
  <si>
    <t>호리즌</t>
  </si>
  <si>
    <t>셀레브레이션</t>
  </si>
  <si>
    <t>후한의원</t>
  </si>
  <si>
    <t>비조스</t>
  </si>
  <si>
    <t>동일하이테크</t>
  </si>
  <si>
    <t>카멜로로스터즈</t>
  </si>
  <si>
    <t>(주)참좋은</t>
  </si>
  <si>
    <t>boom(붐) 겨울세상</t>
  </si>
  <si>
    <t>창조큐비클</t>
  </si>
  <si>
    <t>차세데산업</t>
  </si>
  <si>
    <t>(주)쉐어앤서비스</t>
  </si>
  <si>
    <t>청림원</t>
  </si>
  <si>
    <t>청학동대안학교</t>
  </si>
  <si>
    <t>초이스외벽공사</t>
  </si>
  <si>
    <t>한지훈</t>
  </si>
  <si>
    <t>엠보이스보컬학원</t>
  </si>
  <si>
    <t>연세원비뇨의학과의원</t>
  </si>
  <si>
    <t>한일공업변압기</t>
  </si>
  <si>
    <t>한남산업</t>
  </si>
  <si>
    <t>초코마대</t>
  </si>
  <si>
    <t>전진에스앤지상사</t>
  </si>
  <si>
    <t>천일석재</t>
  </si>
  <si>
    <t>네츄럴파크</t>
  </si>
  <si>
    <t>청취에듀</t>
  </si>
  <si>
    <t>충만기업</t>
  </si>
  <si>
    <t>청림농원</t>
  </si>
  <si>
    <t>청그립작업스튜디오</t>
  </si>
  <si>
    <t>이지위그스타일</t>
  </si>
  <si>
    <t>선우금속</t>
  </si>
  <si>
    <t>쵸코파이펜션</t>
  </si>
  <si>
    <t>강남기획</t>
  </si>
  <si>
    <t>주식회사 샤마</t>
  </si>
  <si>
    <t>이해람</t>
  </si>
  <si>
    <t>(주)화이니스침대</t>
  </si>
  <si>
    <t>원웨이영어학원</t>
  </si>
  <si>
    <t>오엔젤플라워</t>
  </si>
  <si>
    <t>메디패션</t>
  </si>
  <si>
    <t>창조아트</t>
  </si>
  <si>
    <t>청주미용</t>
  </si>
  <si>
    <t>씨플랜어학원-권현정</t>
  </si>
  <si>
    <t>에이치케이이노엔(주)</t>
  </si>
  <si>
    <t>초전성모의원</t>
  </si>
  <si>
    <t>CK Food Internationa</t>
  </si>
  <si>
    <t>안전한세상</t>
  </si>
  <si>
    <t>클라랑스코리아유한회사</t>
  </si>
  <si>
    <t>(주)미디어로그</t>
  </si>
  <si>
    <t>클린아일랜드</t>
  </si>
  <si>
    <t>청림모자</t>
  </si>
  <si>
    <t>플러스라이트</t>
  </si>
  <si>
    <t>씨엠테크</t>
  </si>
  <si>
    <t>최조용</t>
  </si>
  <si>
    <t>(주)씨엔컴퍼니</t>
  </si>
  <si>
    <t>이레산업</t>
  </si>
  <si>
    <t>이미희</t>
  </si>
  <si>
    <t>(주)컴랜드시스템</t>
  </si>
  <si>
    <t>에스제이 컴퍼니</t>
  </si>
  <si>
    <t>콤파스</t>
  </si>
  <si>
    <t>무빙팩</t>
  </si>
  <si>
    <t>콘스토어</t>
  </si>
  <si>
    <t>쿨펫애견미용학원</t>
  </si>
  <si>
    <t>한샘누수탐지</t>
  </si>
  <si>
    <t>가평역레져</t>
  </si>
  <si>
    <t>캐시맵</t>
  </si>
  <si>
    <t>카즈머스엔지니어링</t>
  </si>
  <si>
    <t>coxco</t>
  </si>
  <si>
    <t>씨플랜어학원-박수민</t>
  </si>
  <si>
    <t>씨플랜어학원</t>
  </si>
  <si>
    <t>씨플랜어학원-최재용</t>
  </si>
  <si>
    <t>씨플랜어학원_cplan22</t>
  </si>
  <si>
    <t>씨플랜어학원-최연주</t>
  </si>
  <si>
    <t>위승지</t>
  </si>
  <si>
    <t>대진상사</t>
  </si>
  <si>
    <t>사이언스몰</t>
  </si>
  <si>
    <t>(주)토탈공예</t>
  </si>
  <si>
    <t>이삭</t>
  </si>
  <si>
    <t>블루밍(BLOOMING)</t>
  </si>
  <si>
    <t>주식회사 쿠스코</t>
  </si>
  <si>
    <t>스탠딩톨</t>
  </si>
  <si>
    <t>대영벽지</t>
  </si>
  <si>
    <t>곰보배추농장</t>
  </si>
  <si>
    <t>대구언어치료</t>
  </si>
  <si>
    <t>대진휀스건설</t>
  </si>
  <si>
    <t>릴라릴라</t>
  </si>
  <si>
    <t>대림우드</t>
  </si>
  <si>
    <t>대로시스템</t>
  </si>
  <si>
    <t>목공넷</t>
  </si>
  <si>
    <t>법무법인대진</t>
  </si>
  <si>
    <t>주식회사대성메이트</t>
  </si>
  <si>
    <t>대성산업</t>
  </si>
  <si>
    <t>대운산업</t>
  </si>
  <si>
    <t>다같이미술학원 대구</t>
  </si>
  <si>
    <t>(주)대경지앰비</t>
  </si>
  <si>
    <t>두리농산</t>
  </si>
  <si>
    <t>다모아캠</t>
  </si>
  <si>
    <t>다모아카드</t>
  </si>
  <si>
    <t>다목하우징</t>
  </si>
  <si>
    <t>담양대나무총판</t>
  </si>
  <si>
    <t>주식회사 다니카</t>
  </si>
  <si>
    <t>다온용접학원</t>
  </si>
  <si>
    <t>아영산업</t>
  </si>
  <si>
    <t>한국데이터진흥원</t>
  </si>
  <si>
    <t>데이비드테크(주)(엔보우)</t>
  </si>
  <si>
    <t>데이홈(앵두전구)</t>
  </si>
  <si>
    <t>대부앤틱</t>
  </si>
  <si>
    <t>메디이엔지</t>
  </si>
  <si>
    <t>디비씽크</t>
  </si>
  <si>
    <t>디시몰</t>
  </si>
  <si>
    <t>차민선_D</t>
  </si>
  <si>
    <t>땡겨요</t>
  </si>
  <si>
    <t>봉평메밀미가연</t>
  </si>
  <si>
    <t>대동계기교역사</t>
  </si>
  <si>
    <t>떡함지</t>
  </si>
  <si>
    <t>(주)창안애</t>
  </si>
  <si>
    <t>이지리쉬</t>
  </si>
  <si>
    <t>동락사회적협동조약</t>
  </si>
  <si>
    <t>대흥기계</t>
  </si>
  <si>
    <t>서동우</t>
  </si>
  <si>
    <t>바자샵</t>
  </si>
  <si>
    <t>dhlkorea</t>
  </si>
  <si>
    <t>명성스팀청소</t>
  </si>
  <si>
    <t>대천통나무펜션리조트</t>
  </si>
  <si>
    <t>자이로딕손</t>
  </si>
  <si>
    <t>디딤돌 아동미술</t>
  </si>
  <si>
    <t>로렌블</t>
  </si>
  <si>
    <t>문스컴퍼니</t>
  </si>
  <si>
    <t>김지인</t>
  </si>
  <si>
    <t>디그펫</t>
  </si>
  <si>
    <t>지이엘</t>
  </si>
  <si>
    <t>삼정데이타서비스</t>
  </si>
  <si>
    <t>합천생약가공영농조합법인</t>
  </si>
  <si>
    <t>임랑카라반파크</t>
  </si>
  <si>
    <t>주식회사 대교종합기계</t>
  </si>
  <si>
    <t>진영체인</t>
  </si>
  <si>
    <t>와이덱스보청기(김천)</t>
  </si>
  <si>
    <t>포텐</t>
  </si>
  <si>
    <t>플러스환경</t>
  </si>
  <si>
    <t>아이엔지건축 별하건설</t>
  </si>
  <si>
    <t>인애유통</t>
  </si>
  <si>
    <t>온고지신</t>
  </si>
  <si>
    <t>디앤아이샵</t>
  </si>
  <si>
    <t>용된다</t>
  </si>
  <si>
    <t>디노마드</t>
  </si>
  <si>
    <t>디자인늘품</t>
  </si>
  <si>
    <t>안다예</t>
  </si>
  <si>
    <t>라경찬한의원</t>
  </si>
  <si>
    <t>주식회사 바이오리더스</t>
  </si>
  <si>
    <t>신수림한의원</t>
  </si>
  <si>
    <t>고려유통</t>
  </si>
  <si>
    <t>화이트기획 부평점</t>
  </si>
  <si>
    <t>다잘방역</t>
  </si>
  <si>
    <t>다잘</t>
  </si>
  <si>
    <t>팔구샵</t>
  </si>
  <si>
    <t>(주)도건이엔씨</t>
  </si>
  <si>
    <t>(주)동보무역상사</t>
  </si>
  <si>
    <t>동부참사랑요양병원</t>
  </si>
  <si>
    <t>돈지오반니</t>
  </si>
  <si>
    <t>김휘연</t>
  </si>
  <si>
    <t>동림셔터</t>
  </si>
  <si>
    <t>동양씨앤씨</t>
  </si>
  <si>
    <t>청리토종닭영농조합법인</t>
  </si>
  <si>
    <t>둘레휀스</t>
  </si>
  <si>
    <t>두성종합배관</t>
  </si>
  <si>
    <t>두성커머스</t>
  </si>
  <si>
    <t>도랑가펜션</t>
  </si>
  <si>
    <t>도움소</t>
  </si>
  <si>
    <t>정아연_D</t>
  </si>
  <si>
    <t>아름드리</t>
  </si>
  <si>
    <t>다이빙프로토콜</t>
  </si>
  <si>
    <t>모톡스(케이앤제이)_탈모</t>
  </si>
  <si>
    <t>시온</t>
  </si>
  <si>
    <t>드림요양병원</t>
  </si>
  <si>
    <t>아이봇</t>
  </si>
  <si>
    <t>국제특수</t>
  </si>
  <si>
    <t>드림마켓</t>
  </si>
  <si>
    <t>큐티마미</t>
  </si>
  <si>
    <t>우호철비뇨기과</t>
  </si>
  <si>
    <t>대성공인중개사 사무소</t>
  </si>
  <si>
    <t>(주)알정보네트웍스</t>
  </si>
  <si>
    <t>대성중장비전문학원</t>
  </si>
  <si>
    <t>대성기업</t>
  </si>
  <si>
    <t>동신공사</t>
  </si>
  <si>
    <t>동신패널</t>
  </si>
  <si>
    <t>동성철망공업 주식회사</t>
  </si>
  <si>
    <t>(주)디에스텍</t>
  </si>
  <si>
    <t>덕덕생활</t>
  </si>
  <si>
    <t>신출한의원</t>
  </si>
  <si>
    <t>아루노</t>
  </si>
  <si>
    <t>OA나라 (프린터Q)</t>
  </si>
  <si>
    <t>(주)두인디지텍</t>
  </si>
  <si>
    <t>다경농원</t>
  </si>
  <si>
    <t>내쇼날경기산업</t>
  </si>
  <si>
    <t>두오엔텍</t>
  </si>
  <si>
    <t>원베이비</t>
  </si>
  <si>
    <t>연호음료주식회사</t>
  </si>
  <si>
    <t>올인원오피스</t>
  </si>
  <si>
    <t>대원전기</t>
  </si>
  <si>
    <t>제3용진호</t>
  </si>
  <si>
    <t>HH(에이치앤에이치)</t>
  </si>
  <si>
    <t>파란궁둥이</t>
  </si>
  <si>
    <t>대양산업</t>
  </si>
  <si>
    <t>(주)금강스틸산업</t>
  </si>
  <si>
    <t>세이버투플러스(이지펀)</t>
  </si>
  <si>
    <t>주식회사 꼬끼오</t>
  </si>
  <si>
    <t>매생이총각네</t>
  </si>
  <si>
    <t>세일즈본부-TFT팀</t>
  </si>
  <si>
    <t>1부문1팀관리</t>
  </si>
  <si>
    <t>에빈코리아</t>
  </si>
  <si>
    <t>첼로와거문고</t>
  </si>
  <si>
    <t>곽재곤_D</t>
  </si>
  <si>
    <t>이천몰</t>
  </si>
  <si>
    <t>(주)동화기업</t>
  </si>
  <si>
    <t>(주)에코앤네이쳐</t>
  </si>
  <si>
    <t>에코프라이즈</t>
  </si>
  <si>
    <t>울산산업직업학교</t>
  </si>
  <si>
    <t>이든라이프</t>
  </si>
  <si>
    <t>에덴도어</t>
  </si>
  <si>
    <t>한성대학교 한디원</t>
  </si>
  <si>
    <t>에듀프랑스</t>
  </si>
  <si>
    <t>에듀켄</t>
  </si>
  <si>
    <t>대치한티에듀플렉스</t>
  </si>
  <si>
    <t>에듀퓨어</t>
  </si>
  <si>
    <t>썬라이즈캠핑</t>
  </si>
  <si>
    <t>대흥자수</t>
  </si>
  <si>
    <t>이지테크</t>
  </si>
  <si>
    <t>도담도담</t>
  </si>
  <si>
    <t>도래샘리조트</t>
  </si>
  <si>
    <t>박수형분양2</t>
  </si>
  <si>
    <t>미소피부앤경락</t>
  </si>
  <si>
    <t>이아이씨앤</t>
  </si>
  <si>
    <t>그린락화이어</t>
  </si>
  <si>
    <t>폐금나라</t>
  </si>
  <si>
    <t>더편한요양병원</t>
  </si>
  <si>
    <t>이케이뷰티</t>
  </si>
  <si>
    <t>크라머코리아</t>
  </si>
  <si>
    <t>ksti</t>
  </si>
  <si>
    <t>오드무드</t>
  </si>
  <si>
    <t>엘림스카이어닝</t>
  </si>
  <si>
    <t>(주)이롭코퍼레이션</t>
  </si>
  <si>
    <t>이강호</t>
  </si>
  <si>
    <t>센추리버너</t>
  </si>
  <si>
    <t>은하시스템</t>
  </si>
  <si>
    <t>한국유수압</t>
  </si>
  <si>
    <t>클린하수구</t>
  </si>
  <si>
    <t>에드몬드옵틱스코리아</t>
  </si>
  <si>
    <t>이피이큅먼트코리아</t>
  </si>
  <si>
    <t>빠방운송</t>
  </si>
  <si>
    <t>창준물산</t>
  </si>
  <si>
    <t>이레스포츠</t>
  </si>
  <si>
    <t>에리치</t>
  </si>
  <si>
    <t>이소컴퍼니</t>
  </si>
  <si>
    <t>EST실용음악학원</t>
  </si>
  <si>
    <t>이투스교육(앤써)</t>
  </si>
  <si>
    <t>이튼튼치과</t>
  </si>
  <si>
    <t>은계알파문구주식회사</t>
  </si>
  <si>
    <t>(주)은하수산</t>
  </si>
  <si>
    <t>SE무역</t>
  </si>
  <si>
    <t>한바이코리아</t>
  </si>
  <si>
    <t>더하우스</t>
  </si>
  <si>
    <t>은성테크</t>
  </si>
  <si>
    <t>유라</t>
  </si>
  <si>
    <t>유로빌펜션</t>
  </si>
  <si>
    <t>SW마케팅</t>
  </si>
  <si>
    <t>에버크린환경</t>
  </si>
  <si>
    <t>에버하우징</t>
  </si>
  <si>
    <t>팹브리지</t>
  </si>
  <si>
    <t>팜투베이비</t>
  </si>
  <si>
    <t>조은좌대낚시</t>
  </si>
  <si>
    <t>한우리(스네프)_1</t>
  </si>
  <si>
    <t>금융디자인연구소</t>
  </si>
  <si>
    <t>에스에프키즈</t>
  </si>
  <si>
    <t>(주)필라넷</t>
  </si>
  <si>
    <t>드림출장뷔페</t>
  </si>
  <si>
    <t>아이드침대</t>
  </si>
  <si>
    <t>필터연구소</t>
  </si>
  <si>
    <t>화인</t>
  </si>
  <si>
    <t>(주)화인코리아</t>
  </si>
  <si>
    <t>핑갈주얼리</t>
  </si>
  <si>
    <t>퍼스트이앤지</t>
  </si>
  <si>
    <t>아마존피쉬</t>
  </si>
  <si>
    <t>플렛</t>
  </si>
  <si>
    <t>에프엘씨</t>
  </si>
  <si>
    <t>몰로킨</t>
  </si>
  <si>
    <t>플로우시스템</t>
  </si>
  <si>
    <t>제휴사업본부-영업기획팀</t>
  </si>
  <si>
    <t>지현성</t>
  </si>
  <si>
    <t>제주항공우주박물관</t>
  </si>
  <si>
    <t>루미애체안경원</t>
  </si>
  <si>
    <t>(주)푸드노트서비스</t>
  </si>
  <si>
    <t>미추홀구맛집</t>
  </si>
  <si>
    <t>한독에어레스</t>
  </si>
  <si>
    <t>프릭스앤긱스</t>
  </si>
  <si>
    <t>정미진/이계욱/위승지/최한기/정래현</t>
  </si>
  <si>
    <t>(주)퓨쳐싸이언스</t>
  </si>
  <si>
    <t>지투아이넷</t>
  </si>
  <si>
    <t>가가청소철거</t>
  </si>
  <si>
    <t>가인컨테이너</t>
  </si>
  <si>
    <t>갤럭시원룸텔</t>
  </si>
  <si>
    <t>블랙째즈</t>
  </si>
  <si>
    <t>가야황토벽돌산업</t>
  </si>
  <si>
    <t>높을고구마</t>
  </si>
  <si>
    <t>주식회사 젠틸</t>
  </si>
  <si>
    <t>지오테크노코리아</t>
  </si>
  <si>
    <t>좋은친구들(프렌즈네트웍스)</t>
  </si>
  <si>
    <t>스튜디오마법사</t>
  </si>
  <si>
    <t>금강대학교</t>
  </si>
  <si>
    <t>동화욕실</t>
  </si>
  <si>
    <t>(주)강화명품</t>
  </si>
  <si>
    <t>김작가의사진나라</t>
  </si>
  <si>
    <t>겔럭시인</t>
  </si>
  <si>
    <t>에이치엔씨</t>
  </si>
  <si>
    <t>이투스교육(강남하이퍼)</t>
  </si>
  <si>
    <t>지아나플라워즈</t>
  </si>
  <si>
    <t>거울TV</t>
  </si>
  <si>
    <t>원데이메디컬</t>
  </si>
  <si>
    <t>주식회사지산로지스</t>
  </si>
  <si>
    <t>인투아이</t>
  </si>
  <si>
    <t>광주고시학원</t>
  </si>
  <si>
    <t>제일CTECH</t>
  </si>
  <si>
    <t>한보월드</t>
  </si>
  <si>
    <t>엘리시안강촌렌탈샵</t>
  </si>
  <si>
    <t>슈퍼맨아웃도어</t>
  </si>
  <si>
    <t>글래드스튜디오</t>
  </si>
  <si>
    <t>글로스컴</t>
  </si>
  <si>
    <t>글루텐</t>
  </si>
  <si>
    <t>굿모닝팜</t>
  </si>
  <si>
    <t>가나한화물운송</t>
  </si>
  <si>
    <t>메이플</t>
  </si>
  <si>
    <t>대출고고</t>
  </si>
  <si>
    <t>하트랙 골드퓨쳐</t>
  </si>
  <si>
    <t>올리비움산후조리원</t>
  </si>
  <si>
    <t>금성콘크리트산업</t>
  </si>
  <si>
    <t>커넥츠프랩천안신부점</t>
  </si>
  <si>
    <t>녹동수산</t>
  </si>
  <si>
    <t>좋은세상</t>
  </si>
  <si>
    <t>GOODA</t>
  </si>
  <si>
    <t>고수의집밥</t>
  </si>
  <si>
    <t>그래덕스</t>
  </si>
  <si>
    <t>국민행정심판</t>
  </si>
  <si>
    <t>그린묘목농원</t>
  </si>
  <si>
    <t>(주)삼익산업</t>
  </si>
  <si>
    <t>임우림</t>
  </si>
  <si>
    <t>(주) 녹십자</t>
  </si>
  <si>
    <t>그린푸드메이커</t>
  </si>
  <si>
    <t>그린피플</t>
  </si>
  <si>
    <t>주식회사그루터기</t>
  </si>
  <si>
    <t>거성콘테이너</t>
  </si>
  <si>
    <t>아쿠아마린글램핑</t>
  </si>
  <si>
    <t>짱아빠</t>
  </si>
  <si>
    <t>영광수산</t>
  </si>
  <si>
    <t>에듀플렉스구월점</t>
  </si>
  <si>
    <t>위메프</t>
  </si>
  <si>
    <t>(주)가전월드</t>
  </si>
  <si>
    <t>칼라애드</t>
  </si>
  <si>
    <t>(주)시슨드시</t>
  </si>
  <si>
    <t>나눔노트사</t>
  </si>
  <si>
    <t>24시붙임머리전문점헤어캐슬</t>
  </si>
  <si>
    <t>콩타작 푸드마켓</t>
  </si>
  <si>
    <t>홈파트너</t>
  </si>
  <si>
    <t>디지털플래닝-커머스팀</t>
  </si>
  <si>
    <t>김재헌_D</t>
  </si>
  <si>
    <t>올레ktcctv가입센터</t>
  </si>
  <si>
    <t>에스이워크</t>
  </si>
  <si>
    <t>에이치비주식회사</t>
  </si>
  <si>
    <t>한바다</t>
  </si>
  <si>
    <t>마산한백자동차운전전문학원</t>
  </si>
  <si>
    <t>주식회사한빛텍스타일</t>
  </si>
  <si>
    <t>주식회사 글로벌여행사</t>
  </si>
  <si>
    <t>한다루</t>
  </si>
  <si>
    <t>핸디즈</t>
  </si>
  <si>
    <t>한텍</t>
  </si>
  <si>
    <t>한길창호</t>
  </si>
  <si>
    <t>한길케어</t>
  </si>
  <si>
    <t>한호수</t>
  </si>
  <si>
    <t>한일종합상사</t>
  </si>
  <si>
    <t>(주)이일코리아</t>
  </si>
  <si>
    <t>골든여행사</t>
  </si>
  <si>
    <t>한주기계</t>
  </si>
  <si>
    <t>한주C&amp;S</t>
  </si>
  <si>
    <t>한맥전자(주)</t>
  </si>
  <si>
    <t>한맥IT</t>
  </si>
  <si>
    <t>한나앤마리</t>
  </si>
  <si>
    <t>한스마일</t>
  </si>
  <si>
    <t>한샘몰</t>
  </si>
  <si>
    <t>1부문_E7</t>
  </si>
  <si>
    <t>핸텀</t>
  </si>
  <si>
    <t>한빛티엠</t>
  </si>
  <si>
    <t>한양벽돌</t>
  </si>
  <si>
    <t>행복정보통신주식회사</t>
  </si>
  <si>
    <t>해피블라인드</t>
  </si>
  <si>
    <t>해피고디자인</t>
  </si>
  <si>
    <t>해피리모코리아</t>
  </si>
  <si>
    <t>을지신한벽지</t>
  </si>
  <si>
    <t>아우트로</t>
  </si>
  <si>
    <t>정우상사</t>
  </si>
  <si>
    <t>해피온몰</t>
  </si>
  <si>
    <t>티켓수다</t>
  </si>
  <si>
    <t>현대기획 명찰나라</t>
  </si>
  <si>
    <t>현대요트주식회사</t>
  </si>
  <si>
    <t>벌곡엔젤천연치료원교회</t>
  </si>
  <si>
    <t>헤비스테이크</t>
  </si>
  <si>
    <t>아가잼잼</t>
  </si>
  <si>
    <t>하놀</t>
  </si>
  <si>
    <t>하이디펜션</t>
  </si>
  <si>
    <t>하임</t>
  </si>
  <si>
    <t>헤이케일라</t>
  </si>
  <si>
    <t>토멘스</t>
  </si>
  <si>
    <t>헤라스포츠</t>
  </si>
  <si>
    <t>허브몰리</t>
  </si>
  <si>
    <t>허브라파</t>
  </si>
  <si>
    <t>허브동산</t>
  </si>
  <si>
    <t>헤세드</t>
  </si>
  <si>
    <t>금샘플러스도어</t>
  </si>
  <si>
    <t>휴안마토피아</t>
  </si>
  <si>
    <t>헤이데이스튜디오</t>
  </si>
  <si>
    <t>주식회사 헤이페이</t>
  </si>
  <si>
    <t>레드하우스</t>
  </si>
  <si>
    <t>비우새</t>
  </si>
  <si>
    <t>경춘산업마대</t>
  </si>
  <si>
    <t>한누리파출부</t>
  </si>
  <si>
    <t>하이브릭스</t>
  </si>
  <si>
    <t>다빈치스타일</t>
  </si>
  <si>
    <t>첨단인지학습센터</t>
  </si>
  <si>
    <t>미소잉크</t>
  </si>
  <si>
    <t>주성기공</t>
  </si>
  <si>
    <t>플로트</t>
  </si>
  <si>
    <t>비바럽</t>
  </si>
  <si>
    <t>(주)하이플레이</t>
  </si>
  <si>
    <t>하이티</t>
  </si>
  <si>
    <t>히트메이드</t>
  </si>
  <si>
    <t>형제금속</t>
  </si>
  <si>
    <t>(주)현주디앤피</t>
  </si>
  <si>
    <t>현주건업</t>
  </si>
  <si>
    <t>한국열쇠</t>
  </si>
  <si>
    <t>광주패러글라이딩스쿨</t>
  </si>
  <si>
    <t>뉴질랜드마트</t>
  </si>
  <si>
    <t>트리플하이엠</t>
  </si>
  <si>
    <t>메사캠핑</t>
  </si>
  <si>
    <t>희망공인중개사사무소</t>
  </si>
  <si>
    <t>에이치엔메디</t>
  </si>
  <si>
    <t>홈앤스쿨</t>
  </si>
  <si>
    <t>농업회사법인주식회사홈인팜</t>
  </si>
  <si>
    <t>주식회사홈시스</t>
  </si>
  <si>
    <t>바른유외과</t>
  </si>
  <si>
    <t>홍반장이사</t>
  </si>
  <si>
    <t>김이홍세무회계사무소</t>
  </si>
  <si>
    <t>하나건축</t>
  </si>
  <si>
    <t>슈즈시티</t>
  </si>
  <si>
    <t>한솔섬유</t>
  </si>
  <si>
    <t>(주)협신물산</t>
  </si>
  <si>
    <t>HK메탈</t>
  </si>
  <si>
    <t>한성</t>
  </si>
  <si>
    <t>경인창호</t>
  </si>
  <si>
    <t>한샘과학</t>
  </si>
  <si>
    <t>현대홈데코</t>
  </si>
  <si>
    <t>동원프라자빌딩</t>
  </si>
  <si>
    <t>헝크</t>
  </si>
  <si>
    <t>(주)휴온스푸디언스</t>
  </si>
  <si>
    <t>큐브모아</t>
  </si>
  <si>
    <t>툴팜코리아</t>
  </si>
  <si>
    <t>휘카레</t>
  </si>
  <si>
    <t>신성세이프</t>
  </si>
  <si>
    <t>에너피아</t>
  </si>
  <si>
    <t>얼음아이스</t>
  </si>
  <si>
    <t>형성산업</t>
  </si>
  <si>
    <t>브이아이피</t>
  </si>
  <si>
    <t>협진</t>
  </si>
  <si>
    <t>협진eng</t>
  </si>
  <si>
    <t>주식회사 아이진테크</t>
  </si>
  <si>
    <t>스타키보청기 경기광주전문점</t>
  </si>
  <si>
    <t>이안과학</t>
  </si>
  <si>
    <t>드림MC김종덕</t>
  </si>
  <si>
    <t>동양특수비닐커텐</t>
  </si>
  <si>
    <t>무튼</t>
  </si>
  <si>
    <t>아이헤어</t>
  </si>
  <si>
    <t>일진팩(주)</t>
  </si>
  <si>
    <t>오렌지욕실</t>
  </si>
  <si>
    <t>익수제약</t>
  </si>
  <si>
    <t>일등테크</t>
  </si>
  <si>
    <t>금강보청기_안산</t>
  </si>
  <si>
    <t>일우이앤티</t>
  </si>
  <si>
    <t>아이엠문구</t>
  </si>
  <si>
    <t>IMCT(아이엠씨티)</t>
  </si>
  <si>
    <t>환스짐휘트니스</t>
  </si>
  <si>
    <t>(주)쓰리에스정보통신</t>
  </si>
  <si>
    <t>인디고박스</t>
  </si>
  <si>
    <t>전국종합기계</t>
  </si>
  <si>
    <t>(주)인포스</t>
  </si>
  <si>
    <t>비드큐입찰정보</t>
  </si>
  <si>
    <t>(주)에버택교역</t>
  </si>
  <si>
    <t>신현지</t>
  </si>
  <si>
    <t>인프라웨어</t>
  </si>
  <si>
    <t>산애가</t>
  </si>
  <si>
    <t>스마트법률</t>
  </si>
  <si>
    <t>(주)고려수지침</t>
  </si>
  <si>
    <t>인파이프</t>
  </si>
  <si>
    <t>인포스</t>
  </si>
  <si>
    <t>인산가</t>
  </si>
  <si>
    <t>(주)세종인테리어필름</t>
  </si>
  <si>
    <t>인터랩코리아</t>
  </si>
  <si>
    <t>인지카(주)</t>
  </si>
  <si>
    <t>중소기업은행</t>
  </si>
  <si>
    <t>넥스텍</t>
  </si>
  <si>
    <t>영재활용센터</t>
  </si>
  <si>
    <t>아이알캔(주)</t>
  </si>
  <si>
    <t>이로홈</t>
  </si>
  <si>
    <t>웰빙팜</t>
  </si>
  <si>
    <t>현지리테일</t>
  </si>
  <si>
    <t>메이트</t>
  </si>
  <si>
    <t>위주</t>
  </si>
  <si>
    <t>미래공조시스템</t>
  </si>
  <si>
    <t>서울송도병원</t>
  </si>
  <si>
    <t>화물나르미</t>
  </si>
  <si>
    <t>제일상사</t>
  </si>
  <si>
    <t>한국아이티인재개발원</t>
  </si>
  <si>
    <t>㈜아이티동시통역센터</t>
  </si>
  <si>
    <t>(주)에스아이티</t>
  </si>
  <si>
    <t>아이유의원</t>
  </si>
  <si>
    <t>진티앤</t>
  </si>
  <si>
    <t>우리안 송월타올</t>
  </si>
  <si>
    <t>현대렌탈케어큐밍 (현대렌탈몰)</t>
  </si>
  <si>
    <t>우성코리아</t>
  </si>
  <si>
    <t>(주)잭키드</t>
  </si>
  <si>
    <t>제이드피부비뇨기과</t>
  </si>
  <si>
    <t>구로 제일금은거래소</t>
  </si>
  <si>
    <t>시흥제일금은거래소</t>
  </si>
  <si>
    <t>제일금은거래소 신한아이티전당포대부</t>
  </si>
  <si>
    <t>해피호스텔</t>
  </si>
  <si>
    <t>서울아이비에프여성의원</t>
  </si>
  <si>
    <t>도산정보</t>
  </si>
  <si>
    <t>싱글레지던스</t>
  </si>
  <si>
    <t>포커스라인</t>
  </si>
  <si>
    <t>UNI 패키지</t>
  </si>
  <si>
    <t>SN 시스템</t>
  </si>
  <si>
    <t>엘석면환경</t>
  </si>
  <si>
    <t>제이코스에이치엠</t>
  </si>
  <si>
    <t>마찌</t>
  </si>
  <si>
    <t>릴렉스코리아</t>
  </si>
  <si>
    <t>제시카디자인</t>
  </si>
  <si>
    <t>제비꽃</t>
  </si>
  <si>
    <t>리얼호주</t>
  </si>
  <si>
    <t>제이스골드</t>
  </si>
  <si>
    <t>지붕명가</t>
  </si>
  <si>
    <t>제주쇼핑</t>
  </si>
  <si>
    <t>제주아라</t>
  </si>
  <si>
    <t>공육사(제주메이드)</t>
  </si>
  <si>
    <t>제중한의원</t>
  </si>
  <si>
    <t>제니스의원</t>
  </si>
  <si>
    <t>제니양품</t>
  </si>
  <si>
    <t>엠오텍</t>
  </si>
  <si>
    <t>대창모터스</t>
  </si>
  <si>
    <t>JFS인더스트리</t>
  </si>
  <si>
    <t>세기센츄리본사</t>
  </si>
  <si>
    <t>주희정보통신</t>
  </si>
  <si>
    <t>부페마트</t>
  </si>
  <si>
    <t>생물과학</t>
  </si>
  <si>
    <t>태성공업</t>
  </si>
  <si>
    <t>대한병원컨설팅</t>
  </si>
  <si>
    <t>파인스토어</t>
  </si>
  <si>
    <t>리치가드</t>
  </si>
  <si>
    <t>양산꽃차</t>
  </si>
  <si>
    <t>대한마루</t>
  </si>
  <si>
    <t>부엉부엉샵</t>
  </si>
  <si>
    <t>굿모닝보청기 강동센터</t>
  </si>
  <si>
    <t>코아리빙텔</t>
  </si>
  <si>
    <t>청소매니아</t>
  </si>
  <si>
    <t>진담인</t>
  </si>
  <si>
    <t>징검다리</t>
  </si>
  <si>
    <t>주식회사진하인터내셔널</t>
  </si>
  <si>
    <t>진한기계</t>
  </si>
  <si>
    <t>(주)동광보일러</t>
  </si>
  <si>
    <t>고운머리</t>
  </si>
  <si>
    <t>경동메탈</t>
  </si>
  <si>
    <t>(주)마사토산업개발</t>
  </si>
  <si>
    <t>한라건기</t>
  </si>
  <si>
    <t>에덴공예사</t>
  </si>
  <si>
    <t>제이제이오피스</t>
  </si>
  <si>
    <t>대전중앙금거래소</t>
  </si>
  <si>
    <t>비바시스터</t>
  </si>
  <si>
    <t>온누리전국화물</t>
  </si>
  <si>
    <t>제이코퍼레이션</t>
  </si>
  <si>
    <t>(주)씨엘아이앤비컴퍼니</t>
  </si>
  <si>
    <t>제이엔디</t>
  </si>
  <si>
    <t>나라플라테크(주)</t>
  </si>
  <si>
    <t>제이엔제이수족관</t>
  </si>
  <si>
    <t>주식회사 제이앤케이인사이트</t>
  </si>
  <si>
    <t>현우툴</t>
  </si>
  <si>
    <t>별이빛나는밤펜션</t>
  </si>
  <si>
    <t>케이엠텍</t>
  </si>
  <si>
    <t>신파람붙임머리</t>
  </si>
  <si>
    <t>창업114</t>
  </si>
  <si>
    <t>한국아동요리지도자협회</t>
  </si>
  <si>
    <t>대박무역</t>
  </si>
  <si>
    <t>대박플러스</t>
  </si>
  <si>
    <t>중앙국제결혼</t>
  </si>
  <si>
    <t>푸루빌</t>
  </si>
  <si>
    <t>천광종합설비</t>
  </si>
  <si>
    <t>골프매니아</t>
  </si>
  <si>
    <t>제이팩</t>
  </si>
  <si>
    <t>(주)강원</t>
  </si>
  <si>
    <t>우진메이킹</t>
  </si>
  <si>
    <t>장성아크릴</t>
  </si>
  <si>
    <t>고속종합물류(주)</t>
  </si>
  <si>
    <t>아이스몬</t>
  </si>
  <si>
    <t>무지개펜션</t>
  </si>
  <si>
    <t>제이에스미디어</t>
  </si>
  <si>
    <t>제이스토어</t>
  </si>
  <si>
    <t>모은디자인</t>
  </si>
  <si>
    <t>아트콘크리트</t>
  </si>
  <si>
    <t>백만퓨리스</t>
  </si>
  <si>
    <t>기프트천</t>
  </si>
  <si>
    <t>미소크린</t>
  </si>
  <si>
    <t>최고자원</t>
  </si>
  <si>
    <t>sbs아카데미게임학원 박정욱</t>
  </si>
  <si>
    <t>전국화물콜센타</t>
  </si>
  <si>
    <t>Just G Trading (져스트지</t>
  </si>
  <si>
    <t>(주)와이케이엠</t>
  </si>
  <si>
    <t>휴대폰가게</t>
  </si>
  <si>
    <t>정우건업</t>
  </si>
  <si>
    <t>벨톤보청기광명</t>
  </si>
  <si>
    <t>JY로지스</t>
  </si>
  <si>
    <t>(주)진영프로토</t>
  </si>
  <si>
    <t>운집컨테이너</t>
  </si>
  <si>
    <t>호현컴퍼니</t>
  </si>
  <si>
    <t>고려아카데미컨설팅</t>
  </si>
  <si>
    <t>한국건강관리협회</t>
  </si>
  <si>
    <t>성원보일러</t>
  </si>
  <si>
    <t>카플란싱가폴</t>
  </si>
  <si>
    <t>카루</t>
  </si>
  <si>
    <t>카테고리서울</t>
  </si>
  <si>
    <t>한국무역통계진흥원</t>
  </si>
  <si>
    <t>리솜클래식</t>
  </si>
  <si>
    <t>천지자원</t>
  </si>
  <si>
    <t>피코</t>
  </si>
  <si>
    <t>국도유리</t>
  </si>
  <si>
    <t>(주)케이디글로벌</t>
  </si>
  <si>
    <t>트래블인베트남</t>
  </si>
  <si>
    <t>선진건기</t>
  </si>
  <si>
    <t>효창기계</t>
  </si>
  <si>
    <t>한국교육문화협회 주식회사</t>
  </si>
  <si>
    <t>케스코</t>
  </si>
  <si>
    <t>케이에프이엔지주식회사</t>
  </si>
  <si>
    <t>한국생활지붕방수공사</t>
  </si>
  <si>
    <t>광주오동공예</t>
  </si>
  <si>
    <t>선개발</t>
  </si>
  <si>
    <t>조이보이스튜디오</t>
  </si>
  <si>
    <t>삼일IDP</t>
  </si>
  <si>
    <t>남도식품</t>
  </si>
  <si>
    <t>주식회사 쿠스포츠</t>
  </si>
  <si>
    <t>건국대학교 김원영교수</t>
  </si>
  <si>
    <t>케이아이</t>
  </si>
  <si>
    <t>신라부동산</t>
  </si>
  <si>
    <t>키즈누리</t>
  </si>
  <si>
    <t>오스떼</t>
  </si>
  <si>
    <t>지입잡포커스</t>
  </si>
  <si>
    <t>재영컨테이너</t>
  </si>
  <si>
    <t>빛고을김치</t>
  </si>
  <si>
    <t>제이디판넬</t>
  </si>
  <si>
    <t>정인스카이</t>
  </si>
  <si>
    <t>생극사</t>
  </si>
  <si>
    <t>황금파출</t>
  </si>
  <si>
    <t>김포삼화페인트</t>
  </si>
  <si>
    <t>은혜민박</t>
  </si>
  <si>
    <t>꼼지</t>
  </si>
  <si>
    <t>목원장작</t>
  </si>
  <si>
    <t>88번가</t>
  </si>
  <si>
    <t>정미진/위승지</t>
  </si>
  <si>
    <t>주식회사기영에프앤비</t>
  </si>
  <si>
    <t>(주)세우산업</t>
  </si>
  <si>
    <t>한국스톤네트</t>
  </si>
  <si>
    <t>부라더미싱</t>
  </si>
  <si>
    <t>헬로우제주여행사</t>
  </si>
  <si>
    <t>세경샵</t>
  </si>
  <si>
    <t>땡스키</t>
  </si>
  <si>
    <t>현대금속</t>
  </si>
  <si>
    <t>광진종합기계상사</t>
  </si>
  <si>
    <t>운수법인 서강물류</t>
  </si>
  <si>
    <t>주식회사아누리</t>
  </si>
  <si>
    <t>성산작명원</t>
  </si>
  <si>
    <t>금강마이크로</t>
  </si>
  <si>
    <t>미래상사</t>
  </si>
  <si>
    <t>케이리빙</t>
  </si>
  <si>
    <t>노무법인 태양</t>
  </si>
  <si>
    <t>주식회사 케이마스크</t>
  </si>
  <si>
    <t>크린큐플러스</t>
  </si>
  <si>
    <t>캡마켓</t>
  </si>
  <si>
    <t>제일항외과의원</t>
  </si>
  <si>
    <t>주식회사 파프리카(저스트뷰티)</t>
  </si>
  <si>
    <t>강남산업</t>
  </si>
  <si>
    <t>코아드</t>
  </si>
  <si>
    <t>코암관광호텔</t>
  </si>
  <si>
    <t>태영커뮤니케이션즈</t>
  </si>
  <si>
    <t>케이원정보기술</t>
  </si>
  <si>
    <t>에어릭스</t>
  </si>
  <si>
    <t>사운드방음</t>
  </si>
  <si>
    <t>쿨맨(KOOLMAN)</t>
  </si>
  <si>
    <t>올비투몰(다인누리)</t>
  </si>
  <si>
    <t>라페치과</t>
  </si>
  <si>
    <t>sk축광</t>
  </si>
  <si>
    <t>한국심리상담센타</t>
  </si>
  <si>
    <t>코리아뉴매틱</t>
  </si>
  <si>
    <t>고려전기안전관리(주)</t>
  </si>
  <si>
    <t>미래산업</t>
  </si>
  <si>
    <t>날씬바디</t>
  </si>
  <si>
    <t>희망제화</t>
  </si>
  <si>
    <t>한국스프레이시스템</t>
  </si>
  <si>
    <t>K쇼핑</t>
  </si>
  <si>
    <t>광성사</t>
  </si>
  <si>
    <t>(주)동원아이티</t>
  </si>
  <si>
    <t>주식회사 킥더허들</t>
  </si>
  <si>
    <t>강토중공업</t>
  </si>
  <si>
    <t>국제무역</t>
  </si>
  <si>
    <t>금강</t>
  </si>
  <si>
    <t>(주)금오디앤아이지점</t>
  </si>
  <si>
    <t>구몬</t>
  </si>
  <si>
    <t>(주) 해성기술</t>
  </si>
  <si>
    <t>케이브이</t>
  </si>
  <si>
    <t>주식회사 경원이엔지</t>
  </si>
  <si>
    <t>하영올레국수</t>
  </si>
  <si>
    <t>스머프중고차</t>
  </si>
  <si>
    <t>경은</t>
  </si>
  <si>
    <t>케이웨더</t>
  </si>
  <si>
    <t>한국과학상사</t>
  </si>
  <si>
    <t>국어울림학원</t>
  </si>
  <si>
    <t>현대건업</t>
  </si>
  <si>
    <t>경원세기센추리</t>
  </si>
  <si>
    <t>(주)교원에듀</t>
  </si>
  <si>
    <t>(주)교원더오름</t>
  </si>
  <si>
    <t>경림산업</t>
  </si>
  <si>
    <t>에이펙스EMS스튜디오대구점</t>
  </si>
  <si>
    <t>라까사웍스</t>
  </si>
  <si>
    <t>라까사호텔</t>
  </si>
  <si>
    <t>레헬른</t>
  </si>
  <si>
    <t>라라뷰</t>
  </si>
  <si>
    <t>라네띠</t>
  </si>
  <si>
    <t>라텍스코리아</t>
  </si>
  <si>
    <t>로라컴퍼니</t>
  </si>
  <si>
    <t>로앤어스</t>
  </si>
  <si>
    <t>선민테크</t>
  </si>
  <si>
    <t>동우가스텍</t>
  </si>
  <si>
    <t>온오프</t>
  </si>
  <si>
    <t>(주)레디스</t>
  </si>
  <si>
    <t>춘천산내들펜션</t>
  </si>
  <si>
    <t>럭셔리 디자인</t>
  </si>
  <si>
    <t>스쿨디자인</t>
  </si>
  <si>
    <t>하나텍</t>
  </si>
  <si>
    <t>한양청소기</t>
  </si>
  <si>
    <t>청담오라클피부과의원</t>
  </si>
  <si>
    <t>아침뜨락</t>
  </si>
  <si>
    <t>블랙버드샵</t>
  </si>
  <si>
    <t>고물상닷컴</t>
  </si>
  <si>
    <t>사인보드</t>
  </si>
  <si>
    <t>르랩</t>
  </si>
  <si>
    <t>리오홀딩스(저스트크래프트)</t>
  </si>
  <si>
    <t>레로이머쉬러니</t>
  </si>
  <si>
    <t>비욘드코드</t>
  </si>
  <si>
    <t>두리상사</t>
  </si>
  <si>
    <t>엘지토탈인테리어</t>
  </si>
  <si>
    <t>뉴컴피알</t>
  </si>
  <si>
    <t>묭실</t>
  </si>
  <si>
    <t>넘버원게스트하우스</t>
  </si>
  <si>
    <t>보스커피</t>
  </si>
  <si>
    <t>옛뜰애</t>
  </si>
  <si>
    <t>대출나라</t>
  </si>
  <si>
    <t>정크레비즈</t>
  </si>
  <si>
    <t>라임플로우</t>
  </si>
  <si>
    <t>바론속기사무소</t>
  </si>
  <si>
    <t>데코랜드</t>
  </si>
  <si>
    <t>장성아</t>
  </si>
  <si>
    <t>압구정탑라인</t>
  </si>
  <si>
    <t>라인플러스</t>
  </si>
  <si>
    <t>카포포</t>
  </si>
  <si>
    <t>리빙잇</t>
  </si>
  <si>
    <t>리빙앤</t>
  </si>
  <si>
    <t>이정아</t>
  </si>
  <si>
    <t>진영건축</t>
  </si>
  <si>
    <t>을지상사</t>
  </si>
  <si>
    <t>엘엘비</t>
  </si>
  <si>
    <t>엔젤퍼니</t>
  </si>
  <si>
    <t>물류청소나라</t>
  </si>
  <si>
    <t>로하스블라인드</t>
  </si>
  <si>
    <t>롱차이나중국어</t>
  </si>
  <si>
    <t>루이드레스</t>
  </si>
  <si>
    <t>루게릿</t>
  </si>
  <si>
    <t>우리홈쇼핑</t>
  </si>
  <si>
    <t>롯데슈퍼</t>
  </si>
  <si>
    <t>행운컴퍼니</t>
  </si>
  <si>
    <t>라라스타일</t>
  </si>
  <si>
    <t>레이디스룸</t>
  </si>
  <si>
    <t>이귀남찜닭</t>
  </si>
  <si>
    <t>리치리치팜</t>
  </si>
  <si>
    <t>럭키부다</t>
  </si>
  <si>
    <t>고우트로피</t>
  </si>
  <si>
    <t>(주)명품클리닉 투엘</t>
  </si>
  <si>
    <t>이원기전</t>
  </si>
  <si>
    <t>대성누수탐지공사</t>
  </si>
  <si>
    <t>노은이티에스학원</t>
  </si>
  <si>
    <t>정현소프트</t>
  </si>
  <si>
    <t>마가켐</t>
  </si>
  <si>
    <t>메이커프렌즈</t>
  </si>
  <si>
    <t>이태원포스트</t>
  </si>
  <si>
    <t>강산</t>
  </si>
  <si>
    <t>마리아의집</t>
  </si>
  <si>
    <t>아름다운삶</t>
  </si>
  <si>
    <t>우리매트</t>
  </si>
  <si>
    <t>박언휘종합내과</t>
  </si>
  <si>
    <t>MBI코리아</t>
  </si>
  <si>
    <t>진짜배기순천만함초</t>
  </si>
  <si>
    <t>한국나일론</t>
  </si>
  <si>
    <t>주식회사 모쿠슈라</t>
  </si>
  <si>
    <t>엠디에스코리아</t>
  </si>
  <si>
    <t>명덕건설</t>
  </si>
  <si>
    <t>주식회사 엠이씨인터네셔날</t>
  </si>
  <si>
    <t>다비스</t>
  </si>
  <si>
    <t>메디캣</t>
  </si>
  <si>
    <t>메디메카</t>
  </si>
  <si>
    <t>주식회사 대한의료기</t>
  </si>
  <si>
    <t>엠엔이</t>
  </si>
  <si>
    <t>다이렉트웨딩</t>
  </si>
  <si>
    <t>메사캠프</t>
  </si>
  <si>
    <t>시공플러스</t>
  </si>
  <si>
    <t>미엘르의원</t>
  </si>
  <si>
    <t>보샵</t>
  </si>
  <si>
    <t>이엠팜</t>
  </si>
  <si>
    <t>밀링산업</t>
  </si>
  <si>
    <t>퍼난</t>
  </si>
  <si>
    <t>로지니스</t>
  </si>
  <si>
    <t>미풀</t>
  </si>
  <si>
    <t>미래식품기계</t>
  </si>
  <si>
    <t>미르ENG</t>
  </si>
  <si>
    <t>미식테이블</t>
  </si>
  <si>
    <t>미스코스</t>
  </si>
  <si>
    <t>미소크린업</t>
  </si>
  <si>
    <t>디오빈스</t>
  </si>
  <si>
    <t>제이엔에스엔터테인먼트</t>
  </si>
  <si>
    <t>아이비퓨전댄스</t>
  </si>
  <si>
    <t>엠코리아(헤이가)</t>
  </si>
  <si>
    <t>엠엔이씨</t>
  </si>
  <si>
    <t>모아저축은행</t>
  </si>
  <si>
    <t>모비두</t>
  </si>
  <si>
    <t>모바일투어</t>
  </si>
  <si>
    <t>엠플러스</t>
  </si>
  <si>
    <t>모컨스</t>
  </si>
  <si>
    <t>방향제</t>
  </si>
  <si>
    <t>네이버하비코리아</t>
  </si>
  <si>
    <t>모두속기사무소</t>
  </si>
  <si>
    <t>주식회사 더큰솔루션</t>
  </si>
  <si>
    <t>모앤스컨설팅</t>
  </si>
  <si>
    <t>대현사다리</t>
  </si>
  <si>
    <t>목수코리아(인력)</t>
  </si>
  <si>
    <t>마음자리</t>
  </si>
  <si>
    <t>레드온탑</t>
  </si>
  <si>
    <t>몬드리안호텔</t>
  </si>
  <si>
    <t>주식회사 몽당</t>
  </si>
  <si>
    <t>모니터리</t>
  </si>
  <si>
    <t>몽테이블</t>
  </si>
  <si>
    <t>무지개환경</t>
  </si>
  <si>
    <t>한톨</t>
  </si>
  <si>
    <t>(주)모스타</t>
  </si>
  <si>
    <t>엠피솔루션주식회사</t>
  </si>
  <si>
    <t>미스터리빙스토어</t>
  </si>
  <si>
    <t>자미와</t>
  </si>
  <si>
    <t>미령환경개발</t>
  </si>
  <si>
    <t>미래조명</t>
  </si>
  <si>
    <t>왕산예림펜션</t>
  </si>
  <si>
    <t>충북대공인중개사</t>
  </si>
  <si>
    <t>디에이치와이</t>
  </si>
  <si>
    <t>레이디유로비뇨기과의원</t>
  </si>
  <si>
    <t>마린테라피</t>
  </si>
  <si>
    <t>먹보야</t>
  </si>
  <si>
    <t>디마트(신비아이)</t>
  </si>
  <si>
    <t>문건축사사무소</t>
  </si>
  <si>
    <t>승앤장</t>
  </si>
  <si>
    <t>제일나염</t>
  </si>
  <si>
    <t>엠와이컴퍼니</t>
  </si>
  <si>
    <t>내사랑꾸나</t>
  </si>
  <si>
    <t>마이하임</t>
  </si>
  <si>
    <t>유레일트래블</t>
  </si>
  <si>
    <t>제주 원두막</t>
  </si>
  <si>
    <t>명인설비</t>
  </si>
  <si>
    <t>투앤원결혼정보회사</t>
  </si>
  <si>
    <t>심플</t>
  </si>
  <si>
    <t>고씨네</t>
  </si>
  <si>
    <t>나우기획</t>
  </si>
  <si>
    <t>러브스토리</t>
  </si>
  <si>
    <t>나비나무</t>
  </si>
  <si>
    <t>오가닉트리</t>
  </si>
  <si>
    <t>러디스</t>
  </si>
  <si>
    <t>나니와</t>
  </si>
  <si>
    <t>지엠큐비클</t>
  </si>
  <si>
    <t>나노스포츠</t>
  </si>
  <si>
    <t>나누미펜션</t>
  </si>
  <si>
    <t>주식회사 나라코퍼레이션</t>
  </si>
  <si>
    <t>매드디자인</t>
  </si>
  <si>
    <t>더네이처산부인과의원</t>
  </si>
  <si>
    <t>나우리 법률사무소</t>
  </si>
  <si>
    <t>늑대와여우컴퓨터 성정점</t>
  </si>
  <si>
    <t>엔씨티</t>
  </si>
  <si>
    <t>온누리화물운송</t>
  </si>
  <si>
    <t>옥토끼코리아</t>
  </si>
  <si>
    <t>네오블라인드</t>
  </si>
  <si>
    <t>네오포커스</t>
  </si>
  <si>
    <t>동우교역</t>
  </si>
  <si>
    <t>이투스교육(네오)</t>
  </si>
  <si>
    <t>대성상사</t>
  </si>
  <si>
    <t>뉴카존</t>
  </si>
  <si>
    <t>뉴젠사우나</t>
  </si>
  <si>
    <t>후이커뮤니케이션</t>
  </si>
  <si>
    <t>넥스니즈</t>
  </si>
  <si>
    <t>주식회사넥소</t>
  </si>
  <si>
    <t>임실치즈농협</t>
  </si>
  <si>
    <t>다원뷰티아카데미</t>
  </si>
  <si>
    <t>비니슈</t>
  </si>
  <si>
    <t>NNC디자인</t>
  </si>
  <si>
    <t>주식회사엔글로벌</t>
  </si>
  <si>
    <t>허니스트</t>
  </si>
  <si>
    <t>NOCHE</t>
  </si>
  <si>
    <t>아이센스리그PC방(아이센스에프앤비)</t>
  </si>
  <si>
    <t>논픽션</t>
  </si>
  <si>
    <t>누리몰</t>
  </si>
  <si>
    <t>노른자컴패니(황실)</t>
  </si>
  <si>
    <t>아주정보</t>
  </si>
  <si>
    <t>비데피아</t>
  </si>
  <si>
    <t>백운유통</t>
  </si>
  <si>
    <t>남송이스피치면접학원</t>
  </si>
  <si>
    <t>삼성파출부</t>
  </si>
  <si>
    <t>오빨리하나</t>
  </si>
  <si>
    <t>사계절수제 현미누룽지</t>
  </si>
  <si>
    <t>늘푸른산부인과</t>
  </si>
  <si>
    <t>주식회사 윈썸코퍼레이션(아이엠펫몰)</t>
  </si>
  <si>
    <t>주식회사 윈썸코퍼레이션(누리펫)</t>
  </si>
  <si>
    <t>포대아스콘의 메카 낙원아스콘</t>
  </si>
  <si>
    <t>남양타일</t>
  </si>
  <si>
    <t>가야전기조명</t>
  </si>
  <si>
    <t>오투힐</t>
  </si>
  <si>
    <t>다미횟집</t>
  </si>
  <si>
    <t>오아시스커뮤니케이션</t>
  </si>
  <si>
    <t>태양마린</t>
  </si>
  <si>
    <t>21line</t>
  </si>
  <si>
    <t>(주)오카메이코리아</t>
  </si>
  <si>
    <t>맥스마트(이물류)</t>
  </si>
  <si>
    <t>이계욱/박세진_1/노선채</t>
  </si>
  <si>
    <t>OCO</t>
  </si>
  <si>
    <t>플러스생활</t>
  </si>
  <si>
    <t>엠버디자인</t>
  </si>
  <si>
    <t>(주)오디피</t>
  </si>
  <si>
    <t>오피스앤홈</t>
  </si>
  <si>
    <t>크린토피아 문정 엠스테이트점</t>
  </si>
  <si>
    <t>토바펜션</t>
  </si>
  <si>
    <t>경동오토</t>
  </si>
  <si>
    <t>오케이진열장</t>
  </si>
  <si>
    <t>올리브로</t>
  </si>
  <si>
    <t>오만물</t>
  </si>
  <si>
    <t>김지영필라테스</t>
  </si>
  <si>
    <t>온유어짐</t>
  </si>
  <si>
    <t>온일장</t>
  </si>
  <si>
    <t>ELECSKOREA 일렉스코리아</t>
  </si>
  <si>
    <t>금양산업</t>
  </si>
  <si>
    <t>금IT전당포대부</t>
  </si>
  <si>
    <t>그린환경</t>
  </si>
  <si>
    <t>루노</t>
  </si>
  <si>
    <t>오라클피부임상시험센터</t>
  </si>
  <si>
    <t>오라클기획</t>
  </si>
  <si>
    <t>오라클랜드(주)</t>
  </si>
  <si>
    <t>오라클피부과의원</t>
  </si>
  <si>
    <t>JST솔루션</t>
  </si>
  <si>
    <t>서울예쁜이치과</t>
  </si>
  <si>
    <t>하늘숲 펜션</t>
  </si>
  <si>
    <t>동성아이앤씨</t>
  </si>
  <si>
    <t>한국알파항공</t>
  </si>
  <si>
    <t>파디스쿨</t>
  </si>
  <si>
    <t>(주)산내들농원</t>
  </si>
  <si>
    <t>비엔엔</t>
  </si>
  <si>
    <t>청목단식원</t>
  </si>
  <si>
    <t>쌈지네</t>
  </si>
  <si>
    <t>블라인드나라</t>
  </si>
  <si>
    <t>(주)휴먼비투비/휴먼이엔씨</t>
  </si>
  <si>
    <t>주식회사 아이비엘</t>
  </si>
  <si>
    <t>윤상철그리포란</t>
  </si>
  <si>
    <t>조엔</t>
  </si>
  <si>
    <t>펄슨텔</t>
  </si>
  <si>
    <t>페타미디어</t>
  </si>
  <si>
    <t>왈펫</t>
  </si>
  <si>
    <t>피지텍코리아</t>
  </si>
  <si>
    <t>편한주택</t>
  </si>
  <si>
    <t>필상생명과학(주)</t>
  </si>
  <si>
    <t>삼성전자 탑B2B</t>
  </si>
  <si>
    <t>포이베</t>
  </si>
  <si>
    <t>피닉스테크닉스</t>
  </si>
  <si>
    <t>안성명품(안성마춤유기)</t>
  </si>
  <si>
    <t>프레버</t>
  </si>
  <si>
    <t>주식회사 문화산업개발</t>
  </si>
  <si>
    <t>프라코인터내셔날</t>
  </si>
  <si>
    <t>대한특수경호대</t>
  </si>
  <si>
    <t>피코산업</t>
  </si>
  <si>
    <t>핀팩토리</t>
  </si>
  <si>
    <t>디돌</t>
  </si>
  <si>
    <t>동인철학원</t>
  </si>
  <si>
    <t>루비메이드</t>
  </si>
  <si>
    <t>플랜비</t>
  </si>
  <si>
    <t>다옴</t>
  </si>
  <si>
    <t>(주)정한</t>
  </si>
  <si>
    <t>우진피엔비</t>
  </si>
  <si>
    <t>올어바웃골프</t>
  </si>
  <si>
    <t>포인트프로덕트</t>
  </si>
  <si>
    <t>동산렌트카</t>
  </si>
  <si>
    <t>삼호방재</t>
  </si>
  <si>
    <t>보따리</t>
  </si>
  <si>
    <t>컨템포에이치</t>
  </si>
  <si>
    <t>뽀르띠</t>
  </si>
  <si>
    <t>포스컴</t>
  </si>
  <si>
    <t>은성가설산업</t>
  </si>
  <si>
    <t>세계전자</t>
  </si>
  <si>
    <t>한국목초액연구소</t>
  </si>
  <si>
    <t>김은지</t>
  </si>
  <si>
    <t>포자랩스</t>
  </si>
  <si>
    <t>비움</t>
  </si>
  <si>
    <t>프로네트웍스</t>
  </si>
  <si>
    <t>풍수지리연구소</t>
  </si>
  <si>
    <t>판촉오케이</t>
  </si>
  <si>
    <t>튼튼영어 서초지점</t>
  </si>
  <si>
    <t>속초라마다호텔</t>
  </si>
  <si>
    <t>브라보퍼블릭스크린골프</t>
  </si>
  <si>
    <t>풀무원건강생활(주)</t>
  </si>
  <si>
    <t>풀무원</t>
  </si>
  <si>
    <t>(주)퓨어스페이스</t>
  </si>
  <si>
    <t>한덕공인중개사</t>
  </si>
  <si>
    <t>풍원산업기계</t>
  </si>
  <si>
    <t>해피애견타운</t>
  </si>
  <si>
    <t>스킨피아</t>
  </si>
  <si>
    <t>올리브 반찬배달</t>
  </si>
  <si>
    <t>새마을공인중개사</t>
  </si>
  <si>
    <t>세렝게티</t>
  </si>
  <si>
    <t>부산지방화물</t>
  </si>
  <si>
    <t>퀸텀테크</t>
  </si>
  <si>
    <t>법인보험대리점</t>
  </si>
  <si>
    <t>라구하우스</t>
  </si>
  <si>
    <t>타일론코리아</t>
  </si>
  <si>
    <t>현대세이프티</t>
  </si>
  <si>
    <t>(주)성창산업</t>
  </si>
  <si>
    <t>장화도매</t>
  </si>
  <si>
    <t>벤자민아카데미아</t>
  </si>
  <si>
    <t>(주)투어마케팅코리아</t>
  </si>
  <si>
    <t>리얼스튜디오</t>
  </si>
  <si>
    <t>신가람공인중개사사무소</t>
  </si>
  <si>
    <t>법무법인 해송</t>
  </si>
  <si>
    <t>대산세라믹</t>
  </si>
  <si>
    <t>유로바스디자인</t>
  </si>
  <si>
    <t>레드피그</t>
  </si>
  <si>
    <t>팩토리아울렛</t>
  </si>
  <si>
    <t>스마트오토카</t>
  </si>
  <si>
    <t>한국법무평생교육원</t>
  </si>
  <si>
    <t>디지털공인중개사</t>
  </si>
  <si>
    <t>관수후로링</t>
  </si>
  <si>
    <t>왕건마을펜션</t>
  </si>
  <si>
    <t>쇠소깍카약</t>
  </si>
  <si>
    <t>경인운수</t>
  </si>
  <si>
    <t>린나이 인천영업소</t>
  </si>
  <si>
    <t>뱀사골토종꿀</t>
  </si>
  <si>
    <t>신한페인트</t>
  </si>
  <si>
    <t>가자실내낚시터</t>
  </si>
  <si>
    <t>청은종이컵</t>
  </si>
  <si>
    <t>케이앤피</t>
  </si>
  <si>
    <t>빨강전자</t>
  </si>
  <si>
    <t>대림열산업</t>
  </si>
  <si>
    <t>루세로</t>
  </si>
  <si>
    <t>리베르떼</t>
  </si>
  <si>
    <t>청년도시가스</t>
  </si>
  <si>
    <t>새한컨테이너</t>
  </si>
  <si>
    <t>알엔케어</t>
  </si>
  <si>
    <t>신우환경엔지니어링(주)</t>
  </si>
  <si>
    <t>로호</t>
  </si>
  <si>
    <t>로이디자인</t>
  </si>
  <si>
    <t>대양롤랜트</t>
  </si>
  <si>
    <t>메리핀언더웨어</t>
  </si>
  <si>
    <t>로니웰</t>
  </si>
  <si>
    <t>펜다</t>
  </si>
  <si>
    <t>엘로사리움</t>
  </si>
  <si>
    <t>비아베뉴헤어살롱</t>
  </si>
  <si>
    <t>아이티샵</t>
  </si>
  <si>
    <t>덕산종합관리</t>
  </si>
  <si>
    <t>루아흐</t>
  </si>
  <si>
    <t>팜투테이블24</t>
  </si>
  <si>
    <t>미사리승마공원</t>
  </si>
  <si>
    <t>와이엠몰</t>
  </si>
  <si>
    <t>(주)이엘라이즈</t>
  </si>
  <si>
    <t>예주건축디자인</t>
  </si>
  <si>
    <t>s플러스 수시전문가그룹</t>
  </si>
  <si>
    <t>케이에스정보통신</t>
  </si>
  <si>
    <t>블랙홀댄스스포츠학원</t>
  </si>
  <si>
    <t>오행생식</t>
  </si>
  <si>
    <t>윤성사</t>
  </si>
  <si>
    <t>세광트레이딩</t>
  </si>
  <si>
    <t>세이프모터스</t>
  </si>
  <si>
    <t>주식회사 쎄이프리</t>
  </si>
  <si>
    <t>사조씨푸드</t>
  </si>
  <si>
    <t>무지개너머</t>
  </si>
  <si>
    <t>샐러디</t>
  </si>
  <si>
    <t>살코치</t>
  </si>
  <si>
    <t>6형제소금밭장터</t>
  </si>
  <si>
    <t>에너지삼천</t>
  </si>
  <si>
    <t>한국에스티엘 주식회사(사만사타바사)</t>
  </si>
  <si>
    <t>제주삼다수</t>
  </si>
  <si>
    <t>삼호에스엔씨</t>
  </si>
  <si>
    <t>삼화산업</t>
  </si>
  <si>
    <t>삼익인테리어</t>
  </si>
  <si>
    <t>삼진세무회계사무소</t>
  </si>
  <si>
    <t>삼경도어</t>
  </si>
  <si>
    <t>점프업</t>
  </si>
  <si>
    <t>유피이엔지</t>
  </si>
  <si>
    <t>상아시스템</t>
  </si>
  <si>
    <t>블랑코컴퍼니</t>
  </si>
  <si>
    <t>스노우파크</t>
  </si>
  <si>
    <t>산수갑산펜션</t>
  </si>
  <si>
    <t>사포킹</t>
  </si>
  <si>
    <t>위즈플랫</t>
  </si>
  <si>
    <t>사세 서울지점</t>
  </si>
  <si>
    <t>에스비컨버전스</t>
  </si>
  <si>
    <t>주식회사 에스비</t>
  </si>
  <si>
    <t>쇼핑백나라</t>
  </si>
  <si>
    <t>나누리자원</t>
  </si>
  <si>
    <t>순천시문화도시</t>
  </si>
  <si>
    <t>엠피온</t>
  </si>
  <si>
    <t>토탈건축설비</t>
  </si>
  <si>
    <t>크로스몰</t>
  </si>
  <si>
    <t>세종데이터복구 새롬아이티</t>
  </si>
  <si>
    <t>세아산업</t>
  </si>
  <si>
    <t>하나씰텍</t>
  </si>
  <si>
    <t>시크릿</t>
  </si>
  <si>
    <t>파티포유</t>
  </si>
  <si>
    <t>세진금속</t>
  </si>
  <si>
    <t>세종푸드주식회사</t>
  </si>
  <si>
    <t>세종비닐포장</t>
  </si>
  <si>
    <t>광주셀프스튜디오291</t>
  </si>
  <si>
    <t>세미웍스</t>
  </si>
  <si>
    <t>전국화물공영</t>
  </si>
  <si>
    <t>(주)서도금속</t>
  </si>
  <si>
    <t>brm연구소</t>
  </si>
  <si>
    <t>서해자동차</t>
  </si>
  <si>
    <t>석계악기수리점(피아노4989)</t>
  </si>
  <si>
    <t>석예</t>
  </si>
  <si>
    <t>골든비치리조트</t>
  </si>
  <si>
    <t>선호라면</t>
  </si>
  <si>
    <t>서울카페레스토랑</t>
  </si>
  <si>
    <t>서울가족치과의원</t>
  </si>
  <si>
    <t>조이펀</t>
  </si>
  <si>
    <t>분쇄장비</t>
  </si>
  <si>
    <t>주식회사 에스지골프</t>
  </si>
  <si>
    <t>세텍스</t>
  </si>
  <si>
    <t>섹시우</t>
  </si>
  <si>
    <t>서강건업</t>
  </si>
  <si>
    <t>세기상사</t>
  </si>
  <si>
    <t>에스지오</t>
  </si>
  <si>
    <t>신한</t>
  </si>
  <si>
    <t>인터파크홈스토리산후마포지사</t>
  </si>
  <si>
    <t>청산수목원</t>
  </si>
  <si>
    <t>삼화금형</t>
  </si>
  <si>
    <t>에이앤디</t>
  </si>
  <si>
    <t>시트닷컴</t>
  </si>
  <si>
    <t>시트연구소</t>
  </si>
  <si>
    <t>오이시이일본어학원</t>
  </si>
  <si>
    <t>쇼핑앤트리</t>
  </si>
  <si>
    <t>신근식산부인과</t>
  </si>
  <si>
    <t>대한자동차매매상사</t>
  </si>
  <si>
    <t>신한웨딩홀부페</t>
  </si>
  <si>
    <t>(주)위위트</t>
  </si>
  <si>
    <t>몰리스펫샵</t>
  </si>
  <si>
    <t>신호주회무세계사</t>
  </si>
  <si>
    <t>삼흥</t>
  </si>
  <si>
    <t>슈즈드블랑</t>
  </si>
  <si>
    <t>쇼마젠시</t>
  </si>
  <si>
    <t>제이엘</t>
  </si>
  <si>
    <t>신일브러쉬</t>
  </si>
  <si>
    <t>신유로전기공사</t>
  </si>
  <si>
    <t>(주)케이에스아이</t>
  </si>
  <si>
    <t>나누리행정사무소</t>
  </si>
  <si>
    <t>(주)신익</t>
  </si>
  <si>
    <t>신진정밀</t>
  </si>
  <si>
    <t>함박웃음치과</t>
  </si>
  <si>
    <t>꿈앤들</t>
  </si>
  <si>
    <t>신조</t>
  </si>
  <si>
    <t>주식회사 시온</t>
  </si>
  <si>
    <t>마스터프렙</t>
  </si>
  <si>
    <t>시리행정사사무소</t>
  </si>
  <si>
    <t>의정부시사어학원</t>
  </si>
  <si>
    <t>선진엔지니어링</t>
  </si>
  <si>
    <t>명성사장</t>
  </si>
  <si>
    <t>세종다발관</t>
  </si>
  <si>
    <t>에노크</t>
  </si>
  <si>
    <t>세종산업안전공사</t>
  </si>
  <si>
    <t>커넥츠프랩수능관독학수능재수학원</t>
  </si>
  <si>
    <t>(주)셀파코리아</t>
  </si>
  <si>
    <t>세제기업</t>
  </si>
  <si>
    <t>세진티타늄</t>
  </si>
  <si>
    <t>캠핑플롬</t>
  </si>
  <si>
    <t>한국수축wr3943/쉬링크sk3943</t>
  </si>
  <si>
    <t>(주)서경닷컴</t>
  </si>
  <si>
    <t>나연메디칼</t>
  </si>
  <si>
    <t>스킨렉스코리아</t>
  </si>
  <si>
    <t>주식회사 이퀄스킨 (스킨스쿨)</t>
  </si>
  <si>
    <t>SKITM</t>
  </si>
  <si>
    <t>윈드1947</t>
  </si>
  <si>
    <t>VIP대리운전</t>
  </si>
  <si>
    <t>대신전기조명</t>
  </si>
  <si>
    <t>제이에스글로벌</t>
  </si>
  <si>
    <t>하늘보라</t>
  </si>
  <si>
    <t>부산원룸이사몰</t>
  </si>
  <si>
    <t>제이플러스</t>
  </si>
  <si>
    <t>SKYFESTIVAL</t>
  </si>
  <si>
    <t>주식회사 지담</t>
  </si>
  <si>
    <t>대전119방충망</t>
  </si>
  <si>
    <t>스카이비바</t>
  </si>
  <si>
    <t>서울수면센터</t>
  </si>
  <si>
    <t>(주)에스엠천사</t>
  </si>
  <si>
    <t>카메이크업</t>
  </si>
  <si>
    <t>(주)스마트캐스트</t>
  </si>
  <si>
    <t>주식회사스마트몰</t>
  </si>
  <si>
    <t>에이치앤에스</t>
  </si>
  <si>
    <t>스마일피부비뇨기과</t>
  </si>
  <si>
    <t>웃는밥상</t>
  </si>
  <si>
    <t>노무법인소망</t>
  </si>
  <si>
    <t>설명간편한의원</t>
  </si>
  <si>
    <t>SM철강(에스엠스틸)</t>
  </si>
  <si>
    <t>새마을칼라강판</t>
  </si>
  <si>
    <t>탑플라스틱</t>
  </si>
  <si>
    <t>루시드</t>
  </si>
  <si>
    <t>(주)에스엔아이디</t>
  </si>
  <si>
    <t>소담욕실</t>
  </si>
  <si>
    <t>조현난청연구소 벨톤보청기</t>
  </si>
  <si>
    <t>소프트자이온</t>
  </si>
  <si>
    <t>주식회사 태양무역</t>
  </si>
  <si>
    <t>(주)솔지</t>
  </si>
  <si>
    <t>수창</t>
  </si>
  <si>
    <t>제니마켓</t>
  </si>
  <si>
    <t>파스퇴르 과천안양대리점</t>
  </si>
  <si>
    <t>주식회사 메이드코퍼레이션</t>
  </si>
  <si>
    <t>서울수치과</t>
  </si>
  <si>
    <t>클래식(소품클래식)</t>
  </si>
  <si>
    <t>한울이엔씨</t>
  </si>
  <si>
    <t>정리엔</t>
  </si>
  <si>
    <t>공간산업</t>
  </si>
  <si>
    <t>동화에스피디</t>
  </si>
  <si>
    <t>스피드속기사무소</t>
  </si>
  <si>
    <t>에스피프레시 주식회사</t>
  </si>
  <si>
    <t>(주)오리지날스푼</t>
  </si>
  <si>
    <t>상록토탈</t>
  </si>
  <si>
    <t>(주)명보에스티</t>
  </si>
  <si>
    <t>곰팡이헌터</t>
  </si>
  <si>
    <t>(주)육일침장</t>
  </si>
  <si>
    <t>(주)순수코리아</t>
  </si>
  <si>
    <t>광고사업2부문_E7팀</t>
  </si>
  <si>
    <t>최윤희/김지인</t>
  </si>
  <si>
    <t>주식회사 쏘닉</t>
  </si>
  <si>
    <t>토박이부동산</t>
  </si>
  <si>
    <t>블링스냅</t>
  </si>
  <si>
    <t>제주탁송가자</t>
  </si>
  <si>
    <t>보센코리아</t>
  </si>
  <si>
    <t>교원스타트원</t>
  </si>
  <si>
    <t>주식회사에스티</t>
  </si>
  <si>
    <t>와이골프연습장</t>
  </si>
  <si>
    <t>스카이블루</t>
  </si>
  <si>
    <t>농업회사법인 별농(주)</t>
  </si>
  <si>
    <t>스톤뱅크</t>
  </si>
  <si>
    <t>로그네트웍스</t>
  </si>
  <si>
    <t>타임카페타스</t>
  </si>
  <si>
    <t>웨딩그룹위더스_광주</t>
  </si>
  <si>
    <t>슈가스토리</t>
  </si>
  <si>
    <t>설린</t>
  </si>
  <si>
    <t>수성운반기계</t>
  </si>
  <si>
    <t>분당간판</t>
  </si>
  <si>
    <t>성화산업</t>
  </si>
  <si>
    <t>성진코리아</t>
  </si>
  <si>
    <t>대성부동산</t>
  </si>
  <si>
    <t>선진스틸트레이드</t>
  </si>
  <si>
    <t>양선이산부인과</t>
  </si>
  <si>
    <t>썬통신</t>
  </si>
  <si>
    <t>SIEC어학원</t>
  </si>
  <si>
    <t>머니홀릭</t>
  </si>
  <si>
    <t>서해스카이</t>
  </si>
  <si>
    <t>이안아트</t>
  </si>
  <si>
    <t>크래프트플레닛</t>
  </si>
  <si>
    <t>성월루브테크</t>
  </si>
  <si>
    <t>사랑샘</t>
  </si>
  <si>
    <t>서울웨딩타워</t>
  </si>
  <si>
    <t>새연산업</t>
  </si>
  <si>
    <t>민주시스템에어컨</t>
  </si>
  <si>
    <t>명성공인중개사사무소</t>
  </si>
  <si>
    <t>태종</t>
  </si>
  <si>
    <t>태광방음문</t>
  </si>
  <si>
    <t>태성피엠씨</t>
  </si>
  <si>
    <t>태즈컴퍼니</t>
  </si>
  <si>
    <t>주식회사제이온</t>
  </si>
  <si>
    <t>느루헤어살롱</t>
  </si>
  <si>
    <t>디자인나래</t>
  </si>
  <si>
    <t>태진유리</t>
  </si>
  <si>
    <t>더바스</t>
  </si>
  <si>
    <t>야생앤더비</t>
  </si>
  <si>
    <t>법률사무소 호연</t>
  </si>
  <si>
    <t>(주)더도어</t>
  </si>
  <si>
    <t>더드림조경</t>
  </si>
  <si>
    <t>더 한</t>
  </si>
  <si>
    <t>the-ice</t>
  </si>
  <si>
    <t>헬로우그린</t>
  </si>
  <si>
    <t>주식회사 오하이</t>
  </si>
  <si>
    <t>주식회사 더샤이니</t>
  </si>
  <si>
    <t>더소프트</t>
  </si>
  <si>
    <t>주식회사 쓰담</t>
  </si>
  <si>
    <t>주식회사 하이디</t>
  </si>
  <si>
    <t>송월갤러리</t>
  </si>
  <si>
    <t>애드블랙</t>
  </si>
  <si>
    <t>아진익스프레스</t>
  </si>
  <si>
    <t>키우미한의원</t>
  </si>
  <si>
    <t>손재윤</t>
  </si>
  <si>
    <t>(주)티젠</t>
  </si>
  <si>
    <t>타임아웃</t>
  </si>
  <si>
    <t>베스트빌</t>
  </si>
  <si>
    <t>주식회사 다양</t>
  </si>
  <si>
    <t>대구성서앵글</t>
  </si>
  <si>
    <t>여나몰</t>
  </si>
  <si>
    <t>대박개인용달</t>
  </si>
  <si>
    <t>태경볼트</t>
  </si>
  <si>
    <t>공구네거리</t>
  </si>
  <si>
    <t>올레 kt cctv 가입센터</t>
  </si>
  <si>
    <t>태경이엔지</t>
  </si>
  <si>
    <t>헌옷지킴이</t>
  </si>
  <si>
    <t>주식회사 썬메디케어</t>
  </si>
  <si>
    <t>미공간</t>
  </si>
  <si>
    <t>신광타일</t>
  </si>
  <si>
    <t>오늘의픽</t>
  </si>
  <si>
    <t>토국커머스</t>
  </si>
  <si>
    <t>신라디자인</t>
  </si>
  <si>
    <t>토마토앤컴퍼니</t>
  </si>
  <si>
    <t>일레드</t>
  </si>
  <si>
    <t>토파즈필라테스</t>
  </si>
  <si>
    <t>탑이엔지</t>
  </si>
  <si>
    <t>탑엔카 크리에이티브</t>
  </si>
  <si>
    <t>탑해외운송 주식회사</t>
  </si>
  <si>
    <t>토탈 우드</t>
  </si>
  <si>
    <t>(주)엠지브이보안시스템</t>
  </si>
  <si>
    <t>어반테크닉스</t>
  </si>
  <si>
    <t>트리하우스</t>
  </si>
  <si>
    <t>트렌드김인터내셔널</t>
  </si>
  <si>
    <t>펜션테라피</t>
  </si>
  <si>
    <t>(주)티에스싸이언스</t>
  </si>
  <si>
    <t>맛삿갓</t>
  </si>
  <si>
    <t>태광건설정보</t>
  </si>
  <si>
    <t>티엔씨글로벌</t>
  </si>
  <si>
    <t>두인네트웍스</t>
  </si>
  <si>
    <t>주식회사티브이지</t>
  </si>
  <si>
    <t>제이오</t>
  </si>
  <si>
    <t>태영전자</t>
  </si>
  <si>
    <t>우도랑</t>
  </si>
  <si>
    <t>자경전</t>
  </si>
  <si>
    <t>igmp컨설팅</t>
  </si>
  <si>
    <t>콜텍</t>
  </si>
  <si>
    <t>유니크</t>
  </si>
  <si>
    <t>(주)유니씨앤씨</t>
  </si>
  <si>
    <t>유니엘</t>
  </si>
  <si>
    <t>트랜드몰</t>
  </si>
  <si>
    <t>유니버셜리프트앤히타치코리아</t>
  </si>
  <si>
    <t>돌쇠피싱</t>
  </si>
  <si>
    <t>아가토스베이비스튜디오</t>
  </si>
  <si>
    <t>유리시스템(에이프리카)</t>
  </si>
  <si>
    <t>어신</t>
  </si>
  <si>
    <t>원진글로발</t>
  </si>
  <si>
    <t>베뉴지 웨딩홀</t>
  </si>
  <si>
    <t>브이엑스</t>
  </si>
  <si>
    <t>vfxlab</t>
  </si>
  <si>
    <t>승리기공</t>
  </si>
  <si>
    <t>(주)리함</t>
  </si>
  <si>
    <t>비고르 헤어아뜰리에</t>
  </si>
  <si>
    <t>큰바위얼굴</t>
  </si>
  <si>
    <t>슈가골드</t>
  </si>
  <si>
    <t>용동물병원 최용수</t>
  </si>
  <si>
    <t>김용관세무회계사</t>
  </si>
  <si>
    <t>비젼코리아</t>
  </si>
  <si>
    <t>분당메모리얼파크</t>
  </si>
  <si>
    <t>펌프굿</t>
  </si>
  <si>
    <t>아레파코리아</t>
  </si>
  <si>
    <t>Salt Music Studio</t>
  </si>
  <si>
    <t>예사 붙임머리</t>
  </si>
  <si>
    <t>중부탱크기술</t>
  </si>
  <si>
    <t>인터파크(트리플)</t>
  </si>
  <si>
    <t>강집사</t>
  </si>
  <si>
    <t>와니비</t>
  </si>
  <si>
    <t>시계상자</t>
  </si>
  <si>
    <t>주식회사 워터닉스</t>
  </si>
  <si>
    <t>웨이츠</t>
  </si>
  <si>
    <t>예스제주</t>
  </si>
  <si>
    <t>와우세계여행(주)</t>
  </si>
  <si>
    <t>웨슬리짐</t>
  </si>
  <si>
    <t>피싱다이나믹</t>
  </si>
  <si>
    <t>위브치과</t>
  </si>
  <si>
    <t>파스텔무드</t>
  </si>
  <si>
    <t>왓더버거 경주점</t>
  </si>
  <si>
    <t>sbs아카데미게임학원 조윤성</t>
  </si>
  <si>
    <t>하얀e치과</t>
  </si>
  <si>
    <t>아름다운농원</t>
  </si>
  <si>
    <t>쿠션마켓</t>
  </si>
  <si>
    <t>선재해변펜션</t>
  </si>
  <si>
    <t>전주상가야</t>
  </si>
  <si>
    <t>위아스아카데미</t>
  </si>
  <si>
    <t>윌셔코리아어학원</t>
  </si>
  <si>
    <t>금오송풍기계</t>
  </si>
  <si>
    <t>위너테크놀로지</t>
  </si>
  <si>
    <t>위너코리아</t>
  </si>
  <si>
    <t>이지원변호사</t>
  </si>
  <si>
    <t>웨딩그룹위더스_영등포</t>
  </si>
  <si>
    <t>위더스넷(원주민박펜션협회)</t>
  </si>
  <si>
    <t>유노이아디자인</t>
  </si>
  <si>
    <t>한국후지AS센터</t>
  </si>
  <si>
    <t>위즈유</t>
  </si>
  <si>
    <t>엄지약초</t>
  </si>
  <si>
    <t>나들이렌트카</t>
  </si>
  <si>
    <t>원진전자통신</t>
  </si>
  <si>
    <t>원진맨홀</t>
  </si>
  <si>
    <t>우진열기</t>
  </si>
  <si>
    <t>세무법인 우주</t>
  </si>
  <si>
    <t>우진워터스</t>
  </si>
  <si>
    <t>(주)장비야닷컴</t>
  </si>
  <si>
    <t>진양에프엔에스</t>
  </si>
  <si>
    <t>화물인</t>
  </si>
  <si>
    <t>(주)워터멜론컴퍼니</t>
  </si>
  <si>
    <t>더블유엠글로벌</t>
  </si>
  <si>
    <t>광림특장공업</t>
  </si>
  <si>
    <t>(주)위드네이처페인트</t>
  </si>
  <si>
    <t>스타카</t>
  </si>
  <si>
    <t>예인기업</t>
  </si>
  <si>
    <t>원스프링</t>
  </si>
  <si>
    <t>레드마우스</t>
  </si>
  <si>
    <t>프라이빗펜션</t>
  </si>
  <si>
    <t>인연</t>
  </si>
  <si>
    <t>우리자수</t>
  </si>
  <si>
    <t>주식회사우리휀스산업</t>
  </si>
  <si>
    <t>루나무역</t>
  </si>
  <si>
    <t>미광사</t>
  </si>
  <si>
    <t>하리오컴퍼니</t>
  </si>
  <si>
    <t>바로철거</t>
  </si>
  <si>
    <t>김포가마솥해장국</t>
  </si>
  <si>
    <t>우드밸리</t>
  </si>
  <si>
    <t>우양산기</t>
  </si>
  <si>
    <t>(주)리버네트워크</t>
  </si>
  <si>
    <t>sky정보통신</t>
  </si>
  <si>
    <t>유일</t>
  </si>
  <si>
    <t>다모여당구</t>
  </si>
  <si>
    <t>우리하우징</t>
  </si>
  <si>
    <t>딜버 양주점</t>
  </si>
  <si>
    <t>포낙보청기 광주센터</t>
  </si>
  <si>
    <t>포낙보청기 광주서구센터</t>
  </si>
  <si>
    <t>오만플라워</t>
  </si>
  <si>
    <t>월딘호남지사</t>
  </si>
  <si>
    <t>(주)창앤롤</t>
  </si>
  <si>
    <t>주식회사 예담우</t>
  </si>
  <si>
    <t>철거나라</t>
  </si>
  <si>
    <t>주식회사 예일헬스케어</t>
  </si>
  <si>
    <t>예인</t>
  </si>
  <si>
    <t>봉봉감귤체험농장</t>
  </si>
  <si>
    <t>로드케이프</t>
  </si>
  <si>
    <t>용문전기</t>
  </si>
  <si>
    <t>서해안바다낚시 통일호</t>
  </si>
  <si>
    <t>하나로종합물류</t>
  </si>
  <si>
    <t>인테리어이즈</t>
  </si>
  <si>
    <t>와이제이컴퍼니</t>
  </si>
  <si>
    <t>신성공인중개사무소</t>
  </si>
  <si>
    <t>약수마을</t>
  </si>
  <si>
    <t>진명발전기</t>
  </si>
  <si>
    <t>캐스트미디어</t>
  </si>
  <si>
    <t>유니트론보청기 인천서구점</t>
  </si>
  <si>
    <t>명인공방</t>
  </si>
  <si>
    <t>위원디자인</t>
  </si>
  <si>
    <t>유엘헤어</t>
  </si>
  <si>
    <t>아크로디니온</t>
  </si>
  <si>
    <t>디컴퍼티</t>
  </si>
  <si>
    <t>윤선생님</t>
  </si>
  <si>
    <t>요리수연산</t>
  </si>
  <si>
    <t>스포츠런</t>
  </si>
  <si>
    <t>옥계점 에듀플렉스</t>
  </si>
  <si>
    <t>영포리포텍</t>
  </si>
  <si>
    <t>와이에스메디칼</t>
  </si>
  <si>
    <t>연세미즈산부인과</t>
  </si>
  <si>
    <t>예손기업주식회사</t>
  </si>
  <si>
    <t>매직닷</t>
  </si>
  <si>
    <t>법무법인영진</t>
  </si>
  <si>
    <t>연세유펜치과</t>
  </si>
  <si>
    <t>누리플라스틱</t>
  </si>
  <si>
    <t>사단복지법인빛과소금유당마을</t>
  </si>
  <si>
    <t>(주)유일에프에이</t>
  </si>
  <si>
    <t>지끈몰</t>
  </si>
  <si>
    <t>메인통상</t>
  </si>
  <si>
    <t>유신에코</t>
  </si>
  <si>
    <t>노랑카라반</t>
  </si>
  <si>
    <t>이재관, 정인욱</t>
  </si>
  <si>
    <t>(주)웰마이크로텍</t>
  </si>
  <si>
    <t>원플러스원</t>
  </si>
  <si>
    <t>지텐</t>
  </si>
  <si>
    <t>1STPLATFOM</t>
  </si>
  <si>
    <t>주식회사 나이스엘이디</t>
  </si>
  <si>
    <t>사커붐</t>
  </si>
  <si>
    <t>샤인컴퍼니(젤리몬즈 스튜디오)</t>
  </si>
  <si>
    <t>제우스이엔지</t>
  </si>
  <si>
    <t>(주)징크원건설</t>
  </si>
  <si>
    <t>지오컴퍼니</t>
  </si>
  <si>
    <t>줌테크</t>
  </si>
  <si>
    <t>디자인 몬스터</t>
  </si>
  <si>
    <t>KAKAO</t>
  </si>
  <si>
    <t>워니디자인</t>
  </si>
  <si>
    <t>주식회사디알엘이디네트웍스</t>
  </si>
  <si>
    <t>안동지멘스 보청기</t>
  </si>
  <si>
    <t>단디헬퍼(우리휴먼텍)</t>
  </si>
  <si>
    <t>세이프시터</t>
  </si>
  <si>
    <t>에스한의원</t>
  </si>
  <si>
    <t>마츠모투이나바코리아</t>
  </si>
  <si>
    <t>대명씨엔에스</t>
  </si>
  <si>
    <t>예건산업</t>
  </si>
  <si>
    <t>썬앤비(아방스)</t>
  </si>
  <si>
    <t>우성고압산업</t>
  </si>
  <si>
    <t>서울용접배관기술학원</t>
  </si>
  <si>
    <t>동양컴퓨터자수</t>
  </si>
  <si>
    <t>(주)지엔리버티</t>
  </si>
  <si>
    <t>경인산업</t>
  </si>
  <si>
    <t>순정씨엔에스</t>
  </si>
  <si>
    <t>(주) 루브텍시스템</t>
  </si>
  <si>
    <t>(주)새한에이앤지</t>
  </si>
  <si>
    <t>두루텍(주)</t>
  </si>
  <si>
    <t>(주)마팔하이테코</t>
  </si>
  <si>
    <t>약손안마원</t>
  </si>
  <si>
    <t>대흥디엔씨</t>
  </si>
  <si>
    <t>대신이엔지</t>
  </si>
  <si>
    <t>효은기기</t>
  </si>
  <si>
    <t>수지요양병원</t>
  </si>
  <si>
    <t>화순현대요양병원</t>
  </si>
  <si>
    <t>(주)코아스트론</t>
  </si>
  <si>
    <t>한국관세무역</t>
  </si>
  <si>
    <t>엘이디존</t>
  </si>
  <si>
    <t>골드라인파렛텍</t>
  </si>
  <si>
    <t>금강교역상사</t>
  </si>
  <si>
    <t>백제엔지니어링주식회사</t>
  </si>
  <si>
    <t>티와이그린</t>
  </si>
  <si>
    <t>명인방음문</t>
  </si>
  <si>
    <t>케이에스인터내셔널</t>
  </si>
  <si>
    <t>신우환경화학(주)</t>
  </si>
  <si>
    <t>세븐스트링</t>
  </si>
  <si>
    <t>주식회사 에바다</t>
  </si>
  <si>
    <t>메디프렌드</t>
  </si>
  <si>
    <t>세명전기</t>
  </si>
  <si>
    <t>세하엔지니어링</t>
  </si>
  <si>
    <t>대한계측기</t>
  </si>
  <si>
    <t>디앤오스카</t>
  </si>
  <si>
    <t>현대탈수기</t>
  </si>
  <si>
    <t>팀스텔레콤</t>
  </si>
  <si>
    <t>한옥공간</t>
  </si>
  <si>
    <t>부산어망상사</t>
  </si>
  <si>
    <t>플로우마스터코리아</t>
  </si>
  <si>
    <t>충남스틸(주)</t>
  </si>
  <si>
    <t>울파기술영업</t>
  </si>
  <si>
    <t>써패스아이</t>
  </si>
  <si>
    <t>기성종합상사</t>
  </si>
  <si>
    <t>사회복지법인 종로행복일굼터</t>
  </si>
  <si>
    <t>바른시큐리티</t>
  </si>
  <si>
    <t>금강자동차유리</t>
  </si>
  <si>
    <t>법무법인고운</t>
  </si>
  <si>
    <t>블루오토미션</t>
  </si>
  <si>
    <t>한국씨엔에스</t>
  </si>
  <si>
    <t>비앤씨베이커스</t>
  </si>
  <si>
    <t>효자실버요양원</t>
  </si>
  <si>
    <t>대성바퀴총판</t>
  </si>
  <si>
    <t>현대러버텍</t>
  </si>
  <si>
    <t>(주)우영트래블</t>
  </si>
  <si>
    <t>청명렌트카</t>
  </si>
  <si>
    <t>밝은터다이렉트</t>
  </si>
  <si>
    <t>월드엔지니어링</t>
  </si>
  <si>
    <t>동양전기</t>
  </si>
  <si>
    <t>리비코</t>
  </si>
  <si>
    <t>KG에듀원</t>
  </si>
  <si>
    <t>줌인프로덕션</t>
  </si>
  <si>
    <t>이서희</t>
  </si>
  <si>
    <t>쇼핑크루</t>
  </si>
  <si>
    <t>상진에어백</t>
  </si>
  <si>
    <t>명학역전당포</t>
  </si>
  <si>
    <t>이벤트월드</t>
  </si>
  <si>
    <t>한국전례 대전지원</t>
  </si>
  <si>
    <t>상주종가곶감</t>
  </si>
  <si>
    <t>신한은행(주)</t>
  </si>
  <si>
    <t>대전중기</t>
  </si>
  <si>
    <t>히람씨엠</t>
  </si>
  <si>
    <t>예원특수인쇄</t>
  </si>
  <si>
    <t>아르떼베딩</t>
  </si>
  <si>
    <t>모먼트</t>
  </si>
  <si>
    <t>하이루프</t>
  </si>
  <si>
    <t>주니농장</t>
  </si>
  <si>
    <t>주식회사티엠나인</t>
  </si>
  <si>
    <t>(주)지에스홈쇼핑</t>
  </si>
  <si>
    <t>주식회사 부국</t>
  </si>
  <si>
    <t>(주)교원크리에이티브</t>
  </si>
  <si>
    <t>(주)메디언스</t>
  </si>
  <si>
    <t>펫뉴얼</t>
  </si>
  <si>
    <t>벨르랑코</t>
  </si>
  <si>
    <t>피에스컴퍼니</t>
  </si>
  <si>
    <t>(주)엔에스쇼핑</t>
  </si>
  <si>
    <t>꾸디</t>
  </si>
  <si>
    <t>코스네이처</t>
  </si>
  <si>
    <t>제이씨현온비즈 주식회사</t>
  </si>
  <si>
    <t>제이컴퍼니</t>
  </si>
  <si>
    <t>주식회사 인모스트투자자문</t>
  </si>
  <si>
    <t>CONCAT(if(media_code = 5, 'NAVER', if(media_code = 7, '모먼트', 'KAKAO')), matching_id)</t>
  </si>
  <si>
    <t>SUM(cost)</t>
  </si>
  <si>
    <t>NAVER0100358</t>
  </si>
  <si>
    <t>NAVER0100398</t>
  </si>
  <si>
    <t>NAVER0100575</t>
  </si>
  <si>
    <t>NAVER0100631</t>
  </si>
  <si>
    <t>NAVER0100777</t>
  </si>
  <si>
    <t>NAVER0100804</t>
  </si>
  <si>
    <t>NAVER0101781</t>
  </si>
  <si>
    <t>NAVER0101972</t>
  </si>
  <si>
    <t>NAVER0102119</t>
  </si>
  <si>
    <t>NAVER0102153</t>
  </si>
  <si>
    <t>NAVER0102940</t>
  </si>
  <si>
    <t>NAVER0103119</t>
  </si>
  <si>
    <t>NAVER01032307070</t>
  </si>
  <si>
    <t>NAVER01034251303</t>
  </si>
  <si>
    <t>NAVER01034394813</t>
  </si>
  <si>
    <t>NAVER01041603202</t>
  </si>
  <si>
    <t>NAVER0104411</t>
  </si>
  <si>
    <t>NAVER0105000</t>
  </si>
  <si>
    <t>NAVER01054551482</t>
  </si>
  <si>
    <t>NAVER01073381068:naver</t>
  </si>
  <si>
    <t>NAVER0107515</t>
  </si>
  <si>
    <t>NAVER0107524</t>
  </si>
  <si>
    <t>NAVER0107553</t>
  </si>
  <si>
    <t>NAVER0108163</t>
  </si>
  <si>
    <t>NAVER0108187</t>
  </si>
  <si>
    <t>NAVER0108764</t>
  </si>
  <si>
    <t>NAVER0108799</t>
  </si>
  <si>
    <t>NAVER01rentcar</t>
  </si>
  <si>
    <t>NAVER024333607</t>
  </si>
  <si>
    <t>NAVER02545</t>
  </si>
  <si>
    <t>NAVER0415517164as</t>
  </si>
  <si>
    <t>NAVER0482ds:naver</t>
  </si>
  <si>
    <t>NAVER0632479400</t>
  </si>
  <si>
    <t>NAVER0730yoon</t>
  </si>
  <si>
    <t>NAVER0922ms</t>
  </si>
  <si>
    <t>NAVER1014roes:naver</t>
  </si>
  <si>
    <t>NAVER11444gyn</t>
  </si>
  <si>
    <t>NAVER114boat</t>
  </si>
  <si>
    <t>NAVER114print</t>
  </si>
  <si>
    <t>NAVER1angle</t>
  </si>
  <si>
    <t>NAVER1rent</t>
  </si>
  <si>
    <t>NAVER1stcoffee</t>
  </si>
  <si>
    <t>NAVER1typhoon</t>
  </si>
  <si>
    <t>NAVER2174kh</t>
  </si>
  <si>
    <t>NAVER21jyh</t>
  </si>
  <si>
    <t>NAVER21plan</t>
  </si>
  <si>
    <t>NAVER21run</t>
  </si>
  <si>
    <t>NAVER2248147347</t>
  </si>
  <si>
    <t>NAVER228a0413</t>
  </si>
  <si>
    <t>NAVER2308combat</t>
  </si>
  <si>
    <t>NAVER247fit</t>
  </si>
  <si>
    <t>NAVER24solution:naver</t>
  </si>
  <si>
    <t>NAVER259official:naver</t>
  </si>
  <si>
    <t>NAVER2727kl</t>
  </si>
  <si>
    <t>NAVER2742417</t>
  </si>
  <si>
    <t>NAVER2790169</t>
  </si>
  <si>
    <t>NAVER2cosmos1016</t>
  </si>
  <si>
    <t>NAVER2f_cafe_:naver</t>
  </si>
  <si>
    <t>NAVER2fp_cn</t>
  </si>
  <si>
    <t>NAVER2hhlawyer</t>
  </si>
  <si>
    <t>NAVER2hr79</t>
  </si>
  <si>
    <t>NAVER2ruum</t>
  </si>
  <si>
    <t>NAVER2week</t>
  </si>
  <si>
    <t>NAVER3005kt</t>
  </si>
  <si>
    <t>NAVER3012989568</t>
  </si>
  <si>
    <t>NAVER3220051</t>
  </si>
  <si>
    <t>NAVER3333245</t>
  </si>
  <si>
    <t>NAVER3414540</t>
  </si>
  <si>
    <t>NAVER365living</t>
  </si>
  <si>
    <t>NAVER365withplus</t>
  </si>
  <si>
    <t>NAVER3gforever</t>
  </si>
  <si>
    <t>NAVER3hwa</t>
  </si>
  <si>
    <t>NAVER41company</t>
  </si>
  <si>
    <t>NAVER4u2020:naver</t>
  </si>
  <si>
    <t>NAVER5229798</t>
  </si>
  <si>
    <t>NAVER5324550:naver</t>
  </si>
  <si>
    <t>NAVER5759ppgg</t>
  </si>
  <si>
    <t>NAVER58jeap</t>
  </si>
  <si>
    <t>NAVER5migarden</t>
  </si>
  <si>
    <t>NAVER5mypilates</t>
  </si>
  <si>
    <t>NAVER5roc</t>
  </si>
  <si>
    <t>NAVER60seconds</t>
  </si>
  <si>
    <t>NAVER6159906</t>
  </si>
  <si>
    <t>NAVER6204000244</t>
  </si>
  <si>
    <t>NAVER6283274</t>
  </si>
  <si>
    <t>NAVER6373500</t>
  </si>
  <si>
    <t>NAVER63square</t>
  </si>
  <si>
    <t>NAVER64sosa</t>
  </si>
  <si>
    <t>NAVER67jai:naver</t>
  </si>
  <si>
    <t>NAVER6dining1</t>
  </si>
  <si>
    <t>NAVER6nm</t>
  </si>
  <si>
    <t>NAVER6pm_island:naver</t>
  </si>
  <si>
    <t>NAVER70samma</t>
  </si>
  <si>
    <t>NAVER711rokmc</t>
  </si>
  <si>
    <t>NAVER7145755</t>
  </si>
  <si>
    <t>NAVER720426-:naver</t>
  </si>
  <si>
    <t>NAVER72square:naver</t>
  </si>
  <si>
    <t>NAVER7410sin</t>
  </si>
  <si>
    <t>NAVER777ook</t>
  </si>
  <si>
    <t>NAVER7daysyp</t>
  </si>
  <si>
    <t>NAVER8098686:naver</t>
  </si>
  <si>
    <t>NAVER810828jk</t>
  </si>
  <si>
    <t>NAVER824flower</t>
  </si>
  <si>
    <t>NAVER8325saemaul</t>
  </si>
  <si>
    <t>NAVER838306</t>
  </si>
  <si>
    <t>NAVER83cmy</t>
  </si>
  <si>
    <t>NAVER8848254sun</t>
  </si>
  <si>
    <t>NAVER8854kim:naver</t>
  </si>
  <si>
    <t>NAVER890315a</t>
  </si>
  <si>
    <t>NAVER89jinsun</t>
  </si>
  <si>
    <t>NAVER91acting</t>
  </si>
  <si>
    <t>NAVER9625214a</t>
  </si>
  <si>
    <t>NAVER98172517:naver</t>
  </si>
  <si>
    <t>NAVER9965611</t>
  </si>
  <si>
    <t>NAVER999222000:naver</t>
  </si>
  <si>
    <t>NAVER999shot</t>
  </si>
  <si>
    <t>NAVER99pack</t>
  </si>
  <si>
    <t>NAVER99t1234</t>
  </si>
  <si>
    <t>NAVERa000hl</t>
  </si>
  <si>
    <t>NAVERa0515kyh:naver</t>
  </si>
  <si>
    <t>NAVERa1design</t>
  </si>
  <si>
    <t>NAVERa1shred</t>
  </si>
  <si>
    <t>NAVERa1tent:naver</t>
  </si>
  <si>
    <t>NAVERa30003722</t>
  </si>
  <si>
    <t>NAVERa3060</t>
  </si>
  <si>
    <t>NAVERa608985</t>
  </si>
  <si>
    <t>NAVERa690714</t>
  </si>
  <si>
    <t>NAVERa8969006</t>
  </si>
  <si>
    <t>NAVERa94107</t>
  </si>
  <si>
    <t>NAVERaa_har1010:naver</t>
  </si>
  <si>
    <t>NAVERaa138mm</t>
  </si>
  <si>
    <t>NAVERaaaa3800:naver</t>
  </si>
  <si>
    <t>NAVERabc</t>
  </si>
  <si>
    <t>NAVERabc292199</t>
  </si>
  <si>
    <t>NAVERabnc2235:naver</t>
  </si>
  <si>
    <t>NAVERacademy1230</t>
  </si>
  <si>
    <t>NAVERaccentri82</t>
  </si>
  <si>
    <t>NAVERace210817</t>
  </si>
  <si>
    <t>NAVERacemach</t>
  </si>
  <si>
    <t>NAVERacopy01:naver</t>
  </si>
  <si>
    <t>NAVERacousticjun</t>
  </si>
  <si>
    <t>NAVERacrew1</t>
  </si>
  <si>
    <t>NAVERad5st</t>
  </si>
  <si>
    <t>NAVERadbnp</t>
  </si>
  <si>
    <t>NAVERadinart</t>
  </si>
  <si>
    <t>NAVERadis1:naver</t>
  </si>
  <si>
    <t>NAVERadkaiser01:naver</t>
  </si>
  <si>
    <t>NAVERadm72</t>
  </si>
  <si>
    <t>NAVERadneeds1</t>
  </si>
  <si>
    <t>NAVERadplanetcom</t>
  </si>
  <si>
    <t>NAVERadrush</t>
  </si>
  <si>
    <t>NAVERadvance1n</t>
  </si>
  <si>
    <t>NAVERadvantrue</t>
  </si>
  <si>
    <t>NAVERaegisseal</t>
  </si>
  <si>
    <t>NAVERaeya</t>
  </si>
  <si>
    <t>NAVERafec</t>
  </si>
  <si>
    <t>NAVERafg</t>
  </si>
  <si>
    <t>NAVERafricahj213</t>
  </si>
  <si>
    <t>NAVERagamo1213</t>
  </si>
  <si>
    <t>NAVERaganaa4271</t>
  </si>
  <si>
    <t>NAVERagapa1008he2</t>
  </si>
  <si>
    <t>NAVERagc321</t>
  </si>
  <si>
    <t>NAVERagltiger</t>
  </si>
  <si>
    <t>NAVERahjt1004:naver</t>
  </si>
  <si>
    <t>NAVERahniya04:naver</t>
  </si>
  <si>
    <t>NAVERahrvhghdrk</t>
  </si>
  <si>
    <t>NAVERahwe_officia</t>
  </si>
  <si>
    <t>NAVERahyeonfood</t>
  </si>
  <si>
    <t>NAVERaijoa77</t>
  </si>
  <si>
    <t>NAVERaimakorea</t>
  </si>
  <si>
    <t>NAVERaimsak</t>
  </si>
  <si>
    <t>NAVERair5408</t>
  </si>
  <si>
    <t>NAVERaircenter</t>
  </si>
  <si>
    <t>NAVERaircosea</t>
  </si>
  <si>
    <t>NAVERairgill</t>
  </si>
  <si>
    <t>NAVERairialkorea:naver</t>
  </si>
  <si>
    <t>NAVERairsysonep</t>
  </si>
  <si>
    <t>NAVERaisana413:naver</t>
  </si>
  <si>
    <t>NAVERajeon10</t>
  </si>
  <si>
    <t>NAVERajm7402:naver</t>
  </si>
  <si>
    <t>NAVERajouarc1234</t>
  </si>
  <si>
    <t>NAVERajtwls18</t>
  </si>
  <si>
    <t>NAVERajukitchen</t>
  </si>
  <si>
    <t>NAVERakcorp1205</t>
  </si>
  <si>
    <t>NAVERakeso</t>
  </si>
  <si>
    <t>NAVERakiko1988</t>
  </si>
  <si>
    <t>NAVERaksnlsla</t>
  </si>
  <si>
    <t>NAVERalexardrone</t>
  </si>
  <si>
    <t>NAVERalgi68</t>
  </si>
  <si>
    <t>NAVERalgu0429</t>
  </si>
  <si>
    <t>NAVERalienasia</t>
  </si>
  <si>
    <t>NAVERallboyang:naver</t>
  </si>
  <si>
    <t>NAVERallcamcar:naver</t>
  </si>
  <si>
    <t>NAVERallclean61</t>
  </si>
  <si>
    <t>NAVERalldamstory:naver</t>
  </si>
  <si>
    <t>NAVERalldaygift</t>
  </si>
  <si>
    <t>NAVERallinfok</t>
  </si>
  <si>
    <t>NAVERallofstudio:naver</t>
  </si>
  <si>
    <t>NAVERallontop</t>
  </si>
  <si>
    <t>NAVERallseason1</t>
  </si>
  <si>
    <t>NAVERalltrendmall</t>
  </si>
  <si>
    <t>NAVERalpack1:naver</t>
  </si>
  <si>
    <t>NAVERalphaamc:naver</t>
  </si>
  <si>
    <t>NAVERalsdn2233</t>
  </si>
  <si>
    <t>NAVERalstjr240</t>
  </si>
  <si>
    <t>NAVERalstjr240:naver</t>
  </si>
  <si>
    <t>NAVERalswjd7590</t>
  </si>
  <si>
    <t>NAVERalswn008a:naver</t>
  </si>
  <si>
    <t>NAVERaltech</t>
  </si>
  <si>
    <t>NAVERaltenbach_sale:naver</t>
  </si>
  <si>
    <t>NAVERalwk7464</t>
  </si>
  <si>
    <t>NAVERalznner4639</t>
  </si>
  <si>
    <t>NAVERamantea</t>
  </si>
  <si>
    <t>NAVERamicook</t>
  </si>
  <si>
    <t>NAVERamid1001</t>
  </si>
  <si>
    <t>NAVERamiltd</t>
  </si>
  <si>
    <t>NAVERanafnidc:naver</t>
  </si>
  <si>
    <t>NAVERancallss</t>
  </si>
  <si>
    <t>NAVERanchon119</t>
  </si>
  <si>
    <t>NAVERandk</t>
  </si>
  <si>
    <t>NAVERandyou1204:naver</t>
  </si>
  <si>
    <t>NAVERangel5587</t>
  </si>
  <si>
    <t>NAVERangeljuicer</t>
  </si>
  <si>
    <t>NAVERangs1</t>
  </si>
  <si>
    <t>NAVERanjiwon1975:naver</t>
  </si>
  <si>
    <t>NAVERanmoc1</t>
  </si>
  <si>
    <t>NAVERannacademy9</t>
  </si>
  <si>
    <t>NAVERannzed</t>
  </si>
  <si>
    <t>NAVERantique1004:naver</t>
  </si>
  <si>
    <t>NAVERanwencai:naver</t>
  </si>
  <si>
    <t>NAVERanycam10</t>
  </si>
  <si>
    <t>NAVERanypeel</t>
  </si>
  <si>
    <t>NAVERanyseal</t>
  </si>
  <si>
    <t>NAVERanysecure</t>
  </si>
  <si>
    <t>NAVERaoki33</t>
  </si>
  <si>
    <t>NAVERapecstore:naver</t>
  </si>
  <si>
    <t>NAVERapexems3</t>
  </si>
  <si>
    <t>NAVERapexschool</t>
  </si>
  <si>
    <t>NAVERapgujeongfs</t>
  </si>
  <si>
    <t>NAVERapharm</t>
  </si>
  <si>
    <t>NAVERapharmhealth</t>
  </si>
  <si>
    <t>NAVERapixgaming</t>
  </si>
  <si>
    <t>NAVERapk</t>
  </si>
  <si>
    <t>NAVERaplus0114m</t>
  </si>
  <si>
    <t>NAVERaplus114</t>
  </si>
  <si>
    <t>NAVERapparelmj01</t>
  </si>
  <si>
    <t>NAVERappenz</t>
  </si>
  <si>
    <t>NAVERappenz_coffee:naver</t>
  </si>
  <si>
    <t>NAVERapple003</t>
  </si>
  <si>
    <t>NAVERapplecj1</t>
  </si>
  <si>
    <t>NAVERappledud</t>
  </si>
  <si>
    <t>NAVERapproco</t>
  </si>
  <si>
    <t>NAVERaprosheet</t>
  </si>
  <si>
    <t>NAVERapt247</t>
  </si>
  <si>
    <t>NAVERaptgin</t>
  </si>
  <si>
    <t>NAVERaqua-b:naver</t>
  </si>
  <si>
    <t>NAVERaqua3725</t>
  </si>
  <si>
    <t>NAVERaquawillstore:naver</t>
  </si>
  <si>
    <t>NAVERaramin</t>
  </si>
  <si>
    <t>NAVERaranhuez</t>
  </si>
  <si>
    <t>NAVERarborstudio</t>
  </si>
  <si>
    <t>NAVERares_company:naver</t>
  </si>
  <si>
    <t>NAVERaritech</t>
  </si>
  <si>
    <t>NAVERarkadin</t>
  </si>
  <si>
    <t>NAVERarmaxst:naver</t>
  </si>
  <si>
    <t>NAVERarogold4312</t>
  </si>
  <si>
    <t>NAVERaromame</t>
  </si>
  <si>
    <t>NAVERaromamsj</t>
  </si>
  <si>
    <t>NAVERart10041004</t>
  </si>
  <si>
    <t>NAVERartcase</t>
  </si>
  <si>
    <t>NAVERarte_seoul</t>
  </si>
  <si>
    <t>NAVERarteye73</t>
  </si>
  <si>
    <t>NAVERartreon7:naver</t>
  </si>
  <si>
    <t>NAVERartu4502</t>
  </si>
  <si>
    <t>NAVERas7316</t>
  </si>
  <si>
    <t>NAVERasan_kopo:naver</t>
  </si>
  <si>
    <t>NAVERasanu</t>
  </si>
  <si>
    <t>NAVERasbesto</t>
  </si>
  <si>
    <t>NAVERasd83op</t>
  </si>
  <si>
    <t>NAVERasiatour</t>
  </si>
  <si>
    <t>NAVERasicb</t>
  </si>
  <si>
    <t>NAVERasinuri:naver</t>
  </si>
  <si>
    <t>NAVERaskkhs:naver</t>
  </si>
  <si>
    <t>NAVERasobang</t>
  </si>
  <si>
    <t>NAVERasobang2</t>
  </si>
  <si>
    <t>NAVERassa_aran</t>
  </si>
  <si>
    <t>NAVERastmir9</t>
  </si>
  <si>
    <t>NAVERasung1900</t>
  </si>
  <si>
    <t>NAVERatelierps</t>
  </si>
  <si>
    <t>NAVERatenajh0415</t>
  </si>
  <si>
    <t>NAVERathene1</t>
  </si>
  <si>
    <t>NAVERathomepasta</t>
  </si>
  <si>
    <t>NAVERatobath</t>
  </si>
  <si>
    <t>NAVERatobos1</t>
  </si>
  <si>
    <t>NAVERatoz1826:naver</t>
  </si>
  <si>
    <t>NAVERatoz3494</t>
  </si>
  <si>
    <t>NAVERatspcb2</t>
  </si>
  <si>
    <t>NAVERaudghks111:naver</t>
  </si>
  <si>
    <t>NAVERaudreykorea</t>
  </si>
  <si>
    <t>NAVERaudtjrrl:naver</t>
  </si>
  <si>
    <t>NAVERaumyoga</t>
  </si>
  <si>
    <t>NAVERaus32:naver</t>
  </si>
  <si>
    <t>NAVERautobot123</t>
  </si>
  <si>
    <t>NAVERautodoor1</t>
  </si>
  <si>
    <t>NAVERautoharp1004</t>
  </si>
  <si>
    <t>NAVERavan8286</t>
  </si>
  <si>
    <t>NAVERavante2006</t>
  </si>
  <si>
    <t>NAVERavec6417</t>
  </si>
  <si>
    <t>NAVERavecheal_cosmetic:naver</t>
  </si>
  <si>
    <t>NAVERavila3007</t>
  </si>
  <si>
    <t>NAVERavworld</t>
  </si>
  <si>
    <t>NAVERawe1201</t>
  </si>
  <si>
    <t>NAVERaweekinc</t>
  </si>
  <si>
    <t>NAVERayoon27</t>
  </si>
  <si>
    <t>NAVERazrael0907</t>
  </si>
  <si>
    <t>NAVERb_loaded:naver</t>
  </si>
  <si>
    <t>NAVERb1326</t>
  </si>
  <si>
    <t>NAVERbabisil</t>
  </si>
  <si>
    <t>NAVERbaborkorea</t>
  </si>
  <si>
    <t>NAVERbaby1397</t>
  </si>
  <si>
    <t>NAVERbabyplusdt:naver</t>
  </si>
  <si>
    <t>NAVERbabytiktok:naver</t>
  </si>
  <si>
    <t>NAVERbacasatang</t>
  </si>
  <si>
    <t>NAVERbada42</t>
  </si>
  <si>
    <t>NAVERbadamolli:naver</t>
  </si>
  <si>
    <t>NAVERbadaroyacht</t>
  </si>
  <si>
    <t>NAVERbaejjangin</t>
  </si>
  <si>
    <t>NAVERbaekh</t>
  </si>
  <si>
    <t>NAVERbaekjjang1</t>
  </si>
  <si>
    <t>NAVERbaewo89</t>
  </si>
  <si>
    <t>NAVERbak1583:naver</t>
  </si>
  <si>
    <t>NAVERbalancewheel</t>
  </si>
  <si>
    <t>NAVERballoonstix</t>
  </si>
  <si>
    <t>NAVERbandichon</t>
  </si>
  <si>
    <t>NAVERbangjjayougi</t>
  </si>
  <si>
    <t>NAVERbanseok77</t>
  </si>
  <si>
    <t>NAVERbaptongapp:naver</t>
  </si>
  <si>
    <t>NAVERbareunsafe</t>
  </si>
  <si>
    <t>NAVERbarobuilt</t>
  </si>
  <si>
    <t>NAVERbarunimplant</t>
  </si>
  <si>
    <t>NAVERbass77:naver</t>
  </si>
  <si>
    <t>NAVERbatchi</t>
  </si>
  <si>
    <t>NAVERbb6005</t>
  </si>
  <si>
    <t>NAVERbbodae2</t>
  </si>
  <si>
    <t>NAVERbbok80</t>
  </si>
  <si>
    <t>NAVERbbora15</t>
  </si>
  <si>
    <t>NAVERbc2765</t>
  </si>
  <si>
    <t>NAVERbcbcbc360:naver</t>
  </si>
  <si>
    <t>NAVERbccheong</t>
  </si>
  <si>
    <t>NAVERbcec2008</t>
  </si>
  <si>
    <t>NAVERbcoop2019:naver</t>
  </si>
  <si>
    <t>NAVERbcwaterjet</t>
  </si>
  <si>
    <t>NAVERbdc0902</t>
  </si>
  <si>
    <t>NAVERbdcsbdcs</t>
  </si>
  <si>
    <t>NAVERbdjkorea:naver</t>
  </si>
  <si>
    <t>NAVERbeajimilk</t>
  </si>
  <si>
    <t>NAVERbeatdeux82</t>
  </si>
  <si>
    <t>NAVERbeatitudo_with_you:naver</t>
  </si>
  <si>
    <t>NAVERbeausco</t>
  </si>
  <si>
    <t>NAVERbeauternal</t>
  </si>
  <si>
    <t>NAVERbeautieter</t>
  </si>
  <si>
    <t>NAVERbeautyair</t>
  </si>
  <si>
    <t>NAVERbeautyortho</t>
  </si>
  <si>
    <t>NAVERbebekit</t>
  </si>
  <si>
    <t>NAVERbebenuvo</t>
  </si>
  <si>
    <t>NAVERbeewon</t>
  </si>
  <si>
    <t>NAVERbekkudo</t>
  </si>
  <si>
    <t>NAVERbelief9999</t>
  </si>
  <si>
    <t>NAVERbella06030:naver</t>
  </si>
  <si>
    <t>NAVERbellshop</t>
  </si>
  <si>
    <t>NAVERben_kim91:naver</t>
  </si>
  <si>
    <t>NAVERbenecia12</t>
  </si>
  <si>
    <t>NAVERbenia</t>
  </si>
  <si>
    <t>NAVERbes710</t>
  </si>
  <si>
    <t>NAVERbessie</t>
  </si>
  <si>
    <t>NAVERbestamc</t>
  </si>
  <si>
    <t>NAVERbestart7</t>
  </si>
  <si>
    <t>NAVERbestbath20</t>
  </si>
  <si>
    <t>NAVERbestels</t>
  </si>
  <si>
    <t>NAVERbestfarm85:naver</t>
  </si>
  <si>
    <t>NAVERbestguycho</t>
  </si>
  <si>
    <t>NAVERbestkorea</t>
  </si>
  <si>
    <t>NAVERbestmake</t>
  </si>
  <si>
    <t>NAVERbestonekorea</t>
  </si>
  <si>
    <t>NAVERbetter-u:naver</t>
  </si>
  <si>
    <t>NAVERbetterday</t>
  </si>
  <si>
    <t>NAVERbettersound</t>
  </si>
  <si>
    <t>NAVERbeyonddelivery:naver</t>
  </si>
  <si>
    <t>NAVERbfline</t>
  </si>
  <si>
    <t>NAVERbg_angel</t>
  </si>
  <si>
    <t>NAVERbglee1018</t>
  </si>
  <si>
    <t>NAVERbh1472</t>
  </si>
  <si>
    <t>NAVERbi9000</t>
  </si>
  <si>
    <t>NAVERbichuin</t>
  </si>
  <si>
    <t>NAVERbidet100:naver</t>
  </si>
  <si>
    <t>NAVERbig4you</t>
  </si>
  <si>
    <t>NAVERbigact:naver</t>
  </si>
  <si>
    <t>NAVERbigfriends</t>
  </si>
  <si>
    <t>NAVERbiginsight</t>
  </si>
  <si>
    <t>NAVERbigto</t>
  </si>
  <si>
    <t>NAVERbigwood17</t>
  </si>
  <si>
    <t>NAVERbigya</t>
  </si>
  <si>
    <t>NAVERbioclepet:naver</t>
  </si>
  <si>
    <t>NAVERbiocos4721:naver</t>
  </si>
  <si>
    <t>NAVERbiooil</t>
  </si>
  <si>
    <t>NAVERbiotta8081</t>
  </si>
  <si>
    <t>NAVERbisdda</t>
  </si>
  <si>
    <t>NAVERbitus</t>
  </si>
  <si>
    <t>NAVERbiz4in</t>
  </si>
  <si>
    <t>NAVERbj3700</t>
  </si>
  <si>
    <t>NAVERbjo2599:naver</t>
  </si>
  <si>
    <t>NAVERbkt9930</t>
  </si>
  <si>
    <t>NAVERblackginseng</t>
  </si>
  <si>
    <t>NAVERblessinc</t>
  </si>
  <si>
    <t>NAVERblingblingphone:naver</t>
  </si>
  <si>
    <t>NAVERblisscoffee</t>
  </si>
  <si>
    <t>NAVERblissglass</t>
  </si>
  <si>
    <t>NAVERblleiad:naver</t>
  </si>
  <si>
    <t>NAVERblockingshop:naver</t>
  </si>
  <si>
    <t>NAVERbloster</t>
  </si>
  <si>
    <t>NAVERblue4459</t>
  </si>
  <si>
    <t>NAVERbluein</t>
  </si>
  <si>
    <t>NAVERbluetium:naver</t>
  </si>
  <si>
    <t>NAVERbluewing3418</t>
  </si>
  <si>
    <t>NAVERblueyes2018:naver</t>
  </si>
  <si>
    <t>NAVERbm2883</t>
  </si>
  <si>
    <t>NAVERbmengcom:naver</t>
  </si>
  <si>
    <t>NAVERbmingcell:naver</t>
  </si>
  <si>
    <t>NAVERbmm7878</t>
  </si>
  <si>
    <t>NAVERbmymarble:naver</t>
  </si>
  <si>
    <t>NAVERbnbpop</t>
  </si>
  <si>
    <t>NAVERbns0506</t>
  </si>
  <si>
    <t>NAVERbnybeauty</t>
  </si>
  <si>
    <t>NAVERboardo:naver</t>
  </si>
  <si>
    <t>NAVERboasmall</t>
  </si>
  <si>
    <t>NAVERboat2018</t>
  </si>
  <si>
    <t>NAVERbobox88</t>
  </si>
  <si>
    <t>NAVERbobtd</t>
  </si>
  <si>
    <t>NAVERbodeumshop:naver</t>
  </si>
  <si>
    <t>NAVERbodyclock</t>
  </si>
  <si>
    <t>NAVERbodygic</t>
  </si>
  <si>
    <t>NAVERboggo84</t>
  </si>
  <si>
    <t>NAVERbogoimage</t>
  </si>
  <si>
    <t>NAVERbohomi1995:naver</t>
  </si>
  <si>
    <t>NAVERbohyun2955</t>
  </si>
  <si>
    <t>NAVERbok6728</t>
  </si>
  <si>
    <t>NAVERboltlee</t>
  </si>
  <si>
    <t>NAVERbombloombom</t>
  </si>
  <si>
    <t>NAVERbomgagejang</t>
  </si>
  <si>
    <t>NAVERbomgreen22</t>
  </si>
  <si>
    <t>NAVERbomulsome77</t>
  </si>
  <si>
    <t>NAVERbonayoonarch</t>
  </si>
  <si>
    <t>NAVERbonbu01</t>
  </si>
  <si>
    <t>NAVERbong9381</t>
  </si>
  <si>
    <t>NAVERbongkjw:naver</t>
  </si>
  <si>
    <t>NAVERbonis95:naver</t>
  </si>
  <si>
    <t>NAVERboogun1</t>
  </si>
  <si>
    <t>NAVERboohgle</t>
  </si>
  <si>
    <t>NAVERbookang</t>
  </si>
  <si>
    <t>NAVERbookhouseco:naver</t>
  </si>
  <si>
    <t>NAVERboomdory</t>
  </si>
  <si>
    <t>NAVERboompsh2</t>
  </si>
  <si>
    <t>NAVERboostup19:naver</t>
  </si>
  <si>
    <t>NAVERbopulcokr</t>
  </si>
  <si>
    <t>NAVERborak123</t>
  </si>
  <si>
    <t>NAVERboram1577</t>
  </si>
  <si>
    <t>NAVERboring8</t>
  </si>
  <si>
    <t>NAVERbotdak</t>
  </si>
  <si>
    <t>NAVERbotzim</t>
  </si>
  <si>
    <t>NAVERbovoubovou:naver</t>
  </si>
  <si>
    <t>NAVERbow2005</t>
  </si>
  <si>
    <t>NAVERbox7344</t>
  </si>
  <si>
    <t>NAVERbox77</t>
  </si>
  <si>
    <t>NAVERboxpacktory</t>
  </si>
  <si>
    <t>NAVERboygyo2:naver</t>
  </si>
  <si>
    <t>NAVERboygyo22</t>
  </si>
  <si>
    <t>NAVERbrain15:naver</t>
  </si>
  <si>
    <t>NAVERbrandtape</t>
  </si>
  <si>
    <t>NAVERbravado</t>
  </si>
  <si>
    <t>NAVERbrightsky1</t>
  </si>
  <si>
    <t>NAVERbrmbs</t>
  </si>
  <si>
    <t>NAVERbrmmk</t>
  </si>
  <si>
    <t>NAVERbrostar1</t>
  </si>
  <si>
    <t>NAVERbrothers_rk:naver</t>
  </si>
  <si>
    <t>NAVERbrs88410</t>
  </si>
  <si>
    <t>NAVERbrucewol:naver</t>
  </si>
  <si>
    <t>NAVERbrush114</t>
  </si>
  <si>
    <t>NAVERbrushforu01</t>
  </si>
  <si>
    <t>NAVERbs_sky</t>
  </si>
  <si>
    <t>NAVERbs11170317:naver</t>
  </si>
  <si>
    <t>NAVERbsalc</t>
  </si>
  <si>
    <t>NAVERbsandco1:naver</t>
  </si>
  <si>
    <t>NAVERbsbase0518</t>
  </si>
  <si>
    <t>NAVERbsh_0672</t>
  </si>
  <si>
    <t>NAVERbsmb3</t>
  </si>
  <si>
    <t>NAVERbsmcompany</t>
  </si>
  <si>
    <t>NAVERbss13</t>
  </si>
  <si>
    <t>NAVERbssound</t>
  </si>
  <si>
    <t>NAVERbstogether</t>
  </si>
  <si>
    <t>NAVERbtobc</t>
  </si>
  <si>
    <t>NAVERbtomorrow</t>
  </si>
  <si>
    <t>NAVERbule0719</t>
  </si>
  <si>
    <t>NAVERbulsapa1</t>
  </si>
  <si>
    <t>NAVERbum2077</t>
  </si>
  <si>
    <t>NAVERbumhan21</t>
  </si>
  <si>
    <t>NAVERbunnyworld</t>
  </si>
  <si>
    <t>NAVERbutinastocking:naver</t>
  </si>
  <si>
    <t>NAVERbwist</t>
  </si>
  <si>
    <t>NAVERbwjy3396:naver</t>
  </si>
  <si>
    <t>NAVERbwpp</t>
  </si>
  <si>
    <t>NAVERby_sieunso:naver</t>
  </si>
  <si>
    <t>NAVERbyc0120:naver</t>
  </si>
  <si>
    <t>NAVERbygami_busan</t>
  </si>
  <si>
    <t>NAVERbytoxkorea</t>
  </si>
  <si>
    <t>NAVERbyulfnb</t>
  </si>
  <si>
    <t>NAVERbyungpung</t>
  </si>
  <si>
    <t>NAVERbyunsuk07</t>
  </si>
  <si>
    <t>NAVERcables</t>
  </si>
  <si>
    <t>NAVERcabletec</t>
  </si>
  <si>
    <t>NAVERcafeeseo1</t>
  </si>
  <si>
    <t>NAVERcallvan13</t>
  </si>
  <si>
    <t>NAVERcallvanfairy</t>
  </si>
  <si>
    <t>NAVERcalos1</t>
  </si>
  <si>
    <t>NAVERcalsrud7</t>
  </si>
  <si>
    <t>NAVERcamping_duck:naver</t>
  </si>
  <si>
    <t>NAVERcan3377:naver</t>
  </si>
  <si>
    <t>NAVERcandlemano</t>
  </si>
  <si>
    <t>NAVERcandlemano1</t>
  </si>
  <si>
    <t>NAVERcapellababy</t>
  </si>
  <si>
    <t>NAVERcapiolani</t>
  </si>
  <si>
    <t>NAVERcar_monster</t>
  </si>
  <si>
    <t>NAVERcaravangarag</t>
  </si>
  <si>
    <t>NAVERcardsoo</t>
  </si>
  <si>
    <t>NAVERcareermaking</t>
  </si>
  <si>
    <t>NAVERcarelabgn:naver</t>
  </si>
  <si>
    <t>NAVERcareness</t>
  </si>
  <si>
    <t>NAVERcaretbio</t>
  </si>
  <si>
    <t>NAVERcargo5959</t>
  </si>
  <si>
    <t>NAVERcarnegie</t>
  </si>
  <si>
    <t>NAVERcarnix</t>
  </si>
  <si>
    <t>NAVERcarone68</t>
  </si>
  <si>
    <t>NAVERcas</t>
  </si>
  <si>
    <t>NAVERcas5544</t>
  </si>
  <si>
    <t>NAVERcasasallotte:naver</t>
  </si>
  <si>
    <t>NAVERcasebymead</t>
  </si>
  <si>
    <t>NAVERcasign</t>
  </si>
  <si>
    <t>NAVERcastle6200</t>
  </si>
  <si>
    <t>NAVERcasys1107</t>
  </si>
  <si>
    <t>NAVERcats040617</t>
  </si>
  <si>
    <t>NAVERcbcpress:naver</t>
  </si>
  <si>
    <t>NAVERccc1166</t>
  </si>
  <si>
    <t>NAVERccin0428</t>
  </si>
  <si>
    <t>NAVERccmotor</t>
  </si>
  <si>
    <t>NAVERccs59n</t>
  </si>
  <si>
    <t>NAVERccuration</t>
  </si>
  <si>
    <t>NAVERccw4453</t>
  </si>
  <si>
    <t>NAVERcdcom0:naver</t>
  </si>
  <si>
    <t>NAVERcdg5149</t>
  </si>
  <si>
    <t>NAVERcdnetworks</t>
  </si>
  <si>
    <t>NAVERcellborn</t>
  </si>
  <si>
    <t>NAVERcenare</t>
  </si>
  <si>
    <t>NAVERcenter7208</t>
  </si>
  <si>
    <t>NAVERcentral1254</t>
  </si>
  <si>
    <t>NAVERcentralmisa</t>
  </si>
  <si>
    <t>NAVERceoksw</t>
  </si>
  <si>
    <t>NAVERceraart1:naver</t>
  </si>
  <si>
    <t>NAVERceracos</t>
  </si>
  <si>
    <t>NAVERcetin</t>
  </si>
  <si>
    <t>NAVERcetus60</t>
  </si>
  <si>
    <t>NAVERcfpc8220</t>
  </si>
  <si>
    <t>NAVERcga6603</t>
  </si>
  <si>
    <t>NAVERcghrn</t>
  </si>
  <si>
    <t>NAVERcgj7953</t>
  </si>
  <si>
    <t>NAVERch0441</t>
  </si>
  <si>
    <t>NAVERch1005</t>
  </si>
  <si>
    <t>NAVERch1808</t>
  </si>
  <si>
    <t>NAVERcha2313:naver</t>
  </si>
  <si>
    <t>NAVERcha40805</t>
  </si>
  <si>
    <t>NAVERcha556601</t>
  </si>
  <si>
    <t>NAVERcha632</t>
  </si>
  <si>
    <t>NAVERcha9233:naver</t>
  </si>
  <si>
    <t>NAVERchabulreo:naver</t>
  </si>
  <si>
    <t>NAVERchacha0115:naver</t>
  </si>
  <si>
    <t>NAVERchaesua01</t>
  </si>
  <si>
    <t>NAVERchaeumsaeng</t>
  </si>
  <si>
    <t>NAVERchaeys1</t>
  </si>
  <si>
    <t>NAVERchajung</t>
  </si>
  <si>
    <t>NAVERchameleon360</t>
  </si>
  <si>
    <t>NAVERchameloroasters:naver</t>
  </si>
  <si>
    <t>NAVERchamjoeun17</t>
  </si>
  <si>
    <t>NAVERchandew</t>
  </si>
  <si>
    <t>NAVERchange0</t>
  </si>
  <si>
    <t>NAVERchanggong52</t>
  </si>
  <si>
    <t>NAVERchangjo2012</t>
  </si>
  <si>
    <t>NAVERchango7933:naver</t>
  </si>
  <si>
    <t>NAVERcharmzone</t>
  </si>
  <si>
    <t>NAVERchasedae</t>
  </si>
  <si>
    <t>NAVERchdvfa:naver</t>
  </si>
  <si>
    <t>NAVERche0070:naver</t>
  </si>
  <si>
    <t>NAVERcheeeze_shop:naver</t>
  </si>
  <si>
    <t>NAVERcheeseholic</t>
  </si>
  <si>
    <t>NAVERcheilelc:naver</t>
  </si>
  <si>
    <t>NAVERcheilelc01:naver</t>
  </si>
  <si>
    <t>NAVERchemisky_:naver</t>
  </si>
  <si>
    <t>NAVERchemsale</t>
  </si>
  <si>
    <t>NAVERcheongdamfnb</t>
  </si>
  <si>
    <t>NAVERcheonglimwon:naver</t>
  </si>
  <si>
    <t>NAVERcheongsongmo</t>
  </si>
  <si>
    <t>NAVERcherrygwak:naver</t>
  </si>
  <si>
    <t>NAVERcherrykoko</t>
  </si>
  <si>
    <t>NAVERchesterfield</t>
  </si>
  <si>
    <t>NAVERcheunghak</t>
  </si>
  <si>
    <t>NAVERchiho98:naver</t>
  </si>
  <si>
    <t>NAVERchijil1004</t>
  </si>
  <si>
    <t>NAVERchlgns80</t>
  </si>
  <si>
    <t>NAVERchlwnghks</t>
  </si>
  <si>
    <t>NAVERchnuno</t>
  </si>
  <si>
    <t>NAVERchoepaul</t>
  </si>
  <si>
    <t>NAVERchoi6065</t>
  </si>
  <si>
    <t>NAVERchoice0021</t>
  </si>
  <si>
    <t>NAVERchojangyen:naver</t>
  </si>
  <si>
    <t>NAVERchokohr</t>
  </si>
  <si>
    <t>NAVERchokwang</t>
  </si>
  <si>
    <t>NAVERchonilstone</t>
  </si>
  <si>
    <t>NAVERchosim-dongtanhosu:naver</t>
  </si>
  <si>
    <t>NAVERchosunmember:naver</t>
  </si>
  <si>
    <t>NAVERchowory</t>
  </si>
  <si>
    <t>NAVERchpshim:naver</t>
  </si>
  <si>
    <t>NAVERchungchyedu</t>
  </si>
  <si>
    <t>NAVERchunghoca</t>
  </si>
  <si>
    <t>NAVERchungman</t>
  </si>
  <si>
    <t>NAVERchungrim</t>
  </si>
  <si>
    <t>NAVERchunhowig</t>
  </si>
  <si>
    <t>NAVERchunma2777</t>
  </si>
  <si>
    <t>NAVERchwo2001</t>
  </si>
  <si>
    <t>NAVERchy7999</t>
  </si>
  <si>
    <t>NAVERcia7007</t>
  </si>
  <si>
    <t>NAVERcimakwon</t>
  </si>
  <si>
    <t>NAVERcinc01</t>
  </si>
  <si>
    <t>NAVERcindy0265:naver</t>
  </si>
  <si>
    <t>NAVERcirclenet</t>
  </si>
  <si>
    <t>NAVERcis0903</t>
  </si>
  <si>
    <t>NAVERcisspman</t>
  </si>
  <si>
    <t>NAVERcity0405</t>
  </si>
  <si>
    <t>NAVERcj0450</t>
  </si>
  <si>
    <t>NAVERcj7704</t>
  </si>
  <si>
    <t>NAVERcj8177</t>
  </si>
  <si>
    <t>NAVERcj8946</t>
  </si>
  <si>
    <t>NAVERcjart815</t>
  </si>
  <si>
    <t>NAVERcjbeauty</t>
  </si>
  <si>
    <t>NAVERcjcplan0903</t>
  </si>
  <si>
    <t>NAVERcjdut3937</t>
  </si>
  <si>
    <t>NAVERcjh590325:naver</t>
  </si>
  <si>
    <t>NAVERcjhc140401:naver</t>
  </si>
  <si>
    <t>NAVERcjkcr</t>
  </si>
  <si>
    <t>NAVERcjmj3382</t>
  </si>
  <si>
    <t>NAVERcjn8000</t>
  </si>
  <si>
    <t>NAVERcjsm7</t>
  </si>
  <si>
    <t>NAVERcjsviolet:naver</t>
  </si>
  <si>
    <t>NAVERcjyunst</t>
  </si>
  <si>
    <t>NAVERckdgmlkim:naver</t>
  </si>
  <si>
    <t>NAVERckfood</t>
  </si>
  <si>
    <t>NAVERckj315</t>
  </si>
  <si>
    <t>NAVERckm678</t>
  </si>
  <si>
    <t>NAVERckw318</t>
  </si>
  <si>
    <t>NAVERclarins_kr</t>
  </si>
  <si>
    <t>NAVERclassicpot1</t>
  </si>
  <si>
    <t>NAVERclaudl:naver</t>
  </si>
  <si>
    <t>NAVERcleanisland</t>
  </si>
  <si>
    <t>NAVERcleano2yo</t>
  </si>
  <si>
    <t>NAVERclhat</t>
  </si>
  <si>
    <t>NAVERclickdj</t>
  </si>
  <si>
    <t>NAVERclover6171</t>
  </si>
  <si>
    <t>NAVERcm67890982cm</t>
  </si>
  <si>
    <t>NAVERcmnkorea</t>
  </si>
  <si>
    <t>NAVERcmtech1</t>
  </si>
  <si>
    <t>NAVERcnf578</t>
  </si>
  <si>
    <t>NAVERcnjhousingyp:naver</t>
  </si>
  <si>
    <t>NAVERcnk0118</t>
  </si>
  <si>
    <t>NAVERcnk94</t>
  </si>
  <si>
    <t>NAVERcnmall29</t>
  </si>
  <si>
    <t>NAVERcoco001coco</t>
  </si>
  <si>
    <t>NAVERcoco7980</t>
  </si>
  <si>
    <t>NAVERcoenbio</t>
  </si>
  <si>
    <t>NAVERcoffee2424</t>
  </si>
  <si>
    <t>NAVERcoffeemecca1</t>
  </si>
  <si>
    <t>NAVERcoffeenara01:naver</t>
  </si>
  <si>
    <t>NAVERcohandy:naver</t>
  </si>
  <si>
    <t>NAVERcoiz</t>
  </si>
  <si>
    <t>NAVERcoiz8528</t>
  </si>
  <si>
    <t>NAVERcolorarts120</t>
  </si>
  <si>
    <t>NAVERcoloray2020:naver</t>
  </si>
  <si>
    <t>NAVERcolsschool</t>
  </si>
  <si>
    <t>NAVERcom274</t>
  </si>
  <si>
    <t>NAVERcomland</t>
  </si>
  <si>
    <t>NAVERcommax7</t>
  </si>
  <si>
    <t>NAVERcompanero</t>
  </si>
  <si>
    <t>NAVERcompany-sj:naver</t>
  </si>
  <si>
    <t>NAVERcompass114</t>
  </si>
  <si>
    <t>NAVERcompia66:naver</t>
  </si>
  <si>
    <t>NAVERconbox1</t>
  </si>
  <si>
    <t>NAVERconcre3</t>
  </si>
  <si>
    <t>NAVERconestore</t>
  </si>
  <si>
    <t>NAVERconnext577:naver</t>
  </si>
  <si>
    <t>NAVERconpleted</t>
  </si>
  <si>
    <t>NAVERcontempo_inc:naver</t>
  </si>
  <si>
    <t>NAVERconverse1908</t>
  </si>
  <si>
    <t>NAVERcookje0908:naver</t>
  </si>
  <si>
    <t>NAVERcookplay1004:naver</t>
  </si>
  <si>
    <t>NAVERcoolguyjay:naver</t>
  </si>
  <si>
    <t>NAVERcoolman8484:naver</t>
  </si>
  <si>
    <t>NAVERcoolpetbd</t>
  </si>
  <si>
    <t>NAVERcoolred7:naver</t>
  </si>
  <si>
    <t>NAVERcoolsleep</t>
  </si>
  <si>
    <t>NAVERcoquad</t>
  </si>
  <si>
    <t>NAVERcore93</t>
  </si>
  <si>
    <t>NAVERcoreanhope</t>
  </si>
  <si>
    <t>NAVERcosm</t>
  </si>
  <si>
    <t>NAVERcosme_chef</t>
  </si>
  <si>
    <t>NAVERcosmos9114</t>
  </si>
  <si>
    <t>NAVERcotto</t>
  </si>
  <si>
    <t>NAVERcowith1</t>
  </si>
  <si>
    <t>NAVERcoxcoda</t>
  </si>
  <si>
    <t>NAVERcozyday28</t>
  </si>
  <si>
    <t>NAVERcplan0509</t>
  </si>
  <si>
    <t>NAVERcplan1004</t>
  </si>
  <si>
    <t>NAVERcplan1719</t>
  </si>
  <si>
    <t>NAVERcplan22</t>
  </si>
  <si>
    <t>NAVERcplan79</t>
  </si>
  <si>
    <t>NAVERcr7778</t>
  </si>
  <si>
    <t>NAVERcreaform</t>
  </si>
  <si>
    <t>NAVERcreatec2323</t>
  </si>
  <si>
    <t>NAVERcreativetalk</t>
  </si>
  <si>
    <t>NAVERcrisssm</t>
  </si>
  <si>
    <t>NAVERcrosslcd</t>
  </si>
  <si>
    <t>NAVERcrystal890</t>
  </si>
  <si>
    <t>NAVERcs54595:naver</t>
  </si>
  <si>
    <t>NAVERcsh774</t>
  </si>
  <si>
    <t>NAVERcsm01411:naver</t>
  </si>
  <si>
    <t>NAVERcss7380</t>
  </si>
  <si>
    <t>NAVERctoondesign</t>
  </si>
  <si>
    <t>NAVERcubehomes:naver</t>
  </si>
  <si>
    <t>NAVERcubetech0501</t>
  </si>
  <si>
    <t>NAVERcubist</t>
  </si>
  <si>
    <t>NAVERcultwofnb:naver</t>
  </si>
  <si>
    <t>NAVERcun1122</t>
  </si>
  <si>
    <t>NAVERcurtainwave:naver</t>
  </si>
  <si>
    <t>NAVERcuttings</t>
  </si>
  <si>
    <t>NAVERcvkorea</t>
  </si>
  <si>
    <t>NAVERcw6683</t>
  </si>
  <si>
    <t>NAVERcwel</t>
  </si>
  <si>
    <t>NAVERcwpump</t>
  </si>
  <si>
    <t>NAVERcz4293535</t>
  </si>
  <si>
    <t>NAVERd0410e:naver</t>
  </si>
  <si>
    <t>NAVERdaae8781</t>
  </si>
  <si>
    <t>NAVERdaboeng</t>
  </si>
  <si>
    <t>NAVERdadada</t>
  </si>
  <si>
    <t>NAVERdadream8366</t>
  </si>
  <si>
    <t>NAVERdae17524</t>
  </si>
  <si>
    <t>NAVERdaebag810</t>
  </si>
  <si>
    <t>NAVERdaebang1011</t>
  </si>
  <si>
    <t>NAVERdaeguhoo</t>
  </si>
  <si>
    <t>NAVERdaeguun</t>
  </si>
  <si>
    <t>NAVERdaejin9216</t>
  </si>
  <si>
    <t>NAVERdaejinrila</t>
  </si>
  <si>
    <t>NAVERdaelimwood</t>
  </si>
  <si>
    <t>NAVERdaerosystem</t>
  </si>
  <si>
    <t>NAVERdaesan0126:naver</t>
  </si>
  <si>
    <t>NAVERdaeshin1</t>
  </si>
  <si>
    <t>NAVERdaesung2110</t>
  </si>
  <si>
    <t>NAVERdaesung3003</t>
  </si>
  <si>
    <t>NAVERdaeun555:naver</t>
  </si>
  <si>
    <t>NAVERdaewoon7</t>
  </si>
  <si>
    <t>NAVERdafortune</t>
  </si>
  <si>
    <t>NAVERdaheim</t>
  </si>
  <si>
    <t>NAVERdailim911:naver</t>
  </si>
  <si>
    <t>NAVERdainei</t>
  </si>
  <si>
    <t>NAVERdaineng1</t>
  </si>
  <si>
    <t>NAVERdakyunggmb</t>
  </si>
  <si>
    <t>NAVERdaloe</t>
  </si>
  <si>
    <t>NAVERdaloinc</t>
  </si>
  <si>
    <t>NAVERdamda-biz:naver</t>
  </si>
  <si>
    <t>NAVERdamoa0</t>
  </si>
  <si>
    <t>NAVERdamoa5803</t>
  </si>
  <si>
    <t>NAVERdamoa7875</t>
  </si>
  <si>
    <t>NAVERdamok4840</t>
  </si>
  <si>
    <t>NAVERdamyang</t>
  </si>
  <si>
    <t>NAVERdanam1</t>
  </si>
  <si>
    <t>NAVERdangpl:naver</t>
  </si>
  <si>
    <t>NAVERdaniel777</t>
  </si>
  <si>
    <t>NAVERdaniel888</t>
  </si>
  <si>
    <t>NAVERdanika777</t>
  </si>
  <si>
    <t>NAVERdanika888</t>
  </si>
  <si>
    <t>NAVERdaonadcom</t>
  </si>
  <si>
    <t>NAVERdaonbagi:naver</t>
  </si>
  <si>
    <t>NAVERdaonrental</t>
  </si>
  <si>
    <t>NAVERdaonwelding</t>
  </si>
  <si>
    <t>NAVERdaonwood</t>
  </si>
  <si>
    <t>NAVERdarinsteel:naver</t>
  </si>
  <si>
    <t>NAVERdasanhang1:naver</t>
  </si>
  <si>
    <t>NAVERdasfdas7</t>
  </si>
  <si>
    <t>NAVERdash1986</t>
  </si>
  <si>
    <t>NAVERdasolfishing</t>
  </si>
  <si>
    <t>NAVERdatavoucher</t>
  </si>
  <si>
    <t>NAVERdatech01</t>
  </si>
  <si>
    <t>NAVERdaulsys:naver</t>
  </si>
  <si>
    <t>NAVERdavid0579</t>
  </si>
  <si>
    <t>NAVERdavid8241</t>
  </si>
  <si>
    <t>NAVERdawon3235</t>
  </si>
  <si>
    <t>NAVERdawon9423</t>
  </si>
  <si>
    <t>NAVERdawonfactory</t>
  </si>
  <si>
    <t>NAVERdayak9390</t>
  </si>
  <si>
    <t>NAVERdaylighting</t>
  </si>
  <si>
    <t>NAVERdbf62</t>
  </si>
  <si>
    <t>NAVERdbkiki13</t>
  </si>
  <si>
    <t>NAVERdbs6229</t>
  </si>
  <si>
    <t>NAVERdbssorhk</t>
  </si>
  <si>
    <t>NAVERdbstjd4010</t>
  </si>
  <si>
    <t>NAVERdbthinkltd</t>
  </si>
  <si>
    <t>NAVERdbwls91202:naver</t>
  </si>
  <si>
    <t>NAVERdbwofyd1119</t>
  </si>
  <si>
    <t>NAVERdbwotls0117</t>
  </si>
  <si>
    <t>NAVERdc5037</t>
  </si>
  <si>
    <t>NAVERdclue01</t>
  </si>
  <si>
    <t>NAVERdcmall88</t>
  </si>
  <si>
    <t>NAVERddacco7:naver</t>
  </si>
  <si>
    <t>NAVERddangyo_ad</t>
  </si>
  <si>
    <t>NAVERddcom99</t>
  </si>
  <si>
    <t>NAVERdddoing8805:naver</t>
  </si>
  <si>
    <t>NAVERddi500:naver</t>
  </si>
  <si>
    <t>NAVERdditco</t>
  </si>
  <si>
    <t>NAVERddmetal</t>
  </si>
  <si>
    <t>NAVERddonggri2</t>
  </si>
  <si>
    <t>NAVERddosunny</t>
  </si>
  <si>
    <t>NAVERddr7210:naver</t>
  </si>
  <si>
    <t>NAVERddrd</t>
  </si>
  <si>
    <t>NAVERddsteel</t>
  </si>
  <si>
    <t>NAVERdduckhamji</t>
  </si>
  <si>
    <t>NAVERdecartkino:naver</t>
  </si>
  <si>
    <t>NAVERdeeephostel</t>
  </si>
  <si>
    <t>NAVERdefine1101</t>
  </si>
  <si>
    <t>NAVERdegreve</t>
  </si>
  <si>
    <t>NAVERdekc</t>
  </si>
  <si>
    <t>NAVERdelico00</t>
  </si>
  <si>
    <t>NAVERdelight_hw</t>
  </si>
  <si>
    <t>NAVERdemaille</t>
  </si>
  <si>
    <t>NAVERdenanal</t>
  </si>
  <si>
    <t>NAVERdenkei</t>
  </si>
  <si>
    <t>NAVERdentist7</t>
  </si>
  <si>
    <t>NAVERdeobulup</t>
  </si>
  <si>
    <t>NAVERdesader1844</t>
  </si>
  <si>
    <t>NAVERdesignbak</t>
  </si>
  <si>
    <t>NAVERdesignwat</t>
  </si>
  <si>
    <t>NAVERdgblind</t>
  </si>
  <si>
    <t>NAVERdggy135:naver</t>
  </si>
  <si>
    <t>NAVERdgsillove</t>
  </si>
  <si>
    <t>NAVERdh2955</t>
  </si>
  <si>
    <t>NAVERdh4242</t>
  </si>
  <si>
    <t>NAVERdh9600</t>
  </si>
  <si>
    <t>NAVERdha0314:naver</t>
  </si>
  <si>
    <t>NAVERdhbbcar</t>
  </si>
  <si>
    <t>NAVERdhcru</t>
  </si>
  <si>
    <t>NAVERdhfood01</t>
  </si>
  <si>
    <t>NAVERdhldy012:naver</t>
  </si>
  <si>
    <t>NAVERdhlkorea</t>
  </si>
  <si>
    <t>NAVERdhpeople</t>
  </si>
  <si>
    <t>NAVERdhrfyd0207:naver</t>
  </si>
  <si>
    <t>NAVERdhrgml7799:naver</t>
  </si>
  <si>
    <t>NAVERdhs6063</t>
  </si>
  <si>
    <t>NAVERdhsoss</t>
  </si>
  <si>
    <t>NAVERdhxhqkdl1004</t>
  </si>
  <si>
    <t>NAVERdiapilates77</t>
  </si>
  <si>
    <t>NAVERdickorea_sa</t>
  </si>
  <si>
    <t>NAVERdicson</t>
  </si>
  <si>
    <t>NAVERdidrkdus152152:naver</t>
  </si>
  <si>
    <t>NAVERdigh4000:naver</t>
  </si>
  <si>
    <t>NAVERdigpet:naver</t>
  </si>
  <si>
    <t>NAVERdinthink</t>
  </si>
  <si>
    <t>NAVERdios0316</t>
  </si>
  <si>
    <t>NAVERdios5078:naver</t>
  </si>
  <si>
    <t>NAVERdiosoft</t>
  </si>
  <si>
    <t>NAVERdipodipo</t>
  </si>
  <si>
    <t>NAVERdirect1234</t>
  </si>
  <si>
    <t>NAVERdirect4321</t>
  </si>
  <si>
    <t>NAVERdiy_like</t>
  </si>
  <si>
    <t>NAVERdjdjdjk2006:naver</t>
  </si>
  <si>
    <t>NAVERdjk487</t>
  </si>
  <si>
    <t>NAVERdk9012</t>
  </si>
  <si>
    <t>NAVERdkhan30</t>
  </si>
  <si>
    <t>NAVERdkinfinity</t>
  </si>
  <si>
    <t>NAVERdkrakx3</t>
  </si>
  <si>
    <t>NAVERdksdudtls</t>
  </si>
  <si>
    <t>NAVERdksong2608</t>
  </si>
  <si>
    <t>NAVERdksxodud34</t>
  </si>
  <si>
    <t>NAVERdktnc</t>
  </si>
  <si>
    <t>NAVERdktools0949</t>
  </si>
  <si>
    <t>NAVERdlaeodlf</t>
  </si>
  <si>
    <t>NAVERdlawodlr9113</t>
  </si>
  <si>
    <t>NAVERdldbstnsla</t>
  </si>
  <si>
    <t>NAVERdldl2626123</t>
  </si>
  <si>
    <t>NAVERdldnrwns112</t>
  </si>
  <si>
    <t>NAVERdlfgus7</t>
  </si>
  <si>
    <t>NAVERdlfska1881:naver</t>
  </si>
  <si>
    <t>NAVERdlguswl02845:naver</t>
  </si>
  <si>
    <t>NAVERdlpworld1</t>
  </si>
  <si>
    <t>NAVERdlqmflek</t>
  </si>
  <si>
    <t>NAVERdlqudcjf888</t>
  </si>
  <si>
    <t>NAVERdlrldydehd</t>
  </si>
  <si>
    <t>NAVERdls27</t>
  </si>
  <si>
    <t>NAVERdls5189:naver</t>
  </si>
  <si>
    <t>NAVERdlsgkstkwp</t>
  </si>
  <si>
    <t>NAVERdlsogns7075</t>
  </si>
  <si>
    <t>NAVERdltjswk</t>
  </si>
  <si>
    <t>NAVERdlworma11</t>
  </si>
  <si>
    <t>NAVERdmatjd123</t>
  </si>
  <si>
    <t>NAVERdmck79</t>
  </si>
  <si>
    <t>NAVERdmdf</t>
  </si>
  <si>
    <t>NAVERdml</t>
  </si>
  <si>
    <t>NAVERdmstjd8282:naver</t>
  </si>
  <si>
    <t>NAVERdmwlife</t>
  </si>
  <si>
    <t>NAVERdn0236</t>
  </si>
  <si>
    <t>NAVERdnc</t>
  </si>
  <si>
    <t>NAVERdnishop</t>
  </si>
  <si>
    <t>NAVERdnjsdbf2527</t>
  </si>
  <si>
    <t>NAVERdnmd</t>
  </si>
  <si>
    <t>NAVERdnmkorea</t>
  </si>
  <si>
    <t>NAVERdnp00</t>
  </si>
  <si>
    <t>NAVERdnptmzh</t>
  </si>
  <si>
    <t>NAVERdoci01</t>
  </si>
  <si>
    <t>NAVERdoctor_iam</t>
  </si>
  <si>
    <t>NAVERdoctor3</t>
  </si>
  <si>
    <t>NAVERdoctorspga</t>
  </si>
  <si>
    <t>NAVERdoctorsurim</t>
  </si>
  <si>
    <t>NAVERdocumentor_:naver</t>
  </si>
  <si>
    <t>NAVERdodo211</t>
  </si>
  <si>
    <t>NAVERdodofathers</t>
  </si>
  <si>
    <t>NAVERdodopop1:naver</t>
  </si>
  <si>
    <t>NAVERdog-cats:naver</t>
  </si>
  <si>
    <t>NAVERdogado2020</t>
  </si>
  <si>
    <t>NAVERdoglia19</t>
  </si>
  <si>
    <t>NAVERdoglia2002</t>
  </si>
  <si>
    <t>NAVERdoiggy89</t>
  </si>
  <si>
    <t>NAVERdokunenc</t>
  </si>
  <si>
    <t>NAVERdolbalyk</t>
  </si>
  <si>
    <t>NAVERdong0601</t>
  </si>
  <si>
    <t>NAVERdong47</t>
  </si>
  <si>
    <t>NAVERdong7689:naver</t>
  </si>
  <si>
    <t>NAVERdonga_logics</t>
  </si>
  <si>
    <t>NAVERdongamic</t>
  </si>
  <si>
    <t>NAVERdongbotr</t>
  </si>
  <si>
    <t>NAVERdongbu5611</t>
  </si>
  <si>
    <t>NAVERdongbucare08</t>
  </si>
  <si>
    <t>NAVERdongdotech1</t>
  </si>
  <si>
    <t>NAVERdonggu12</t>
  </si>
  <si>
    <t>NAVERdonghuntex:naver</t>
  </si>
  <si>
    <t>NAVERdongiovanni</t>
  </si>
  <si>
    <t>NAVERdongrim04</t>
  </si>
  <si>
    <t>NAVERdongyangcnc</t>
  </si>
  <si>
    <t>NAVERdonmo</t>
  </si>
  <si>
    <t>NAVERdoolleda:naver</t>
  </si>
  <si>
    <t>NAVERdoosan0311</t>
  </si>
  <si>
    <t>NAVERdoostec</t>
  </si>
  <si>
    <t>NAVERdoosung1511</t>
  </si>
  <si>
    <t>NAVERdoosung79</t>
  </si>
  <si>
    <t>NAVERdorangga27</t>
  </si>
  <si>
    <t>NAVERdoshoe</t>
  </si>
  <si>
    <t>NAVERdosindy123:naver</t>
  </si>
  <si>
    <t>NAVERdostem</t>
  </si>
  <si>
    <t>NAVERdoumso</t>
  </si>
  <si>
    <t>NAVERdovybath:naver</t>
  </si>
  <si>
    <t>NAVERdprotocol</t>
  </si>
  <si>
    <t>NAVERdpwell</t>
  </si>
  <si>
    <t>NAVERdr_zymin:naver</t>
  </si>
  <si>
    <t>NAVERdraroma</t>
  </si>
  <si>
    <t>NAVERdrboje</t>
  </si>
  <si>
    <t>NAVERdrckikit:naver</t>
  </si>
  <si>
    <t>NAVERdream0272</t>
  </si>
  <si>
    <t>NAVERdream341</t>
  </si>
  <si>
    <t>NAVERdream4450921</t>
  </si>
  <si>
    <t>NAVERdream6794</t>
  </si>
  <si>
    <t>NAVERdream7655</t>
  </si>
  <si>
    <t>NAVERdreambedding</t>
  </si>
  <si>
    <t>NAVERdreamhos</t>
  </si>
  <si>
    <t>NAVERdreamkyp1:naver</t>
  </si>
  <si>
    <t>NAVERdrenergy12</t>
  </si>
  <si>
    <t>NAVERdrjink1004:naver</t>
  </si>
  <si>
    <t>NAVERdrju13</t>
  </si>
  <si>
    <t>NAVERdrmaket:naver</t>
  </si>
  <si>
    <t>NAVERdrmhi1889</t>
  </si>
  <si>
    <t>NAVERdrquland</t>
  </si>
  <si>
    <t>NAVERdrsangheelee</t>
  </si>
  <si>
    <t>NAVERdrshinsa</t>
  </si>
  <si>
    <t>NAVERdrswells</t>
  </si>
  <si>
    <t>NAVERdrwoouro</t>
  </si>
  <si>
    <t>NAVERds0049</t>
  </si>
  <si>
    <t>NAVERds1118</t>
  </si>
  <si>
    <t>NAVERds2436</t>
  </si>
  <si>
    <t>NAVERds3057</t>
  </si>
  <si>
    <t>NAVERds4119</t>
  </si>
  <si>
    <t>NAVERds4ams</t>
  </si>
  <si>
    <t>NAVERds5653052k</t>
  </si>
  <si>
    <t>NAVERds5801</t>
  </si>
  <si>
    <t>NAVERds7069</t>
  </si>
  <si>
    <t>NAVERds7080</t>
  </si>
  <si>
    <t>NAVERdsbenc</t>
  </si>
  <si>
    <t>NAVERdscable</t>
  </si>
  <si>
    <t>NAVERdscoms</t>
  </si>
  <si>
    <t>NAVERdscord</t>
  </si>
  <si>
    <t>NAVERdsgs2588</t>
  </si>
  <si>
    <t>NAVERdsindus</t>
  </si>
  <si>
    <t>NAVERdsjk</t>
  </si>
  <si>
    <t>NAVERdsmesh</t>
  </si>
  <si>
    <t>NAVERdss2580</t>
  </si>
  <si>
    <t>NAVERdstech_inc</t>
  </si>
  <si>
    <t>NAVERdstower</t>
  </si>
  <si>
    <t>NAVERdtds</t>
  </si>
  <si>
    <t>NAVERdu1255</t>
  </si>
  <si>
    <t>NAVERduck1000</t>
  </si>
  <si>
    <t>NAVERducklife</t>
  </si>
  <si>
    <t>NAVERduct555</t>
  </si>
  <si>
    <t>NAVERdudahr80</t>
  </si>
  <si>
    <t>NAVERduddns433</t>
  </si>
  <si>
    <t>NAVERdufwjd22</t>
  </si>
  <si>
    <t>NAVERduin100</t>
  </si>
  <si>
    <t>NAVERduk13579:naver</t>
  </si>
  <si>
    <t>NAVERdukto123</t>
  </si>
  <si>
    <t>NAVERduoitl</t>
  </si>
  <si>
    <t>NAVERduomotns</t>
  </si>
  <si>
    <t>NAVERdure2484</t>
  </si>
  <si>
    <t>NAVERdusdl2366:naver</t>
  </si>
  <si>
    <t>NAVERdusghzlzl:naver</t>
  </si>
  <si>
    <t>NAVERdusty000</t>
  </si>
  <si>
    <t>NAVERdvd2582</t>
  </si>
  <si>
    <t>NAVERdveshop2</t>
  </si>
  <si>
    <t>NAVERdvk</t>
  </si>
  <si>
    <t>NAVERdw3365</t>
  </si>
  <si>
    <t>NAVERdwbedding_theper:naver</t>
  </si>
  <si>
    <t>NAVERdwc47056</t>
  </si>
  <si>
    <t>NAVERdwchunjiin</t>
  </si>
  <si>
    <t>NAVERdwelec</t>
  </si>
  <si>
    <t>NAVERdwfinc:naver</t>
  </si>
  <si>
    <t>NAVERdwfood5533:naver</t>
  </si>
  <si>
    <t>NAVERdwhealthy1</t>
  </si>
  <si>
    <t>NAVERdwinfo</t>
  </si>
  <si>
    <t>NAVERdwtech71ads</t>
  </si>
  <si>
    <t>NAVERdxxxmoon</t>
  </si>
  <si>
    <t>NAVERdy7833</t>
  </si>
  <si>
    <t>NAVERdy8580</t>
  </si>
  <si>
    <t>NAVERdy9101</t>
  </si>
  <si>
    <t>NAVERdyconveyor</t>
  </si>
  <si>
    <t>NAVERdydrnrgksmf:naver</t>
  </si>
  <si>
    <t>NAVERdydwls3</t>
  </si>
  <si>
    <t>NAVERdyimin</t>
  </si>
  <si>
    <t>NAVERdyjeen:naver</t>
  </si>
  <si>
    <t>NAVERdyjeen79</t>
  </si>
  <si>
    <t>NAVERdynafitkey</t>
  </si>
  <si>
    <t>NAVERdyroller</t>
  </si>
  <si>
    <t>NAVERdysign11:naver</t>
  </si>
  <si>
    <t>NAVERdyvelt</t>
  </si>
  <si>
    <t>NAVERdyyang1019</t>
  </si>
  <si>
    <t>NAVERe2019</t>
  </si>
  <si>
    <t>NAVERe9092002</t>
  </si>
  <si>
    <t>NAVERe9885kr</t>
  </si>
  <si>
    <t>NAVEReact7075</t>
  </si>
  <si>
    <t>NAVEReasyfun3s:naver</t>
  </si>
  <si>
    <t>NAVEReasysealer</t>
  </si>
  <si>
    <t>NAVERebaykids</t>
  </si>
  <si>
    <t>NAVERebbysory</t>
  </si>
  <si>
    <t>NAVERebinkorea_ad:naver</t>
  </si>
  <si>
    <t>NAVERebinkorea2:naver</t>
  </si>
  <si>
    <t>NAVERebus</t>
  </si>
  <si>
    <t>NAVERecello</t>
  </si>
  <si>
    <t>NAVERechoplant:naver</t>
  </si>
  <si>
    <t>NAVERecmall9459</t>
  </si>
  <si>
    <t>NAVEReco_dongwha</t>
  </si>
  <si>
    <t>NAVERecobios0519:naver</t>
  </si>
  <si>
    <t>NAVEReconnature</t>
  </si>
  <si>
    <t>NAVERecoprize</t>
  </si>
  <si>
    <t>NAVERecu3322</t>
  </si>
  <si>
    <t>NAVEReden6505</t>
  </si>
  <si>
    <t>NAVERedendoor</t>
  </si>
  <si>
    <t>NAVERedengallery</t>
  </si>
  <si>
    <t>NAVERedenmisul24</t>
  </si>
  <si>
    <t>NAVEReditol</t>
  </si>
  <si>
    <t>NAVERedu_hk:naver</t>
  </si>
  <si>
    <t>NAVERedubankhs</t>
  </si>
  <si>
    <t>NAVERedufrance</t>
  </si>
  <si>
    <t>NAVERedukenhomepy</t>
  </si>
  <si>
    <t>NAVEReduok</t>
  </si>
  <si>
    <t>NAVEReduplexdh</t>
  </si>
  <si>
    <t>NAVERedupure</t>
  </si>
  <si>
    <t>NAVERedwardbach</t>
  </si>
  <si>
    <t>NAVERedwinrsun</t>
  </si>
  <si>
    <t>NAVEReeh0308</t>
  </si>
  <si>
    <t>NAVEReeh0309</t>
  </si>
  <si>
    <t>NAVEReekjp2000</t>
  </si>
  <si>
    <t>NAVERef2233</t>
  </si>
  <si>
    <t>NAVEReffexad</t>
  </si>
  <si>
    <t>NAVERefkhc</t>
  </si>
  <si>
    <t>NAVEReg_ch01</t>
  </si>
  <si>
    <t>NAVERegangle8</t>
  </si>
  <si>
    <t>NAVEReggschool</t>
  </si>
  <si>
    <t>NAVERegt</t>
  </si>
  <si>
    <t>NAVERehancnc</t>
  </si>
  <si>
    <t>NAVERehanhoon</t>
  </si>
  <si>
    <t>NAVERehdir20</t>
  </si>
  <si>
    <t>NAVERehekadl</t>
  </si>
  <si>
    <t>NAVERehfotoa</t>
  </si>
  <si>
    <t>NAVERehrudtnr1208</t>
  </si>
  <si>
    <t>NAVERehs645</t>
  </si>
  <si>
    <t>NAVERehwa0511</t>
  </si>
  <si>
    <t>NAVERehyun7115</t>
  </si>
  <si>
    <t>NAVEReicn90</t>
  </si>
  <si>
    <t>NAVERejcs</t>
  </si>
  <si>
    <t>NAVERejiya70</t>
  </si>
  <si>
    <t>NAVERejrrms3711</t>
  </si>
  <si>
    <t>NAVERejvusgks77</t>
  </si>
  <si>
    <t>NAVERekace</t>
  </si>
  <si>
    <t>NAVERekbeauty</t>
  </si>
  <si>
    <t>NAVERekchoi0708:naver</t>
  </si>
  <si>
    <t>NAVERekdms0923:naver</t>
  </si>
  <si>
    <t>NAVERekdpcom</t>
  </si>
  <si>
    <t>NAVERekedu1177:naver</t>
  </si>
  <si>
    <t>NAVERekkang78</t>
  </si>
  <si>
    <t>NAVERekramer</t>
  </si>
  <si>
    <t>NAVEReksk1933</t>
  </si>
  <si>
    <t>NAVEReksthfjqm:naver</t>
  </si>
  <si>
    <t>NAVEReksti</t>
  </si>
  <si>
    <t>NAVERelbakorea</t>
  </si>
  <si>
    <t>NAVERelibe</t>
  </si>
  <si>
    <t>NAVEReliestory</t>
  </si>
  <si>
    <t>NAVERelimsky</t>
  </si>
  <si>
    <t>NAVERelmorya74</t>
  </si>
  <si>
    <t>NAVERelopcorp</t>
  </si>
  <si>
    <t>NAVERemcrafts</t>
  </si>
  <si>
    <t>NAVERemerld33:naver</t>
  </si>
  <si>
    <t>NAVERemfladlstb</t>
  </si>
  <si>
    <t>NAVERemgikr:naver</t>
  </si>
  <si>
    <t>NAVEReminandpaul</t>
  </si>
  <si>
    <t>NAVERems123</t>
  </si>
  <si>
    <t>NAVERems6868</t>
  </si>
  <si>
    <t>NAVERenertec2010</t>
  </si>
  <si>
    <t>NAVERenha</t>
  </si>
  <si>
    <t>NAVEReninc</t>
  </si>
  <si>
    <t>NAVERennongs</t>
  </si>
  <si>
    <t>NAVERenpos</t>
  </si>
  <si>
    <t>NAVERenseden</t>
  </si>
  <si>
    <t>NAVERent1226</t>
  </si>
  <si>
    <t>NAVERenterkok3368</t>
  </si>
  <si>
    <t>NAVERenvision</t>
  </si>
  <si>
    <t>NAVEReodidahrwo</t>
  </si>
  <si>
    <t>NAVEReodlfahxk</t>
  </si>
  <si>
    <t>NAVEReodml66</t>
  </si>
  <si>
    <t>NAVEReodyne</t>
  </si>
  <si>
    <t>NAVEReos122</t>
  </si>
  <si>
    <t>NAVERep3524</t>
  </si>
  <si>
    <t>NAVERepe4102</t>
  </si>
  <si>
    <t>NAVERepeelshop</t>
  </si>
  <si>
    <t>NAVERephraim_inno</t>
  </si>
  <si>
    <t>NAVERepzl000:naver</t>
  </si>
  <si>
    <t>NAVERequlity</t>
  </si>
  <si>
    <t>NAVEReqwreqw</t>
  </si>
  <si>
    <t>NAVEReremall</t>
  </si>
  <si>
    <t>NAVERericchi</t>
  </si>
  <si>
    <t>NAVEReso01</t>
  </si>
  <si>
    <t>NAVERestmusic</t>
  </si>
  <si>
    <t>NAVEResy2931</t>
  </si>
  <si>
    <t>NAVERetcore-eng:naver</t>
  </si>
  <si>
    <t>NAVERetdgeswing</t>
  </si>
  <si>
    <t>NAVERetoosanswer2</t>
  </si>
  <si>
    <t>NAVERetre1755:naver</t>
  </si>
  <si>
    <t>NAVERett0026</t>
  </si>
  <si>
    <t>NAVERetudesparis</t>
  </si>
  <si>
    <t>NAVEReugenefn1</t>
  </si>
  <si>
    <t>NAVEReujinflower</t>
  </si>
  <si>
    <t>NAVEReumkymungu66</t>
  </si>
  <si>
    <t>NAVEReunha2377</t>
  </si>
  <si>
    <t>NAVEReunheejee</t>
  </si>
  <si>
    <t>NAVEReunho9504:naver</t>
  </si>
  <si>
    <t>NAVEReunjungbbong:naver</t>
  </si>
  <si>
    <t>NAVEReunkyong__:naver</t>
  </si>
  <si>
    <t>NAVEReunoss</t>
  </si>
  <si>
    <t>NAVEReunsung1</t>
  </si>
  <si>
    <t>NAVEReurakorea:naver</t>
  </si>
  <si>
    <t>NAVEReuropevill</t>
  </si>
  <si>
    <t>NAVEReuyira</t>
  </si>
  <si>
    <t>NAVERever6924</t>
  </si>
  <si>
    <t>NAVERevercleantek</t>
  </si>
  <si>
    <t>NAVEReverhousing</t>
  </si>
  <si>
    <t>NAVERewhaeng</t>
  </si>
  <si>
    <t>NAVERex-fit:naver</t>
  </si>
  <si>
    <t>NAVERezpad:naver</t>
  </si>
  <si>
    <t>NAVERfabank</t>
  </si>
  <si>
    <t>NAVERfabbridge00</t>
  </si>
  <si>
    <t>NAVERfactory099</t>
  </si>
  <si>
    <t>NAVERfarm24</t>
  </si>
  <si>
    <t>NAVERfarmtobaby</t>
  </si>
  <si>
    <t>NAVERfbgmlco1234:naver</t>
  </si>
  <si>
    <t>NAVERfdckjh</t>
  </si>
  <si>
    <t>NAVERfdlab</t>
  </si>
  <si>
    <t>NAVERfeel9kim:naver</t>
  </si>
  <si>
    <t>NAVERfeelanet</t>
  </si>
  <si>
    <t>NAVERfeelsafe</t>
  </si>
  <si>
    <t>NAVERfeelthebabo:naver</t>
  </si>
  <si>
    <t>NAVERfemme8939:naver</t>
  </si>
  <si>
    <t>NAVERfennu5:naver</t>
  </si>
  <si>
    <t>NAVERfermatacademy:naver</t>
  </si>
  <si>
    <t>NAVERfes</t>
  </si>
  <si>
    <t>NAVERff3181:naver</t>
  </si>
  <si>
    <t>NAVERff7178</t>
  </si>
  <si>
    <t>NAVERfh777s</t>
  </si>
  <si>
    <t>NAVERfhepgnsdl1:naver</t>
  </si>
  <si>
    <t>NAVERfhrdud96:naver</t>
  </si>
  <si>
    <t>NAVERficc38:naver</t>
  </si>
  <si>
    <t>NAVERfikastudio</t>
  </si>
  <si>
    <t>NAVERfila79</t>
  </si>
  <si>
    <t>NAVERfilterrnd</t>
  </si>
  <si>
    <t>NAVERfindvilla</t>
  </si>
  <si>
    <t>NAVERfineco</t>
  </si>
  <si>
    <t>NAVERfinex97</t>
  </si>
  <si>
    <t>NAVERfingals-jung89:naver</t>
  </si>
  <si>
    <t>NAVERfinn-power:naver</t>
  </si>
  <si>
    <t>NAVERfintool</t>
  </si>
  <si>
    <t>NAVERfirsteg1:naver</t>
  </si>
  <si>
    <t>NAVERfirstmkt</t>
  </si>
  <si>
    <t>NAVERfish21c3</t>
  </si>
  <si>
    <t>NAVERfitolution</t>
  </si>
  <si>
    <t>NAVERflamebe</t>
  </si>
  <si>
    <t>NAVERflc2006</t>
  </si>
  <si>
    <t>NAVERflcnp6114270:naver</t>
  </si>
  <si>
    <t>NAVERflduddhr:naver</t>
  </si>
  <si>
    <t>NAVERflexcnm</t>
  </si>
  <si>
    <t>NAVERflowsystem</t>
  </si>
  <si>
    <t>NAVERflrene</t>
  </si>
  <si>
    <t>NAVERfluid0302:naver</t>
  </si>
  <si>
    <t>NAVERflyingtalk:naver</t>
  </si>
  <si>
    <t>NAVERflyjam</t>
  </si>
  <si>
    <t>NAVERfnaldocp</t>
  </si>
  <si>
    <t>NAVERfnfpartners</t>
  </si>
  <si>
    <t>NAVERfnj1234</t>
  </si>
  <si>
    <t>NAVERfoodmasta:naver</t>
  </si>
  <si>
    <t>NAVERfoodnote_mkt</t>
  </si>
  <si>
    <t>NAVERfoodstoryb:naver</t>
  </si>
  <si>
    <t>NAVERfoot5723</t>
  </si>
  <si>
    <t>NAVERforainc</t>
  </si>
  <si>
    <t>NAVERforbliss99</t>
  </si>
  <si>
    <t>NAVERforceno777</t>
  </si>
  <si>
    <t>NAVERforest5812:naver</t>
  </si>
  <si>
    <t>NAVERformusician</t>
  </si>
  <si>
    <t>NAVERfosjys</t>
  </si>
  <si>
    <t>NAVERfound_corp:naver</t>
  </si>
  <si>
    <t>NAVERfourmingsoon:naver</t>
  </si>
  <si>
    <t>NAVERfourseasonsr</t>
  </si>
  <si>
    <t>NAVERframe</t>
  </si>
  <si>
    <t>NAVERfreaksandgeeks:naver</t>
  </si>
  <si>
    <t>NAVERfreenashop2</t>
  </si>
  <si>
    <t>NAVERfreetoss</t>
  </si>
  <si>
    <t>NAVERfrenesc</t>
  </si>
  <si>
    <t>NAVERfreya0915</t>
  </si>
  <si>
    <t>NAVERfruits001</t>
  </si>
  <si>
    <t>NAVERfrzmdance</t>
  </si>
  <si>
    <t>NAVERfsolution</t>
  </si>
  <si>
    <t>NAVERfstech</t>
  </si>
  <si>
    <t>NAVERfswax22:naver</t>
  </si>
  <si>
    <t>NAVERfufupoop:naver</t>
  </si>
  <si>
    <t>NAVERfurnilinker:naver</t>
  </si>
  <si>
    <t>NAVERfurniturefriends:naver</t>
  </si>
  <si>
    <t>NAVERfuture1123</t>
  </si>
  <si>
    <t>NAVERg2inet</t>
  </si>
  <si>
    <t>NAVERg710730</t>
  </si>
  <si>
    <t>NAVERgabinmusic</t>
  </si>
  <si>
    <t>NAVERgachon_cile</t>
  </si>
  <si>
    <t>NAVERgaemi1588:naver</t>
  </si>
  <si>
    <t>NAVERgag2108:naver</t>
  </si>
  <si>
    <t>NAVERgaga7113</t>
  </si>
  <si>
    <t>NAVERgain2230:naver</t>
  </si>
  <si>
    <t>NAVERgajok5849</t>
  </si>
  <si>
    <t>NAVERgalaxy1234</t>
  </si>
  <si>
    <t>NAVERgaleotto</t>
  </si>
  <si>
    <t>NAVERganalift</t>
  </si>
  <si>
    <t>NAVERgangnamyou</t>
  </si>
  <si>
    <t>NAVERgaoij71</t>
  </si>
  <si>
    <t>NAVERgaon0082</t>
  </si>
  <si>
    <t>NAVERgaon1817</t>
  </si>
  <si>
    <t>NAVERgaonworld</t>
  </si>
  <si>
    <t>NAVERgargadise</t>
  </si>
  <si>
    <t>NAVERgayabrick</t>
  </si>
  <si>
    <t>NAVERgdc5484</t>
  </si>
  <si>
    <t>NAVERgefahren</t>
  </si>
  <si>
    <t>NAVERgeniee0321:naver</t>
  </si>
  <si>
    <t>NAVERgentil</t>
  </si>
  <si>
    <t>NAVERgeotechno55</t>
  </si>
  <si>
    <t>NAVERgf070:naver</t>
  </si>
  <si>
    <t>NAVERgfc2017</t>
  </si>
  <si>
    <t>NAVERggaggung</t>
  </si>
  <si>
    <t>NAVERggmin1</t>
  </si>
  <si>
    <t>NAVERggmna</t>
  </si>
  <si>
    <t>NAVERggobang</t>
  </si>
  <si>
    <t>NAVERggu3154</t>
  </si>
  <si>
    <t>NAVERgh9031</t>
  </si>
  <si>
    <t>NAVERghbest</t>
  </si>
  <si>
    <t>NAVERghghtp1:naver</t>
  </si>
  <si>
    <t>NAVERghkwjd1805:naver</t>
  </si>
  <si>
    <t>NAVERghlwlsld</t>
  </si>
  <si>
    <t>NAVERghlwn2002</t>
  </si>
  <si>
    <t>NAVERghssksek1</t>
  </si>
  <si>
    <t>NAVERghyper</t>
  </si>
  <si>
    <t>NAVERgiannaflowers:naver</t>
  </si>
  <si>
    <t>NAVERgift2627</t>
  </si>
  <si>
    <t>NAVERgiftcola</t>
  </si>
  <si>
    <t>NAVERgildong999:naver</t>
  </si>
  <si>
    <t>NAVERgio7052</t>
  </si>
  <si>
    <t>NAVERgioc7052</t>
  </si>
  <si>
    <t>NAVERgioshop</t>
  </si>
  <si>
    <t>NAVERgisan031:naver</t>
  </si>
  <si>
    <t>NAVERgisu8724:naver</t>
  </si>
  <si>
    <t>NAVERgitple</t>
  </si>
  <si>
    <t>NAVERgittagu:naver</t>
  </si>
  <si>
    <t>NAVERgj0829</t>
  </si>
  <si>
    <t>NAVERgjdkfma200:naver</t>
  </si>
  <si>
    <t>NAVERgjdlsdhr1</t>
  </si>
  <si>
    <t>NAVERgjgosi</t>
  </si>
  <si>
    <t>NAVERgk0341</t>
  </si>
  <si>
    <t>NAVERgkfl1938</t>
  </si>
  <si>
    <t>NAVERgksdid5741</t>
  </si>
  <si>
    <t>NAVERgksqh88</t>
  </si>
  <si>
    <t>NAVERgksrudwn</t>
  </si>
  <si>
    <t>NAVERgkwjd5872</t>
  </si>
  <si>
    <t>NAVERgkwlgns1</t>
  </si>
  <si>
    <t>NAVERgladstudio</t>
  </si>
  <si>
    <t>NAVERglamourbaby</t>
  </si>
  <si>
    <t>NAVERglobal10</t>
  </si>
  <si>
    <t>NAVERglonthe1</t>
  </si>
  <si>
    <t>NAVERglory6858</t>
  </si>
  <si>
    <t>NAVERgloscom</t>
  </si>
  <si>
    <t>NAVERglowloudey</t>
  </si>
  <si>
    <t>NAVERgluten</t>
  </si>
  <si>
    <t>NAVERgm0399</t>
  </si>
  <si>
    <t>NAVERgm4209</t>
  </si>
  <si>
    <t>NAVERgmcecokr</t>
  </si>
  <si>
    <t>NAVERgmf0523</t>
  </si>
  <si>
    <t>NAVERgmkr</t>
  </si>
  <si>
    <t>NAVERgmq1004</t>
  </si>
  <si>
    <t>NAVERgmzshop</t>
  </si>
  <si>
    <t>NAVERgnpark</t>
  </si>
  <si>
    <t>NAVERgo2maple</t>
  </si>
  <si>
    <t>NAVERgogo9016</t>
  </si>
  <si>
    <t>NAVERgogorun5</t>
  </si>
  <si>
    <t>NAVERgohanseo</t>
  </si>
  <si>
    <t>NAVERgoinsek</t>
  </si>
  <si>
    <t>NAVERgolab0709</t>
  </si>
  <si>
    <t>NAVERgold_lynn:naver</t>
  </si>
  <si>
    <t>NAVERgold-future:naver</t>
  </si>
  <si>
    <t>NAVERgoldenpalace</t>
  </si>
  <si>
    <t>NAVERgoldpath77</t>
  </si>
  <si>
    <t>NAVERgoldstar7747</t>
  </si>
  <si>
    <t>NAVERgom8040</t>
  </si>
  <si>
    <t>NAVERgom8041</t>
  </si>
  <si>
    <t>NAVERgombo56:naver</t>
  </si>
  <si>
    <t>NAVERgonelo153</t>
  </si>
  <si>
    <t>NAVERgongdangi047:naver</t>
  </si>
  <si>
    <t>NAVERgongmisa09:naver</t>
  </si>
  <si>
    <t>NAVERgongsang0607</t>
  </si>
  <si>
    <t>NAVERgongyu</t>
  </si>
  <si>
    <t>NAVERgony0211</t>
  </si>
  <si>
    <t>NAVERgooddiy</t>
  </si>
  <si>
    <t>NAVERgoodmush</t>
  </si>
  <si>
    <t>NAVERgoodpolish:naver</t>
  </si>
  <si>
    <t>NAVERgoodsesang</t>
  </si>
  <si>
    <t>NAVERgoodspine</t>
  </si>
  <si>
    <t>NAVERgoodstylecar:naver</t>
  </si>
  <si>
    <t>NAVERgoodsuri</t>
  </si>
  <si>
    <t>NAVERgoodusdata</t>
  </si>
  <si>
    <t>NAVERgoooda</t>
  </si>
  <si>
    <t>NAVERgopizza</t>
  </si>
  <si>
    <t>NAVERgosione1</t>
  </si>
  <si>
    <t>NAVERgoventures</t>
  </si>
  <si>
    <t>NAVERgowise</t>
  </si>
  <si>
    <t>NAVERgozipfood</t>
  </si>
  <si>
    <t>NAVERgp4753:naver</t>
  </si>
  <si>
    <t>NAVERgraducks</t>
  </si>
  <si>
    <t>NAVERgreattao1</t>
  </si>
  <si>
    <t>NAVERgreen12</t>
  </si>
  <si>
    <t>NAVERgreen7075</t>
  </si>
  <si>
    <t>NAVERgreencross</t>
  </si>
  <si>
    <t>NAVERgreenfood1008:naver</t>
  </si>
  <si>
    <t>NAVERgreenpeople</t>
  </si>
  <si>
    <t>NAVERgreenpower12</t>
  </si>
  <si>
    <t>NAVERgreenville</t>
  </si>
  <si>
    <t>NAVERgrutugy827</t>
  </si>
  <si>
    <t>NAVERgs_comm</t>
  </si>
  <si>
    <t>NAVERgseunghi:naver</t>
  </si>
  <si>
    <t>NAVERgshousing</t>
  </si>
  <si>
    <t>NAVERguard727</t>
  </si>
  <si>
    <t>NAVERguard727:naver</t>
  </si>
  <si>
    <t>NAVERgueam:naver</t>
  </si>
  <si>
    <t>NAVERguhm1350</t>
  </si>
  <si>
    <t>NAVERguidant</t>
  </si>
  <si>
    <t>NAVERguidevc:naver</t>
  </si>
  <si>
    <t>NAVERgulbisusan</t>
  </si>
  <si>
    <t>NAVERgumtree</t>
  </si>
  <si>
    <t>NAVERgunnars</t>
  </si>
  <si>
    <t>NAVERguromagnet</t>
  </si>
  <si>
    <t>NAVERguswo777</t>
  </si>
  <si>
    <t>NAVERgutfinemall:naver</t>
  </si>
  <si>
    <t>NAVERguts0879:naver</t>
  </si>
  <si>
    <t>NAVERgvtour1</t>
  </si>
  <si>
    <t>NAVERgweduplex</t>
  </si>
  <si>
    <t>NAVERgwmc</t>
  </si>
  <si>
    <t>NAVERgyeryong</t>
  </si>
  <si>
    <t>NAVERgyl</t>
  </si>
  <si>
    <t>NAVERgyo74:naver</t>
  </si>
  <si>
    <t>NAVERgyx2077</t>
  </si>
  <si>
    <t>NAVERh109interior</t>
  </si>
  <si>
    <t>NAVERh4h</t>
  </si>
  <si>
    <t>NAVERha6316</t>
  </si>
  <si>
    <t>NAVERhabit1017</t>
  </si>
  <si>
    <t>NAVERhadabin092</t>
  </si>
  <si>
    <t>NAVERhaedam9</t>
  </si>
  <si>
    <t>NAVERhaeundae1472</t>
  </si>
  <si>
    <t>NAVERhaeundae1473:naver</t>
  </si>
  <si>
    <t>NAVERhaeunmna:naver</t>
  </si>
  <si>
    <t>NAVERhaha655</t>
  </si>
  <si>
    <t>NAVERhahajinkyu:naver</t>
  </si>
  <si>
    <t>NAVERhaihua820</t>
  </si>
  <si>
    <t>NAVERhainain</t>
  </si>
  <si>
    <t>NAVERhaircastle</t>
  </si>
  <si>
    <t>NAVERhakkch:naver</t>
  </si>
  <si>
    <t>NAVERhamann</t>
  </si>
  <si>
    <t>NAVERhammertrophy</t>
  </si>
  <si>
    <t>NAVERhan3595</t>
  </si>
  <si>
    <t>NAVERhana1040</t>
  </si>
  <si>
    <t>NAVERhana1546</t>
  </si>
  <si>
    <t>NAVERhana40003:naver</t>
  </si>
  <si>
    <t>NAVERhanamail11:naver</t>
  </si>
  <si>
    <t>NAVERhanarosb</t>
  </si>
  <si>
    <t>NAVERhanasea88</t>
  </si>
  <si>
    <t>NAVERhanatech2003</t>
  </si>
  <si>
    <t>NAVERhanbada</t>
  </si>
  <si>
    <t>NAVERhanbai153:naver</t>
  </si>
  <si>
    <t>NAVERhanbeakcar</t>
  </si>
  <si>
    <t>NAVERhanbit1055</t>
  </si>
  <si>
    <t>NAVERhanda032:naver</t>
  </si>
  <si>
    <t>NAVERhandaroo</t>
  </si>
  <si>
    <t>NAVERhandnfoot</t>
  </si>
  <si>
    <t>NAVERhandsomefood</t>
  </si>
  <si>
    <t>NAVERhandson</t>
  </si>
  <si>
    <t>NAVERhandsontech</t>
  </si>
  <si>
    <t>NAVERhandys</t>
  </si>
  <si>
    <t>NAVERhanelecon</t>
  </si>
  <si>
    <t>NAVERhaneol3535</t>
  </si>
  <si>
    <t>NAVERhanfog</t>
  </si>
  <si>
    <t>NAVERhangil4204</t>
  </si>
  <si>
    <t>NAVERhangil7303:naver</t>
  </si>
  <si>
    <t>NAVERhangilcare</t>
  </si>
  <si>
    <t>NAVERhangilman</t>
  </si>
  <si>
    <t>NAVERhanhosoo</t>
  </si>
  <si>
    <t>NAVERhanil5424</t>
  </si>
  <si>
    <t>NAVERhanilm</t>
  </si>
  <si>
    <t>NAVERhanjaepns</t>
  </si>
  <si>
    <t>NAVERhanjiechul12</t>
  </si>
  <si>
    <t>NAVERhanjihoon2:naver</t>
  </si>
  <si>
    <t>NAVERhanju888</t>
  </si>
  <si>
    <t>NAVERhanjucns</t>
  </si>
  <si>
    <t>NAVERhankook1014:naver</t>
  </si>
  <si>
    <t>NAVERhanky000</t>
  </si>
  <si>
    <t>NAVERhanmac</t>
  </si>
  <si>
    <t>NAVERhanmacit</t>
  </si>
  <si>
    <t>NAVERhannamtech</t>
  </si>
  <si>
    <t>NAVERhannanmary:naver</t>
  </si>
  <si>
    <t>NAVERhanriver0602:naver</t>
  </si>
  <si>
    <t>NAVERhansigancom</t>
  </si>
  <si>
    <t>NAVERhansin6633</t>
  </si>
  <si>
    <t>NAVERhansmile</t>
  </si>
  <si>
    <t>NAVERhanssem</t>
  </si>
  <si>
    <t>NAVERhansvow:naver</t>
  </si>
  <si>
    <t>NAVERhansvowc</t>
  </si>
  <si>
    <t>NAVERhantom</t>
  </si>
  <si>
    <t>NAVERhanul00090</t>
  </si>
  <si>
    <t>NAVERhanvitmc</t>
  </si>
  <si>
    <t>NAVERhanvittm</t>
  </si>
  <si>
    <t>NAVERhanwoolsv</t>
  </si>
  <si>
    <t>NAVERhanyangbrick</t>
  </si>
  <si>
    <t>NAVERhanyt49</t>
  </si>
  <si>
    <t>NAVERhaocoms</t>
  </si>
  <si>
    <t>NAVERhapjeongdang</t>
  </si>
  <si>
    <t>NAVERhappy04225</t>
  </si>
  <si>
    <t>NAVERhappyblind</t>
  </si>
  <si>
    <t>NAVERhappycheesesmile_:naver</t>
  </si>
  <si>
    <t>NAVERhappygo5969</t>
  </si>
  <si>
    <t>NAVERhappylimo</t>
  </si>
  <si>
    <t>NAVERhappyneed</t>
  </si>
  <si>
    <t>NAVERhar1125</t>
  </si>
  <si>
    <t>NAVERharang6541</t>
  </si>
  <si>
    <t>NAVERharaplan</t>
  </si>
  <si>
    <t>NAVERharmac</t>
  </si>
  <si>
    <t>NAVERharrison_official:naver</t>
  </si>
  <si>
    <t>NAVERhavaran:naver</t>
  </si>
  <si>
    <t>NAVERhawaii_gw</t>
  </si>
  <si>
    <t>NAVERhawonmna</t>
  </si>
  <si>
    <t>NAVERhbjoint</t>
  </si>
  <si>
    <t>NAVERhbsbmw</t>
  </si>
  <si>
    <t>NAVERhc4395</t>
  </si>
  <si>
    <t>NAVERhcn1004</t>
  </si>
  <si>
    <t>NAVERhcn777</t>
  </si>
  <si>
    <t>NAVERhcompany7777</t>
  </si>
  <si>
    <t>NAVERhd_sanding</t>
  </si>
  <si>
    <t>NAVERhd2771</t>
  </si>
  <si>
    <t>NAVERhdkim5066</t>
  </si>
  <si>
    <t>NAVERhdmd</t>
  </si>
  <si>
    <t>NAVERhdw0002</t>
  </si>
  <si>
    <t>NAVERhdyachts</t>
  </si>
  <si>
    <t>NAVERheadang67</t>
  </si>
  <si>
    <t>NAVERhealerb</t>
  </si>
  <si>
    <t>NAVERhealinghc</t>
  </si>
  <si>
    <t>NAVERhealingyo</t>
  </si>
  <si>
    <t>NAVERhealthfriends_helf1:naver</t>
  </si>
  <si>
    <t>NAVERheavysteak</t>
  </si>
  <si>
    <t>NAVERhee0987</t>
  </si>
  <si>
    <t>NAVERheejunstyle1:naver</t>
  </si>
  <si>
    <t>NAVERheeon21:naver</t>
  </si>
  <si>
    <t>NAVERheim220505</t>
  </si>
  <si>
    <t>NAVERhej1195</t>
  </si>
  <si>
    <t>NAVERhejkayla:naver</t>
  </si>
  <si>
    <t>NAVERhelloaloha</t>
  </si>
  <si>
    <t>NAVERhelloevent</t>
  </si>
  <si>
    <t>NAVERhelloph20:naver</t>
  </si>
  <si>
    <t>NAVERhelloweb1</t>
  </si>
  <si>
    <t>NAVERhelpptsports</t>
  </si>
  <si>
    <t>NAVERheoco70</t>
  </si>
  <si>
    <t>NAVERheons0805:naver</t>
  </si>
  <si>
    <t>NAVERhera2555</t>
  </si>
  <si>
    <t>NAVERherbmolly514</t>
  </si>
  <si>
    <t>NAVERherbrapa</t>
  </si>
  <si>
    <t>NAVERherbvill</t>
  </si>
  <si>
    <t>NAVERherjw79</t>
  </si>
  <si>
    <t>NAVERhesed931</t>
  </si>
  <si>
    <t>NAVERheshms</t>
  </si>
  <si>
    <t>NAVERheulekorea</t>
  </si>
  <si>
    <t>NAVERhewanma</t>
  </si>
  <si>
    <t>NAVERhexainnoheal:naver</t>
  </si>
  <si>
    <t>NAVERheydaystudio</t>
  </si>
  <si>
    <t>NAVERhgd</t>
  </si>
  <si>
    <t>NAVERhgg1003</t>
  </si>
  <si>
    <t>NAVERhgl420</t>
  </si>
  <si>
    <t>NAVERhgy1229_</t>
  </si>
  <si>
    <t>NAVERhgy7715</t>
  </si>
  <si>
    <t>NAVERhhj4500709:naver</t>
  </si>
  <si>
    <t>NAVERhhk630</t>
  </si>
  <si>
    <t>NAVERhhs2042</t>
  </si>
  <si>
    <t>NAVERhhy701</t>
  </si>
  <si>
    <t>NAVERhibirx:naver</t>
  </si>
  <si>
    <t>NAVERhiddn01</t>
  </si>
  <si>
    <t>NAVERhifertility</t>
  </si>
  <si>
    <t>NAVERhifist</t>
  </si>
  <si>
    <t>NAVERhighcog</t>
  </si>
  <si>
    <t>NAVERhighend12</t>
  </si>
  <si>
    <t>NAVERhijooseong</t>
  </si>
  <si>
    <t>NAVERhil11</t>
  </si>
  <si>
    <t>NAVERhilda89</t>
  </si>
  <si>
    <t>NAVERhill9008:naver</t>
  </si>
  <si>
    <t>NAVERhillofwind</t>
  </si>
  <si>
    <t>NAVERhipgirl01</t>
  </si>
  <si>
    <t>NAVERhiplay2021:naver</t>
  </si>
  <si>
    <t>NAVERhiroxkorea1</t>
  </si>
  <si>
    <t>NAVERhisang</t>
  </si>
  <si>
    <t>NAVERhitee</t>
  </si>
  <si>
    <t>NAVERhitmade</t>
  </si>
  <si>
    <t>NAVERhivekr</t>
  </si>
  <si>
    <t>NAVERhj167428</t>
  </si>
  <si>
    <t>NAVERhjdnp</t>
  </si>
  <si>
    <t>NAVERhjglass</t>
  </si>
  <si>
    <t>NAVERhjy4545</t>
  </si>
  <si>
    <t>NAVERhkeaza1234:naver</t>
  </si>
  <si>
    <t>NAVERhkkey</t>
  </si>
  <si>
    <t>NAVERhknaturewell</t>
  </si>
  <si>
    <t>NAVERhkps</t>
  </si>
  <si>
    <t>NAVERhl4gwe</t>
  </si>
  <si>
    <t>NAVERhm_mk3</t>
  </si>
  <si>
    <t>NAVERhm3366</t>
  </si>
  <si>
    <t>NAVERhm75</t>
  </si>
  <si>
    <t>NAVERhmhm223</t>
  </si>
  <si>
    <t>NAVERhml</t>
  </si>
  <si>
    <t>NAVERhmland</t>
  </si>
  <si>
    <t>NAVERhmmedia</t>
  </si>
  <si>
    <t>NAVERhnmedi</t>
  </si>
  <si>
    <t>NAVERhoang00799</t>
  </si>
  <si>
    <t>NAVERhoh1608</t>
  </si>
  <si>
    <t>NAVERhoholj0828:naver</t>
  </si>
  <si>
    <t>NAVERhojung</t>
  </si>
  <si>
    <t>NAVERhoke2002</t>
  </si>
  <si>
    <t>NAVERhoki404:naver</t>
  </si>
  <si>
    <t>NAVERhome1005</t>
  </si>
  <si>
    <t>NAVERhomebutton1109:naver</t>
  </si>
  <si>
    <t>NAVERhomeinfarm:naver</t>
  </si>
  <si>
    <t>NAVERhomeinplus</t>
  </si>
  <si>
    <t>NAVERhomenlee</t>
  </si>
  <si>
    <t>NAVERhomerun2424</t>
  </si>
  <si>
    <t>NAVERhomsys88</t>
  </si>
  <si>
    <t>NAVERhone9988</t>
  </si>
  <si>
    <t>NAVERhonestclinic</t>
  </si>
  <si>
    <t>NAVERhonestu</t>
  </si>
  <si>
    <t>NAVERhoneydolf</t>
  </si>
  <si>
    <t>NAVERhong242</t>
  </si>
  <si>
    <t>NAVERhong3780</t>
  </si>
  <si>
    <t>NAVERhong3jeil</t>
  </si>
  <si>
    <t>NAVERhongahn79</t>
  </si>
  <si>
    <t>NAVERhongjunseong:naver</t>
  </si>
  <si>
    <t>NAVERhongmindot</t>
  </si>
  <si>
    <t>NAVERhongsung</t>
  </si>
  <si>
    <t>NAVERhongtax</t>
  </si>
  <si>
    <t>NAVERhoo_ad</t>
  </si>
  <si>
    <t>NAVERhoocheonan</t>
  </si>
  <si>
    <t>NAVERhooclinicps</t>
  </si>
  <si>
    <t>NAVERhoogumi</t>
  </si>
  <si>
    <t>NAVERhooilsan</t>
  </si>
  <si>
    <t>NAVERhooin1212</t>
  </si>
  <si>
    <t>NAVERhoojj123</t>
  </si>
  <si>
    <t>NAVERhoonowon</t>
  </si>
  <si>
    <t>NAVERhoosillim</t>
  </si>
  <si>
    <t>NAVERhopefulroof:naver</t>
  </si>
  <si>
    <t>NAVERhosting</t>
  </si>
  <si>
    <t>NAVERhot286</t>
  </si>
  <si>
    <t>NAVERhotkins07</t>
  </si>
  <si>
    <t>NAVERhousegram</t>
  </si>
  <si>
    <t>NAVERhousepuzzle</t>
  </si>
  <si>
    <t>NAVERhowlongd:naver</t>
  </si>
  <si>
    <t>NAVERhowo2005:naver</t>
  </si>
  <si>
    <t>NAVERhoya118:naver</t>
  </si>
  <si>
    <t>NAVERhozin1000</t>
  </si>
  <si>
    <t>NAVERhp0322</t>
  </si>
  <si>
    <t>NAVERhp4153335</t>
  </si>
  <si>
    <t>NAVERhrdone</t>
  </si>
  <si>
    <t>NAVERhs_fashion</t>
  </si>
  <si>
    <t>NAVERhs_yellow:naver</t>
  </si>
  <si>
    <t>NAVERhs14210</t>
  </si>
  <si>
    <t>NAVERhs5007</t>
  </si>
  <si>
    <t>NAVERhsaseong:naver</t>
  </si>
  <si>
    <t>NAVERhsbolt</t>
  </si>
  <si>
    <t>NAVERhsct668</t>
  </si>
  <si>
    <t>NAVERhsd4139</t>
  </si>
  <si>
    <t>NAVERhsenergy</t>
  </si>
  <si>
    <t>NAVERhsjun43</t>
  </si>
  <si>
    <t>NAVERhskp</t>
  </si>
  <si>
    <t>NAVERhso5321</t>
  </si>
  <si>
    <t>NAVERhsppph24</t>
  </si>
  <si>
    <t>NAVERhspyosk</t>
  </si>
  <si>
    <t>NAVERhssci</t>
  </si>
  <si>
    <t>NAVERhsw99os</t>
  </si>
  <si>
    <t>NAVERhsy881203:naver</t>
  </si>
  <si>
    <t>NAVERhu3753</t>
  </si>
  <si>
    <t>NAVERhuart17</t>
  </si>
  <si>
    <t>NAVERhuceni</t>
  </si>
  <si>
    <t>NAVERhucomsys</t>
  </si>
  <si>
    <t>NAVERhuman_ad</t>
  </si>
  <si>
    <t>NAVERhunk</t>
  </si>
  <si>
    <t>NAVERhuonsnatural</t>
  </si>
  <si>
    <t>NAVERhustem</t>
  </si>
  <si>
    <t>NAVERhusunghakhsh:naver</t>
  </si>
  <si>
    <t>NAVERhvglobal</t>
  </si>
  <si>
    <t>NAVERhw2424</t>
  </si>
  <si>
    <t>NAVERhw99289:naver</t>
  </si>
  <si>
    <t>NAVERhwang2185</t>
  </si>
  <si>
    <t>NAVERhwanhae</t>
  </si>
  <si>
    <t>NAVERhwatong</t>
  </si>
  <si>
    <t>NAVERhweefo</t>
  </si>
  <si>
    <t>NAVERhwicurry555:naver</t>
  </si>
  <si>
    <t>NAVERhwlayer</t>
  </si>
  <si>
    <t>NAVERhwr_incheon</t>
  </si>
  <si>
    <t>NAVERhwr6204</t>
  </si>
  <si>
    <t>NAVERhya9329:naver</t>
  </si>
  <si>
    <t>NAVERhyeinseo</t>
  </si>
  <si>
    <t>NAVERhyo350</t>
  </si>
  <si>
    <t>NAVERhyoun59</t>
  </si>
  <si>
    <t>NAVERhypergate</t>
  </si>
  <si>
    <t>NAVERhyun171481</t>
  </si>
  <si>
    <t>NAVERhyun2a27</t>
  </si>
  <si>
    <t>NAVERhyun63krkr</t>
  </si>
  <si>
    <t>NAVERhyun80000</t>
  </si>
  <si>
    <t>NAVERhyungsung</t>
  </si>
  <si>
    <t>NAVERhyunho7956:naver</t>
  </si>
  <si>
    <t>NAVERhyunooon</t>
  </si>
  <si>
    <t>NAVERhyunsuk1209</t>
  </si>
  <si>
    <t>NAVERhyupjinear</t>
  </si>
  <si>
    <t>NAVERhyupjineng</t>
  </si>
  <si>
    <t>NAVERi-jintech:naver</t>
  </si>
  <si>
    <t>NAVERi944747</t>
  </si>
  <si>
    <t>NAVERiaan2007:naver</t>
  </si>
  <si>
    <t>NAVERiaansci</t>
  </si>
  <si>
    <t>NAVERiaec</t>
  </si>
  <si>
    <t>NAVERib2global</t>
  </si>
  <si>
    <t>NAVERibeez</t>
  </si>
  <si>
    <t>NAVERibkho</t>
  </si>
  <si>
    <t>NAVERic24241</t>
  </si>
  <si>
    <t>NAVERicbank</t>
  </si>
  <si>
    <t>NAVERicbanqmall</t>
  </si>
  <si>
    <t>NAVERicilamaison</t>
  </si>
  <si>
    <t>NAVERicomos</t>
  </si>
  <si>
    <t>NAVERiconbx</t>
  </si>
  <si>
    <t>NAVERid0398</t>
  </si>
  <si>
    <t>NAVERid5114</t>
  </si>
  <si>
    <t>NAVERidibc123</t>
  </si>
  <si>
    <t>NAVERidohair1004:naver</t>
  </si>
  <si>
    <t>NAVERidongyang</t>
  </si>
  <si>
    <t>NAVERifis2233_02</t>
  </si>
  <si>
    <t>NAVERigabang</t>
  </si>
  <si>
    <t>NAVERihair2</t>
  </si>
  <si>
    <t>NAVERihair92</t>
  </si>
  <si>
    <t>NAVERihanco2</t>
  </si>
  <si>
    <t>NAVERiim10</t>
  </si>
  <si>
    <t>NAVERijpack2</t>
  </si>
  <si>
    <t>NAVERikkodesign</t>
  </si>
  <si>
    <t>NAVERiklimdesign</t>
  </si>
  <si>
    <t>NAVERiklvt4</t>
  </si>
  <si>
    <t>NAVERiknv77</t>
  </si>
  <si>
    <t>NAVERiksumkt2022:naver</t>
  </si>
  <si>
    <t>NAVERildeungt</t>
  </si>
  <si>
    <t>NAVERilkwang7415</t>
  </si>
  <si>
    <t>NAVERilloway2002</t>
  </si>
  <si>
    <t>NAVERilooent</t>
  </si>
  <si>
    <t>NAVERilpico</t>
  </si>
  <si>
    <t>NAVERilsangate</t>
  </si>
  <si>
    <t>NAVERiluckyboy9:naver</t>
  </si>
  <si>
    <t>NAVERilwu</t>
  </si>
  <si>
    <t>NAVERim2492</t>
  </si>
  <si>
    <t>NAVERimaru02</t>
  </si>
  <si>
    <t>NAVERimbmall</t>
  </si>
  <si>
    <t>NAVERimctcom:naver</t>
  </si>
  <si>
    <t>NAVERimdro:naver</t>
  </si>
  <si>
    <t>NAVERimerit22</t>
  </si>
  <si>
    <t>NAVERimjune57</t>
  </si>
  <si>
    <t>NAVERimmarket123</t>
  </si>
  <si>
    <t>NAVERimsilin</t>
  </si>
  <si>
    <t>NAVERimuz02</t>
  </si>
  <si>
    <t>NAVERinawootec</t>
  </si>
  <si>
    <t>NAVERinc</t>
  </si>
  <si>
    <t>NAVERincheonhang6007:naver</t>
  </si>
  <si>
    <t>NAVERinckorea</t>
  </si>
  <si>
    <t>NAVERinclineps</t>
  </si>
  <si>
    <t>NAVERindigobox</t>
  </si>
  <si>
    <t>NAVERindrobot</t>
  </si>
  <si>
    <t>NAVERinel0116</t>
  </si>
  <si>
    <t>NAVERinfo_100dori:naver</t>
  </si>
  <si>
    <t>NAVERinfo21c</t>
  </si>
  <si>
    <t>NAVERinfoans</t>
  </si>
  <si>
    <t>NAVERinfobiz</t>
  </si>
  <si>
    <t>NAVERinforaon</t>
  </si>
  <si>
    <t>NAVERinforix</t>
  </si>
  <si>
    <t>NAVERinfraware11:naver</t>
  </si>
  <si>
    <t>NAVERing365</t>
  </si>
  <si>
    <t>NAVERing5812</t>
  </si>
  <si>
    <t>NAVERinjung</t>
  </si>
  <si>
    <t>NAVERinmable</t>
  </si>
  <si>
    <t>NAVERinnocreator</t>
  </si>
  <si>
    <t>NAVERinnogeo</t>
  </si>
  <si>
    <t>NAVERinpage</t>
  </si>
  <si>
    <t>NAVERinpipe</t>
  </si>
  <si>
    <t>NAVERinpos0042</t>
  </si>
  <si>
    <t>NAVERinsanga9585</t>
  </si>
  <si>
    <t>NAVERinsmile1644</t>
  </si>
  <si>
    <t>NAVERinstay</t>
  </si>
  <si>
    <t>NAVERinsungkorea0:naver</t>
  </si>
  <si>
    <t>NAVERintecs</t>
  </si>
  <si>
    <t>NAVERinteresia</t>
  </si>
  <si>
    <t>NAVERinteriorfilm</t>
  </si>
  <si>
    <t>NAVERinterlab</t>
  </si>
  <si>
    <t>NAVERinterpeen</t>
  </si>
  <si>
    <t>NAVERinthepouch</t>
  </si>
  <si>
    <t>NAVERintkorea</t>
  </si>
  <si>
    <t>NAVERinuf1214:naver</t>
  </si>
  <si>
    <t>NAVERinward</t>
  </si>
  <si>
    <t>NAVERinzicar</t>
  </si>
  <si>
    <t>NAVERioh</t>
  </si>
  <si>
    <t>NAVERiokacademy:naver</t>
  </si>
  <si>
    <t>NAVERioncandle</t>
  </si>
  <si>
    <t>NAVERionebed</t>
  </si>
  <si>
    <t>NAVERionejob</t>
  </si>
  <si>
    <t>NAVERiplan2021:naver</t>
  </si>
  <si>
    <t>NAVERipmsoft</t>
  </si>
  <si>
    <t>NAVERippi2</t>
  </si>
  <si>
    <t>NAVERipresent</t>
  </si>
  <si>
    <t>NAVERipskorea</t>
  </si>
  <si>
    <t>NAVERiqzero2000</t>
  </si>
  <si>
    <t>NAVERirishome</t>
  </si>
  <si>
    <t>NAVERirken</t>
  </si>
  <si>
    <t>NAVERirohome</t>
  </si>
  <si>
    <t>NAVERis042600</t>
  </si>
  <si>
    <t>NAVERis2352</t>
  </si>
  <si>
    <t>NAVERisaac3231</t>
  </si>
  <si>
    <t>NAVERisappa</t>
  </si>
  <si>
    <t>NAVERiscompany01</t>
  </si>
  <si>
    <t>NAVERiscs1234</t>
  </si>
  <si>
    <t>NAVERisglobalair</t>
  </si>
  <si>
    <t>NAVERisj9284</t>
  </si>
  <si>
    <t>NAVERismedi</t>
  </si>
  <si>
    <t>NAVERissac8770:naver</t>
  </si>
  <si>
    <t>NAVERisseo</t>
  </si>
  <si>
    <t>NAVERisskin</t>
  </si>
  <si>
    <t>NAVERistoremake</t>
  </si>
  <si>
    <t>NAVERisumedi</t>
  </si>
  <si>
    <t>NAVERisvac110</t>
  </si>
  <si>
    <t>NAVERisyou86</t>
  </si>
  <si>
    <t>NAVERisz2279</t>
  </si>
  <si>
    <t>NAVERit7376</t>
  </si>
  <si>
    <t>NAVERitchyworks</t>
  </si>
  <si>
    <t>NAVERitekcnc</t>
  </si>
  <si>
    <t>NAVERithaja</t>
  </si>
  <si>
    <t>NAVERitranslator</t>
  </si>
  <si>
    <t>NAVERits7</t>
  </si>
  <si>
    <t>NAVERitssamsung:naver</t>
  </si>
  <si>
    <t>NAVERiuclinic</t>
  </si>
  <si>
    <t>NAVERivital:naver</t>
  </si>
  <si>
    <t>NAVERivy2258</t>
  </si>
  <si>
    <t>NAVERivy3655</t>
  </si>
  <si>
    <t>NAVERiw6600</t>
  </si>
  <si>
    <t>NAVERiwon12</t>
  </si>
  <si>
    <t>NAVERiwoorian</t>
  </si>
  <si>
    <t>NAVERiwy999</t>
  </si>
  <si>
    <t>NAVERj_j1114</t>
  </si>
  <si>
    <t>NAVERj871105</t>
  </si>
  <si>
    <t>NAVERja4463</t>
  </si>
  <si>
    <t>NAVERja4672</t>
  </si>
  <si>
    <t>NAVERjac1318</t>
  </si>
  <si>
    <t>NAVERjackal5510</t>
  </si>
  <si>
    <t>NAVERjackid</t>
  </si>
  <si>
    <t>NAVERjackie</t>
  </si>
  <si>
    <t>NAVERjackim777</t>
  </si>
  <si>
    <t>NAVERjade833</t>
  </si>
  <si>
    <t>NAVERjaeilgoldgur</t>
  </si>
  <si>
    <t>NAVERjaeilgoldsh</t>
  </si>
  <si>
    <t>NAVERjaekwang83:naver</t>
  </si>
  <si>
    <t>NAVERjaeuk0217:naver</t>
  </si>
  <si>
    <t>NAVERjah9810</t>
  </si>
  <si>
    <t>NAVERjaham2019:naver</t>
  </si>
  <si>
    <t>NAVERjail1972</t>
  </si>
  <si>
    <t>NAVERjalabau</t>
  </si>
  <si>
    <t>NAVERjallmann</t>
  </si>
  <si>
    <t>NAVERjamienco:naver</t>
  </si>
  <si>
    <t>NAVERjang734</t>
  </si>
  <si>
    <t>NAVERjangbuja01:naver</t>
  </si>
  <si>
    <t>NAVERjangjoeun1:naver</t>
  </si>
  <si>
    <t>NAVERjangsofa</t>
  </si>
  <si>
    <t>NAVERjangsu3930</t>
  </si>
  <si>
    <t>NAVERjangwooinc</t>
  </si>
  <si>
    <t>NAVERjasingle</t>
  </si>
  <si>
    <t>NAVERjasuck</t>
  </si>
  <si>
    <t>NAVERjavakorea</t>
  </si>
  <si>
    <t>NAVERjaychoi72</t>
  </si>
  <si>
    <t>NAVERjayou111</t>
  </si>
  <si>
    <t>NAVERjbgogo777</t>
  </si>
  <si>
    <t>NAVERjbins</t>
  </si>
  <si>
    <t>NAVERjbleaders:naver</t>
  </si>
  <si>
    <t>NAVERjc0131</t>
  </si>
  <si>
    <t>NAVERjc3211</t>
  </si>
  <si>
    <t>NAVERjc9119</t>
  </si>
  <si>
    <t>NAVERjchyo12</t>
  </si>
  <si>
    <t>NAVERjcnho</t>
  </si>
  <si>
    <t>NAVERjcominfo</t>
  </si>
  <si>
    <t>NAVERjcoshm</t>
  </si>
  <si>
    <t>NAVERjcubeshop</t>
  </si>
  <si>
    <t>NAVERjcutter</t>
  </si>
  <si>
    <t>NAVERjd7363:naver</t>
  </si>
  <si>
    <t>NAVERjdb2100</t>
  </si>
  <si>
    <t>NAVERjdcamping:naver</t>
  </si>
  <si>
    <t>NAVERjdg</t>
  </si>
  <si>
    <t>NAVERjdh2831351</t>
  </si>
  <si>
    <t>NAVERjdone210</t>
  </si>
  <si>
    <t>NAVERjebiggot4</t>
  </si>
  <si>
    <t>NAVERjedinsight20</t>
  </si>
  <si>
    <t>NAVERjegaga</t>
  </si>
  <si>
    <t>NAVERjehui1004</t>
  </si>
  <si>
    <t>NAVERjeicegold</t>
  </si>
  <si>
    <t>NAVERjeil1183:naver</t>
  </si>
  <si>
    <t>NAVERjeilad256</t>
  </si>
  <si>
    <t>NAVERjeilbmc_ad</t>
  </si>
  <si>
    <t>NAVERjeilex7075</t>
  </si>
  <si>
    <t>NAVERjeilroof50</t>
  </si>
  <si>
    <t>NAVERjeju6070</t>
  </si>
  <si>
    <t>NAVERjejuara9191</t>
  </si>
  <si>
    <t>NAVERjejumade064:naver</t>
  </si>
  <si>
    <t>NAVERjejung</t>
  </si>
  <si>
    <t>NAVERjejuwind</t>
  </si>
  <si>
    <t>NAVERjenis1</t>
  </si>
  <si>
    <t>NAVERjennyy</t>
  </si>
  <si>
    <t>NAVERjeny1593:naver</t>
  </si>
  <si>
    <t>NAVERjeon_o</t>
  </si>
  <si>
    <t>NAVERjeon03</t>
  </si>
  <si>
    <t>NAVERjeonbiho</t>
  </si>
  <si>
    <t>NAVERjeongsantbl:naver</t>
  </si>
  <si>
    <t>NAVERjeongsoo4143:naver</t>
  </si>
  <si>
    <t>NAVERjeonhkhk</t>
  </si>
  <si>
    <t>NAVERjeonods</t>
  </si>
  <si>
    <t>NAVERjeonsungman</t>
  </si>
  <si>
    <t>NAVERjes3586:naver</t>
  </si>
  <si>
    <t>NAVERjfsindustry1</t>
  </si>
  <si>
    <t>NAVERjg00619</t>
  </si>
  <si>
    <t>NAVERjgjshs</t>
  </si>
  <si>
    <t>NAVERjgofree1895</t>
  </si>
  <si>
    <t>NAVERjh1004_company:naver</t>
  </si>
  <si>
    <t>NAVERjh4119</t>
  </si>
  <si>
    <t>NAVERjh586912:naver</t>
  </si>
  <si>
    <t>NAVERjh6choi</t>
  </si>
  <si>
    <t>NAVERjhb0386</t>
  </si>
  <si>
    <t>NAVERjhc5406</t>
  </si>
  <si>
    <t>NAVERjhg5506</t>
  </si>
  <si>
    <t>NAVERjhhospital</t>
  </si>
  <si>
    <t>NAVERjhjs1027</t>
  </si>
  <si>
    <t>NAVERjhkim18</t>
  </si>
  <si>
    <t>NAVERjhmnc:naver</t>
  </si>
  <si>
    <t>NAVERjhs7213334</t>
  </si>
  <si>
    <t>NAVERjhss4861124</t>
  </si>
  <si>
    <t>NAVERjhy1206105</t>
  </si>
  <si>
    <t>NAVERji0001</t>
  </si>
  <si>
    <t>NAVERji2722</t>
  </si>
  <si>
    <t>NAVERji319</t>
  </si>
  <si>
    <t>NAVERji5631</t>
  </si>
  <si>
    <t>NAVERjibtm</t>
  </si>
  <si>
    <t>NAVERjich3000</t>
  </si>
  <si>
    <t>NAVERjihye72</t>
  </si>
  <si>
    <t>NAVERjiinne</t>
  </si>
  <si>
    <t>NAVERjijiannunda:naver</t>
  </si>
  <si>
    <t>NAVERjik5000</t>
  </si>
  <si>
    <t>NAVERjik7044</t>
  </si>
  <si>
    <t>NAVERjimano</t>
  </si>
  <si>
    <t>NAVERjin2636</t>
  </si>
  <si>
    <t>NAVERjindamin1:naver</t>
  </si>
  <si>
    <t>NAVERjinggum106</t>
  </si>
  <si>
    <t>NAVERjinhain</t>
  </si>
  <si>
    <t>NAVERjinhangen:naver</t>
  </si>
  <si>
    <t>NAVERjinho1881</t>
  </si>
  <si>
    <t>NAVERjinsun1973</t>
  </si>
  <si>
    <t>NAVERjinxb518</t>
  </si>
  <si>
    <t>NAVERjiny1121:naver</t>
  </si>
  <si>
    <t>NAVERjipark305:naver</t>
  </si>
  <si>
    <t>NAVERjireh72</t>
  </si>
  <si>
    <t>NAVERjisung</t>
  </si>
  <si>
    <t>NAVERjiwon</t>
  </si>
  <si>
    <t>NAVERjjakji07:naver</t>
  </si>
  <si>
    <t>NAVERjjbs</t>
  </si>
  <si>
    <t>NAVERjjfar</t>
  </si>
  <si>
    <t>NAVERjjh019060</t>
  </si>
  <si>
    <t>NAVERjjj17515</t>
  </si>
  <si>
    <t>NAVERjjjj0424</t>
  </si>
  <si>
    <t>NAVERjjjj9191</t>
  </si>
  <si>
    <t>NAVERjjjjcloset:naver</t>
  </si>
  <si>
    <t>NAVERjjkorea1</t>
  </si>
  <si>
    <t>NAVERjjoffice</t>
  </si>
  <si>
    <t>NAVERjjsun36</t>
  </si>
  <si>
    <t>NAVERjjubi01</t>
  </si>
  <si>
    <t>NAVERjjw0837</t>
  </si>
  <si>
    <t>NAVERjk2173</t>
  </si>
  <si>
    <t>NAVERjkedm</t>
  </si>
  <si>
    <t>NAVERjkh1791</t>
  </si>
  <si>
    <t>NAVERjkj2304</t>
  </si>
  <si>
    <t>NAVERjkj589906:naver</t>
  </si>
  <si>
    <t>NAVERjkjung50</t>
  </si>
  <si>
    <t>NAVERjklabel:naver</t>
  </si>
  <si>
    <t>NAVERjklh0908:naver</t>
  </si>
  <si>
    <t>NAVERjkoh1210</t>
  </si>
  <si>
    <t>NAVERjkpole2</t>
  </si>
  <si>
    <t>NAVERjm1979</t>
  </si>
  <si>
    <t>NAVERjm7672</t>
  </si>
  <si>
    <t>NAVERjmb_corpor</t>
  </si>
  <si>
    <t>NAVERjmjmhmo3</t>
  </si>
  <si>
    <t>NAVERjndeco</t>
  </si>
  <si>
    <t>NAVERjndshop77</t>
  </si>
  <si>
    <t>NAVERjnhwa</t>
  </si>
  <si>
    <t>NAVERjnjintl</t>
  </si>
  <si>
    <t>NAVERjnjsujo</t>
  </si>
  <si>
    <t>NAVERjnktrade18:naver</t>
  </si>
  <si>
    <t>NAVERjnpgift</t>
  </si>
  <si>
    <t>NAVERjnsystem</t>
  </si>
  <si>
    <t>NAVERjo140620</t>
  </si>
  <si>
    <t>NAVERjoeunkrinfilter:naver</t>
  </si>
  <si>
    <t>NAVERjohnkimk</t>
  </si>
  <si>
    <t>NAVERjohnlee79:naver</t>
  </si>
  <si>
    <t>NAVERjoio6432</t>
  </si>
  <si>
    <t>NAVERjokwangtnc</t>
  </si>
  <si>
    <t>NAVERjollinda</t>
  </si>
  <si>
    <t>NAVERjonghwaw:naver</t>
  </si>
  <si>
    <t>NAVERjongkyu1225:naver</t>
  </si>
  <si>
    <t>NAVERjongshin0501</t>
  </si>
  <si>
    <t>NAVERjonwoo2002</t>
  </si>
  <si>
    <t>NAVERjoo062911</t>
  </si>
  <si>
    <t>NAVERjoobong</t>
  </si>
  <si>
    <t>NAVERjoochan0930</t>
  </si>
  <si>
    <t>NAVERjoochan0930:naver</t>
  </si>
  <si>
    <t>NAVERjoolove:naver</t>
  </si>
  <si>
    <t>NAVERjoomaestro</t>
  </si>
  <si>
    <t>NAVERjoomangood</t>
  </si>
  <si>
    <t>NAVERjoongang2009</t>
  </si>
  <si>
    <t>NAVERjoonhao</t>
  </si>
  <si>
    <t>NAVERjoonkt</t>
  </si>
  <si>
    <t>NAVERjosanghwi</t>
  </si>
  <si>
    <t>NAVERjowoo2011:naver</t>
  </si>
  <si>
    <t>NAVERjoyful1275</t>
  </si>
  <si>
    <t>NAVERjoytape:naver</t>
  </si>
  <si>
    <t>NAVERjp1348</t>
  </si>
  <si>
    <t>NAVERjpack</t>
  </si>
  <si>
    <t>NAVERjpl3834</t>
  </si>
  <si>
    <t>NAVERjplogis</t>
  </si>
  <si>
    <t>NAVERjs1313</t>
  </si>
  <si>
    <t>NAVERjs4459</t>
  </si>
  <si>
    <t>NAVERjs8687</t>
  </si>
  <si>
    <t>NAVERjsashop</t>
  </si>
  <si>
    <t>NAVERjsbiolab</t>
  </si>
  <si>
    <t>NAVERjsc6069</t>
  </si>
  <si>
    <t>NAVERjscwoo</t>
  </si>
  <si>
    <t>NAVERjsh123</t>
  </si>
  <si>
    <t>NAVERjsh34055</t>
  </si>
  <si>
    <t>NAVERjshuh78:naver</t>
  </si>
  <si>
    <t>NAVERjslee6702</t>
  </si>
  <si>
    <t>NAVERjslifte1</t>
  </si>
  <si>
    <t>NAVERjsmedia</t>
  </si>
  <si>
    <t>NAVERjspark1964</t>
  </si>
  <si>
    <t>NAVERjsrack</t>
  </si>
  <si>
    <t>NAVERjss19755</t>
  </si>
  <si>
    <t>NAVERjssealing</t>
  </si>
  <si>
    <t>NAVERjstore0629</t>
  </si>
  <si>
    <t>NAVERjt2009</t>
  </si>
  <si>
    <t>NAVERjtj3256</t>
  </si>
  <si>
    <t>NAVERjtmobility</t>
  </si>
  <si>
    <t>NAVERjtokill</t>
  </si>
  <si>
    <t>NAVERjtp0798:naver</t>
  </si>
  <si>
    <t>NAVERju7113</t>
  </si>
  <si>
    <t>NAVERjuahnnlee</t>
  </si>
  <si>
    <t>NAVERjubang365hk:naver</t>
  </si>
  <si>
    <t>NAVERjudi2340</t>
  </si>
  <si>
    <t>NAVERjudie73</t>
  </si>
  <si>
    <t>NAVERjugles</t>
  </si>
  <si>
    <t>NAVERjun7136</t>
  </si>
  <si>
    <t>NAVERjungchu82</t>
  </si>
  <si>
    <t>NAVERjunghoon1164</t>
  </si>
  <si>
    <t>NAVERjungmiy70:naver</t>
  </si>
  <si>
    <t>NAVERjungon4</t>
  </si>
  <si>
    <t>NAVERjungtile</t>
  </si>
  <si>
    <t>NAVERjungwoogbag:naver</t>
  </si>
  <si>
    <t>NAVERjunk345</t>
  </si>
  <si>
    <t>NAVERjunkok</t>
  </si>
  <si>
    <t>NAVERjustg1976</t>
  </si>
  <si>
    <t>NAVERjuverawork</t>
  </si>
  <si>
    <t>NAVERjuvision</t>
  </si>
  <si>
    <t>NAVERjuyong0910</t>
  </si>
  <si>
    <t>NAVERjvcps629</t>
  </si>
  <si>
    <t>NAVERjw_maehong</t>
  </si>
  <si>
    <t>NAVERjw0711</t>
  </si>
  <si>
    <t>NAVERjw3566</t>
  </si>
  <si>
    <t>NAVERjw9870</t>
  </si>
  <si>
    <t>NAVERjwax</t>
  </si>
  <si>
    <t>NAVERjwfnb</t>
  </si>
  <si>
    <t>NAVERjwhy0527:naver</t>
  </si>
  <si>
    <t>NAVERjy365</t>
  </si>
  <si>
    <t>NAVERjy4494</t>
  </si>
  <si>
    <t>NAVERjyja2028:naver</t>
  </si>
  <si>
    <t>NAVERjylee6699</t>
  </si>
  <si>
    <t>NAVERjylogis79:naver</t>
  </si>
  <si>
    <t>NAVERjyoung2021</t>
  </si>
  <si>
    <t>NAVERjyproto</t>
  </si>
  <si>
    <t>NAVERjys911</t>
  </si>
  <si>
    <t>NAVERk_boarder:naver</t>
  </si>
  <si>
    <t>NAVERk0505</t>
  </si>
  <si>
    <t>NAVERk1123</t>
  </si>
  <si>
    <t>NAVERk2lelect</t>
  </si>
  <si>
    <t>NAVERk3522716</t>
  </si>
  <si>
    <t>NAVERk912_2089</t>
  </si>
  <si>
    <t>NAVERka302</t>
  </si>
  <si>
    <t>NAVERkacnet</t>
  </si>
  <si>
    <t>NAVERkahp01</t>
  </si>
  <si>
    <t>NAVERkakaoggong:naver</t>
  </si>
  <si>
    <t>NAVERkang6539</t>
  </si>
  <si>
    <t>NAVERkangda9819</t>
  </si>
  <si>
    <t>NAVERkangsun0117:naver</t>
  </si>
  <si>
    <t>NAVERkaplansgkr</t>
  </si>
  <si>
    <t>NAVERkaru07</t>
  </si>
  <si>
    <t>NAVERkasina202:naver</t>
  </si>
  <si>
    <t>NAVERkategorieseoul:naver</t>
  </si>
  <si>
    <t>NAVERkatzgirl:naver</t>
  </si>
  <si>
    <t>NAVERkaya2327</t>
  </si>
  <si>
    <t>NAVERkbatv</t>
  </si>
  <si>
    <t>NAVERkbelement7</t>
  </si>
  <si>
    <t>NAVERkbellows</t>
  </si>
  <si>
    <t>NAVERkbh841101:naver</t>
  </si>
  <si>
    <t>NAVERkbie1:naver</t>
  </si>
  <si>
    <t>NAVERkbjshop2012</t>
  </si>
  <si>
    <t>NAVERkbnet</t>
  </si>
  <si>
    <t>NAVERkc2424</t>
  </si>
  <si>
    <t>NAVERkcabiz</t>
  </si>
  <si>
    <t>NAVERkcfashion</t>
  </si>
  <si>
    <t>NAVERkcpackco:naver</t>
  </si>
  <si>
    <t>NAVERkcr1746</t>
  </si>
  <si>
    <t>NAVERkctdi</t>
  </si>
  <si>
    <t>NAVERkcu1958</t>
  </si>
  <si>
    <t>NAVERkcw5040</t>
  </si>
  <si>
    <t>NAVERkd12023</t>
  </si>
  <si>
    <t>NAVERkd5924:naver</t>
  </si>
  <si>
    <t>NAVERkdb2002</t>
  </si>
  <si>
    <t>NAVERkdglass</t>
  </si>
  <si>
    <t>NAVERkdglobal</t>
  </si>
  <si>
    <t>NAVERkdh951201:naver</t>
  </si>
  <si>
    <t>NAVERkdive2002</t>
  </si>
  <si>
    <t>NAVERkdj4040</t>
  </si>
  <si>
    <t>NAVERkdmain</t>
  </si>
  <si>
    <t>NAVERkdmes</t>
  </si>
  <si>
    <t>NAVERkdr717</t>
  </si>
  <si>
    <t>NAVERkds315</t>
  </si>
  <si>
    <t>NAVERkecimom2:naver</t>
  </si>
  <si>
    <t>NAVERkeosung1</t>
  </si>
  <si>
    <t>NAVERkernel2018:naver</t>
  </si>
  <si>
    <t>NAVERkesco</t>
  </si>
  <si>
    <t>NAVERkeuni76</t>
  </si>
  <si>
    <t>NAVERkevin789</t>
  </si>
  <si>
    <t>NAVERkeyfinder1:naver</t>
  </si>
  <si>
    <t>NAVERkfeng</t>
  </si>
  <si>
    <t>NAVERkfsysy99</t>
  </si>
  <si>
    <t>NAVERkg5050</t>
  </si>
  <si>
    <t>NAVERkg710206</t>
  </si>
  <si>
    <t>NAVERkgb8477:naver</t>
  </si>
  <si>
    <t>NAVERkh1075</t>
  </si>
  <si>
    <t>NAVERkha5285</t>
  </si>
  <si>
    <t>NAVERkhai99</t>
  </si>
  <si>
    <t>NAVERkhdigipro</t>
  </si>
  <si>
    <t>NAVERkhi1937</t>
  </si>
  <si>
    <t>NAVERkhj4483</t>
  </si>
  <si>
    <t>NAVERkhju0717:naver</t>
  </si>
  <si>
    <t>NAVERkhm990</t>
  </si>
  <si>
    <t>NAVERkhmkhm0121:naver</t>
  </si>
  <si>
    <t>NAVERkhs0675</t>
  </si>
  <si>
    <t>NAVERkht840622</t>
  </si>
  <si>
    <t>NAVERkhwasong</t>
  </si>
  <si>
    <t>NAVERki1212</t>
  </si>
  <si>
    <t>NAVERki4490</t>
  </si>
  <si>
    <t>NAVERki67512</t>
  </si>
  <si>
    <t>NAVERki67513</t>
  </si>
  <si>
    <t>NAVERkiabc7:naver</t>
  </si>
  <si>
    <t>NAVERkiboram:naver</t>
  </si>
  <si>
    <t>NAVERkichuri999</t>
  </si>
  <si>
    <t>NAVERkidsnuri0055</t>
  </si>
  <si>
    <t>NAVERkifid:naver</t>
  </si>
  <si>
    <t>NAVERkik2492:naver</t>
  </si>
  <si>
    <t>NAVERkiktvxp5:naver</t>
  </si>
  <si>
    <t>NAVERkikubo:naver</t>
  </si>
  <si>
    <t>NAVERkilsaelee</t>
  </si>
  <si>
    <t>NAVERkim_pro</t>
  </si>
  <si>
    <t>NAVERkim0420</t>
  </si>
  <si>
    <t>NAVERkim07300</t>
  </si>
  <si>
    <t>NAVERkim2019</t>
  </si>
  <si>
    <t>NAVERkim8327566</t>
  </si>
  <si>
    <t>NAVERkimasq</t>
  </si>
  <si>
    <t>NAVERkimchisarang</t>
  </si>
  <si>
    <t>NAVERkimgdom77</t>
  </si>
  <si>
    <t>NAVERkimgood0909:naver</t>
  </si>
  <si>
    <t>NAVERkimguno:naver</t>
  </si>
  <si>
    <t>NAVERkimiljung4</t>
  </si>
  <si>
    <t>NAVERkimilsu3099</t>
  </si>
  <si>
    <t>NAVERkimjisu323</t>
  </si>
  <si>
    <t>NAVERkimki3063</t>
  </si>
  <si>
    <t>NAVERkimm3911</t>
  </si>
  <si>
    <t>NAVERkimminff</t>
  </si>
  <si>
    <t>NAVERkimminsung</t>
  </si>
  <si>
    <t>NAVERkimmunsik2</t>
  </si>
  <si>
    <t>NAVERkimplant</t>
  </si>
  <si>
    <t>NAVERkimposw</t>
  </si>
  <si>
    <t>NAVERkims9467</t>
  </si>
  <si>
    <t>NAVERkimsbreast</t>
  </si>
  <si>
    <t>NAVERkimsrain</t>
  </si>
  <si>
    <t>NAVERkimws</t>
  </si>
  <si>
    <t>NAVERkin6706:naver</t>
  </si>
  <si>
    <t>NAVERkine311:naver</t>
  </si>
  <si>
    <t>NAVERkingsale88</t>
  </si>
  <si>
    <t>NAVERkioskkorea1</t>
  </si>
  <si>
    <t>NAVERkirby09</t>
  </si>
  <si>
    <t>NAVERkiruse78</t>
  </si>
  <si>
    <t>NAVERkis7024</t>
  </si>
  <si>
    <t>NAVERkisiskis2003</t>
  </si>
  <si>
    <t>NAVERkiyoon</t>
  </si>
  <si>
    <t>NAVERkiyoung2_2:naver</t>
  </si>
  <si>
    <t>NAVERkiz_b_0101:naver</t>
  </si>
  <si>
    <t>NAVERkj5000</t>
  </si>
  <si>
    <t>NAVERkjamex</t>
  </si>
  <si>
    <t>NAVERkjc54</t>
  </si>
  <si>
    <t>NAVERkjd0107</t>
  </si>
  <si>
    <t>NAVERkjh0959</t>
  </si>
  <si>
    <t>NAVERkjh1436</t>
  </si>
  <si>
    <t>NAVERkjh1538</t>
  </si>
  <si>
    <t>NAVERkjh6422</t>
  </si>
  <si>
    <t>NAVERkjhhi630313:naver</t>
  </si>
  <si>
    <t>NAVERkjhstyle</t>
  </si>
  <si>
    <t>NAVERkjin</t>
  </si>
  <si>
    <t>NAVERkjin923:naver</t>
  </si>
  <si>
    <t>NAVERkjj4785</t>
  </si>
  <si>
    <t>NAVERkjkj7780</t>
  </si>
  <si>
    <t>NAVERkjl0529:naver</t>
  </si>
  <si>
    <t>NAVERkjl9497</t>
  </si>
  <si>
    <t>NAVERkjpm2002</t>
  </si>
  <si>
    <t>NAVERkjpump</t>
  </si>
  <si>
    <t>NAVERkjrubber:naver</t>
  </si>
  <si>
    <t>NAVERkjw5051</t>
  </si>
  <si>
    <t>NAVERkjwmas:naver</t>
  </si>
  <si>
    <t>NAVERkjystory</t>
  </si>
  <si>
    <t>NAVERkk0301</t>
  </si>
  <si>
    <t>NAVERkk100403</t>
  </si>
  <si>
    <t>NAVERkkb5482</t>
  </si>
  <si>
    <t>NAVERkkc2046</t>
  </si>
  <si>
    <t>NAVERkkjh620602</t>
  </si>
  <si>
    <t>NAVERkkkj3044:naver</t>
  </si>
  <si>
    <t>NAVERkkm110</t>
  </si>
  <si>
    <t>NAVERkkm7111:naver</t>
  </si>
  <si>
    <t>NAVERkkm775500</t>
  </si>
  <si>
    <t>NAVERkkmicro</t>
  </si>
  <si>
    <t>NAVERkkokko21</t>
  </si>
  <si>
    <t>NAVERkks2518</t>
  </si>
  <si>
    <t>NAVERkks4475</t>
  </si>
  <si>
    <t>NAVERkkw0183ej</t>
  </si>
  <si>
    <t>NAVERklaircon_official:naver</t>
  </si>
  <si>
    <t>NAVERklaircons</t>
  </si>
  <si>
    <t>NAVERklinelex</t>
  </si>
  <si>
    <t>NAVERkliving</t>
  </si>
  <si>
    <t>NAVERklsys7133</t>
  </si>
  <si>
    <t>NAVERkluber</t>
  </si>
  <si>
    <t>NAVERkm1262</t>
  </si>
  <si>
    <t>NAVERkm3933</t>
  </si>
  <si>
    <t>NAVERkma7716</t>
  </si>
  <si>
    <t>NAVERkmask2020:naver</t>
  </si>
  <si>
    <t>NAVERkmd2199</t>
  </si>
  <si>
    <t>NAVERkmeshop</t>
  </si>
  <si>
    <t>NAVERkmj901027:naver</t>
  </si>
  <si>
    <t>NAVERkmmr12</t>
  </si>
  <si>
    <t>NAVERkms0513</t>
  </si>
  <si>
    <t>NAVERkmss3345</t>
  </si>
  <si>
    <t>NAVERkmtech2007</t>
  </si>
  <si>
    <t>NAVERkmy0155:naver</t>
  </si>
  <si>
    <t>NAVERkn8225</t>
  </si>
  <si>
    <t>NAVERknetbiz</t>
  </si>
  <si>
    <t>NAVERknh151597:naver</t>
  </si>
  <si>
    <t>NAVERknmailbox</t>
  </si>
  <si>
    <t>NAVERkns_golf</t>
  </si>
  <si>
    <t>NAVERknwang</t>
  </si>
  <si>
    <t>NAVERkoad7082</t>
  </si>
  <si>
    <t>NAVERkoamhotel</t>
  </si>
  <si>
    <t>NAVERkobat</t>
  </si>
  <si>
    <t>NAVERkochab8</t>
  </si>
  <si>
    <t>NAVERkogaeja</t>
  </si>
  <si>
    <t>NAVERkogurean1</t>
  </si>
  <si>
    <t>NAVERkohwoonc</t>
  </si>
  <si>
    <t>NAVERkoilcorp</t>
  </si>
  <si>
    <t>NAVERkokang</t>
  </si>
  <si>
    <t>NAVERkokoro8308</t>
  </si>
  <si>
    <t>NAVERkomocim</t>
  </si>
  <si>
    <t>NAVERkonaqueens</t>
  </si>
  <si>
    <t>NAVERkondaesungmo:naver</t>
  </si>
  <si>
    <t>NAVERkoneinfo</t>
  </si>
  <si>
    <t>NAVERkongdreamskin:naver</t>
  </si>
  <si>
    <t>NAVERkongkong2_kim:naver</t>
  </si>
  <si>
    <t>NAVERkonnecthing</t>
  </si>
  <si>
    <t>NAVERkook21</t>
  </si>
  <si>
    <t>NAVERkordinginc</t>
  </si>
  <si>
    <t>NAVERkore1519:naver</t>
  </si>
  <si>
    <t>NAVERkorea2153</t>
  </si>
  <si>
    <t>NAVERkorea3298:naver</t>
  </si>
  <si>
    <t>NAVERkoreadain</t>
  </si>
  <si>
    <t>NAVERkoreadc</t>
  </si>
  <si>
    <t>NAVERkoreanew</t>
  </si>
  <si>
    <t>NAVERkoreaspacein</t>
  </si>
  <si>
    <t>NAVERkori3234</t>
  </si>
  <si>
    <t>NAVERkorlight</t>
  </si>
  <si>
    <t>NAVERkoryolaser:naver</t>
  </si>
  <si>
    <t>NAVERkosmos2017</t>
  </si>
  <si>
    <t>NAVERkowon7900</t>
  </si>
  <si>
    <t>NAVERkpcc7080</t>
  </si>
  <si>
    <t>NAVERkpma</t>
  </si>
  <si>
    <t>NAVERkpp4125</t>
  </si>
  <si>
    <t>NAVERkpp4126</t>
  </si>
  <si>
    <t>NAVERkpp4127</t>
  </si>
  <si>
    <t>NAVERkpp4128</t>
  </si>
  <si>
    <t>NAVERkpp4129</t>
  </si>
  <si>
    <t>NAVERkptool</t>
  </si>
  <si>
    <t>NAVERkr_kim_0915</t>
  </si>
  <si>
    <t>NAVERkr042504</t>
  </si>
  <si>
    <t>NAVERkrm2545</t>
  </si>
  <si>
    <t>NAVERkrobo</t>
  </si>
  <si>
    <t>NAVERkrr9444</t>
  </si>
  <si>
    <t>NAVERkrs8001</t>
  </si>
  <si>
    <t>NAVERks20713</t>
  </si>
  <si>
    <t>NAVERks7989</t>
  </si>
  <si>
    <t>NAVERksa9080</t>
  </si>
  <si>
    <t>NAVERksb8643</t>
  </si>
  <si>
    <t>NAVERksdaesung</t>
  </si>
  <si>
    <t>NAVERkspack922</t>
  </si>
  <si>
    <t>NAVERkss1992kr</t>
  </si>
  <si>
    <t>NAVERkss3580</t>
  </si>
  <si>
    <t>NAVERkst8893</t>
  </si>
  <si>
    <t>NAVERkstarhit</t>
  </si>
  <si>
    <t>NAVERkstechsf</t>
  </si>
  <si>
    <t>NAVERksy30120</t>
  </si>
  <si>
    <t>NAVERkta55:naver</t>
  </si>
  <si>
    <t>NAVERktd7410736</t>
  </si>
  <si>
    <t>NAVERktech31:naver</t>
  </si>
  <si>
    <t>NAVERkth_vodshop</t>
  </si>
  <si>
    <t>NAVERkth10051</t>
  </si>
  <si>
    <t>NAVERkth1622</t>
  </si>
  <si>
    <t>NAVERkth7701</t>
  </si>
  <si>
    <t>NAVERkthdhealth</t>
  </si>
  <si>
    <t>NAVERktjgu</t>
  </si>
  <si>
    <t>NAVERkty0234</t>
  </si>
  <si>
    <t>NAVERkukjetrad12</t>
  </si>
  <si>
    <t>NAVERkukminhealth</t>
  </si>
  <si>
    <t>NAVERkum5141</t>
  </si>
  <si>
    <t>NAVERkumhwaid:naver</t>
  </si>
  <si>
    <t>NAVERkumkang2000</t>
  </si>
  <si>
    <t>NAVERkumo2016</t>
  </si>
  <si>
    <t>NAVERkumogk59</t>
  </si>
  <si>
    <t>NAVERkumon123</t>
  </si>
  <si>
    <t>NAVERkumsungstudio:naver</t>
  </si>
  <si>
    <t>NAVERkuponoodle:naver</t>
  </si>
  <si>
    <t>NAVERkurukang</t>
  </si>
  <si>
    <t>NAVERkvc</t>
  </si>
  <si>
    <t>NAVERkw0049</t>
  </si>
  <si>
    <t>NAVERkw0900</t>
  </si>
  <si>
    <t>NAVERkw5487</t>
  </si>
  <si>
    <t>NAVERkwak2230:naver</t>
  </si>
  <si>
    <t>NAVERkwakouo</t>
  </si>
  <si>
    <t>NAVERkwanml77</t>
  </si>
  <si>
    <t>NAVERkweather</t>
  </si>
  <si>
    <t>NAVERkwg2948</t>
  </si>
  <si>
    <t>NAVERkwh7902</t>
  </si>
  <si>
    <t>NAVERkwjkwj0926:naver</t>
  </si>
  <si>
    <t>NAVERkwonhj1106:naver</t>
  </si>
  <si>
    <t>NAVERkwoollim</t>
  </si>
  <si>
    <t>NAVERkww6132</t>
  </si>
  <si>
    <t>NAVERkwwh0080:naver</t>
  </si>
  <si>
    <t>NAVERky8014</t>
  </si>
  <si>
    <t>NAVERkyc560918</t>
  </si>
  <si>
    <t>NAVERkyc9189</t>
  </si>
  <si>
    <t>NAVERkyjsell</t>
  </si>
  <si>
    <t>NAVERkyoik9222:naver</t>
  </si>
  <si>
    <t>NAVERkyowonedum</t>
  </si>
  <si>
    <t>NAVERkyowontheorm</t>
  </si>
  <si>
    <t>NAVERkys3653</t>
  </si>
  <si>
    <t>NAVERkyungdo320</t>
  </si>
  <si>
    <t>NAVERkyungrimco</t>
  </si>
  <si>
    <t>NAVERl5866m:naver</t>
  </si>
  <si>
    <t>NAVERl860923l:naver</t>
  </si>
  <si>
    <t>NAVERla2174:naver</t>
  </si>
  <si>
    <t>NAVERlabclub</t>
  </si>
  <si>
    <t>NAVERlaboon0502:naver</t>
  </si>
  <si>
    <t>NAVERlacasa_gm</t>
  </si>
  <si>
    <t>NAVERlacasa527</t>
  </si>
  <si>
    <t>NAVERlacheln</t>
  </si>
  <si>
    <t>NAVERlachinata</t>
  </si>
  <si>
    <t>NAVERlaimmu66:naver</t>
  </si>
  <si>
    <t>NAVERlalaview1:naver</t>
  </si>
  <si>
    <t>NAVERlamp_1003:naver</t>
  </si>
  <si>
    <t>NAVERlancel79:naver</t>
  </si>
  <si>
    <t>NAVERlane0801</t>
  </si>
  <si>
    <t>NAVERlanmart</t>
  </si>
  <si>
    <t>NAVERlaonspeechsc</t>
  </si>
  <si>
    <t>NAVERlaonsplmj</t>
  </si>
  <si>
    <t>NAVERlasalkorea:naver</t>
  </si>
  <si>
    <t>NAVERlatexkorea</t>
  </si>
  <si>
    <t>NAVERlatte_papa</t>
  </si>
  <si>
    <t>NAVERlaundrysolution:naver</t>
  </si>
  <si>
    <t>NAVERlaurawine:naver</t>
  </si>
  <si>
    <t>NAVERlavien</t>
  </si>
  <si>
    <t>NAVERlavien_pink:naver</t>
  </si>
  <si>
    <t>NAVERlavita08:naver</t>
  </si>
  <si>
    <t>NAVERlawfirmdaejin:naver</t>
  </si>
  <si>
    <t>NAVERlawnus</t>
  </si>
  <si>
    <t>NAVERlbbkorea</t>
  </si>
  <si>
    <t>NAVERlbh6134</t>
  </si>
  <si>
    <t>NAVERlcs1478</t>
  </si>
  <si>
    <t>NAVERlcys</t>
  </si>
  <si>
    <t>NAVERldh0346</t>
  </si>
  <si>
    <t>NAVERldh930301:naver</t>
  </si>
  <si>
    <t>NAVERldmedia0</t>
  </si>
  <si>
    <t>NAVERldw4652</t>
  </si>
  <si>
    <t>NAVERldw7167</t>
  </si>
  <si>
    <t>NAVERleaddesign</t>
  </si>
  <si>
    <t>NAVERleaders365</t>
  </si>
  <si>
    <t>NAVERleaflio:naver</t>
  </si>
  <si>
    <t>NAVERledcenter4840:naver</t>
  </si>
  <si>
    <t>NAVERleddis</t>
  </si>
  <si>
    <t>NAVERledok8</t>
  </si>
  <si>
    <t>NAVERlee2435559</t>
  </si>
  <si>
    <t>NAVERlee3082</t>
  </si>
  <si>
    <t>NAVERleebboms</t>
  </si>
  <si>
    <t>NAVERleebnbpop</t>
  </si>
  <si>
    <t>NAVERleebnbpop:naver</t>
  </si>
  <si>
    <t>NAVERleech0408</t>
  </si>
  <si>
    <t>NAVERleehobum85</t>
  </si>
  <si>
    <t>NAVERleeja486rr</t>
  </si>
  <si>
    <t>NAVERleejs9210</t>
  </si>
  <si>
    <t>NAVERleenos</t>
  </si>
  <si>
    <t>NAVERlees9713:naver</t>
  </si>
  <si>
    <t>NAVERleesangjun68</t>
  </si>
  <si>
    <t>NAVERleesbong3669</t>
  </si>
  <si>
    <t>NAVERleesibong65</t>
  </si>
  <si>
    <t>NAVERleesubok75</t>
  </si>
  <si>
    <t>NAVERleh0109</t>
  </si>
  <si>
    <t>NAVERleipang24</t>
  </si>
  <si>
    <t>NAVERlelab_official:naver</t>
  </si>
  <si>
    <t>NAVERlemonmail</t>
  </si>
  <si>
    <t>NAVERleoholdings:naver</t>
  </si>
  <si>
    <t>NAVERleroiq12</t>
  </si>
  <si>
    <t>NAVERlesslabs:naver</t>
  </si>
  <si>
    <t>NAVERletalk_official:naver</t>
  </si>
  <si>
    <t>NAVERlethogy</t>
  </si>
  <si>
    <t>NAVERlfnetworks</t>
  </si>
  <si>
    <t>NAVERlgm8152:naver</t>
  </si>
  <si>
    <t>NAVERlgp000813</t>
  </si>
  <si>
    <t>NAVERlgreen8518</t>
  </si>
  <si>
    <t>NAVERlgtotalid:naver</t>
  </si>
  <si>
    <t>NAVERlgxnote</t>
  </si>
  <si>
    <t>NAVERlhc1105:naver</t>
  </si>
  <si>
    <t>NAVERlhcoo2378</t>
  </si>
  <si>
    <t>NAVERlhl1080:naver</t>
  </si>
  <si>
    <t>NAVERlhm828:naver</t>
  </si>
  <si>
    <t>NAVERlhs15</t>
  </si>
  <si>
    <t>NAVERlhw021300:naver</t>
  </si>
  <si>
    <t>NAVERlhw4755</t>
  </si>
  <si>
    <t>NAVERlhy4022</t>
  </si>
  <si>
    <t>NAVERlianbeankn</t>
  </si>
  <si>
    <t>NAVERlianpack</t>
  </si>
  <si>
    <t>NAVERlife_sense:naver</t>
  </si>
  <si>
    <t>NAVERlifejump</t>
  </si>
  <si>
    <t>NAVERlifetem2019</t>
  </si>
  <si>
    <t>NAVERlifilltoxclinic:naver</t>
  </si>
  <si>
    <t>NAVERlikeit_sports:naver</t>
  </si>
  <si>
    <t>NAVERliliscent</t>
  </si>
  <si>
    <t>NAVERlim1718</t>
  </si>
  <si>
    <t>NAVERlim51366</t>
  </si>
  <si>
    <t>NAVERlim513666</t>
  </si>
  <si>
    <t>NAVERlim5136666</t>
  </si>
  <si>
    <t>NAVERlime9513:naver</t>
  </si>
  <si>
    <t>NAVERlimeh06588</t>
  </si>
  <si>
    <t>NAVERlimh0124</t>
  </si>
  <si>
    <t>NAVERlimsungil196</t>
  </si>
  <si>
    <t>NAVERlinda2568</t>
  </si>
  <si>
    <t>NAVERline1675</t>
  </si>
  <si>
    <t>NAVERlinenmart:naver</t>
  </si>
  <si>
    <t>NAVERlinepluscosmetics:naver</t>
  </si>
  <si>
    <t>NAVERlinesys1</t>
  </si>
  <si>
    <t>NAVERlion8711:naver</t>
  </si>
  <si>
    <t>NAVERlions21</t>
  </si>
  <si>
    <t>NAVERlivingit</t>
  </si>
  <si>
    <t>NAVERlivingn</t>
  </si>
  <si>
    <t>NAVERlizcoco21:naver</t>
  </si>
  <si>
    <t>NAVERlizhe_101</t>
  </si>
  <si>
    <t>NAVERlja5406</t>
  </si>
  <si>
    <t>NAVERljc4239</t>
  </si>
  <si>
    <t>NAVERlji7202</t>
  </si>
  <si>
    <t>NAVERljj2213</t>
  </si>
  <si>
    <t>NAVERljk4555</t>
  </si>
  <si>
    <t>NAVERljm0415</t>
  </si>
  <si>
    <t>NAVERljm89019:naver</t>
  </si>
  <si>
    <t>NAVERljtwo3380:naver</t>
  </si>
  <si>
    <t>NAVERljtwo33800:naver</t>
  </si>
  <si>
    <t>NAVERlk1273</t>
  </si>
  <si>
    <t>NAVERlk7775</t>
  </si>
  <si>
    <t>NAVERlk820226:naver</t>
  </si>
  <si>
    <t>NAVERlkheon82</t>
  </si>
  <si>
    <t>NAVERlkj2916</t>
  </si>
  <si>
    <t>NAVERlkjg3330</t>
  </si>
  <si>
    <t>NAVERlks2821</t>
  </si>
  <si>
    <t>NAVERlks7537002:naver</t>
  </si>
  <si>
    <t>NAVERll4782ll</t>
  </si>
  <si>
    <t>NAVERllb1106:naver</t>
  </si>
  <si>
    <t>NAVERlldygs</t>
  </si>
  <si>
    <t>NAVERlliche01</t>
  </si>
  <si>
    <t>NAVERlmg1251</t>
  </si>
  <si>
    <t>NAVERlnbmusic</t>
  </si>
  <si>
    <t>NAVERlnhc0826:naver</t>
  </si>
  <si>
    <t>NAVERlnskjh6303</t>
  </si>
  <si>
    <t>NAVERlocopartners</t>
  </si>
  <si>
    <t>NAVERlocusyoo</t>
  </si>
  <si>
    <t>NAVERlogclean</t>
  </si>
  <si>
    <t>NAVERlogplay</t>
  </si>
  <si>
    <t>NAVERlohas_blind</t>
  </si>
  <si>
    <t>NAVERloloin:naver</t>
  </si>
  <si>
    <t>NAVERloma3060:naver</t>
  </si>
  <si>
    <t>NAVERlongchina</t>
  </si>
  <si>
    <t>NAVERlonysm7</t>
  </si>
  <si>
    <t>NAVERlooe1220</t>
  </si>
  <si>
    <t>NAVERloofen11</t>
  </si>
  <si>
    <t>NAVERlookaround9059:naver</t>
  </si>
  <si>
    <t>NAVERlookatitok</t>
  </si>
  <si>
    <t>NAVERlookin2021</t>
  </si>
  <si>
    <t>NAVERlopi002:naver</t>
  </si>
  <si>
    <t>NAVERlotteimall</t>
  </si>
  <si>
    <t>NAVERlotteimall2</t>
  </si>
  <si>
    <t>NAVERlottesports1</t>
  </si>
  <si>
    <t>NAVERlottesuper</t>
  </si>
  <si>
    <t>NAVERlottocoffee21:naver</t>
  </si>
  <si>
    <t>NAVERlottoone</t>
  </si>
  <si>
    <t>NAVERlotus1250</t>
  </si>
  <si>
    <t>NAVERlotus1251</t>
  </si>
  <si>
    <t>NAVERlotus1252</t>
  </si>
  <si>
    <t>NAVERlovejs1987</t>
  </si>
  <si>
    <t>NAVERlovemell</t>
  </si>
  <si>
    <t>NAVERloveyouth</t>
  </si>
  <si>
    <t>NAVERlowti</t>
  </si>
  <si>
    <t>NAVERls3864</t>
  </si>
  <si>
    <t>NAVERlsg076</t>
  </si>
  <si>
    <t>NAVERlsh1987</t>
  </si>
  <si>
    <t>NAVERlsh4340:naver</t>
  </si>
  <si>
    <t>NAVERlsh7200</t>
  </si>
  <si>
    <t>NAVERlsmeee:naver</t>
  </si>
  <si>
    <t>NAVERlsrudalsrud:naver</t>
  </si>
  <si>
    <t>NAVERlsw0556</t>
  </si>
  <si>
    <t>NAVERltakorea</t>
  </si>
  <si>
    <t>NAVERlty1202</t>
  </si>
  <si>
    <t>NAVERluckybuddha:naver</t>
  </si>
  <si>
    <t>NAVERluckygosong</t>
  </si>
  <si>
    <t>NAVERlululu25</t>
  </si>
  <si>
    <t>NAVERluna215</t>
  </si>
  <si>
    <t>NAVERluvluvum</t>
  </si>
  <si>
    <t>NAVERluxkeeper</t>
  </si>
  <si>
    <t>NAVERluxrealto</t>
  </si>
  <si>
    <t>NAVERlwelec</t>
  </si>
  <si>
    <t>NAVERlykkk88:naver</t>
  </si>
  <si>
    <t>NAVERlyt2535</t>
  </si>
  <si>
    <t>NAVERm120512</t>
  </si>
  <si>
    <t>NAVERm2685270:naver</t>
  </si>
  <si>
    <t>NAVERm5582:naver</t>
  </si>
  <si>
    <t>NAVERma595</t>
  </si>
  <si>
    <t>NAVERma7182</t>
  </si>
  <si>
    <t>NAVERmaadstudio</t>
  </si>
  <si>
    <t>NAVERmabel</t>
  </si>
  <si>
    <t>NAVERmacgai7</t>
  </si>
  <si>
    <t>NAVERmacgyber</t>
  </si>
  <si>
    <t>NAVERmacgyber2</t>
  </si>
  <si>
    <t>NAVERmachumcar</t>
  </si>
  <si>
    <t>NAVERmadae114</t>
  </si>
  <si>
    <t>NAVERmagachem</t>
  </si>
  <si>
    <t>NAVERmagic8100</t>
  </si>
  <si>
    <t>NAVERmakeprem</t>
  </si>
  <si>
    <t>NAVERmakers79</t>
  </si>
  <si>
    <t>NAVERmalldeview</t>
  </si>
  <si>
    <t>NAVERmam2apa:naver</t>
  </si>
  <si>
    <t>NAVERmamamiya211</t>
  </si>
  <si>
    <t>NAVERmamapapa</t>
  </si>
  <si>
    <t>NAVERmanbok710</t>
  </si>
  <si>
    <t>NAVERmando2</t>
  </si>
  <si>
    <t>NAVERmandor3</t>
  </si>
  <si>
    <t>NAVERmandyoung</t>
  </si>
  <si>
    <t>NAVERmanforce123</t>
  </si>
  <si>
    <t>NAVERmanmul08</t>
  </si>
  <si>
    <t>NAVERmarbleps</t>
  </si>
  <si>
    <t>NAVERmarcs</t>
  </si>
  <si>
    <t>NAVERmaria870</t>
  </si>
  <si>
    <t>NAVERmarin910</t>
  </si>
  <si>
    <t>NAVERmarktech03</t>
  </si>
  <si>
    <t>NAVERmarpecare</t>
  </si>
  <si>
    <t>NAVERmarunet0:naver</t>
  </si>
  <si>
    <t>NAVERmaruplan2:naver</t>
  </si>
  <si>
    <t>NAVERmary194</t>
  </si>
  <si>
    <t>NAVERmasako0720</t>
  </si>
  <si>
    <t>NAVERmaster5559:naver</t>
  </si>
  <si>
    <t>NAVERmatindigital</t>
  </si>
  <si>
    <t>NAVERmatrixwakeup</t>
  </si>
  <si>
    <t>NAVERmatwoori</t>
  </si>
  <si>
    <t>NAVERmaumnamu</t>
  </si>
  <si>
    <t>NAVERmbcdoctor</t>
  </si>
  <si>
    <t>NAVERmbikorea</t>
  </si>
  <si>
    <t>NAVERmbk2920</t>
  </si>
  <si>
    <t>NAVERmcforest:naver</t>
  </si>
  <si>
    <t>NAVERmcnultybio:naver</t>
  </si>
  <si>
    <t>NAVERmcnylon</t>
  </si>
  <si>
    <t>NAVERmcsl_table</t>
  </si>
  <si>
    <t>NAVERmcsys1000</t>
  </si>
  <si>
    <t>NAVERmd1183111:naver</t>
  </si>
  <si>
    <t>NAVERmdanalsugery:naver</t>
  </si>
  <si>
    <t>NAVERmdbdkr</t>
  </si>
  <si>
    <t>NAVERmdigg01</t>
  </si>
  <si>
    <t>NAVERmdmins</t>
  </si>
  <si>
    <t>NAVERmdreamskr19</t>
  </si>
  <si>
    <t>NAVERmdskorea</t>
  </si>
  <si>
    <t>NAVERmduk2635</t>
  </si>
  <si>
    <t>NAVERmec97:naver</t>
  </si>
  <si>
    <t>NAVERmeccaplus</t>
  </si>
  <si>
    <t>NAVERmechanix666:naver</t>
  </si>
  <si>
    <t>NAVERmecks0819:naver</t>
  </si>
  <si>
    <t>NAVERmediadu:naver</t>
  </si>
  <si>
    <t>NAVERmediavalley12:naver</t>
  </si>
  <si>
    <t>NAVERmedicats</t>
  </si>
  <si>
    <t>NAVERmedicheckin</t>
  </si>
  <si>
    <t>NAVERmedicompany</t>
  </si>
  <si>
    <t>NAVERmedimecca</t>
  </si>
  <si>
    <t>NAVERmeditree12</t>
  </si>
  <si>
    <t>NAVERmeegunenc</t>
  </si>
  <si>
    <t>NAVERmeeneex4</t>
  </si>
  <si>
    <t>NAVERmeeneex5</t>
  </si>
  <si>
    <t>NAVERmeetyeo</t>
  </si>
  <si>
    <t>NAVERmegablue</t>
  </si>
  <si>
    <t>NAVERmeharoad</t>
  </si>
  <si>
    <t>NAVERmekeng</t>
  </si>
  <si>
    <t>NAVERmeliens</t>
  </si>
  <si>
    <t>NAVERmelinedm</t>
  </si>
  <si>
    <t>NAVERmenokin</t>
  </si>
  <si>
    <t>NAVERmenpower7544:naver</t>
  </si>
  <si>
    <t>NAVERmenuha2000</t>
  </si>
  <si>
    <t>NAVERmerje</t>
  </si>
  <si>
    <t>NAVERmesacompany</t>
  </si>
  <si>
    <t>NAVERmetanetmcc</t>
  </si>
  <si>
    <t>NAVERmethebest</t>
  </si>
  <si>
    <t>NAVERmgchina</t>
  </si>
  <si>
    <t>NAVERmghamho</t>
  </si>
  <si>
    <t>NAVERmgiup</t>
  </si>
  <si>
    <t>NAVERmgl0001</t>
  </si>
  <si>
    <t>NAVERmhchoi8700</t>
  </si>
  <si>
    <t>NAVERmhoon01</t>
  </si>
  <si>
    <t>NAVERmia2177</t>
  </si>
  <si>
    <t>NAVERmibebeoz</t>
  </si>
  <si>
    <t>NAVERmicorp1:naver</t>
  </si>
  <si>
    <t>NAVERmidamhi:naver</t>
  </si>
  <si>
    <t>NAVERmidwifelee:naver</t>
  </si>
  <si>
    <t>NAVERmielle3</t>
  </si>
  <si>
    <t>NAVERmightyan</t>
  </si>
  <si>
    <t>NAVERmihwa9681</t>
  </si>
  <si>
    <t>NAVERmijinsys</t>
  </si>
  <si>
    <t>NAVERmillesia</t>
  </si>
  <si>
    <t>NAVERmillingind</t>
  </si>
  <si>
    <t>NAVERmimi579</t>
  </si>
  <si>
    <t>NAVERmin1223</t>
  </si>
  <si>
    <t>NAVERmin5253491:naver</t>
  </si>
  <si>
    <t>NAVERminam0474</t>
  </si>
  <si>
    <t>NAVERminealliance</t>
  </si>
  <si>
    <t>NAVERmineco</t>
  </si>
  <si>
    <t>NAVERminewonta:naver</t>
  </si>
  <si>
    <t>NAVERminikiland:naver</t>
  </si>
  <si>
    <t>NAVERmintsng2022:naver</t>
  </si>
  <si>
    <t>NAVERmipull</t>
  </si>
  <si>
    <t>NAVERmir9</t>
  </si>
  <si>
    <t>NAVERmirae01</t>
  </si>
  <si>
    <t>NAVERmirae4206</t>
  </si>
  <si>
    <t>NAVERmirae434</t>
  </si>
  <si>
    <t>NAVERmirae73</t>
  </si>
  <si>
    <t>NAVERmiraeenv</t>
  </si>
  <si>
    <t>NAVERmiraehk</t>
  </si>
  <si>
    <t>NAVERmirage5921</t>
  </si>
  <si>
    <t>NAVERmire2234</t>
  </si>
  <si>
    <t>NAVERmireng2013</t>
  </si>
  <si>
    <t>NAVERmirim</t>
  </si>
  <si>
    <t>NAVERmisiktable</t>
  </si>
  <si>
    <t>NAVERmiskos</t>
  </si>
  <si>
    <t>NAVERmiso_cu</t>
  </si>
  <si>
    <t>NAVERmiso62</t>
  </si>
  <si>
    <t>NAVERmissen13</t>
  </si>
  <si>
    <t>NAVERmissiodei</t>
  </si>
  <si>
    <t>NAVERmisunglove2</t>
  </si>
  <si>
    <t>NAVERmitech</t>
  </si>
  <si>
    <t>NAVERmiuuim:naver</t>
  </si>
  <si>
    <t>NAVERmj950627:naver</t>
  </si>
  <si>
    <t>NAVERmjbelly</t>
  </si>
  <si>
    <t>NAVERmjk112411:naver</t>
  </si>
  <si>
    <t>NAVERmjk6029</t>
  </si>
  <si>
    <t>NAVERmjsyskr</t>
  </si>
  <si>
    <t>NAVERmkcallvan</t>
  </si>
  <si>
    <t>NAVERmkeng02</t>
  </si>
  <si>
    <t>NAVERmkkoreaec</t>
  </si>
  <si>
    <t>NAVERmkoreamall:naver</t>
  </si>
  <si>
    <t>NAVERmktelecoms</t>
  </si>
  <si>
    <t>NAVERmldoor</t>
  </si>
  <si>
    <t>NAVERmmp</t>
  </si>
  <si>
    <t>NAVERmmspace9</t>
  </si>
  <si>
    <t>NAVERmnec9889:naver</t>
  </si>
  <si>
    <t>NAVERmoabank</t>
  </si>
  <si>
    <t>NAVERmoapower</t>
  </si>
  <si>
    <t>NAVERmoaso0509</t>
  </si>
  <si>
    <t>NAVERmobidoo</t>
  </si>
  <si>
    <t>NAVERmobiletour</t>
  </si>
  <si>
    <t>NAVERmobyscomfort</t>
  </si>
  <si>
    <t>NAVERmocons</t>
  </si>
  <si>
    <t>NAVERmode_27</t>
  </si>
  <si>
    <t>NAVERmode17</t>
  </si>
  <si>
    <t>NAVERmodelsale</t>
  </si>
  <si>
    <t>NAVERmodesty1212:naver</t>
  </si>
  <si>
    <t>NAVERmodoo6638:naver</t>
  </si>
  <si>
    <t>NAVERmodupanda</t>
  </si>
  <si>
    <t>NAVERmoens2018</t>
  </si>
  <si>
    <t>NAVERmoggoge</t>
  </si>
  <si>
    <t>NAVERmoing</t>
  </si>
  <si>
    <t>NAVERmokdongbg21</t>
  </si>
  <si>
    <t>NAVERmoksoo1</t>
  </si>
  <si>
    <t>NAVERmoksurang</t>
  </si>
  <si>
    <t>NAVERmokyang</t>
  </si>
  <si>
    <t>NAVERmomjari1_</t>
  </si>
  <si>
    <t>NAVERmomnoko:naver</t>
  </si>
  <si>
    <t>NAVERmomo7724</t>
  </si>
  <si>
    <t>NAVERmomosang4:naver</t>
  </si>
  <si>
    <t>NAVERmomoz2580</t>
  </si>
  <si>
    <t>NAVERmoms-cookingbox:naver</t>
  </si>
  <si>
    <t>NAVERmomsori</t>
  </si>
  <si>
    <t>NAVERmonaco5544:naver</t>
  </si>
  <si>
    <t>NAVERmondrianseoulitaewon:naver</t>
  </si>
  <si>
    <t>NAVERmongdang1004</t>
  </si>
  <si>
    <t>NAVERmongmare:naver</t>
  </si>
  <si>
    <t>NAVERmonitorlee</t>
  </si>
  <si>
    <t>NAVERmonkiz:naver</t>
  </si>
  <si>
    <t>NAVERmontable_official:naver</t>
  </si>
  <si>
    <t>NAVERmoogigae11</t>
  </si>
  <si>
    <t>NAVERmooki84</t>
  </si>
  <si>
    <t>NAVERmoomk2004</t>
  </si>
  <si>
    <t>NAVERmoon4485</t>
  </si>
  <si>
    <t>NAVERmoonlike1025</t>
  </si>
  <si>
    <t>NAVERmosimwigs:naver</t>
  </si>
  <si>
    <t>NAVERmostar</t>
  </si>
  <si>
    <t>NAVERmostar1212</t>
  </si>
  <si>
    <t>NAVERmotioncareds:naver</t>
  </si>
  <si>
    <t>NAVERmotordeal009</t>
  </si>
  <si>
    <t>NAVERmotorway</t>
  </si>
  <si>
    <t>NAVERmoungjin</t>
  </si>
  <si>
    <t>NAVERmow5190707</t>
  </si>
  <si>
    <t>NAVERmpacplus</t>
  </si>
  <si>
    <t>NAVERmpline</t>
  </si>
  <si>
    <t>NAVERmplus_3901:naver</t>
  </si>
  <si>
    <t>NAVERmpros</t>
  </si>
  <si>
    <t>NAVERmps4981:naver</t>
  </si>
  <si>
    <t>NAVERmr-living:naver</t>
  </si>
  <si>
    <t>NAVERmr2703</t>
  </si>
  <si>
    <t>NAVERmr3jjang</t>
  </si>
  <si>
    <t>NAVERmred6462</t>
  </si>
  <si>
    <t>NAVERmrk</t>
  </si>
  <si>
    <t>NAVERmrlighting1</t>
  </si>
  <si>
    <t>NAVERms2k</t>
  </si>
  <si>
    <t>NAVERms3370921:naver</t>
  </si>
  <si>
    <t>NAVERmsh0819</t>
  </si>
  <si>
    <t>NAVERmsn0609</t>
  </si>
  <si>
    <t>NAVERmst6643</t>
  </si>
  <si>
    <t>NAVERmsunhe2:naver</t>
  </si>
  <si>
    <t>NAVERmsy</t>
  </si>
  <si>
    <t>NAVERmtherapy7</t>
  </si>
  <si>
    <t>NAVERmtv</t>
  </si>
  <si>
    <t>NAVERmugboya16:naver</t>
  </si>
  <si>
    <t>NAVERmuka0000</t>
  </si>
  <si>
    <t>NAVERmukmine</t>
  </si>
  <si>
    <t>NAVERmuleton:naver</t>
  </si>
  <si>
    <t>NAVERmumipoo</t>
  </si>
  <si>
    <t>NAVERmunarchi124</t>
  </si>
  <si>
    <t>NAVERmunseo</t>
  </si>
  <si>
    <t>NAVERmuorr:naver</t>
  </si>
  <si>
    <t>NAVERmusemut</t>
  </si>
  <si>
    <t>NAVERmusingtimber</t>
  </si>
  <si>
    <t>NAVERmutu</t>
  </si>
  <si>
    <t>NAVERmybeautytrip:naver</t>
  </si>
  <si>
    <t>NAVERmycompany9818:naver</t>
  </si>
  <si>
    <t>NAVERmygguna</t>
  </si>
  <si>
    <t>NAVERmyheim1203</t>
  </si>
  <si>
    <t>NAVERmyk:naver</t>
  </si>
  <si>
    <t>NAVERmymanall</t>
  </si>
  <si>
    <t>NAVERmymk2011</t>
  </si>
  <si>
    <t>NAVERmyok119</t>
  </si>
  <si>
    <t>NAVERmyoll</t>
  </si>
  <si>
    <t>NAVERmyounghwan62</t>
  </si>
  <si>
    <t>NAVERmypartyboy00:naver</t>
  </si>
  <si>
    <t>NAVERmyunggamna</t>
  </si>
  <si>
    <t>NAVERmyungin0404</t>
  </si>
  <si>
    <t>NAVERmyuzkorea</t>
  </si>
  <si>
    <t>NAVERmzfhrtl</t>
  </si>
  <si>
    <t>NAVERn_monopoly</t>
  </si>
  <si>
    <t>NAVERn4244</t>
  </si>
  <si>
    <t>NAVERna114sin</t>
  </si>
  <si>
    <t>NAVERna60118</t>
  </si>
  <si>
    <t>NAVERnaana124:naver</t>
  </si>
  <si>
    <t>NAVERnabinamucat</t>
  </si>
  <si>
    <t>NAVERnaflowcell</t>
  </si>
  <si>
    <t>NAVERnalfali83:naver</t>
  </si>
  <si>
    <t>NAVERnam4471kr</t>
  </si>
  <si>
    <t>NAVERnamudaum1</t>
  </si>
  <si>
    <t>NAVERnamudrone-lab:naver</t>
  </si>
  <si>
    <t>NAVERnamuem</t>
  </si>
  <si>
    <t>NAVERnamuhncare:naver</t>
  </si>
  <si>
    <t>NAVERnamuprep</t>
  </si>
  <si>
    <t>NAVERnamuuhak</t>
  </si>
  <si>
    <t>NAVERnana5654:naver</t>
  </si>
  <si>
    <t>NAVERnananash</t>
  </si>
  <si>
    <t>NAVERnandagage:naver</t>
  </si>
  <si>
    <t>NAVERnaniwa1128:naver</t>
  </si>
  <si>
    <t>NAVERnanocu</t>
  </si>
  <si>
    <t>NAVERnanosport</t>
  </si>
  <si>
    <t>NAVERnanumi9996</t>
  </si>
  <si>
    <t>NAVERnanustech</t>
  </si>
  <si>
    <t>NAVERnaplay99</t>
  </si>
  <si>
    <t>NAVERnara11</t>
  </si>
  <si>
    <t>NAVERnarae1014</t>
  </si>
  <si>
    <t>NAVERnaragoo2270:naver</t>
  </si>
  <si>
    <t>NAVERnaravac3</t>
  </si>
  <si>
    <t>NAVERnarostar</t>
  </si>
  <si>
    <t>NAVERnarzio_hong</t>
  </si>
  <si>
    <t>NAVERnataobica:naver</t>
  </si>
  <si>
    <t>NAVERnatural1111</t>
  </si>
  <si>
    <t>NAVERnatureobgy</t>
  </si>
  <si>
    <t>NAVERnaughtychoco:naver</t>
  </si>
  <si>
    <t>NAVERnaum</t>
  </si>
  <si>
    <t>NAVERnauryart</t>
  </si>
  <si>
    <t>NAVERnaver72</t>
  </si>
  <si>
    <t>NAVERnavidcook</t>
  </si>
  <si>
    <t>NAVERnayeonp</t>
  </si>
  <si>
    <t>NAVERnbpkorea</t>
  </si>
  <si>
    <t>NAVERnbt2022</t>
  </si>
  <si>
    <t>NAVERncr0331</t>
  </si>
  <si>
    <t>NAVERncsgnedu</t>
  </si>
  <si>
    <t>NAVERnct20:naver</t>
  </si>
  <si>
    <t>NAVERncy60</t>
  </si>
  <si>
    <t>NAVERndonq:naver</t>
  </si>
  <si>
    <t>NAVERndusoft</t>
  </si>
  <si>
    <t>NAVERndyes</t>
  </si>
  <si>
    <t>NAVERneo8162</t>
  </si>
  <si>
    <t>NAVERneoblind</t>
  </si>
  <si>
    <t>NAVERneofashion</t>
  </si>
  <si>
    <t>NAVERneofocus14</t>
  </si>
  <si>
    <t>NAVERneon2014</t>
  </si>
  <si>
    <t>NAVERneoneo45</t>
  </si>
  <si>
    <t>NAVERneonexpo</t>
  </si>
  <si>
    <t>NAVERneosap1</t>
  </si>
  <si>
    <t>NAVERnerd_studio</t>
  </si>
  <si>
    <t>NAVERnetpro3182</t>
  </si>
  <si>
    <t>NAVERnew300wins</t>
  </si>
  <si>
    <t>NAVERnewcazon:naver</t>
  </si>
  <si>
    <t>NAVERnewcyes:naver</t>
  </si>
  <si>
    <t>NAVERnewgensauna</t>
  </si>
  <si>
    <t>NAVERnexniz1:naver</t>
  </si>
  <si>
    <t>NAVERnexsoshop</t>
  </si>
  <si>
    <t>NAVERnextech7</t>
  </si>
  <si>
    <t>NAVERnfwood</t>
  </si>
  <si>
    <t>NAVERnh178961</t>
  </si>
  <si>
    <t>NAVERnhc4886</t>
  </si>
  <si>
    <t>NAVERnhj2831351</t>
  </si>
  <si>
    <t>NAVERnhj981124:naver</t>
  </si>
  <si>
    <t>NAVERnhnad_rdh</t>
  </si>
  <si>
    <t>NAVERnice-haccp:naver</t>
  </si>
  <si>
    <t>NAVERnijikorea</t>
  </si>
  <si>
    <t>NAVERnina1207</t>
  </si>
  <si>
    <t>NAVERnine2021</t>
  </si>
  <si>
    <t>NAVERnkburner</t>
  </si>
  <si>
    <t>NAVERnmsalt</t>
  </si>
  <si>
    <t>NAVERnncdesign</t>
  </si>
  <si>
    <t>NAVERnnily</t>
  </si>
  <si>
    <t>NAVERnnutri:naver</t>
  </si>
  <si>
    <t>NAVERno-day:naver</t>
  </si>
  <si>
    <t>NAVERnobleos7575</t>
  </si>
  <si>
    <t>NAVERnobleskin1</t>
  </si>
  <si>
    <t>NAVERnochearchive:naver</t>
  </si>
  <si>
    <t>NAVERnoky3337:naver</t>
  </si>
  <si>
    <t>NAVERnollae93</t>
  </si>
  <si>
    <t>NAVERnomusa999:naver</t>
  </si>
  <si>
    <t>NAVERnonfiction40</t>
  </si>
  <si>
    <t>NAVERnonsan7075</t>
  </si>
  <si>
    <t>NAVERnonsan736</t>
  </si>
  <si>
    <t>NAVERnoom_kr</t>
  </si>
  <si>
    <t>NAVERnoori2502</t>
  </si>
  <si>
    <t>NAVERnornza1212</t>
  </si>
  <si>
    <t>NAVERnosh_up:naver</t>
  </si>
  <si>
    <t>NAVERnote4you</t>
  </si>
  <si>
    <t>NAVERnotonn:naver</t>
  </si>
  <si>
    <t>NAVERnotsun</t>
  </si>
  <si>
    <t>NAVERnovita016</t>
  </si>
  <si>
    <t>NAVERnowon123</t>
  </si>
  <si>
    <t>NAVERnowonpiston</t>
  </si>
  <si>
    <t>NAVERnpatch</t>
  </si>
  <si>
    <t>NAVERnplus_dolls</t>
  </si>
  <si>
    <t>NAVERns3099:naver</t>
  </si>
  <si>
    <t>NAVERnschinn</t>
  </si>
  <si>
    <t>NAVERnsispeech:naver</t>
  </si>
  <si>
    <t>NAVERnsjun2000</t>
  </si>
  <si>
    <t>NAVERnsta_2019</t>
  </si>
  <si>
    <t>NAVERnstory</t>
  </si>
  <si>
    <t>NAVERnsy1004</t>
  </si>
  <si>
    <t>NAVERnsy432:naver</t>
  </si>
  <si>
    <t>NAVERnu2216:naver</t>
  </si>
  <si>
    <t>NAVERnuggetsuper:naver</t>
  </si>
  <si>
    <t>NAVERnulpr</t>
  </si>
  <si>
    <t>NAVERnunbuxin_hanbok:naver</t>
  </si>
  <si>
    <t>NAVERnuripet</t>
  </si>
  <si>
    <t>NAVERnusuhasugu</t>
  </si>
  <si>
    <t>NAVERnutriplan</t>
  </si>
  <si>
    <t>NAVERnw8272</t>
  </si>
  <si>
    <t>NAVERnybg3331</t>
  </si>
  <si>
    <t>NAVERnyblock</t>
  </si>
  <si>
    <t>NAVERnyer21d</t>
  </si>
  <si>
    <t>NAVERnyhyd98</t>
  </si>
  <si>
    <t>NAVERnyy2616</t>
  </si>
  <si>
    <t>NAVERo112152606</t>
  </si>
  <si>
    <t>NAVERo2heal</t>
  </si>
  <si>
    <t>NAVERo2owmpo</t>
  </si>
  <si>
    <t>NAVERoa990003</t>
  </si>
  <si>
    <t>NAVERoasistrans</t>
  </si>
  <si>
    <t>NAVERob8566</t>
  </si>
  <si>
    <t>NAVERobc3331</t>
  </si>
  <si>
    <t>NAVERobid</t>
  </si>
  <si>
    <t>NAVERobiwood</t>
  </si>
  <si>
    <t>NAVERobt3269</t>
  </si>
  <si>
    <t>NAVERoclock24</t>
  </si>
  <si>
    <t>NAVERocokorea</t>
  </si>
  <si>
    <t>NAVERoct3rd</t>
  </si>
  <si>
    <t>NAVERoctcys</t>
  </si>
  <si>
    <t>NAVERoctet4</t>
  </si>
  <si>
    <t>NAVERodevialet:naver</t>
  </si>
  <si>
    <t>NAVERodh790</t>
  </si>
  <si>
    <t>NAVERodinue</t>
  </si>
  <si>
    <t>NAVERodopnutrition:naver</t>
  </si>
  <si>
    <t>NAVERodp11518</t>
  </si>
  <si>
    <t>NAVERodp4955</t>
  </si>
  <si>
    <t>NAVERofficehome</t>
  </si>
  <si>
    <t>NAVERoh11010</t>
  </si>
  <si>
    <t>NAVERoh146011</t>
  </si>
  <si>
    <t>NAVERohdong73</t>
  </si>
  <si>
    <t>NAVERohepang:naver</t>
  </si>
  <si>
    <t>NAVERohyes600</t>
  </si>
  <si>
    <t>NAVERoig019:naver</t>
  </si>
  <si>
    <t>NAVERojm7002</t>
  </si>
  <si>
    <t>NAVERokcom119</t>
  </si>
  <si>
    <t>NAVERokdrama2014:naver</t>
  </si>
  <si>
    <t>NAVERokgie:naver</t>
  </si>
  <si>
    <t>NAVERokok2436</t>
  </si>
  <si>
    <t>NAVERokshowcase</t>
  </si>
  <si>
    <t>NAVERokss8988</t>
  </si>
  <si>
    <t>NAVERoktv031</t>
  </si>
  <si>
    <t>NAVERolibro1001:naver</t>
  </si>
  <si>
    <t>NAVERolivegarden8</t>
  </si>
  <si>
    <t>NAVERomanmul</t>
  </si>
  <si>
    <t>NAVERomegagla</t>
  </si>
  <si>
    <t>NAVERomgfishing</t>
  </si>
  <si>
    <t>NAVERomsq123:naver</t>
  </si>
  <si>
    <t>NAVERomypilates</t>
  </si>
  <si>
    <t>NAVERonair</t>
  </si>
  <si>
    <t>NAVERone200412</t>
  </si>
  <si>
    <t>NAVERoneeyes1212</t>
  </si>
  <si>
    <t>NAVERonese123</t>
  </si>
  <si>
    <t>NAVERonestopreal</t>
  </si>
  <si>
    <t>NAVERonestopworks</t>
  </si>
  <si>
    <t>NAVERonetouch_plan:naver</t>
  </si>
  <si>
    <t>NAVERongym1115:naver</t>
  </si>
  <si>
    <t>NAVERoniljang</t>
  </si>
  <si>
    <t>NAVERonly069191</t>
  </si>
  <si>
    <t>NAVERonlymoney81</t>
  </si>
  <si>
    <t>NAVERonplus_kyang</t>
  </si>
  <si>
    <t>NAVERoo19:naver</t>
  </si>
  <si>
    <t>NAVERoooym:naver</t>
  </si>
  <si>
    <t>NAVERoopp4567</t>
  </si>
  <si>
    <t>NAVERop0723:naver</t>
  </si>
  <si>
    <t>NAVERopara</t>
  </si>
  <si>
    <t>NAVERopl123017:naver</t>
  </si>
  <si>
    <t>NAVERoptbase</t>
  </si>
  <si>
    <t>NAVERoptokorea</t>
  </si>
  <si>
    <t>NAVERoracle-center:naver</t>
  </si>
  <si>
    <t>NAVERoracle3516</t>
  </si>
  <si>
    <t>NAVERoracleclinic</t>
  </si>
  <si>
    <t>NAVERoracleland</t>
  </si>
  <si>
    <t>NAVERorange_office:naver</t>
  </si>
  <si>
    <t>NAVERorange1066</t>
  </si>
  <si>
    <t>NAVERorangelamp</t>
  </si>
  <si>
    <t>NAVERorastudio</t>
  </si>
  <si>
    <t>NAVERornote0517:naver</t>
  </si>
  <si>
    <t>NAVERorthobin</t>
  </si>
  <si>
    <t>NAVERorthohan</t>
  </si>
  <si>
    <t>NAVERos2506</t>
  </si>
  <si>
    <t>NAVERos555</t>
  </si>
  <si>
    <t>NAVERos7209</t>
  </si>
  <si>
    <t>NAVERosekmjh</t>
  </si>
  <si>
    <t>NAVERosgagu</t>
  </si>
  <si>
    <t>NAVERoso582</t>
  </si>
  <si>
    <t>NAVERosr0720</t>
  </si>
  <si>
    <t>NAVERosung195:naver</t>
  </si>
  <si>
    <t>NAVERotoo</t>
  </si>
  <si>
    <t>NAVERourdiffuser</t>
  </si>
  <si>
    <t>NAVERoutofgrades:naver</t>
  </si>
  <si>
    <t>NAVERoviamedic:naver</t>
  </si>
  <si>
    <t>NAVERp1481811s</t>
  </si>
  <si>
    <t>NAVERp2misa:naver</t>
  </si>
  <si>
    <t>NAVERpacktree</t>
  </si>
  <si>
    <t>NAVERpadischool</t>
  </si>
  <si>
    <t>NAVERpage45:naver</t>
  </si>
  <si>
    <t>NAVERpaint03:naver</t>
  </si>
  <si>
    <t>NAVERpajama1001</t>
  </si>
  <si>
    <t>NAVERpaladog8030</t>
  </si>
  <si>
    <t>NAVERpalap</t>
  </si>
  <si>
    <t>NAVERpalau:naver</t>
  </si>
  <si>
    <t>NAVERpanky51</t>
  </si>
  <si>
    <t>NAVERpapajimmy:naver</t>
  </si>
  <si>
    <t>NAVERpapaland</t>
  </si>
  <si>
    <t>NAVERparagency</t>
  </si>
  <si>
    <t>NAVERparalove</t>
  </si>
  <si>
    <t>NAVERparan1237:naver</t>
  </si>
  <si>
    <t>NAVERparanbyeol</t>
  </si>
  <si>
    <t>NAVERparangeng</t>
  </si>
  <si>
    <t>NAVERpark1838</t>
  </si>
  <si>
    <t>NAVERpark38255:naver</t>
  </si>
  <si>
    <t>NAVERparkeun1004</t>
  </si>
  <si>
    <t>NAVERparkjoonkyung:naver</t>
  </si>
  <si>
    <t>NAVERparklab</t>
  </si>
  <si>
    <t>NAVERparklab7029</t>
  </si>
  <si>
    <t>NAVERpartner21</t>
  </si>
  <si>
    <t>NAVERparty_blog</t>
  </si>
  <si>
    <t>NAVERpartysale0</t>
  </si>
  <si>
    <t>NAVERpayongho</t>
  </si>
  <si>
    <t>NAVERpbunyun:naver</t>
  </si>
  <si>
    <t>NAVERpcncar</t>
  </si>
  <si>
    <t>NAVERpdbong1993:naver</t>
  </si>
  <si>
    <t>NAVERpdfkorea:naver</t>
  </si>
  <si>
    <t>NAVERpeacepharm</t>
  </si>
  <si>
    <t>NAVERpeepershop</t>
  </si>
  <si>
    <t>NAVERpeoplecom</t>
  </si>
  <si>
    <t>NAVERpepoyes9</t>
  </si>
  <si>
    <t>NAVERpepsi139</t>
  </si>
  <si>
    <t>NAVERperformid</t>
  </si>
  <si>
    <t>NAVERperrigato_ad</t>
  </si>
  <si>
    <t>NAVERpersontel</t>
  </si>
  <si>
    <t>NAVERpetamall:naver</t>
  </si>
  <si>
    <t>NAVERpetforest</t>
  </si>
  <si>
    <t>NAVERpetnoriter:naver</t>
  </si>
  <si>
    <t>NAVERpetprokorea</t>
  </si>
  <si>
    <t>NAVERpetpublic1</t>
  </si>
  <si>
    <t>NAVERpgtk22</t>
  </si>
  <si>
    <t>NAVERphilhospital</t>
  </si>
  <si>
    <t>NAVERphilsanglifescience:naver</t>
  </si>
  <si>
    <t>NAVERphj0472:naver</t>
  </si>
  <si>
    <t>NAVERphj7155</t>
  </si>
  <si>
    <t>NAVERphk24</t>
  </si>
  <si>
    <t>NAVERphoebe5665</t>
  </si>
  <si>
    <t>NAVERphoenixkb</t>
  </si>
  <si>
    <t>NAVERphotoaum</t>
  </si>
  <si>
    <t>NAVERphotodynamic</t>
  </si>
  <si>
    <t>NAVERphotomatic</t>
  </si>
  <si>
    <t>NAVERphotong21</t>
  </si>
  <si>
    <t>NAVERpht-posthometown:naver</t>
  </si>
  <si>
    <t>NAVERphy0929a</t>
  </si>
  <si>
    <t>NAVERphytonutri</t>
  </si>
  <si>
    <t>NAVERpi2010</t>
  </si>
  <si>
    <t>NAVERpia707</t>
  </si>
  <si>
    <t>NAVERpickpu</t>
  </si>
  <si>
    <t>NAVERpicksal</t>
  </si>
  <si>
    <t>NAVERpicnicday365</t>
  </si>
  <si>
    <t>NAVERpicoson</t>
  </si>
  <si>
    <t>NAVERpinfactory</t>
  </si>
  <si>
    <t>NAVERpinicsio707</t>
  </si>
  <si>
    <t>NAVERpink7747</t>
  </si>
  <si>
    <t>NAVERpino5677</t>
  </si>
  <si>
    <t>NAVERpip2015</t>
  </si>
  <si>
    <t>NAVERpipeline3838</t>
  </si>
  <si>
    <t>NAVERpiss0007</t>
  </si>
  <si>
    <t>NAVERpitcare1:naver</t>
  </si>
  <si>
    <t>NAVERpitt1</t>
  </si>
  <si>
    <t>NAVERpiverdiere</t>
  </si>
  <si>
    <t>NAVERpixhawk_korea:naver</t>
  </si>
  <si>
    <t>NAVERpizzadamarket:naver</t>
  </si>
  <si>
    <t>NAVERpjc8357</t>
  </si>
  <si>
    <t>NAVERpjhrally0050:naver</t>
  </si>
  <si>
    <t>NAVERpjs581</t>
  </si>
  <si>
    <t>NAVERpjy94610:naver</t>
  </si>
  <si>
    <t>NAVERpjy950254:naver</t>
  </si>
  <si>
    <t>NAVERpkh102205</t>
  </si>
  <si>
    <t>NAVERpkjnice12:naver</t>
  </si>
  <si>
    <t>NAVERplan_b</t>
  </si>
  <si>
    <t>NAVERplanb1</t>
  </si>
  <si>
    <t>NAVERplanbmood:naver</t>
  </si>
  <si>
    <t>NAVERplatformlisa:naver</t>
  </si>
  <si>
    <t>NAVERplatinum2000</t>
  </si>
  <si>
    <t>NAVERplatinumsj20</t>
  </si>
  <si>
    <t>NAVERplaymom</t>
  </si>
  <si>
    <t>NAVERplaymoonguya:naver</t>
  </si>
  <si>
    <t>NAVERpluchke_korea:naver</t>
  </si>
  <si>
    <t>NAVERplumber119</t>
  </si>
  <si>
    <t>NAVERplus_365</t>
  </si>
  <si>
    <t>NAVERplusdoor</t>
  </si>
  <si>
    <t>NAVERpmjh57</t>
  </si>
  <si>
    <t>NAVERpmulti</t>
  </si>
  <si>
    <t>NAVERpnbbook</t>
  </si>
  <si>
    <t>NAVERpnfwithpf:naver</t>
  </si>
  <si>
    <t>NAVERpnh9090</t>
  </si>
  <si>
    <t>NAVERpnix11</t>
  </si>
  <si>
    <t>NAVERpnpoongnyun:naver</t>
  </si>
  <si>
    <t>NAVERpnstech</t>
  </si>
  <si>
    <t>NAVERpointproduct:naver</t>
  </si>
  <si>
    <t>NAVERpolostar210</t>
  </si>
  <si>
    <t>NAVERpoong7000</t>
  </si>
  <si>
    <t>NAVERpoping2</t>
  </si>
  <si>
    <t>NAVERpopo151151:naver</t>
  </si>
  <si>
    <t>NAVERpopomario:naver</t>
  </si>
  <si>
    <t>NAVERporti0701</t>
  </si>
  <si>
    <t>NAVERporti0702</t>
  </si>
  <si>
    <t>NAVERportibujeok</t>
  </si>
  <si>
    <t>NAVERportigold</t>
  </si>
  <si>
    <t>NAVERportisilver</t>
  </si>
  <si>
    <t>NAVERposcom0695</t>
  </si>
  <si>
    <t>NAVERposeclinic</t>
  </si>
  <si>
    <t>NAVERposheet2</t>
  </si>
  <si>
    <t>NAVERpowercord</t>
  </si>
  <si>
    <t>NAVERpowergen</t>
  </si>
  <si>
    <t>NAVERpoweroaky</t>
  </si>
  <si>
    <t>NAVERpozalabs:naver</t>
  </si>
  <si>
    <t>NAVERppgalbi1592</t>
  </si>
  <si>
    <t>NAVERppuri</t>
  </si>
  <si>
    <t>NAVERpr242424</t>
  </si>
  <si>
    <t>NAVERprex644:naver</t>
  </si>
  <si>
    <t>NAVERpricemon</t>
  </si>
  <si>
    <t>NAVERprimeedu</t>
  </si>
  <si>
    <t>NAVERproceedoffice99:naver</t>
  </si>
  <si>
    <t>NAVERproctologist</t>
  </si>
  <si>
    <t>NAVERpronw</t>
  </si>
  <si>
    <t>NAVERproxihc:naver</t>
  </si>
  <si>
    <t>NAVERps3355</t>
  </si>
  <si>
    <t>NAVERpshsms1029</t>
  </si>
  <si>
    <t>NAVERpsijgy:naver</t>
  </si>
  <si>
    <t>NAVERpsiyes</t>
  </si>
  <si>
    <t>NAVERpsk8705</t>
  </si>
  <si>
    <t>NAVERpsmsct21:naver</t>
  </si>
  <si>
    <t>NAVERpss5021</t>
  </si>
  <si>
    <t>NAVERpsss2002</t>
  </si>
  <si>
    <t>NAVERpswkiller</t>
  </si>
  <si>
    <t>NAVERpsyzen</t>
  </si>
  <si>
    <t>NAVERpublicgolf</t>
  </si>
  <si>
    <t>NAVERpucre</t>
  </si>
  <si>
    <t>NAVERpulmulti</t>
  </si>
  <si>
    <t>NAVERpulmulti1</t>
  </si>
  <si>
    <t>NAVERpulmuone02</t>
  </si>
  <si>
    <t>NAVERpum628</t>
  </si>
  <si>
    <t>NAVERpumpkin2022</t>
  </si>
  <si>
    <t>NAVERpureclinic</t>
  </si>
  <si>
    <t>NAVERpuregrace2826:naver</t>
  </si>
  <si>
    <t>NAVERpurespace123</t>
  </si>
  <si>
    <t>NAVERpurple5010</t>
  </si>
  <si>
    <t>NAVERpurplesound7:naver</t>
  </si>
  <si>
    <t>NAVERpurum5017311</t>
  </si>
  <si>
    <t>NAVERpurun_clinic</t>
  </si>
  <si>
    <t>NAVERpvc20100:naver</t>
  </si>
  <si>
    <t>NAVERpwguard</t>
  </si>
  <si>
    <t>NAVERpwj238</t>
  </si>
  <si>
    <t>NAVERpwon11</t>
  </si>
  <si>
    <t>NAVERpyeongchon90</t>
  </si>
  <si>
    <t>NAVERpyk2010</t>
  </si>
  <si>
    <t>NAVERpyk770124:naver</t>
  </si>
  <si>
    <t>NAVERpym2733</t>
  </si>
  <si>
    <t>NAVERpys9524:naver</t>
  </si>
  <si>
    <t>NAVERqawe3320</t>
  </si>
  <si>
    <t>NAVERqhaqksldp</t>
  </si>
  <si>
    <t>NAVERqkdn3937</t>
  </si>
  <si>
    <t>NAVERqkfoa1004</t>
  </si>
  <si>
    <t>NAVERqkrcjfgy6230</t>
  </si>
  <si>
    <t>NAVERqkrdlstjr3666:naver</t>
  </si>
  <si>
    <t>NAVERqkrtjdps</t>
  </si>
  <si>
    <t>NAVERqkrtnswk2990</t>
  </si>
  <si>
    <t>NAVERqntkswlqkdgh</t>
  </si>
  <si>
    <t>NAVERquantec</t>
  </si>
  <si>
    <t>NAVERquantumtech-korea:naver</t>
  </si>
  <si>
    <t>NAVERquddnd9296:naver</t>
  </si>
  <si>
    <t>NAVERquido2000:naver</t>
  </si>
  <si>
    <t>NAVERquo318</t>
  </si>
  <si>
    <t>NAVERqwer24120039</t>
  </si>
  <si>
    <t>NAVERrachelwedding:naver</t>
  </si>
  <si>
    <t>NAVERradian</t>
  </si>
  <si>
    <t>NAVERrafloce:naver</t>
  </si>
  <si>
    <t>NAVERraguhouse:naver</t>
  </si>
  <si>
    <t>NAVERrahee002</t>
  </si>
  <si>
    <t>NAVERrai1969:naver</t>
  </si>
  <si>
    <t>NAVERraille</t>
  </si>
  <si>
    <t>NAVERrainbooster:naver</t>
  </si>
  <si>
    <t>NAVERrainbowtec11:naver</t>
  </si>
  <si>
    <t>NAVERrainman117:naver</t>
  </si>
  <si>
    <t>NAVERrakutenkr</t>
  </si>
  <si>
    <t>NAVERrally</t>
  </si>
  <si>
    <t>NAVERran7714</t>
  </si>
  <si>
    <t>NAVERraon-living:naver</t>
  </si>
  <si>
    <t>NAVERraon1291:naver</t>
  </si>
  <si>
    <t>NAVERrapwar</t>
  </si>
  <si>
    <t>NAVERrasumin</t>
  </si>
  <si>
    <t>NAVERrb29</t>
  </si>
  <si>
    <t>NAVERrbf</t>
  </si>
  <si>
    <t>NAVERrblower</t>
  </si>
  <si>
    <t>NAVERrboots</t>
  </si>
  <si>
    <t>NAVERrbpr7788</t>
  </si>
  <si>
    <t>NAVERrccl</t>
  </si>
  <si>
    <t>NAVERrealstudio14</t>
  </si>
  <si>
    <t>NAVERrealtime5522</t>
  </si>
  <si>
    <t>NAVERrealtorsgr</t>
  </si>
  <si>
    <t>NAVERrealtorsjh</t>
  </si>
  <si>
    <t>NAVERrealty1</t>
  </si>
  <si>
    <t>NAVERred0779</t>
  </si>
  <si>
    <t>NAVERred4month</t>
  </si>
  <si>
    <t>NAVERredbnp</t>
  </si>
  <si>
    <t>NAVERredfox2585:naver</t>
  </si>
  <si>
    <t>NAVERredpig0090</t>
  </si>
  <si>
    <t>NAVERregenap</t>
  </si>
  <si>
    <t>NAVERreground88:naver</t>
  </si>
  <si>
    <t>NAVERremake5:naver</t>
  </si>
  <si>
    <t>NAVERremaxpremium:naver</t>
  </si>
  <si>
    <t>NAVERremyshop</t>
  </si>
  <si>
    <t>NAVERrental2000</t>
  </si>
  <si>
    <t>NAVERrentboiler</t>
  </si>
  <si>
    <t>NAVERrentcar7253:naver</t>
  </si>
  <si>
    <t>NAVERrepair</t>
  </si>
  <si>
    <t>NAVERresfor</t>
  </si>
  <si>
    <t>NAVERreverse2022:naver</t>
  </si>
  <si>
    <t>NAVERrevyys</t>
  </si>
  <si>
    <t>NAVERrexlefly:naver</t>
  </si>
  <si>
    <t>NAVERrexy_cho</t>
  </si>
  <si>
    <t>NAVERreyeonk1</t>
  </si>
  <si>
    <t>NAVERrhaty</t>
  </si>
  <si>
    <t>NAVERrhawl672:naver</t>
  </si>
  <si>
    <t>NAVERrhkdlfemfla</t>
  </si>
  <si>
    <t>NAVERrhkdrh083</t>
  </si>
  <si>
    <t>NAVERrhkstn</t>
  </si>
  <si>
    <t>NAVERrhsoo1:naver</t>
  </si>
  <si>
    <t>NAVERrhtnsdhr</t>
  </si>
  <si>
    <t>NAVERrhwhdfla0901</t>
  </si>
  <si>
    <t>NAVERrhwhdfla1619:naver</t>
  </si>
  <si>
    <t>NAVERrichkorea00</t>
  </si>
  <si>
    <t>NAVERricon1</t>
  </si>
  <si>
    <t>NAVERriddlsdnstn</t>
  </si>
  <si>
    <t>NAVERrinnai7000</t>
  </si>
  <si>
    <t>NAVERriwoologics</t>
  </si>
  <si>
    <t>NAVERrk4723</t>
  </si>
  <si>
    <t>NAVERrk942</t>
  </si>
  <si>
    <t>NAVERrkdrudals</t>
  </si>
  <si>
    <t>NAVERrktrkdmlaju</t>
  </si>
  <si>
    <t>NAVERrkwk59</t>
  </si>
  <si>
    <t>NAVERrkwk82</t>
  </si>
  <si>
    <t>NAVERrkwktngh123</t>
  </si>
  <si>
    <t>NAVERrla3830:naver</t>
  </si>
  <si>
    <t>NAVERrla7851</t>
  </si>
  <si>
    <t>NAVERrladsxo3785</t>
  </si>
  <si>
    <t>NAVERrlaehdcks419:naver</t>
  </si>
  <si>
    <t>NAVERrlaehddls</t>
  </si>
  <si>
    <t>NAVERrlaghtjd777:naver</t>
  </si>
  <si>
    <t>NAVERrlagkstoa13:naver</t>
  </si>
  <si>
    <t>NAVERrlagodnr</t>
  </si>
  <si>
    <t>NAVERrlarlfwk1088:naver</t>
  </si>
  <si>
    <t>NAVERrlatnscns</t>
  </si>
  <si>
    <t>NAVERrlawnals5481</t>
  </si>
  <si>
    <t>NAVERrlawognls:naver</t>
  </si>
  <si>
    <t>NAVERrlaxodn_0730:naver</t>
  </si>
  <si>
    <t>NAVERrmafmd101</t>
  </si>
  <si>
    <t>NAVERrmaskaghkanf</t>
  </si>
  <si>
    <t>NAVERrna6612:naver</t>
  </si>
  <si>
    <t>NAVERrngj07</t>
  </si>
  <si>
    <t>NAVERrnrudghks</t>
  </si>
  <si>
    <t>NAVERrnushop</t>
  </si>
  <si>
    <t>NAVERroadhousing:naver</t>
  </si>
  <si>
    <t>NAVERroadseal4115</t>
  </si>
  <si>
    <t>NAVERroadwin01</t>
  </si>
  <si>
    <t>NAVERrockooh</t>
  </si>
  <si>
    <t>NAVERroh6819</t>
  </si>
  <si>
    <t>NAVERroho0012:naver</t>
  </si>
  <si>
    <t>NAVERroidesign</t>
  </si>
  <si>
    <t>NAVERrollent</t>
  </si>
  <si>
    <t>NAVERromannism</t>
  </si>
  <si>
    <t>NAVERroniewell_m</t>
  </si>
  <si>
    <t>NAVERrope1900</t>
  </si>
  <si>
    <t>NAVERroropa</t>
  </si>
  <si>
    <t>NAVERrosashop</t>
  </si>
  <si>
    <t>NAVERroutineup21:naver</t>
  </si>
  <si>
    <t>NAVERroyal1155</t>
  </si>
  <si>
    <t>NAVERrpc2021:naver</t>
  </si>
  <si>
    <t>NAVERrrladnjsgh</t>
  </si>
  <si>
    <t>NAVERrsfljy:naver</t>
  </si>
  <si>
    <t>NAVERrsm0625:naver</t>
  </si>
  <si>
    <t>NAVERrsm08416</t>
  </si>
  <si>
    <t>NAVERrtong8au</t>
  </si>
  <si>
    <t>NAVERruachcw</t>
  </si>
  <si>
    <t>NAVERruby9051</t>
  </si>
  <si>
    <t>NAVERrudgml5861:naver</t>
  </si>
  <si>
    <t>NAVERrudwnd44:naver</t>
  </si>
  <si>
    <t>NAVERruhwa81</t>
  </si>
  <si>
    <t>NAVERrunnershigh</t>
  </si>
  <si>
    <t>NAVERruthair_</t>
  </si>
  <si>
    <t>NAVERryan61dt</t>
  </si>
  <si>
    <t>NAVERrys4004</t>
  </si>
  <si>
    <t>NAVERrywns</t>
  </si>
  <si>
    <t>NAVERs-education:naver</t>
  </si>
  <si>
    <t>NAVERs28302</t>
  </si>
  <si>
    <t>NAVERs4013</t>
  </si>
  <si>
    <t>NAVERsabusong</t>
  </si>
  <si>
    <t>NAVERsacpr</t>
  </si>
  <si>
    <t>NAVERsada73</t>
  </si>
  <si>
    <t>NAVERsadak5</t>
  </si>
  <si>
    <t>NAVERsaehan4070:naver</t>
  </si>
  <si>
    <t>NAVERsaekwang</t>
  </si>
  <si>
    <t>NAVERsaeromm</t>
  </si>
  <si>
    <t>NAVERsaewon0071</t>
  </si>
  <si>
    <t>NAVERsafein</t>
  </si>
  <si>
    <t>NAVERsafemotors</t>
  </si>
  <si>
    <t>NAVERsafepro365</t>
  </si>
  <si>
    <t>NAVERsafere</t>
  </si>
  <si>
    <t>NAVERsafespec</t>
  </si>
  <si>
    <t>NAVERsafewaykorea</t>
  </si>
  <si>
    <t>NAVERsajoseafood2020:naver</t>
  </si>
  <si>
    <t>NAVERsaki3003</t>
  </si>
  <si>
    <t>NAVERsaladtimes:naver</t>
  </si>
  <si>
    <t>NAVERsaladykorea</t>
  </si>
  <si>
    <t>NAVERsalamanka_p</t>
  </si>
  <si>
    <t>NAVERsalcoach</t>
  </si>
  <si>
    <t>NAVERsales3</t>
  </si>
  <si>
    <t>NAVERsalthanju</t>
  </si>
  <si>
    <t>NAVERsaltmall</t>
  </si>
  <si>
    <t>NAVERsam00925</t>
  </si>
  <si>
    <t>NAVERsam3s</t>
  </si>
  <si>
    <t>NAVERsamantha</t>
  </si>
  <si>
    <t>NAVERsambovt</t>
  </si>
  <si>
    <t>NAVERsambuja162</t>
  </si>
  <si>
    <t>NAVERsamdasu</t>
  </si>
  <si>
    <t>NAVERsamh324</t>
  </si>
  <si>
    <t>NAVERsamhan112</t>
  </si>
  <si>
    <t>NAVERsamhan4</t>
  </si>
  <si>
    <t>NAVERsamhopr</t>
  </si>
  <si>
    <t>NAVERsamhwa12</t>
  </si>
  <si>
    <t>NAVERsamik</t>
  </si>
  <si>
    <t>NAVERsamikpharm</t>
  </si>
  <si>
    <t>NAVERsamilsusan31</t>
  </si>
  <si>
    <t>NAVERsamjinacc</t>
  </si>
  <si>
    <t>NAVERsamkyungpol</t>
  </si>
  <si>
    <t>NAVERsamqp2003</t>
  </si>
  <si>
    <t>NAVERsamsuk3333:naver</t>
  </si>
  <si>
    <t>NAVERsamt1</t>
  </si>
  <si>
    <t>NAVERsamugi77</t>
  </si>
  <si>
    <t>NAVERsamyang3475</t>
  </si>
  <si>
    <t>NAVERsanctmall</t>
  </si>
  <si>
    <t>NAVERsandisk</t>
  </si>
  <si>
    <t>NAVERsandongne</t>
  </si>
  <si>
    <t>NAVERsangasystem</t>
  </si>
  <si>
    <t>NAVERsangmin7584</t>
  </si>
  <si>
    <t>NAVERsangwon11</t>
  </si>
  <si>
    <t>NAVERsansukapsan</t>
  </si>
  <si>
    <t>NAVERsapoking</t>
  </si>
  <si>
    <t>NAVERsarahinbeci:naver</t>
  </si>
  <si>
    <t>NAVERsariwoncook:naver</t>
  </si>
  <si>
    <t>NAVERsarotech1</t>
  </si>
  <si>
    <t>NAVERsasetrd:naver</t>
  </si>
  <si>
    <t>NAVERsasim0708</t>
  </si>
  <si>
    <t>NAVERsasimikun</t>
  </si>
  <si>
    <t>NAVERsataingzoa24:naver</t>
  </si>
  <si>
    <t>NAVERsawanaver</t>
  </si>
  <si>
    <t>NAVERsay204000:naver</t>
  </si>
  <si>
    <t>NAVERsaymanv:naver</t>
  </si>
  <si>
    <t>NAVERsayoung30</t>
  </si>
  <si>
    <t>NAVERsayses88</t>
  </si>
  <si>
    <t>NAVERsaytnctax:naver</t>
  </si>
  <si>
    <t>NAVERsb0512ek:naver</t>
  </si>
  <si>
    <t>NAVERsb4997</t>
  </si>
  <si>
    <t>NAVERsb6475</t>
  </si>
  <si>
    <t>NAVERsbcarstory</t>
  </si>
  <si>
    <t>NAVERsbchman</t>
  </si>
  <si>
    <t>NAVERsbeng7635:naver</t>
  </si>
  <si>
    <t>NAVERsbinc2022</t>
  </si>
  <si>
    <t>NAVERsblee6606</t>
  </si>
  <si>
    <t>NAVERsbohuser</t>
  </si>
  <si>
    <t>NAVERsbt0948jtt</t>
  </si>
  <si>
    <t>NAVERsc_culture</t>
  </si>
  <si>
    <t>NAVERscarfmall</t>
  </si>
  <si>
    <t>NAVERscdy7233</t>
  </si>
  <si>
    <t>NAVERscfan</t>
  </si>
  <si>
    <t>NAVERsch1291</t>
  </si>
  <si>
    <t>NAVERschearing</t>
  </si>
  <si>
    <t>NAVERschmied091:naver</t>
  </si>
  <si>
    <t>NAVERscommtech</t>
  </si>
  <si>
    <t>NAVERscrew1st</t>
  </si>
  <si>
    <t>NAVERsd0954</t>
  </si>
  <si>
    <t>NAVERsd1238</t>
  </si>
  <si>
    <t>NAVERsd808</t>
  </si>
  <si>
    <t>NAVERsdclovely:naver</t>
  </si>
  <si>
    <t>NAVERsdh0650:naver</t>
  </si>
  <si>
    <t>NAVERsdj_2010</t>
  </si>
  <si>
    <t>NAVERsdj9310</t>
  </si>
  <si>
    <t>NAVERsdjcreative</t>
  </si>
  <si>
    <t>NAVERsdreamfnb</t>
  </si>
  <si>
    <t>NAVERsdtelec</t>
  </si>
  <si>
    <t>NAVERse_mna</t>
  </si>
  <si>
    <t>NAVERsea3435</t>
  </si>
  <si>
    <t>NAVERsea4511</t>
  </si>
  <si>
    <t>NAVERseairhub:naver</t>
  </si>
  <si>
    <t>NAVERsealer77</t>
  </si>
  <si>
    <t>NAVERseceng</t>
  </si>
  <si>
    <t>NAVERsecret6855:naver</t>
  </si>
  <si>
    <t>NAVERsedcc:naver</t>
  </si>
  <si>
    <t>NAVERseeonein</t>
  </si>
  <si>
    <t>NAVERseesee02</t>
  </si>
  <si>
    <t>NAVERsejinlift123</t>
  </si>
  <si>
    <t>NAVERsejong134</t>
  </si>
  <si>
    <t>NAVERsejongci</t>
  </si>
  <si>
    <t>NAVERsejongfood</t>
  </si>
  <si>
    <t>NAVERsejongtrans</t>
  </si>
  <si>
    <t>NAVERsejongvinyl</t>
  </si>
  <si>
    <t>NAVERsejoomotion</t>
  </si>
  <si>
    <t>NAVERself291</t>
  </si>
  <si>
    <t>NAVERselfin</t>
  </si>
  <si>
    <t>NAVERsellup</t>
  </si>
  <si>
    <t>NAVERsemips</t>
  </si>
  <si>
    <t>NAVERsemiworks</t>
  </si>
  <si>
    <t>NAVERseo2908:naver</t>
  </si>
  <si>
    <t>NAVERseobu_hearin</t>
  </si>
  <si>
    <t>NAVERseobw77:naver</t>
  </si>
  <si>
    <t>NAVERseod</t>
  </si>
  <si>
    <t>NAVERseodukq</t>
  </si>
  <si>
    <t>NAVERseohaecar</t>
  </si>
  <si>
    <t>NAVERseohs220</t>
  </si>
  <si>
    <t>NAVERseokgye56</t>
  </si>
  <si>
    <t>NAVERseokye01</t>
  </si>
  <si>
    <t>NAVERseolhaeone2:naver</t>
  </si>
  <si>
    <t>NAVERseolzzabada</t>
  </si>
  <si>
    <t>NAVERseonhoramen</t>
  </si>
  <si>
    <t>NAVERseoulcafe</t>
  </si>
  <si>
    <t>NAVERseouldhu183</t>
  </si>
  <si>
    <t>NAVERseoulfamilydent:naver</t>
  </si>
  <si>
    <t>NAVERseoulleefood</t>
  </si>
  <si>
    <t>NAVERseoultrust</t>
  </si>
  <si>
    <t>NAVERseracomtec</t>
  </si>
  <si>
    <t>NAVERserimbng</t>
  </si>
  <si>
    <t>NAVERses4027</t>
  </si>
  <si>
    <t>NAVERsetx</t>
  </si>
  <si>
    <t>NAVERseungman11:naver</t>
  </si>
  <si>
    <t>NAVERseviz007</t>
  </si>
  <si>
    <t>NAVERsewatstay</t>
  </si>
  <si>
    <t>NAVERsexywoo</t>
  </si>
  <si>
    <t>NAVERseyeong62</t>
  </si>
  <si>
    <t>NAVERsg123</t>
  </si>
  <si>
    <t>NAVERsg1285</t>
  </si>
  <si>
    <t>NAVERsgjoyd:naver</t>
  </si>
  <si>
    <t>NAVERsgoceo</t>
  </si>
  <si>
    <t>NAVERsh0120</t>
  </si>
  <si>
    <t>NAVERsh2658843</t>
  </si>
  <si>
    <t>NAVERsh6130</t>
  </si>
  <si>
    <t>NAVERsh643</t>
  </si>
  <si>
    <t>NAVERsh6612</t>
  </si>
  <si>
    <t>NAVERsh7212</t>
  </si>
  <si>
    <t>NAVERsh8946</t>
  </si>
  <si>
    <t>NAVERshangji1004</t>
  </si>
  <si>
    <t>NAVERshanmei315:naver</t>
  </si>
  <si>
    <t>NAVERsharp0903:naver</t>
  </si>
  <si>
    <t>NAVERshc2288:naver</t>
  </si>
  <si>
    <t>NAVERshc9023</t>
  </si>
  <si>
    <t>NAVERshchaf</t>
  </si>
  <si>
    <t>NAVERshdream1974</t>
  </si>
  <si>
    <t>NAVERsheepman9</t>
  </si>
  <si>
    <t>NAVERsheepnhorse</t>
  </si>
  <si>
    <t>NAVERsheetcom</t>
  </si>
  <si>
    <t>NAVERsheetlab</t>
  </si>
  <si>
    <t>NAVERshemalev:naver</t>
  </si>
  <si>
    <t>NAVERshguddn74</t>
  </si>
  <si>
    <t>NAVERshin0339</t>
  </si>
  <si>
    <t>NAVERshin4034</t>
  </si>
  <si>
    <t>NAVERshinduhan1</t>
  </si>
  <si>
    <t>NAVERshingu91</t>
  </si>
  <si>
    <t>NAVERshinhan17</t>
  </si>
  <si>
    <t>NAVERshinjun2001</t>
  </si>
  <si>
    <t>NAVERshinsegae7</t>
  </si>
  <si>
    <t>NAVERshinsungdit:naver</t>
  </si>
  <si>
    <t>NAVERshinwelding</t>
  </si>
  <si>
    <t>NAVERshjk</t>
  </si>
  <si>
    <t>NAVERshjtax</t>
  </si>
  <si>
    <t>NAVERshkjewel</t>
  </si>
  <si>
    <t>NAVERshkmallinfo</t>
  </si>
  <si>
    <t>NAVERshlee1150</t>
  </si>
  <si>
    <t>NAVERshmesh</t>
  </si>
  <si>
    <t>NAVERshoesdeblanc</t>
  </si>
  <si>
    <t>NAVERshomagen:naver</t>
  </si>
  <si>
    <t>NAVERshopjl</t>
  </si>
  <si>
    <t>NAVERshowpoong</t>
  </si>
  <si>
    <t>NAVERshsquare8785:naver</t>
  </si>
  <si>
    <t>NAVERshwoopr</t>
  </si>
  <si>
    <t>NAVERsi4782</t>
  </si>
  <si>
    <t>NAVERsi6600</t>
  </si>
  <si>
    <t>NAVERsibrush</t>
  </si>
  <si>
    <t>NAVERsicmarking</t>
  </si>
  <si>
    <t>NAVERsign1009</t>
  </si>
  <si>
    <t>NAVERsihwaper</t>
  </si>
  <si>
    <t>NAVERsilbigui3:naver</t>
  </si>
  <si>
    <t>NAVERsilbikimchi</t>
  </si>
  <si>
    <t>NAVERsiliconetube</t>
  </si>
  <si>
    <t>NAVERsilvertteng:naver</t>
  </si>
  <si>
    <t>NAVERsilwh</t>
  </si>
  <si>
    <t>NAVERsim9052365</t>
  </si>
  <si>
    <t>NAVERsimpan911</t>
  </si>
  <si>
    <t>NAVERsinbimg79</t>
  </si>
  <si>
    <t>NAVERsindolocaloa</t>
  </si>
  <si>
    <t>NAVERsinix</t>
  </si>
  <si>
    <t>NAVERsinj234</t>
  </si>
  <si>
    <t>NAVERsink7008</t>
  </si>
  <si>
    <t>NAVERsinkal300:naver</t>
  </si>
  <si>
    <t>NAVERsinkcare</t>
  </si>
  <si>
    <t>NAVERsinnam</t>
  </si>
  <si>
    <t>NAVERsinsky1321</t>
  </si>
  <si>
    <t>NAVERsinsung52840</t>
  </si>
  <si>
    <t>NAVERsinzo</t>
  </si>
  <si>
    <t>NAVERsionhome4834</t>
  </si>
  <si>
    <t>NAVERsipjasu14:naver</t>
  </si>
  <si>
    <t>NAVERsir0824</t>
  </si>
  <si>
    <t>NAVERsiriyajang</t>
  </si>
  <si>
    <t>NAVERsisa_ejb</t>
  </si>
  <si>
    <t>NAVERsiteyoo:naver</t>
  </si>
  <si>
    <t>NAVERsixdegrees</t>
  </si>
  <si>
    <t>NAVERsj3060</t>
  </si>
  <si>
    <t>NAVERsj5400</t>
  </si>
  <si>
    <t>NAVERsj8012</t>
  </si>
  <si>
    <t>NAVERsjads</t>
  </si>
  <si>
    <t>NAVERsjahwlfl1</t>
  </si>
  <si>
    <t>NAVERsjbolt2002</t>
  </si>
  <si>
    <t>NAVERsjc0570</t>
  </si>
  <si>
    <t>NAVERsjecorp1</t>
  </si>
  <si>
    <t>NAVERsjj0416:naver</t>
  </si>
  <si>
    <t>NAVERsjjopop22</t>
  </si>
  <si>
    <t>NAVERsjkim-123:naver</t>
  </si>
  <si>
    <t>NAVERsjkm1189:naver</t>
  </si>
  <si>
    <t>NAVERsjkm68</t>
  </si>
  <si>
    <t>NAVERsjkm6804</t>
  </si>
  <si>
    <t>NAVERsjlife77</t>
  </si>
  <si>
    <t>NAVERsjreel</t>
  </si>
  <si>
    <t>NAVERsjsafety</t>
  </si>
  <si>
    <t>NAVERsjselfstudy</t>
  </si>
  <si>
    <t>NAVERsjselpa</t>
  </si>
  <si>
    <t>NAVERsjsign</t>
  </si>
  <si>
    <t>NAVERsjtit</t>
  </si>
  <si>
    <t>NAVERsjw8523</t>
  </si>
  <si>
    <t>NAVERsjy4841</t>
  </si>
  <si>
    <t>NAVERsjy7977:naver</t>
  </si>
  <si>
    <t>NAVERsk2424sk</t>
  </si>
  <si>
    <t>NAVERsk3943</t>
  </si>
  <si>
    <t>NAVERsk8312</t>
  </si>
  <si>
    <t>NAVERskarndwlsgh2:naver</t>
  </si>
  <si>
    <t>NAVERskdc007</t>
  </si>
  <si>
    <t>NAVERskfoxh</t>
  </si>
  <si>
    <t>NAVERskhologram</t>
  </si>
  <si>
    <t>NAVERskinart1004</t>
  </si>
  <si>
    <t>NAVERskinbystory:naver</t>
  </si>
  <si>
    <t>NAVERskinrexkorea_e:naver</t>
  </si>
  <si>
    <t>NAVERskinschool</t>
  </si>
  <si>
    <t>NAVERskitm3152</t>
  </si>
  <si>
    <t>NAVERsklec:naver</t>
  </si>
  <si>
    <t>NAVERskmagicu1</t>
  </si>
  <si>
    <t>NAVERskqmsuwk:naver</t>
  </si>
  <si>
    <t>NAVERskroll7</t>
  </si>
  <si>
    <t>NAVERskropecom</t>
  </si>
  <si>
    <t>NAVERsks674377</t>
  </si>
  <si>
    <t>NAVERskspring</t>
  </si>
  <si>
    <t>NAVERskstellar</t>
  </si>
  <si>
    <t>NAVERskv</t>
  </si>
  <si>
    <t>NAVERsky07</t>
  </si>
  <si>
    <t>NAVERsky2dad2:naver</t>
  </si>
  <si>
    <t>NAVERsky3667</t>
  </si>
  <si>
    <t>NAVERsky74819</t>
  </si>
  <si>
    <t>NAVERskydigital</t>
  </si>
  <si>
    <t>NAVERskydisc</t>
  </si>
  <si>
    <t>NAVERskyfes1</t>
  </si>
  <si>
    <t>NAVERskyfestival</t>
  </si>
  <si>
    <t>NAVERskyfulove9</t>
  </si>
  <si>
    <t>NAVERskyjinsol1:naver</t>
  </si>
  <si>
    <t>NAVERskykoonsan</t>
  </si>
  <si>
    <t>NAVERskyonebbang1</t>
  </si>
  <si>
    <t>NAVERskyviva</t>
  </si>
  <si>
    <t>NAVERsl27621</t>
  </si>
  <si>
    <t>NAVERsleepcenter</t>
  </si>
  <si>
    <t>NAVERslickexhibition:naver</t>
  </si>
  <si>
    <t>NAVERsln051</t>
  </si>
  <si>
    <t>NAVERsm0991</t>
  </si>
  <si>
    <t>NAVERsm1004</t>
  </si>
  <si>
    <t>NAVERsm3379</t>
  </si>
  <si>
    <t>NAVERsmarketing11</t>
  </si>
  <si>
    <t>NAVERsmartmall2:naver</t>
  </si>
  <si>
    <t>NAVERsmartmarket</t>
  </si>
  <si>
    <t>NAVERsmartx</t>
  </si>
  <si>
    <t>NAVERsmgold</t>
  </si>
  <si>
    <t>NAVERsmile77</t>
  </si>
  <si>
    <t>NAVERsmingook05</t>
  </si>
  <si>
    <t>NAVERsmku</t>
  </si>
  <si>
    <t>NAVERsmlietable</t>
  </si>
  <si>
    <t>NAVERsmos1</t>
  </si>
  <si>
    <t>NAVERsms9213</t>
  </si>
  <si>
    <t>NAVERsmsanjae:naver</t>
  </si>
  <si>
    <t>NAVERsmsimplehan</t>
  </si>
  <si>
    <t>NAVERsmsteel</t>
  </si>
  <si>
    <t>NAVERsmu0945</t>
  </si>
  <si>
    <t>NAVERsmy1208</t>
  </si>
  <si>
    <t>NAVERsn8592</t>
  </si>
  <si>
    <t>NAVERsnailoflove</t>
  </si>
  <si>
    <t>NAVERsnapj</t>
  </si>
  <si>
    <t>NAVERsnidwing21</t>
  </si>
  <si>
    <t>NAVERsnp0202</t>
  </si>
  <si>
    <t>NAVERsntnxkawl387</t>
  </si>
  <si>
    <t>NAVERsoakadmlwlgn:naver</t>
  </si>
  <si>
    <t>NAVERsodambath</t>
  </si>
  <si>
    <t>NAVERsodamha</t>
  </si>
  <si>
    <t>NAVERsoftcity</t>
  </si>
  <si>
    <t>NAVERsoftniver</t>
  </si>
  <si>
    <t>NAVERsoftzion</t>
  </si>
  <si>
    <t>NAVERsogrisan5055:naver</t>
  </si>
  <si>
    <t>NAVERsolarsun7</t>
  </si>
  <si>
    <t>NAVERsolge</t>
  </si>
  <si>
    <t>NAVERsomang5785</t>
  </si>
  <si>
    <t>NAVERsomesing</t>
  </si>
  <si>
    <t>NAVERsonchen</t>
  </si>
  <si>
    <t>NAVERsong621015</t>
  </si>
  <si>
    <t>NAVERsong740612:naver</t>
  </si>
  <si>
    <t>NAVERsong767</t>
  </si>
  <si>
    <t>NAVERsongam1101</t>
  </si>
  <si>
    <t>NAVERsongpastel</t>
  </si>
  <si>
    <t>NAVERsonic790311:naver</t>
  </si>
  <si>
    <t>NAVERsonicast1:naver</t>
  </si>
  <si>
    <t>NAVERsonicljs</t>
  </si>
  <si>
    <t>NAVERsono_play</t>
  </si>
  <si>
    <t>NAVERsonreve</t>
  </si>
  <si>
    <t>NAVERsonsa4985</t>
  </si>
  <si>
    <t>NAVERsoodtal</t>
  </si>
  <si>
    <t>NAVERsoopkorea:naver</t>
  </si>
  <si>
    <t>NAVERsoosoo6612:naver</t>
  </si>
  <si>
    <t>NAVERsopumclassic</t>
  </si>
  <si>
    <t>NAVERsormi2000</t>
  </si>
  <si>
    <t>NAVERsorpo1</t>
  </si>
  <si>
    <t>NAVERsos5557</t>
  </si>
  <si>
    <t>NAVERsos821004:naver</t>
  </si>
  <si>
    <t>NAVERsosanpacific</t>
  </si>
  <si>
    <t>NAVERsp_plan</t>
  </si>
  <si>
    <t>NAVERsp159:naver</t>
  </si>
  <si>
    <t>NAVERsp6236</t>
  </si>
  <si>
    <t>NAVERspa1004</t>
  </si>
  <si>
    <t>NAVERspaceup</t>
  </si>
  <si>
    <t>NAVERspc3114</t>
  </si>
  <si>
    <t>NAVERspdi111</t>
  </si>
  <si>
    <t>NAVERspdoor2019</t>
  </si>
  <si>
    <t>NAVERspecter</t>
  </si>
  <si>
    <t>NAVERspeedsokgi</t>
  </si>
  <si>
    <t>NAVERspfresh:naver</t>
  </si>
  <si>
    <t>NAVERsph80166</t>
  </si>
  <si>
    <t>NAVERspochec</t>
  </si>
  <si>
    <t>NAVERspocomm</t>
  </si>
  <si>
    <t>NAVERspom1</t>
  </si>
  <si>
    <t>NAVERspomarkett:naver</t>
  </si>
  <si>
    <t>NAVERspoon100</t>
  </si>
  <si>
    <t>NAVERsportsall</t>
  </si>
  <si>
    <t>NAVERsportsmanjs</t>
  </si>
  <si>
    <t>NAVERspozengo</t>
  </si>
  <si>
    <t>NAVERspyderkorea</t>
  </si>
  <si>
    <t>NAVERsr0873</t>
  </si>
  <si>
    <t>NAVERsrdg4288:naver</t>
  </si>
  <si>
    <t>NAVERsrgoldtime:naver</t>
  </si>
  <si>
    <t>NAVERsrock7680:naver</t>
  </si>
  <si>
    <t>NAVERsrtt</t>
  </si>
  <si>
    <t>NAVERss13711</t>
  </si>
  <si>
    <t>NAVERss2692</t>
  </si>
  <si>
    <t>NAVERss4050</t>
  </si>
  <si>
    <t>NAVERss7123:naver</t>
  </si>
  <si>
    <t>NAVERss781103</t>
  </si>
  <si>
    <t>NAVERssada-neon:naver</t>
  </si>
  <si>
    <t>NAVERssaiker:naver</t>
  </si>
  <si>
    <t>NAVERssaking25617</t>
  </si>
  <si>
    <t>NAVERssangwon777</t>
  </si>
  <si>
    <t>NAVERssbbqpaju</t>
  </si>
  <si>
    <t>NAVERssd2ys</t>
  </si>
  <si>
    <t>NAVERsseo9363</t>
  </si>
  <si>
    <t>NAVERssfsfsfs1</t>
  </si>
  <si>
    <t>NAVERssglobal</t>
  </si>
  <si>
    <t>NAVERssjg12</t>
  </si>
  <si>
    <t>NAVERssk1914</t>
  </si>
  <si>
    <t>NAVERsskorea772</t>
  </si>
  <si>
    <t>NAVERssmold</t>
  </si>
  <si>
    <t>NAVERssonic2021</t>
  </si>
  <si>
    <t>NAVERsspnetwork</t>
  </si>
  <si>
    <t>NAVERsss3909</t>
  </si>
  <si>
    <t>NAVERssss1962</t>
  </si>
  <si>
    <t>NAVERssssunni:naver</t>
  </si>
  <si>
    <t>NAVERssungssuns:naver</t>
  </si>
  <si>
    <t>NAVERssunlab</t>
  </si>
  <si>
    <t>NAVERssy9933:naver</t>
  </si>
  <si>
    <t>NAVERsszerotop</t>
  </si>
  <si>
    <t>NAVERstage9456</t>
  </si>
  <si>
    <t>NAVERstar265:naver</t>
  </si>
  <si>
    <t>NAVERstarhooa:naver</t>
  </si>
  <si>
    <t>NAVERstartaxi</t>
  </si>
  <si>
    <t>NAVERstartone_office:naver</t>
  </si>
  <si>
    <t>NAVERstayoan</t>
  </si>
  <si>
    <t>NAVERstcommerce1:naver</t>
  </si>
  <si>
    <t>NAVERsteamnara_kr:naver</t>
  </si>
  <si>
    <t>NAVERsteeeve1018:naver</t>
  </si>
  <si>
    <t>NAVERsteelnko:naver</t>
  </si>
  <si>
    <t>NAVERsteveseize</t>
  </si>
  <si>
    <t>NAVERstherapy7</t>
  </si>
  <si>
    <t>NAVERstht0416</t>
  </si>
  <si>
    <t>NAVERstmdsuss:naver</t>
  </si>
  <si>
    <t>NAVERstmusic2016</t>
  </si>
  <si>
    <t>NAVERstnong</t>
  </si>
  <si>
    <t>NAVERstockkims:naver</t>
  </si>
  <si>
    <t>NAVERstom1844:naver</t>
  </si>
  <si>
    <t>NAVERstone3246</t>
  </si>
  <si>
    <t>NAVERstory-panda:naver</t>
  </si>
  <si>
    <t>NAVERstorybooth</t>
  </si>
  <si>
    <t>NAVERstoryhouse49</t>
  </si>
  <si>
    <t>NAVERstronggi:naver</t>
  </si>
  <si>
    <t>NAVERsts1030:naver</t>
  </si>
  <si>
    <t>NAVERsttop</t>
  </si>
  <si>
    <t>NAVERstudytass</t>
  </si>
  <si>
    <t>NAVERsu1644</t>
  </si>
  <si>
    <t>NAVERsuaviss0980</t>
  </si>
  <si>
    <t>NAVERsudo3473</t>
  </si>
  <si>
    <t>NAVERsuensumask</t>
  </si>
  <si>
    <t>NAVERsuesuesue3720:naver</t>
  </si>
  <si>
    <t>NAVERsugar8553</t>
  </si>
  <si>
    <t>NAVERsugarbubble</t>
  </si>
  <si>
    <t>NAVERsuji5237</t>
  </si>
  <si>
    <t>NAVERsujinsports:naver</t>
  </si>
  <si>
    <t>NAVERsullyn</t>
  </si>
  <si>
    <t>NAVERsum3872:naver</t>
  </si>
  <si>
    <t>NAVERsummonerx</t>
  </si>
  <si>
    <t>NAVERsun7663</t>
  </si>
  <si>
    <t>NAVERsunam333</t>
  </si>
  <si>
    <t>NAVERsuner0318:naver</t>
  </si>
  <si>
    <t>NAVERsung43</t>
  </si>
  <si>
    <t>NAVERsunga1346</t>
  </si>
  <si>
    <t>NAVERsungeun1014</t>
  </si>
  <si>
    <t>NAVERsunghwa1511:naver</t>
  </si>
  <si>
    <t>NAVERsungjink</t>
  </si>
  <si>
    <t>NAVERsunglim8883</t>
  </si>
  <si>
    <t>NAVERsungmidesign</t>
  </si>
  <si>
    <t>NAVERsungok0903</t>
  </si>
  <si>
    <t>NAVERsungsan8105</t>
  </si>
  <si>
    <t>NAVERsungwoo8582:naver</t>
  </si>
  <si>
    <t>NAVERsunilair0568</t>
  </si>
  <si>
    <t>NAVERsunja2424</t>
  </si>
  <si>
    <t>NAVERsunjinsolar</t>
  </si>
  <si>
    <t>NAVERsunjinstt</t>
  </si>
  <si>
    <t>NAVERsunlight2019</t>
  </si>
  <si>
    <t>NAVERsunlinlaw</t>
  </si>
  <si>
    <t>NAVERsunny962</t>
  </si>
  <si>
    <t>NAVERsunobgy</t>
  </si>
  <si>
    <t>NAVERsunpowertech</t>
  </si>
  <si>
    <t>NAVERsunseeya:naver</t>
  </si>
  <si>
    <t>NAVERsunshingle</t>
  </si>
  <si>
    <t>NAVERsuntongsin</t>
  </si>
  <si>
    <t>NAVERsunwinder</t>
  </si>
  <si>
    <t>NAVERsuper5yp</t>
  </si>
  <si>
    <t>NAVERsuperbrav:naver</t>
  </si>
  <si>
    <t>NAVERsupermaquette:naver</t>
  </si>
  <si>
    <t>NAVERsupersky3503</t>
  </si>
  <si>
    <t>NAVERsupiaheera:naver</t>
  </si>
  <si>
    <t>NAVERsurfreme:naver</t>
  </si>
  <si>
    <t>NAVERsurkhun</t>
  </si>
  <si>
    <t>NAVERsush4102</t>
  </si>
  <si>
    <t>NAVERsuyedang</t>
  </si>
  <si>
    <t>NAVERsvtech</t>
  </si>
  <si>
    <t>NAVERsw8278</t>
  </si>
  <si>
    <t>NAVERswallowco</t>
  </si>
  <si>
    <t>NAVERswcare9900</t>
  </si>
  <si>
    <t>NAVERsweetblock</t>
  </si>
  <si>
    <t>NAVERsweker</t>
  </si>
  <si>
    <t>NAVERswoil</t>
  </si>
  <si>
    <t>NAVERsws0842:naver</t>
  </si>
  <si>
    <t>NAVERsws7003</t>
  </si>
  <si>
    <t>NAVERswtower7</t>
  </si>
  <si>
    <t>NAVERswy7701</t>
  </si>
  <si>
    <t>NAVERsxiii</t>
  </si>
  <si>
    <t>NAVERsy10823</t>
  </si>
  <si>
    <t>NAVERsy150114</t>
  </si>
  <si>
    <t>NAVERsyc1069:naver</t>
  </si>
  <si>
    <t>NAVERsyncpro</t>
  </si>
  <si>
    <t>NAVERsysdoc22:naver</t>
  </si>
  <si>
    <t>NAVERsystem01</t>
  </si>
  <si>
    <t>NAVERszzzz09</t>
  </si>
  <si>
    <t>NAVERt_energy</t>
  </si>
  <si>
    <t>NAVERtaeboy7</t>
  </si>
  <si>
    <t>NAVERtaechu96</t>
  </si>
  <si>
    <t>NAVERtaeh0829</t>
  </si>
  <si>
    <t>NAVERtaejong2220</t>
  </si>
  <si>
    <t>NAVERtaekwang0111</t>
  </si>
  <si>
    <t>NAVERtaena</t>
  </si>
  <si>
    <t>NAVERtaesanpharm:naver</t>
  </si>
  <si>
    <t>NAVERtaesungmaru</t>
  </si>
  <si>
    <t>NAVERtaesungpmc0330:naver</t>
  </si>
  <si>
    <t>NAVERtaeyang5785</t>
  </si>
  <si>
    <t>NAVERtaeyeon</t>
  </si>
  <si>
    <t>NAVERtaezcompany:naver</t>
  </si>
  <si>
    <t>NAVERtaiji707</t>
  </si>
  <si>
    <t>NAVERtaisi112:naver</t>
  </si>
  <si>
    <t>NAVERtakops</t>
  </si>
  <si>
    <t>NAVERtangem22</t>
  </si>
  <si>
    <t>NAVERtarumo</t>
  </si>
  <si>
    <t>NAVERtaset</t>
  </si>
  <si>
    <t>NAVERtaxitrip</t>
  </si>
  <si>
    <t>NAVERtaxsjm</t>
  </si>
  <si>
    <t>NAVERtaxsu_cta:naver</t>
  </si>
  <si>
    <t>NAVERtazjazz</t>
  </si>
  <si>
    <t>NAVERtb1750</t>
  </si>
  <si>
    <t>NAVERtcenp</t>
  </si>
  <si>
    <t>NAVERtdfkorea</t>
  </si>
  <si>
    <t>NAVERtdklambda</t>
  </si>
  <si>
    <t>NAVERtdz9915:naver</t>
  </si>
  <si>
    <t>NAVERteaable107</t>
  </si>
  <si>
    <t>NAVERteatime0057</t>
  </si>
  <si>
    <t>NAVERteatime6210:naver</t>
  </si>
  <si>
    <t>NAVERteayong</t>
  </si>
  <si>
    <t>NAVERtechnicjo:naver</t>
  </si>
  <si>
    <t>NAVERtechnotool</t>
  </si>
  <si>
    <t>NAVERtel_brand</t>
  </si>
  <si>
    <t>NAVERtelgate</t>
  </si>
  <si>
    <t>NAVERtensai520:naver</t>
  </si>
  <si>
    <t>NAVERterr24</t>
  </si>
  <si>
    <t>NAVERtescan</t>
  </si>
  <si>
    <t>NAVERtgnarae</t>
  </si>
  <si>
    <t>NAVERtgomat</t>
  </si>
  <si>
    <t>NAVERthal9726</t>
  </si>
  <si>
    <t>NAVERthcoffee</t>
  </si>
  <si>
    <t>NAVERthddl4694</t>
  </si>
  <si>
    <t>NAVERthe-food:naver</t>
  </si>
  <si>
    <t>NAVERthe5151002</t>
  </si>
  <si>
    <t>NAVERtheallmed</t>
  </si>
  <si>
    <t>NAVERthebath</t>
  </si>
  <si>
    <t>NAVERthebone_hs:naver</t>
  </si>
  <si>
    <t>NAVERthebuzz</t>
  </si>
  <si>
    <t>NAVERthecompanion</t>
  </si>
  <si>
    <t>NAVERthedoor</t>
  </si>
  <si>
    <t>NAVERthedream0221</t>
  </si>
  <si>
    <t>NAVERthedreamon</t>
  </si>
  <si>
    <t>NAVERthegaly</t>
  </si>
  <si>
    <t>NAVERthehan-health:naver</t>
  </si>
  <si>
    <t>NAVERtheice</t>
  </si>
  <si>
    <t>NAVERthejoen88:naver</t>
  </si>
  <si>
    <t>NAVERthek3217</t>
  </si>
  <si>
    <t>NAVERthelavicos</t>
  </si>
  <si>
    <t>NAVERthelksoft</t>
  </si>
  <si>
    <t>NAVERtheohi11</t>
  </si>
  <si>
    <t>NAVERtheonecos</t>
  </si>
  <si>
    <t>NAVERthepan01</t>
  </si>
  <si>
    <t>NAVERthepurelotus:naver</t>
  </si>
  <si>
    <t>NAVERtheragel:naver</t>
  </si>
  <si>
    <t>NAVERtheshiny</t>
  </si>
  <si>
    <t>NAVERthesixnine:naver</t>
  </si>
  <si>
    <t>NAVERthesoft216</t>
  </si>
  <si>
    <t>NAVERthessdam:naver</t>
  </si>
  <si>
    <t>NAVERthestar3444:naver</t>
  </si>
  <si>
    <t>NAVERtheuniform</t>
  </si>
  <si>
    <t>NAVERthinkfund</t>
  </si>
  <si>
    <t>NAVERthoo922</t>
  </si>
  <si>
    <t>NAVERthpark1012</t>
  </si>
  <si>
    <t>NAVERthsckdud77</t>
  </si>
  <si>
    <t>NAVERthss498</t>
  </si>
  <si>
    <t>NAVERthswkdtn70</t>
  </si>
  <si>
    <t>NAVERthswo3144</t>
  </si>
  <si>
    <t>NAVERtiam</t>
  </si>
  <si>
    <t>NAVERtigen29:naver</t>
  </si>
  <si>
    <t>NAVERtiger1</t>
  </si>
  <si>
    <t>NAVERtigoneam</t>
  </si>
  <si>
    <t>NAVERtile2822</t>
  </si>
  <si>
    <t>NAVERtime-out:naver</t>
  </si>
  <si>
    <t>NAVERting1156</t>
  </si>
  <si>
    <t>NAVERtirehkn123</t>
  </si>
  <si>
    <t>NAVERtjb2258</t>
  </si>
  <si>
    <t>NAVERtjddnjswhdk</t>
  </si>
  <si>
    <t>NAVERtjdrj561</t>
  </si>
  <si>
    <t>NAVERtjdskrqhd</t>
  </si>
  <si>
    <t>NAVERtjdtjdodrmf</t>
  </si>
  <si>
    <t>NAVERtjdwnghks78</t>
  </si>
  <si>
    <t>NAVERtjrcozz</t>
  </si>
  <si>
    <t>NAVERtjrekdflek</t>
  </si>
  <si>
    <t>NAVERtk1000</t>
  </si>
  <si>
    <t>NAVERtkatjdemfla</t>
  </si>
  <si>
    <t>NAVERtkatjdrhdrka</t>
  </si>
  <si>
    <t>NAVERtkbolt326</t>
  </si>
  <si>
    <t>NAVERtkdaksvvvv:naver</t>
  </si>
  <si>
    <t>NAVERtkdeo</t>
  </si>
  <si>
    <t>NAVERtkdtkd012:naver</t>
  </si>
  <si>
    <t>NAVERtkdxo3282</t>
  </si>
  <si>
    <t>NAVERtkeng21</t>
  </si>
  <si>
    <t>NAVERtkfkdgo3a</t>
  </si>
  <si>
    <t>NAVERtkfkdgo9735:naver</t>
  </si>
  <si>
    <t>NAVERtkhealthcare</t>
  </si>
  <si>
    <t>NAVERtkqlt123</t>
  </si>
  <si>
    <t>NAVERtksqkek77:naver</t>
  </si>
  <si>
    <t>NAVERtldgksus:naver</t>
  </si>
  <si>
    <t>NAVERtls3880:naver</t>
  </si>
  <si>
    <t>NAVERtlsdj345</t>
  </si>
  <si>
    <t>NAVERtlsrhkdxkdlf</t>
  </si>
  <si>
    <t>NAVERtlstprl1</t>
  </si>
  <si>
    <t>NAVERtlt0517</t>
  </si>
  <si>
    <t>NAVERtmaeul</t>
  </si>
  <si>
    <t>NAVERtmsol1</t>
  </si>
  <si>
    <t>NAVERtnbplus:naver</t>
  </si>
  <si>
    <t>NAVERtng_g7</t>
  </si>
  <si>
    <t>NAVERtnihotel</t>
  </si>
  <si>
    <t>NAVERtnsdu</t>
  </si>
  <si>
    <t>NAVERtocute:naver</t>
  </si>
  <si>
    <t>NAVERtodam2015</t>
  </si>
  <si>
    <t>NAVERtodaypick</t>
  </si>
  <si>
    <t>NAVERtogukco</t>
  </si>
  <si>
    <t>NAVERtojida</t>
  </si>
  <si>
    <t>NAVERtokyogyudong0:naver</t>
  </si>
  <si>
    <t>NAVERtolli1</t>
  </si>
  <si>
    <t>NAVERtomas009</t>
  </si>
  <si>
    <t>NAVERtomato6665</t>
  </si>
  <si>
    <t>NAVERtomatobag</t>
  </si>
  <si>
    <t>NAVERtommyr</t>
  </si>
  <si>
    <t>NAVERtonde</t>
  </si>
  <si>
    <t>NAVERtonginexp</t>
  </si>
  <si>
    <t>NAVERtoopiece2:naver</t>
  </si>
  <si>
    <t>NAVERtop22</t>
  </si>
  <si>
    <t>NAVERtop3007</t>
  </si>
  <si>
    <t>NAVERtop50bundang:naver</t>
  </si>
  <si>
    <t>NAVERtopazpila:naver</t>
  </si>
  <si>
    <t>NAVERtopclasshigh:naver</t>
  </si>
  <si>
    <t>NAVERtopdada</t>
  </si>
  <si>
    <t>NAVERtopeng</t>
  </si>
  <si>
    <t>NAVERtopncar</t>
  </si>
  <si>
    <t>NAVERtopretina</t>
  </si>
  <si>
    <t>NAVERtops3860</t>
  </si>
  <si>
    <t>NAVERtopsoung</t>
  </si>
  <si>
    <t>NAVERtotal__wood:naver</t>
  </si>
  <si>
    <t>NAVERtotalmgv5409</t>
  </si>
  <si>
    <t>NAVERtotoroyuhak</t>
  </si>
  <si>
    <t>NAVERtoughking2</t>
  </si>
  <si>
    <t>NAVERtourmktg</t>
  </si>
  <si>
    <t>NAVERtove2020</t>
  </si>
  <si>
    <t>NAVERtoy1919</t>
  </si>
  <si>
    <t>NAVERtpfc9844_2</t>
  </si>
  <si>
    <t>NAVERtpglobalnv</t>
  </si>
  <si>
    <t>NAVERtptkdgksk486:naver</t>
  </si>
  <si>
    <t>NAVERtpwnd0107:naver</t>
  </si>
  <si>
    <t>NAVERtraang</t>
  </si>
  <si>
    <t>NAVERtransedit</t>
  </si>
  <si>
    <t>NAVERtreejoa</t>
  </si>
  <si>
    <t>NAVERtrendeco</t>
  </si>
  <si>
    <t>NAVERtrendkkim:naver</t>
  </si>
  <si>
    <t>NAVERtrindlee:naver</t>
  </si>
  <si>
    <t>NAVERtrlang:naver</t>
  </si>
  <si>
    <t>NAVERtrsys</t>
  </si>
  <si>
    <t>NAVERts-fashion:naver</t>
  </si>
  <si>
    <t>NAVERts1234</t>
  </si>
  <si>
    <t>NAVERtskan2016</t>
  </si>
  <si>
    <t>NAVERtskorea1409</t>
  </si>
  <si>
    <t>NAVERtsscience</t>
  </si>
  <si>
    <t>NAVERttagu8446:naver</t>
  </si>
  <si>
    <t>NAVERtteroeverywhere:naver</t>
  </si>
  <si>
    <t>NAVERttft00</t>
  </si>
  <si>
    <t>NAVERttrendy</t>
  </si>
  <si>
    <t>NAVERtulip147</t>
  </si>
  <si>
    <t>NAVERtulip68:naver</t>
  </si>
  <si>
    <t>NAVERtunajelly</t>
  </si>
  <si>
    <t>NAVERturntablelab:naver</t>
  </si>
  <si>
    <t>NAVERtutupet0525</t>
  </si>
  <si>
    <t>NAVERtveg1:naver</t>
  </si>
  <si>
    <t>NAVERtw02252:naver</t>
  </si>
  <si>
    <t>NAVERtw5010</t>
  </si>
  <si>
    <t>NAVERtwinnybiz</t>
  </si>
  <si>
    <t>NAVERtwozzim</t>
  </si>
  <si>
    <t>NAVERty1914</t>
  </si>
  <si>
    <t>NAVERty4000</t>
  </si>
  <si>
    <t>NAVERty7363</t>
  </si>
  <si>
    <t>NAVERtyac7704:naver</t>
  </si>
  <si>
    <t>NAVERtyddldid:naver</t>
  </si>
  <si>
    <t>NAVERtylerism</t>
  </si>
  <si>
    <t>NAVERtyoi0001</t>
  </si>
  <si>
    <t>NAVERtysheari</t>
  </si>
  <si>
    <t>NAVERubi0166</t>
  </si>
  <si>
    <t>NAVERubob</t>
  </si>
  <si>
    <t>NAVERudea</t>
  </si>
  <si>
    <t>NAVERudorang</t>
  </si>
  <si>
    <t>NAVERufavor</t>
  </si>
  <si>
    <t>NAVERuhaktown</t>
  </si>
  <si>
    <t>NAVERuhc0523</t>
  </si>
  <si>
    <t>NAVERui8459</t>
  </si>
  <si>
    <t>NAVERuil0410:naver</t>
  </si>
  <si>
    <t>NAVERuiop909</t>
  </si>
  <si>
    <t>NAVERujj1109</t>
  </si>
  <si>
    <t>NAVERukshin21</t>
  </si>
  <si>
    <t>NAVERulsanforest2:naver</t>
  </si>
  <si>
    <t>NAVERunfco00</t>
  </si>
  <si>
    <t>NAVERuni929</t>
  </si>
  <si>
    <t>NAVERunicc</t>
  </si>
  <si>
    <t>NAVERunick2019</t>
  </si>
  <si>
    <t>NAVERunicl</t>
  </si>
  <si>
    <t>NAVERunicnc</t>
  </si>
  <si>
    <t>NAVERuniel2001</t>
  </si>
  <si>
    <t>NAVERuninano83</t>
  </si>
  <si>
    <t>NAVERunion5859</t>
  </si>
  <si>
    <t>NAVERunitrend</t>
  </si>
  <si>
    <t>NAVERuniversallif</t>
  </si>
  <si>
    <t>NAVERunivmeeting:naver</t>
  </si>
  <si>
    <t>NAVERuntoldstore</t>
  </si>
  <si>
    <t>NAVERupbrain</t>
  </si>
  <si>
    <t>NAVERupcasti</t>
  </si>
  <si>
    <t>NAVERuplaza</t>
  </si>
  <si>
    <t>NAVERurban-stump:naver</t>
  </si>
  <si>
    <t>NAVERuriidcos:naver</t>
  </si>
  <si>
    <t>NAVERurisystem1</t>
  </si>
  <si>
    <t>NAVERusfishing_official:naver</t>
  </si>
  <si>
    <t>NAVERushoo</t>
  </si>
  <si>
    <t>NAVERuvsmt7</t>
  </si>
  <si>
    <t>NAVERuzurocksint</t>
  </si>
  <si>
    <t>NAVERv17433</t>
  </si>
  <si>
    <t>NAVERv8171803</t>
  </si>
  <si>
    <t>NAVERvalika</t>
  </si>
  <si>
    <t>NAVERvaluzi</t>
  </si>
  <si>
    <t>NAVERvalvet_welcare:naver</t>
  </si>
  <si>
    <t>NAVERvariator</t>
  </si>
  <si>
    <t>NAVERvault_fitness:naver</t>
  </si>
  <si>
    <t>NAVERvendedor</t>
  </si>
  <si>
    <t>NAVERvenueg</t>
  </si>
  <si>
    <t>NAVERverygoodtour</t>
  </si>
  <si>
    <t>NAVERvestiairekorea:naver</t>
  </si>
  <si>
    <t>NAVERvexpert</t>
  </si>
  <si>
    <t>NAVERvfxlab</t>
  </si>
  <si>
    <t>NAVERvhzm5425:naver</t>
  </si>
  <si>
    <t>NAVERviaveritasvita:naver</t>
  </si>
  <si>
    <t>NAVERvibration91:naver</t>
  </si>
  <si>
    <t>NAVERvicstore</t>
  </si>
  <si>
    <t>NAVERvictory5336</t>
  </si>
  <si>
    <t>NAVERvictory663</t>
  </si>
  <si>
    <t>NAVERvictory75</t>
  </si>
  <si>
    <t>NAVERvigor4862:naver</t>
  </si>
  <si>
    <t>NAVERvip0424</t>
  </si>
  <si>
    <t>NAVERvipm:naver</t>
  </si>
  <si>
    <t>NAVERvirology</t>
  </si>
  <si>
    <t>NAVERvision2005</t>
  </si>
  <si>
    <t>NAVERvisionmall</t>
  </si>
  <si>
    <t>NAVERviva22j</t>
  </si>
  <si>
    <t>NAVERvivalime</t>
  </si>
  <si>
    <t>NAVERvivawave</t>
  </si>
  <si>
    <t>NAVERvjavm88</t>
  </si>
  <si>
    <t>NAVERvkvk1995</t>
  </si>
  <si>
    <t>NAVERvlift</t>
  </si>
  <si>
    <t>NAVERvmazzang</t>
  </si>
  <si>
    <t>NAVERvmride</t>
  </si>
  <si>
    <t>NAVERvoi536</t>
  </si>
  <si>
    <t>NAVERvoi537</t>
  </si>
  <si>
    <t>NAVERvoi538</t>
  </si>
  <si>
    <t>NAVERvoi539</t>
  </si>
  <si>
    <t>NAVERvolinte</t>
  </si>
  <si>
    <t>NAVERvop0505:naver</t>
  </si>
  <si>
    <t>NAVERvopier1</t>
  </si>
  <si>
    <t>NAVERvorio01</t>
  </si>
  <si>
    <t>NAVERvrgallery360:naver</t>
  </si>
  <si>
    <t>NAVERvs3551</t>
  </si>
  <si>
    <t>NAVERvsado00</t>
  </si>
  <si>
    <t>NAVERvstar0313</t>
  </si>
  <si>
    <t>NAVERvuclass:naver</t>
  </si>
  <si>
    <t>NAVERvudwk1234</t>
  </si>
  <si>
    <t>NAVERvz001</t>
  </si>
  <si>
    <t>NAVERw_interpark</t>
  </si>
  <si>
    <t>NAVERw001982</t>
  </si>
  <si>
    <t>NAVERwagti</t>
  </si>
  <si>
    <t>NAVERwalch</t>
  </si>
  <si>
    <t>NAVERwalkbrain1</t>
  </si>
  <si>
    <t>NAVERwaneebe</t>
  </si>
  <si>
    <t>NAVERwangnune</t>
  </si>
  <si>
    <t>NAVERwangplant_ch</t>
  </si>
  <si>
    <t>NAVERwangplant_gw</t>
  </si>
  <si>
    <t>NAVERwanna08</t>
  </si>
  <si>
    <t>NAVERwanyroom:naver</t>
  </si>
  <si>
    <t>NAVERwatchcase2</t>
  </si>
  <si>
    <t>NAVERwaternix</t>
  </si>
  <si>
    <t>NAVERwavecompany</t>
  </si>
  <si>
    <t>NAVERwaycorp:naver</t>
  </si>
  <si>
    <t>NAVERways98:naver</t>
  </si>
  <si>
    <t>NAVERwazup88</t>
  </si>
  <si>
    <t>NAVERwd4621</t>
  </si>
  <si>
    <t>NAVERwdbrandkorea</t>
  </si>
  <si>
    <t>NAVERwdsega</t>
  </si>
  <si>
    <t>NAVERwe_will_win:naver</t>
  </si>
  <si>
    <t>NAVERwearethe</t>
  </si>
  <si>
    <t>NAVERwegle</t>
  </si>
  <si>
    <t>NAVERwehouse23</t>
  </si>
  <si>
    <t>NAVERwehouse25:naver</t>
  </si>
  <si>
    <t>NAVERwelcomeenm</t>
  </si>
  <si>
    <t>NAVERwelcomeplan</t>
  </si>
  <si>
    <t>NAVERwellbing153</t>
  </si>
  <si>
    <t>NAVERwellchoi</t>
  </si>
  <si>
    <t>NAVERwelldocomm</t>
  </si>
  <si>
    <t>NAVERwelldocomm:naver</t>
  </si>
  <si>
    <t>NAVERwellfeed1170</t>
  </si>
  <si>
    <t>NAVERwemake</t>
  </si>
  <si>
    <t>NAVERwemake0</t>
  </si>
  <si>
    <t>NAVERwemake1</t>
  </si>
  <si>
    <t>NAVERwesleygym</t>
  </si>
  <si>
    <t>NAVERwessint</t>
  </si>
  <si>
    <t>NAVERwesthunter21</t>
  </si>
  <si>
    <t>NAVERweve2875</t>
  </si>
  <si>
    <t>NAVERwgs513:naver</t>
  </si>
  <si>
    <t>NAVERwhatthegyeongju:naver</t>
  </si>
  <si>
    <t>NAVERwhdbstjdvs12</t>
  </si>
  <si>
    <t>NAVERwhh7660</t>
  </si>
  <si>
    <t>NAVERwhite2vv</t>
  </si>
  <si>
    <t>NAVERwhitefox1052:naver</t>
  </si>
  <si>
    <t>NAVERwholefarm</t>
  </si>
  <si>
    <t>NAVERwhtjddndy</t>
  </si>
  <si>
    <t>NAVERwhtkdgus</t>
  </si>
  <si>
    <t>NAVERwhtndms9090:naver</t>
  </si>
  <si>
    <t>NAVERwias123</t>
  </si>
  <si>
    <t>NAVERwig0059</t>
  </si>
  <si>
    <t>NAVERwig6363</t>
  </si>
  <si>
    <t>NAVERwillettkorea</t>
  </si>
  <si>
    <t>NAVERwillo</t>
  </si>
  <si>
    <t>NAVERwilshire</t>
  </si>
  <si>
    <t>NAVERwindkee</t>
  </si>
  <si>
    <t>NAVERwindmall33:naver</t>
  </si>
  <si>
    <t>NAVERwindpia1</t>
  </si>
  <si>
    <t>NAVERwingcore2021</t>
  </si>
  <si>
    <t>NAVERwingd331</t>
  </si>
  <si>
    <t>NAVERwinner97</t>
  </si>
  <si>
    <t>NAVERwinnermart</t>
  </si>
  <si>
    <t>NAVERwinterstory04:naver</t>
  </si>
  <si>
    <t>NAVERwir564</t>
  </si>
  <si>
    <t>NAVERwiryefine</t>
  </si>
  <si>
    <t>NAVERwiselawyer</t>
  </si>
  <si>
    <t>NAVERwithsanc</t>
  </si>
  <si>
    <t>NAVERwithus123</t>
  </si>
  <si>
    <t>NAVERwithusnet:naver</t>
  </si>
  <si>
    <t>NAVERwitty_market:naver</t>
  </si>
  <si>
    <t>NAVERwizer6633</t>
  </si>
  <si>
    <t>NAVERwizu2011</t>
  </si>
  <si>
    <t>NAVERwjdgktn8991</t>
  </si>
  <si>
    <t>NAVERwjdtjs3122:naver</t>
  </si>
  <si>
    <t>NAVERwjdtpgus5474</t>
  </si>
  <si>
    <t>NAVERwjdwoqhr1144</t>
  </si>
  <si>
    <t>NAVERwjjs</t>
  </si>
  <si>
    <t>NAVERwjmanhole</t>
  </si>
  <si>
    <t>NAVERwjs9455</t>
  </si>
  <si>
    <t>NAVERwjsik6080</t>
  </si>
  <si>
    <t>NAVERwjsk0903:naver</t>
  </si>
  <si>
    <t>NAVERwjswlgus23</t>
  </si>
  <si>
    <t>NAVERwjtank</t>
  </si>
  <si>
    <t>NAVERwjtax1</t>
  </si>
  <si>
    <t>NAVERwjwaters</t>
  </si>
  <si>
    <t>NAVERwk3876</t>
  </si>
  <si>
    <t>NAVERwkddhksgml1</t>
  </si>
  <si>
    <t>NAVERwkdqldi</t>
  </si>
  <si>
    <t>NAVERwkdvksem01</t>
  </si>
  <si>
    <t>NAVERwldrj2001:naver</t>
  </si>
  <si>
    <t>NAVERwls3288:naver</t>
  </si>
  <si>
    <t>NAVERwlsdid</t>
  </si>
  <si>
    <t>NAVERwlsdktksdjq</t>
  </si>
  <si>
    <t>NAVERwlsdudtm2</t>
  </si>
  <si>
    <t>NAVERwlsxor2002</t>
  </si>
  <si>
    <t>NAVERwlwlals911</t>
  </si>
  <si>
    <t>NAVERwmelonshop</t>
  </si>
  <si>
    <t>NAVERwmglobal</t>
  </si>
  <si>
    <t>NAVERwmp_2018</t>
  </si>
  <si>
    <t>NAVERwmpbox</t>
  </si>
  <si>
    <t>NAVERwmpshopping</t>
  </si>
  <si>
    <t>NAVERwnduddmsrnt:naver</t>
  </si>
  <si>
    <t>NAVERwnkanglim</t>
  </si>
  <si>
    <t>NAVERwnpaint</t>
  </si>
  <si>
    <t>NAVERwnsghks8733</t>
  </si>
  <si>
    <t>NAVERwnt1900</t>
  </si>
  <si>
    <t>NAVERwogns321:naver</t>
  </si>
  <si>
    <t>NAVERwoman7</t>
  </si>
  <si>
    <t>NAVERwonder_shop</t>
  </si>
  <si>
    <t>NAVERwonder212:naver</t>
  </si>
  <si>
    <t>NAVERwonil5735:naver</t>
  </si>
  <si>
    <t>NAVERwonilbath</t>
  </si>
  <si>
    <t>NAVERwonjineffect</t>
  </si>
  <si>
    <t>NAVERwonjuu</t>
  </si>
  <si>
    <t>NAVERwonsp2001</t>
  </si>
  <si>
    <t>NAVERwonsun1545</t>
  </si>
  <si>
    <t>NAVERwoo537</t>
  </si>
  <si>
    <t>NAVERwoo541</t>
  </si>
  <si>
    <t>NAVERwoo872</t>
  </si>
  <si>
    <t>NAVERwoochang3705</t>
  </si>
  <si>
    <t>NAVERwooilrayon</t>
  </si>
  <si>
    <t>NAVERwoojong</t>
  </si>
  <si>
    <t>NAVERwook7157</t>
  </si>
  <si>
    <t>NAVERwoolfmen2000</t>
  </si>
  <si>
    <t>NAVERwoori885</t>
  </si>
  <si>
    <t>NAVERwooristar</t>
  </si>
  <si>
    <t>NAVERwooryfence</t>
  </si>
  <si>
    <t>NAVERwoosin6010</t>
  </si>
  <si>
    <t>NAVERwoovak:naver</t>
  </si>
  <si>
    <t>NAVERwoqhd28521:naver</t>
  </si>
  <si>
    <t>NAVERworisky</t>
  </si>
  <si>
    <t>NAVERwork4b:naver</t>
  </si>
  <si>
    <t>NAVERworklab_co:naver</t>
  </si>
  <si>
    <t>NAVERworksoutch</t>
  </si>
  <si>
    <t>NAVERworksoutco</t>
  </si>
  <si>
    <t>NAVERworkup</t>
  </si>
  <si>
    <t>NAVERworld00261</t>
  </si>
  <si>
    <t>NAVERworldbb</t>
  </si>
  <si>
    <t>NAVERworldeng2</t>
  </si>
  <si>
    <t>NAVERworldmd</t>
  </si>
  <si>
    <t>NAVERworldnme75:naver</t>
  </si>
  <si>
    <t>NAVERwotmd0417:naver</t>
  </si>
  <si>
    <t>NAVERwptogether</t>
  </si>
  <si>
    <t>NAVERwr2424</t>
  </si>
  <si>
    <t>NAVERwr2938</t>
  </si>
  <si>
    <t>NAVERwr3943</t>
  </si>
  <si>
    <t>NAVERwreg:naver</t>
  </si>
  <si>
    <t>NAVERws0339</t>
  </si>
  <si>
    <t>NAVERwscoly</t>
  </si>
  <si>
    <t>NAVERwsilwel:naver</t>
  </si>
  <si>
    <t>NAVERwsj3577</t>
  </si>
  <si>
    <t>NAVERwsn5502:naver</t>
  </si>
  <si>
    <t>NAVERwsyou01</t>
  </si>
  <si>
    <t>NAVERwts3050</t>
  </si>
  <si>
    <t>NAVERwulute62</t>
  </si>
  <si>
    <t>NAVERwus22:naver</t>
  </si>
  <si>
    <t>NAVERwv6432</t>
  </si>
  <si>
    <t>NAVERwwwmih</t>
  </si>
  <si>
    <t>NAVERwymaxs</t>
  </si>
  <si>
    <t>NAVERwysg2002</t>
  </si>
  <si>
    <t>NAVERxenicsholic</t>
  </si>
  <si>
    <t>NAVERxianhu2:naver</t>
  </si>
  <si>
    <t>NAVERxotjdwkehd</t>
  </si>
  <si>
    <t>NAVERxpkiller</t>
  </si>
  <si>
    <t>NAVERxxlovexx1010:naver</t>
  </si>
  <si>
    <t>NAVERxyphoid1004:naver</t>
  </si>
  <si>
    <t>NAVERy_consulting</t>
  </si>
  <si>
    <t>NAVERy012500</t>
  </si>
  <si>
    <t>NAVERy21</t>
  </si>
  <si>
    <t>NAVERy2334:naver</t>
  </si>
  <si>
    <t>NAVERy77lsw</t>
  </si>
  <si>
    <t>NAVERyanan2930</t>
  </si>
  <si>
    <t>NAVERyangdong123</t>
  </si>
  <si>
    <t>NAVERyangheon_id1</t>
  </si>
  <si>
    <t>NAVERyangji9000</t>
  </si>
  <si>
    <t>NAVERyangji9001</t>
  </si>
  <si>
    <t>NAVERyangji9002</t>
  </si>
  <si>
    <t>NAVERyangji9003</t>
  </si>
  <si>
    <t>NAVERyangji9004</t>
  </si>
  <si>
    <t>NAVERyangju-ch:naver</t>
  </si>
  <si>
    <t>NAVERyangpa113</t>
  </si>
  <si>
    <t>NAVERyangpa115</t>
  </si>
  <si>
    <t>NAVERybhflower</t>
  </si>
  <si>
    <t>NAVERybmun</t>
  </si>
  <si>
    <t>NAVERycbnf</t>
  </si>
  <si>
    <t>NAVERycdizion</t>
  </si>
  <si>
    <t>NAVERych2200</t>
  </si>
  <si>
    <t>NAVERydp0013</t>
  </si>
  <si>
    <t>NAVERyec1012</t>
  </si>
  <si>
    <t>NAVERyechang7</t>
  </si>
  <si>
    <t>NAVERyedamwoo22</t>
  </si>
  <si>
    <t>NAVERyega1877</t>
  </si>
  <si>
    <t>NAVERyeilmgr22</t>
  </si>
  <si>
    <t>NAVERyeinart77</t>
  </si>
  <si>
    <t>NAVERyeodammt</t>
  </si>
  <si>
    <t>NAVERyeongwoo</t>
  </si>
  <si>
    <t>NAVERyeouldol</t>
  </si>
  <si>
    <t>NAVERyes2440</t>
  </si>
  <si>
    <t>NAVERyesbeauty</t>
  </si>
  <si>
    <t>NAVERyesuro488</t>
  </si>
  <si>
    <t>NAVERygfrr11:naver</t>
  </si>
  <si>
    <t>NAVERygi12222:naver</t>
  </si>
  <si>
    <t>NAVERygim3191</t>
  </si>
  <si>
    <t>NAVERyh9772</t>
  </si>
  <si>
    <t>NAVERyhd1234</t>
  </si>
  <si>
    <t>NAVERyhs5256:naver</t>
  </si>
  <si>
    <t>NAVERyhth12</t>
  </si>
  <si>
    <t>NAVERyingji1972:naver</t>
  </si>
  <si>
    <t>NAVERyj0989</t>
  </si>
  <si>
    <t>NAVERyj930810:naver</t>
  </si>
  <si>
    <t>NAVERyjcih1</t>
  </si>
  <si>
    <t>NAVERyjcompany00</t>
  </si>
  <si>
    <t>NAVERyjmah</t>
  </si>
  <si>
    <t>NAVERyjspark401:naver</t>
  </si>
  <si>
    <t>NAVERyjt2146</t>
  </si>
  <si>
    <t>NAVERyjwon8915</t>
  </si>
  <si>
    <t>NAVERykfood9503:naver</t>
  </si>
  <si>
    <t>NAVERykkk</t>
  </si>
  <si>
    <t>NAVERykm2741:naver</t>
  </si>
  <si>
    <t>NAVERykplus</t>
  </si>
  <si>
    <t>NAVERylizonno2</t>
  </si>
  <si>
    <t>NAVERymnet</t>
  </si>
  <si>
    <t>NAVERyod6564221:naver</t>
  </si>
  <si>
    <t>NAVERyojasu:naver</t>
  </si>
  <si>
    <t>NAVERyolo1009:naver</t>
  </si>
  <si>
    <t>NAVERyong6538</t>
  </si>
  <si>
    <t>NAVERyonghun964:naver</t>
  </si>
  <si>
    <t>NAVERyonginhang</t>
  </si>
  <si>
    <t>NAVERyongyong8456</t>
  </si>
  <si>
    <t>NAVERyoocanon</t>
  </si>
  <si>
    <t>NAVERyoohyebin</t>
  </si>
  <si>
    <t>NAVERyoolse:naver</t>
  </si>
  <si>
    <t>NAVERyoon76x:naver</t>
  </si>
  <si>
    <t>NAVERyoonduk</t>
  </si>
  <si>
    <t>NAVERyoonjunglee2:naver</t>
  </si>
  <si>
    <t>NAVERyoonvery:naver</t>
  </si>
  <si>
    <t>NAVERyorisu2019</t>
  </si>
  <si>
    <t>NAVERyosida</t>
  </si>
  <si>
    <t>NAVERyoteamo11</t>
  </si>
  <si>
    <t>NAVERyou610815</t>
  </si>
  <si>
    <t>NAVERyouck0060</t>
  </si>
  <si>
    <t>NAVERyouckjjang99:naver</t>
  </si>
  <si>
    <t>NAVERyougill123</t>
  </si>
  <si>
    <t>NAVERyoujh1105:naver</t>
  </si>
  <si>
    <t>NAVERyoujin3422:naver</t>
  </si>
  <si>
    <t>NAVERyoulim</t>
  </si>
  <si>
    <t>NAVERyoungdis</t>
  </si>
  <si>
    <t>NAVERyoungdongsb</t>
  </si>
  <si>
    <t>NAVERyounggg2000</t>
  </si>
  <si>
    <t>NAVERyounglin</t>
  </si>
  <si>
    <t>NAVERyounglish106</t>
  </si>
  <si>
    <t>NAVERyoungtop119</t>
  </si>
  <si>
    <t>NAVERyournakedcheese:naver</t>
  </si>
  <si>
    <t>NAVERyousu3759:naver</t>
  </si>
  <si>
    <t>NAVERypad</t>
  </si>
  <si>
    <t>NAVERypcmc</t>
  </si>
  <si>
    <t>NAVERyptech1</t>
  </si>
  <si>
    <t>NAVERyr1024:naver</t>
  </si>
  <si>
    <t>NAVERys4694</t>
  </si>
  <si>
    <t>NAVERysjmt2014</t>
  </si>
  <si>
    <t>NAVERysk9000</t>
  </si>
  <si>
    <t>NAVERysloves</t>
  </si>
  <si>
    <t>NAVERysmedi2014</t>
  </si>
  <si>
    <t>NAVERysmiz</t>
  </si>
  <si>
    <t>NAVERysnews111</t>
  </si>
  <si>
    <t>NAVERyss57</t>
  </si>
  <si>
    <t>NAVERyssonglaw</t>
  </si>
  <si>
    <t>NAVERyssound2020:naver</t>
  </si>
  <si>
    <t>NAVERytslucky</t>
  </si>
  <si>
    <t>NAVERyudang</t>
  </si>
  <si>
    <t>NAVERyugene99:naver</t>
  </si>
  <si>
    <t>NAVERyuhakyoung</t>
  </si>
  <si>
    <t>NAVERyuil1107</t>
  </si>
  <si>
    <t>NAVERyulin3368:naver</t>
  </si>
  <si>
    <t>NAVERyummy99</t>
  </si>
  <si>
    <t>NAVERyun0771:naver</t>
  </si>
  <si>
    <t>NAVERyun2008</t>
  </si>
  <si>
    <t>NAVERyun8915</t>
  </si>
  <si>
    <t>NAVERyuncine</t>
  </si>
  <si>
    <t>NAVERyungjujeong</t>
  </si>
  <si>
    <t>NAVERyunhee03as:naver</t>
  </si>
  <si>
    <t>NAVERyuni721:naver</t>
  </si>
  <si>
    <t>NAVERyunlight</t>
  </si>
  <si>
    <t>NAVERyurakim2020:naver</t>
  </si>
  <si>
    <t>NAVERyureka777</t>
  </si>
  <si>
    <t>NAVERyusineco-:naver</t>
  </si>
  <si>
    <t>NAVERyvette197903:naver</t>
  </si>
  <si>
    <t>NAVERyw_ygl</t>
  </si>
  <si>
    <t>NAVERywd_vmware</t>
  </si>
  <si>
    <t>NAVERywsy2k</t>
  </si>
  <si>
    <t>NAVERyy_maetan</t>
  </si>
  <si>
    <t>NAVERyyj7791</t>
  </si>
  <si>
    <t>NAVERyykorea</t>
  </si>
  <si>
    <t>NAVERz10shop</t>
  </si>
  <si>
    <t>NAVERz9golf</t>
  </si>
  <si>
    <t>NAVERzalhana</t>
  </si>
  <si>
    <t>NAVERzambus</t>
  </si>
  <si>
    <t>NAVERzamyeong</t>
  </si>
  <si>
    <t>NAVERzangbi</t>
  </si>
  <si>
    <t>NAVERzbros8</t>
  </si>
  <si>
    <t>NAVERzenostv:naver</t>
  </si>
  <si>
    <t>NAVERzero_block</t>
  </si>
  <si>
    <t>NAVERzeuseng</t>
  </si>
  <si>
    <t>NAVERzioxx</t>
  </si>
  <si>
    <t>NAVERzkem0624</t>
  </si>
  <si>
    <t>NAVERzlslsp54:naver</t>
  </si>
  <si>
    <t>NAVERzoomtech</t>
  </si>
  <si>
    <t>NAVERzota2018:naver</t>
  </si>
  <si>
    <t>NAVERzuppertools:naver</t>
  </si>
  <si>
    <t>NAVERzz91433:naver</t>
  </si>
  <si>
    <t>NAVERzzini3307</t>
  </si>
  <si>
    <t>NAVERzzlimy:naver</t>
  </si>
  <si>
    <t>NAVERzzyy7979</t>
  </si>
  <si>
    <t>NAVERzzzhilove1</t>
  </si>
  <si>
    <t>모먼트106966</t>
  </si>
  <si>
    <t>모먼트116115</t>
  </si>
  <si>
    <t>모먼트120507</t>
  </si>
  <si>
    <t>모먼트123545</t>
  </si>
  <si>
    <t>모먼트126966</t>
  </si>
  <si>
    <t>모먼트127331</t>
  </si>
  <si>
    <t>모먼트129213</t>
  </si>
  <si>
    <t>모먼트132890</t>
  </si>
  <si>
    <t>모먼트136197</t>
  </si>
  <si>
    <t>모먼트150177</t>
  </si>
  <si>
    <t>모먼트154879</t>
  </si>
  <si>
    <t>모먼트161755</t>
  </si>
  <si>
    <t>모먼트166860</t>
  </si>
  <si>
    <t>모먼트167196</t>
  </si>
  <si>
    <t>모먼트171413</t>
  </si>
  <si>
    <t>모먼트174226</t>
  </si>
  <si>
    <t>모먼트183289</t>
  </si>
  <si>
    <t>모먼트183522</t>
  </si>
  <si>
    <t>모먼트184779</t>
  </si>
  <si>
    <t>모먼트190552</t>
  </si>
  <si>
    <t>모먼트192809</t>
  </si>
  <si>
    <t>모먼트202422</t>
  </si>
  <si>
    <t>모먼트202901</t>
  </si>
  <si>
    <t>모먼트203376</t>
  </si>
  <si>
    <t>모먼트216923</t>
  </si>
  <si>
    <t>모먼트217145</t>
  </si>
  <si>
    <t>모먼트217545</t>
  </si>
  <si>
    <t>모먼트217547</t>
  </si>
  <si>
    <t>모먼트217657</t>
  </si>
  <si>
    <t>모먼트221053</t>
  </si>
  <si>
    <t>모먼트226234</t>
  </si>
  <si>
    <t>모먼트228615</t>
  </si>
  <si>
    <t>모먼트229297</t>
  </si>
  <si>
    <t>모먼트229611</t>
  </si>
  <si>
    <t>모먼트234941</t>
  </si>
  <si>
    <t>모먼트235012</t>
  </si>
  <si>
    <t>모먼트235689</t>
  </si>
  <si>
    <t>모먼트238981</t>
  </si>
  <si>
    <t>모먼트243138</t>
  </si>
  <si>
    <t>모먼트243383</t>
  </si>
  <si>
    <t>모먼트245570</t>
  </si>
  <si>
    <t>모먼트245965</t>
  </si>
  <si>
    <t>모먼트249726</t>
  </si>
  <si>
    <t>모먼트250771</t>
  </si>
  <si>
    <t>모먼트252734</t>
  </si>
  <si>
    <t>모먼트253449</t>
  </si>
  <si>
    <t>모먼트253495</t>
  </si>
  <si>
    <t>모먼트254384</t>
  </si>
  <si>
    <t>모먼트255059</t>
  </si>
  <si>
    <t>모먼트261456</t>
  </si>
  <si>
    <t>모먼트262810</t>
  </si>
  <si>
    <t>모먼트263928</t>
  </si>
  <si>
    <t>모먼트269902</t>
  </si>
  <si>
    <t>모먼트270653</t>
  </si>
  <si>
    <t>모먼트276058</t>
  </si>
  <si>
    <t>모먼트288337</t>
  </si>
  <si>
    <t>모먼트293469</t>
  </si>
  <si>
    <t>모먼트302850</t>
  </si>
  <si>
    <t>모먼트316695</t>
  </si>
  <si>
    <t>모먼트321940</t>
  </si>
  <si>
    <t>모먼트328209</t>
  </si>
  <si>
    <t>모먼트344227</t>
  </si>
  <si>
    <t>모먼트350583</t>
  </si>
  <si>
    <t>모먼트356887</t>
  </si>
  <si>
    <t>모먼트360857</t>
  </si>
  <si>
    <t>모먼트363166</t>
  </si>
  <si>
    <t>모먼트366104</t>
  </si>
  <si>
    <t>모먼트371444</t>
  </si>
  <si>
    <t>모먼트375485</t>
  </si>
  <si>
    <t>모먼트380721</t>
  </si>
  <si>
    <t>모먼트383908</t>
  </si>
  <si>
    <t>모먼트388725</t>
  </si>
  <si>
    <t>모먼트389683</t>
  </si>
  <si>
    <t>모먼트390900</t>
  </si>
  <si>
    <t>모먼트392152</t>
  </si>
  <si>
    <t>모먼트394139</t>
  </si>
  <si>
    <t>모먼트395462</t>
  </si>
  <si>
    <t>모먼트396553</t>
  </si>
  <si>
    <t>모먼트397217</t>
  </si>
  <si>
    <t>모먼트397642</t>
  </si>
  <si>
    <t>모먼트399170</t>
  </si>
  <si>
    <t>모먼트400498</t>
  </si>
  <si>
    <t>모먼트401692</t>
  </si>
  <si>
    <t>모먼트404283</t>
  </si>
  <si>
    <t>모먼트405555</t>
  </si>
  <si>
    <t>모먼트40746</t>
  </si>
  <si>
    <t>모먼트409721</t>
  </si>
  <si>
    <t>모먼트40999</t>
  </si>
  <si>
    <t>모먼트41128</t>
  </si>
  <si>
    <t>모먼트412521</t>
  </si>
  <si>
    <t>모먼트413589</t>
  </si>
  <si>
    <t>모먼트414666</t>
  </si>
  <si>
    <t>모먼트41662</t>
  </si>
  <si>
    <t>모먼트421506</t>
  </si>
  <si>
    <t>모먼트42151</t>
  </si>
  <si>
    <t>모먼트43287</t>
  </si>
  <si>
    <t>모먼트437616</t>
  </si>
  <si>
    <t>모먼트437971</t>
  </si>
  <si>
    <t>모먼트438183</t>
  </si>
  <si>
    <t>모먼트443245</t>
  </si>
  <si>
    <t>모먼트443564</t>
  </si>
  <si>
    <t>모먼트444993</t>
  </si>
  <si>
    <t>모먼트445369</t>
  </si>
  <si>
    <t>모먼트45316</t>
  </si>
  <si>
    <t>모먼트453407</t>
  </si>
  <si>
    <t>모먼트457034</t>
  </si>
  <si>
    <t>모먼트458859</t>
  </si>
  <si>
    <t>모먼트462399</t>
  </si>
  <si>
    <t>모먼트46486</t>
  </si>
  <si>
    <t>모먼트466712</t>
  </si>
  <si>
    <t>모먼트469759</t>
  </si>
  <si>
    <t>모먼트473260</t>
  </si>
  <si>
    <t>모먼트473261</t>
  </si>
  <si>
    <t>모먼트47342</t>
  </si>
  <si>
    <t>모먼트474453</t>
  </si>
  <si>
    <t>모먼트475491</t>
  </si>
  <si>
    <t>모먼트47818</t>
  </si>
  <si>
    <t>모먼트478482</t>
  </si>
  <si>
    <t>모먼트478642</t>
  </si>
  <si>
    <t>모먼트478677</t>
  </si>
  <si>
    <t>모먼트479568</t>
  </si>
  <si>
    <t>모먼트48072</t>
  </si>
  <si>
    <t>모먼트48087</t>
  </si>
  <si>
    <t>모먼트485159</t>
  </si>
  <si>
    <t>모먼트485578</t>
  </si>
  <si>
    <t>모먼트48604</t>
  </si>
  <si>
    <t>모먼트486645</t>
  </si>
  <si>
    <t>모먼트48690</t>
  </si>
  <si>
    <t>모먼트487498</t>
  </si>
  <si>
    <t>모먼트488787</t>
  </si>
  <si>
    <t>모먼트489128</t>
  </si>
  <si>
    <t>모먼트489401</t>
  </si>
  <si>
    <t>모먼트48969</t>
  </si>
  <si>
    <t>모먼트491574</t>
  </si>
  <si>
    <t>모먼트491848</t>
  </si>
  <si>
    <t>모먼트493328</t>
  </si>
  <si>
    <t>모먼트493648</t>
  </si>
  <si>
    <t>모먼트496223</t>
  </si>
  <si>
    <t>모먼트499039</t>
  </si>
  <si>
    <t>모먼트502487</t>
  </si>
  <si>
    <t>모먼트503114</t>
  </si>
  <si>
    <t>모먼트51058</t>
  </si>
  <si>
    <t>모먼트51167</t>
  </si>
  <si>
    <t>모먼트51846</t>
  </si>
  <si>
    <t>모먼트52751</t>
  </si>
  <si>
    <t>모먼트53305</t>
  </si>
  <si>
    <t>모먼트53509</t>
  </si>
  <si>
    <t>모먼트53570</t>
  </si>
  <si>
    <t>모먼트53676</t>
  </si>
  <si>
    <t>모먼트56773</t>
  </si>
  <si>
    <t>모먼트60639</t>
  </si>
  <si>
    <t>모먼트64832</t>
  </si>
  <si>
    <t>모먼트64960</t>
  </si>
  <si>
    <t>모먼트65389</t>
  </si>
  <si>
    <t>모먼트66543</t>
  </si>
  <si>
    <t>모먼트66585</t>
  </si>
  <si>
    <t>모먼트67539</t>
  </si>
  <si>
    <t>모먼트71402</t>
  </si>
  <si>
    <t>모먼트76781</t>
  </si>
  <si>
    <t>모먼트76992</t>
  </si>
  <si>
    <t>모먼트78744</t>
  </si>
  <si>
    <t>모먼트81270</t>
  </si>
  <si>
    <t>모먼트81922</t>
  </si>
  <si>
    <t>모먼트97494</t>
  </si>
  <si>
    <t>모먼트98942</t>
  </si>
  <si>
    <t>모먼트99266</t>
  </si>
  <si>
    <t>KAKAO296918</t>
  </si>
  <si>
    <t>KAKAO297232</t>
  </si>
  <si>
    <t>KAKAO297412</t>
  </si>
  <si>
    <t>KAKAO297947</t>
  </si>
  <si>
    <t>KAKAO298034</t>
  </si>
  <si>
    <t>KAKAO298107</t>
  </si>
  <si>
    <t>KAKAO298289</t>
  </si>
  <si>
    <t>KAKAO298438</t>
  </si>
  <si>
    <t>KAKAO298448</t>
  </si>
  <si>
    <t>KAKAO298620</t>
  </si>
  <si>
    <t>KAKAO298661</t>
  </si>
  <si>
    <t>KAKAO299151</t>
  </si>
  <si>
    <t>KAKAO299600</t>
  </si>
  <si>
    <t>KAKAO299744</t>
  </si>
  <si>
    <t>KAKAO300250</t>
  </si>
  <si>
    <t>KAKAO300612</t>
  </si>
  <si>
    <t>KAKAO300806</t>
  </si>
  <si>
    <t>KAKAO300858</t>
  </si>
  <si>
    <t>KAKAO301179</t>
  </si>
  <si>
    <t>KAKAO301380</t>
  </si>
  <si>
    <t>KAKAO301717</t>
  </si>
  <si>
    <t>KAKAO302004</t>
  </si>
  <si>
    <t>KAKAO302154</t>
  </si>
  <si>
    <t>KAKAO302390</t>
  </si>
  <si>
    <t>KAKAO302416</t>
  </si>
  <si>
    <t>KAKAO302480</t>
  </si>
  <si>
    <t>KAKAO302940</t>
  </si>
  <si>
    <t>KAKAO303244</t>
  </si>
  <si>
    <t>KAKAO303272</t>
  </si>
  <si>
    <t>KAKAO303389</t>
  </si>
  <si>
    <t>KAKAO303393</t>
  </si>
  <si>
    <t>KAKAO303627</t>
  </si>
  <si>
    <t>KAKAO303686</t>
  </si>
  <si>
    <t>KAKAO303799</t>
  </si>
  <si>
    <t>KAKAO304039</t>
  </si>
  <si>
    <t>KAKAO304377</t>
  </si>
  <si>
    <t>KAKAO304849</t>
  </si>
  <si>
    <t>KAKAO304858</t>
  </si>
  <si>
    <t>KAKAO304866</t>
  </si>
  <si>
    <t>KAKAO304891</t>
  </si>
  <si>
    <t>KAKAO304901</t>
  </si>
  <si>
    <t>KAKAO305069</t>
  </si>
  <si>
    <t>KAKAO305195</t>
  </si>
  <si>
    <t>KAKAO305387</t>
  </si>
  <si>
    <t>KAKAO305405</t>
  </si>
  <si>
    <t>KAKAO305627</t>
  </si>
  <si>
    <t>KAKAO305659</t>
  </si>
  <si>
    <t>KAKAO305697</t>
  </si>
  <si>
    <t>KAKAO305739</t>
  </si>
  <si>
    <t>KAKAO306084</t>
  </si>
  <si>
    <t>KAKAO307041</t>
  </si>
  <si>
    <t>KAKAO307089</t>
  </si>
  <si>
    <t>KAKAO307093</t>
  </si>
  <si>
    <t>KAKAO307097</t>
  </si>
  <si>
    <t>KAKAO307391</t>
  </si>
  <si>
    <t>KAKAO307417</t>
  </si>
  <si>
    <t>KAKAO307441</t>
  </si>
  <si>
    <t>KAKAO307553</t>
  </si>
  <si>
    <t>KAKAO307575</t>
  </si>
  <si>
    <t>KAKAO307601</t>
  </si>
  <si>
    <t>KAKAO307756</t>
  </si>
  <si>
    <t>KAKAO307919</t>
  </si>
  <si>
    <t>KAKAO307949</t>
  </si>
  <si>
    <t>KAKAO308082</t>
  </si>
  <si>
    <t>KAKAO308083</t>
  </si>
  <si>
    <t>KAKAO308258</t>
  </si>
  <si>
    <t>KAKAO308299</t>
  </si>
  <si>
    <t>KAKAO308332</t>
  </si>
  <si>
    <t>KAKAO308342</t>
  </si>
  <si>
    <t>KAKAO308443</t>
  </si>
  <si>
    <t>KAKAO308488</t>
  </si>
  <si>
    <t>KAKAO308548</t>
  </si>
  <si>
    <t>KAKAO308714</t>
  </si>
  <si>
    <t>KAKAO308731</t>
  </si>
  <si>
    <t>KAKAO308765</t>
  </si>
  <si>
    <t>KAKAO308894</t>
  </si>
  <si>
    <t>KAKAO308982</t>
  </si>
  <si>
    <t>KAKAO309017</t>
  </si>
  <si>
    <t>KAKAO309027</t>
  </si>
  <si>
    <t>KAKAO309056</t>
  </si>
  <si>
    <t>KAKAO309067</t>
  </si>
  <si>
    <t>KAKAO309186</t>
  </si>
  <si>
    <t>KAKAO309272</t>
  </si>
  <si>
    <t>KAKAO309621</t>
  </si>
  <si>
    <t>KAKAO309745</t>
  </si>
  <si>
    <t>KAKAO309756</t>
  </si>
  <si>
    <t>KAKAO309805</t>
  </si>
  <si>
    <t>KAKAO309932</t>
  </si>
  <si>
    <t>KAKAO309939</t>
  </si>
  <si>
    <t>KAKAO310005</t>
  </si>
  <si>
    <t>KAKAO310071</t>
  </si>
  <si>
    <t>KAKAO310245</t>
  </si>
  <si>
    <t>KAKAO310262</t>
  </si>
  <si>
    <t>KAKAO310325</t>
  </si>
  <si>
    <t>KAKAO310326</t>
  </si>
  <si>
    <t>KAKAO310423</t>
  </si>
  <si>
    <t>KAKAO310440</t>
  </si>
  <si>
    <t>KAKAO310454</t>
  </si>
  <si>
    <t>KAKAO310562</t>
  </si>
  <si>
    <t>KAKAO310619</t>
  </si>
  <si>
    <t>KAKAO310649</t>
  </si>
  <si>
    <t>KAKAO310698</t>
  </si>
  <si>
    <t>KAKAO310758</t>
  </si>
  <si>
    <t>KAKAO311204</t>
  </si>
  <si>
    <t>KAKAO311350</t>
  </si>
  <si>
    <t>KAKAO311378</t>
  </si>
  <si>
    <t>KAKAO311393</t>
  </si>
  <si>
    <t>KAKAO311430</t>
  </si>
  <si>
    <t>KAKAO311520</t>
  </si>
  <si>
    <t>KAKAO311526</t>
  </si>
  <si>
    <t>KAKAO311555</t>
  </si>
  <si>
    <t>KAKAO311663</t>
  </si>
  <si>
    <t>KAKAO311699</t>
  </si>
  <si>
    <t>KAKAO311778</t>
  </si>
  <si>
    <t>KAKAO311913</t>
  </si>
  <si>
    <t>KAKAO312713</t>
  </si>
  <si>
    <t>KAKAO312763</t>
  </si>
  <si>
    <t>KAKAO312878</t>
  </si>
  <si>
    <t>KAKAO312949</t>
  </si>
  <si>
    <t>KAKAO313020</t>
  </si>
  <si>
    <t>KAKAO313061</t>
  </si>
  <si>
    <t>KAKAO313142</t>
  </si>
  <si>
    <t>KAKAO313255</t>
  </si>
  <si>
    <t>KAKAO313552</t>
  </si>
  <si>
    <t>KAKAO313805</t>
  </si>
  <si>
    <t>KAKAO314060</t>
  </si>
  <si>
    <t>KAKAO314263</t>
  </si>
  <si>
    <t>KAKAO314288</t>
  </si>
  <si>
    <t>KAKAO314304</t>
  </si>
  <si>
    <t>KAKAO314306</t>
  </si>
  <si>
    <t>KAKAO314464</t>
  </si>
  <si>
    <t>KAKAO314495</t>
  </si>
  <si>
    <t>KAKAO314527</t>
  </si>
  <si>
    <t>KAKAO314557</t>
  </si>
  <si>
    <t>KAKAO314575</t>
  </si>
  <si>
    <t>KAKAO314612</t>
  </si>
  <si>
    <t>KAKAO314748</t>
  </si>
  <si>
    <t>KAKAO314869</t>
  </si>
  <si>
    <t>KAKAO314896</t>
  </si>
  <si>
    <t>KAKAO314921</t>
  </si>
  <si>
    <t>KAKAO315000</t>
  </si>
  <si>
    <t>KAKAO315289</t>
  </si>
  <si>
    <t>KAKAO315447</t>
  </si>
  <si>
    <t>KAKAO315604</t>
  </si>
  <si>
    <t>KAKAO315736</t>
  </si>
  <si>
    <t>KAKAO315872</t>
  </si>
  <si>
    <t>KAKAO315889</t>
  </si>
  <si>
    <t>KAKAO316118</t>
  </si>
  <si>
    <t>KAKAO316145</t>
  </si>
  <si>
    <t>KAKAO316146</t>
  </si>
  <si>
    <t>KAKAO316257</t>
  </si>
  <si>
    <t>KAKAO316282</t>
  </si>
  <si>
    <t>KAKAO316298</t>
  </si>
  <si>
    <t>KAKAO316399</t>
  </si>
  <si>
    <t>KAKAO316498</t>
  </si>
  <si>
    <t>KAKAO316530</t>
  </si>
  <si>
    <t>KAKAO316701</t>
  </si>
  <si>
    <t>KAKAO316719</t>
  </si>
  <si>
    <t>KAKAO316754</t>
  </si>
  <si>
    <t>KAKAO316898</t>
  </si>
  <si>
    <t>KAKAO316917</t>
  </si>
  <si>
    <t>KAKAO316945</t>
  </si>
  <si>
    <t>KAKAO317018</t>
  </si>
  <si>
    <t>KAKAO317277</t>
  </si>
  <si>
    <t>KAKAO317288</t>
  </si>
  <si>
    <t>KAKAO317387</t>
  </si>
  <si>
    <t>KAKAO317416</t>
  </si>
  <si>
    <t>KAKAO317480</t>
  </si>
  <si>
    <t>KAKAO317483</t>
  </si>
  <si>
    <t>KAKAO317484</t>
  </si>
  <si>
    <t>KAKAO317501</t>
  </si>
  <si>
    <t>KAKAO317513</t>
  </si>
  <si>
    <t>KAKAO317606</t>
  </si>
  <si>
    <t>KAKAO317653</t>
  </si>
  <si>
    <t>KAKAO317708</t>
  </si>
  <si>
    <t>KAKAO317868</t>
  </si>
  <si>
    <t>KAKAO318218</t>
  </si>
  <si>
    <t>KAKAO318299</t>
  </si>
  <si>
    <t>KAKAO318570</t>
  </si>
  <si>
    <t>KAKAO318590</t>
  </si>
  <si>
    <t>KAKAO319323</t>
  </si>
  <si>
    <t>KAKAO319438</t>
  </si>
  <si>
    <t>KAKAO319602</t>
  </si>
  <si>
    <t>KAKAO319640</t>
  </si>
  <si>
    <t>KAKAO319837</t>
  </si>
  <si>
    <t>KAKAO319876</t>
  </si>
  <si>
    <t>KAKAO319898</t>
  </si>
  <si>
    <t>KAKAO319908</t>
  </si>
  <si>
    <t>KAKAO319933</t>
  </si>
  <si>
    <t>KAKAO319993</t>
  </si>
  <si>
    <t>KAKAO320091</t>
  </si>
  <si>
    <t>KAKAO320282</t>
  </si>
  <si>
    <t>KAKAO320512</t>
  </si>
  <si>
    <t>KAKAO320759</t>
  </si>
  <si>
    <t>KAKAO320951</t>
  </si>
  <si>
    <t>KAKAO320967</t>
  </si>
  <si>
    <t>KAKAO321230</t>
  </si>
  <si>
    <t>KAKAO321231</t>
  </si>
  <si>
    <t>KAKAO321266</t>
  </si>
  <si>
    <t>KAKAO321326</t>
  </si>
  <si>
    <t>KAKAO321362</t>
  </si>
  <si>
    <t>KAKAO321473</t>
  </si>
  <si>
    <t>KAKAO321478</t>
  </si>
  <si>
    <t>KAKAO321560</t>
  </si>
  <si>
    <t>KAKAO321616</t>
  </si>
  <si>
    <t>KAKAO321803</t>
  </si>
  <si>
    <t>KAKAO321851</t>
  </si>
  <si>
    <t>KAKAO321911</t>
  </si>
  <si>
    <t>KAKAO321944</t>
  </si>
  <si>
    <t>KAKAO321973</t>
  </si>
  <si>
    <t>KAKAO321988</t>
  </si>
  <si>
    <t>KAKAO322030</t>
  </si>
  <si>
    <t>KAKAO322208</t>
  </si>
  <si>
    <t>KAKAO322568</t>
  </si>
  <si>
    <t>KAKAO322610</t>
  </si>
  <si>
    <t>KAKAO322620</t>
  </si>
  <si>
    <t>KAKAO322698</t>
  </si>
  <si>
    <t>KAKAO322735</t>
  </si>
  <si>
    <t>KAKAO323192</t>
  </si>
  <si>
    <t>KAKAO323417</t>
  </si>
  <si>
    <t>KAKAO323554</t>
  </si>
  <si>
    <t>KAKAO323723</t>
  </si>
  <si>
    <t>KAKAO323751</t>
  </si>
  <si>
    <t>KAKAO323780</t>
  </si>
  <si>
    <t>KAKAO323915</t>
  </si>
  <si>
    <t>KAKAO323929</t>
  </si>
  <si>
    <t>KAKAO324022</t>
  </si>
  <si>
    <t>KAKAO324103</t>
  </si>
  <si>
    <t>KAKAO324186</t>
  </si>
  <si>
    <t>KAKAO324192</t>
  </si>
  <si>
    <t>KAKAO324274</t>
  </si>
  <si>
    <t>KAKAO324367</t>
  </si>
  <si>
    <t>KAKAO324602</t>
  </si>
  <si>
    <t>KAKAO324749</t>
  </si>
  <si>
    <t>KAKAO324919</t>
  </si>
  <si>
    <t>KAKAO324933</t>
  </si>
  <si>
    <t>KAKAO325020</t>
  </si>
  <si>
    <t>KAKAO325034</t>
  </si>
  <si>
    <t>KAKAO325037</t>
  </si>
  <si>
    <t>KAKAO325095</t>
  </si>
  <si>
    <t>KAKAO325103</t>
  </si>
  <si>
    <t>KAKAO325191</t>
  </si>
  <si>
    <t>KAKAO325391</t>
  </si>
  <si>
    <t>KAKAO325464</t>
  </si>
  <si>
    <t>KAKAO325487</t>
  </si>
  <si>
    <t>KAKAO325524</t>
  </si>
  <si>
    <t>KAKAO325567</t>
  </si>
  <si>
    <t>KAKAO326216</t>
  </si>
  <si>
    <t>KAKAO326493</t>
  </si>
  <si>
    <t>KAKAO326517</t>
  </si>
  <si>
    <t>KAKAO326605</t>
  </si>
  <si>
    <t>KAKAO326629</t>
  </si>
  <si>
    <t>KAKAO326895</t>
  </si>
  <si>
    <t>KAKAO326988</t>
  </si>
  <si>
    <t>KAKAO327000</t>
  </si>
  <si>
    <t>KAKAO327036</t>
  </si>
  <si>
    <t>KAKAO327204</t>
  </si>
  <si>
    <t>KAKAO327409</t>
  </si>
  <si>
    <t>KAKAO327524</t>
  </si>
  <si>
    <t>KAKAO327646</t>
  </si>
  <si>
    <t>KAKAO327651</t>
  </si>
  <si>
    <t>KAKAO327759</t>
  </si>
  <si>
    <t>KAKAO328211</t>
  </si>
  <si>
    <t>KAKAO328328</t>
  </si>
  <si>
    <t>KAKAO328427</t>
  </si>
  <si>
    <t>KAKAO328475</t>
  </si>
  <si>
    <t>KAKAO328766</t>
  </si>
  <si>
    <t>KAKAO328876</t>
  </si>
  <si>
    <t>KAKAO328967</t>
  </si>
  <si>
    <t>KAKAO329026</t>
  </si>
  <si>
    <t>KAKAO329040</t>
  </si>
  <si>
    <t>KAKAO329120</t>
  </si>
  <si>
    <t>KAKAO329258</t>
  </si>
  <si>
    <t>KAKAO329285</t>
  </si>
  <si>
    <t>KAKAO329360</t>
  </si>
  <si>
    <t>KAKAO329553</t>
  </si>
  <si>
    <t>KAKAO329833</t>
  </si>
  <si>
    <t>KAKAO329849</t>
  </si>
  <si>
    <t>KAKAO330026</t>
  </si>
  <si>
    <t>KAKAO330176</t>
  </si>
  <si>
    <t>KAKAO330801</t>
  </si>
  <si>
    <t>KAKAO330842</t>
  </si>
  <si>
    <t>KAKAO330918</t>
  </si>
  <si>
    <t>KAKAO331043</t>
  </si>
  <si>
    <t>KAKAO331075</t>
  </si>
  <si>
    <t>KAKAO331316</t>
  </si>
  <si>
    <t>KAKAO331321</t>
  </si>
  <si>
    <t>KAKAO331354</t>
  </si>
  <si>
    <t>KAKAO331712</t>
  </si>
  <si>
    <t>KAKAO333396</t>
  </si>
  <si>
    <t>KAKAO334251</t>
  </si>
  <si>
    <t>KAKAO334688</t>
  </si>
  <si>
    <t>KAKAO335787</t>
  </si>
  <si>
    <t>KAKAO335866</t>
  </si>
  <si>
    <t>KAKAO337149</t>
  </si>
  <si>
    <t>KAKAO337374</t>
  </si>
  <si>
    <t>KAKAO337530</t>
  </si>
  <si>
    <t>KAKAO337843</t>
  </si>
  <si>
    <t>KAKAO338513</t>
  </si>
  <si>
    <t>KAKAO338844</t>
  </si>
  <si>
    <t>KAKAO338909</t>
  </si>
  <si>
    <t>KAKAO340596</t>
  </si>
  <si>
    <t>KAKAO340747</t>
  </si>
  <si>
    <t>KAKAO341555</t>
  </si>
  <si>
    <t>KAKAO341573</t>
  </si>
  <si>
    <t>KAKAO341600</t>
  </si>
  <si>
    <t>KAKAO341860</t>
  </si>
  <si>
    <t>KAKAO341865</t>
  </si>
  <si>
    <t>KAKAO342015</t>
  </si>
  <si>
    <t>KAKAO342043</t>
  </si>
  <si>
    <t>KAKAO342284</t>
  </si>
  <si>
    <t>KAKAO342538</t>
  </si>
  <si>
    <t>KAKAO342819</t>
  </si>
  <si>
    <t>KAKAO342939</t>
  </si>
  <si>
    <t>KAKAO343119</t>
  </si>
  <si>
    <t>KAKAO344747</t>
  </si>
  <si>
    <t>KAKAO344754</t>
  </si>
  <si>
    <t>KAKAO344872</t>
  </si>
  <si>
    <t>KAKAO345553</t>
  </si>
  <si>
    <t>KAKAO346638</t>
  </si>
  <si>
    <t>KAKAO347785</t>
  </si>
  <si>
    <t>KAKAO348101</t>
  </si>
  <si>
    <t>KAKAO348849</t>
  </si>
  <si>
    <t>KAKAO350962</t>
  </si>
  <si>
    <t>KAKAO351410</t>
  </si>
  <si>
    <t>KAKAO351798</t>
  </si>
  <si>
    <t>KAKAO353552</t>
  </si>
  <si>
    <t>KAKAO354207</t>
  </si>
  <si>
    <t>KAKAO355646</t>
  </si>
  <si>
    <t>KAKAO355797</t>
  </si>
  <si>
    <t>KAKAO356771</t>
  </si>
  <si>
    <t>KAKAO359379</t>
  </si>
  <si>
    <t>KAKAO361108</t>
  </si>
  <si>
    <t>KAKAO367135</t>
  </si>
  <si>
    <t>KAKAO368500</t>
  </si>
  <si>
    <t>KAKAO369642</t>
  </si>
  <si>
    <t>KAKAO369815</t>
  </si>
  <si>
    <t>KAKAO373236</t>
  </si>
  <si>
    <t>KAKAO373876</t>
  </si>
  <si>
    <t>KAKAO374112</t>
  </si>
  <si>
    <t>KAKAO375328</t>
  </si>
  <si>
    <t>KAKAO378805</t>
  </si>
  <si>
    <t>KAKAO379300</t>
  </si>
  <si>
    <t>KAKAO381115</t>
  </si>
  <si>
    <t>KAKAO383812</t>
  </si>
  <si>
    <t>KAKAO384320</t>
  </si>
  <si>
    <t>KAKAO384461</t>
  </si>
  <si>
    <t>KAKAO385460</t>
  </si>
  <si>
    <t>KAKAO387552</t>
  </si>
  <si>
    <t>KAKAO387600</t>
  </si>
  <si>
    <t>KAKAO389566</t>
  </si>
  <si>
    <t>KAKAO391969</t>
  </si>
  <si>
    <t>KAKAO392139</t>
  </si>
  <si>
    <t>KAKAO395846</t>
  </si>
  <si>
    <t>KAKAO395884</t>
  </si>
  <si>
    <t>KAKAO396616</t>
  </si>
  <si>
    <t>KAKAO397019</t>
  </si>
  <si>
    <t>KAKAO397224</t>
  </si>
  <si>
    <t>KAKAO400157</t>
  </si>
  <si>
    <t>KAKAO404488</t>
  </si>
  <si>
    <t>KAKAO405901</t>
  </si>
  <si>
    <t>KAKAO406054</t>
  </si>
  <si>
    <t>KAKAO407279</t>
  </si>
  <si>
    <t>KAKAO411380</t>
  </si>
  <si>
    <t>KAKAO413996</t>
  </si>
  <si>
    <t>KAKAO415572</t>
  </si>
  <si>
    <t>KAKAO416919</t>
  </si>
  <si>
    <t>KAKAO417672</t>
  </si>
  <si>
    <t>KAKAO419042</t>
  </si>
  <si>
    <t>KAKAO420212</t>
  </si>
  <si>
    <t>KAKAO422702</t>
  </si>
  <si>
    <t>KAKAO425660</t>
  </si>
  <si>
    <t>KAKAO427706</t>
  </si>
  <si>
    <t>KAKAO428131</t>
  </si>
  <si>
    <t>KAKAO430143</t>
  </si>
  <si>
    <t>KAKAO430205</t>
  </si>
  <si>
    <t>KAKAO430561</t>
  </si>
  <si>
    <t>KAKAO435247</t>
  </si>
  <si>
    <t>KAKAO437092</t>
  </si>
  <si>
    <t>KAKAO437234</t>
  </si>
  <si>
    <t>KAKAO441767</t>
  </si>
  <si>
    <t>KAKAO441865</t>
  </si>
  <si>
    <t>KAKAO442954</t>
  </si>
  <si>
    <t>KAKAO443329</t>
  </si>
  <si>
    <t>KAKAO443446</t>
  </si>
  <si>
    <t>KAKAO444144</t>
  </si>
  <si>
    <t>KAKAO444988</t>
  </si>
  <si>
    <t>KAKAO446076</t>
  </si>
  <si>
    <t>KAKAO451726</t>
  </si>
  <si>
    <t>KAKAO452093</t>
  </si>
  <si>
    <t>KAKAO452206</t>
  </si>
  <si>
    <t>KAKAO453280</t>
  </si>
  <si>
    <t>KAKAO456370</t>
  </si>
  <si>
    <t>KAKAO457790</t>
  </si>
  <si>
    <t>KAKAO458655</t>
  </si>
  <si>
    <t>KAKAO459492</t>
  </si>
  <si>
    <t>KAKAO459533</t>
  </si>
  <si>
    <t>KAKAO459912</t>
  </si>
  <si>
    <t>KAKAO462565</t>
  </si>
  <si>
    <t>KAKAO465105</t>
  </si>
  <si>
    <t>KAKAO466103</t>
  </si>
  <si>
    <t>KAKAO468001</t>
  </si>
  <si>
    <t>KAKAO468465</t>
  </si>
  <si>
    <t>KAKAO468565</t>
  </si>
  <si>
    <t>KAKAO469587</t>
  </si>
  <si>
    <t>KAKAO469588</t>
  </si>
  <si>
    <t>KAKAO469589</t>
  </si>
  <si>
    <t>KAKAO469590</t>
  </si>
  <si>
    <t>KAKAO469592</t>
  </si>
  <si>
    <t>KAKAO469607</t>
  </si>
  <si>
    <t>KAKAO470051</t>
  </si>
  <si>
    <t>KAKAO470516</t>
  </si>
  <si>
    <t>KAKAO470593</t>
  </si>
  <si>
    <t>KAKAO470598</t>
  </si>
  <si>
    <t>KAKAO470599</t>
  </si>
  <si>
    <t>KAKAO470604</t>
  </si>
  <si>
    <t>KAKAO470605</t>
  </si>
  <si>
    <t>KAKAO470612</t>
  </si>
  <si>
    <t>KAKAO470614</t>
  </si>
  <si>
    <t>KAKAO470617</t>
  </si>
  <si>
    <t>KAKAO470620</t>
  </si>
  <si>
    <t>KAKAO470621</t>
  </si>
  <si>
    <t>KAKAO470625</t>
  </si>
  <si>
    <t>KAKAO470630</t>
  </si>
  <si>
    <t>KAKAO471038</t>
  </si>
  <si>
    <t>KAKAO472049</t>
  </si>
  <si>
    <t>KAKAO472050</t>
  </si>
  <si>
    <t>KAKAO475336</t>
  </si>
  <si>
    <t>KAKAO475347</t>
  </si>
  <si>
    <t>KAKAO475350</t>
  </si>
  <si>
    <t>KAKAO476028</t>
  </si>
  <si>
    <t>KAKAO477332</t>
  </si>
  <si>
    <t>KAKAO483484</t>
  </si>
  <si>
    <t>KAKAO485574</t>
  </si>
  <si>
    <t>KAKAO486411</t>
  </si>
  <si>
    <t>KAKAO487493</t>
  </si>
  <si>
    <t>KAKAO489568</t>
  </si>
  <si>
    <t>KAKAO490079</t>
  </si>
  <si>
    <t>KAKAO492038</t>
  </si>
  <si>
    <t>KAKAO495207</t>
  </si>
  <si>
    <t>KAKAO497379</t>
  </si>
  <si>
    <t>KAKAO497853</t>
  </si>
  <si>
    <t>KAKAO497961</t>
  </si>
  <si>
    <t>KAKAO498276</t>
  </si>
  <si>
    <t>KAKAO498353</t>
  </si>
  <si>
    <t>KAKAO499450</t>
  </si>
  <si>
    <t>KAKAO502822</t>
  </si>
  <si>
    <t>키</t>
  </si>
  <si>
    <t>키</t>
    <phoneticPr fontId="18" type="noConversion"/>
  </si>
  <si>
    <t>AMS소진액</t>
  </si>
  <si>
    <t>AMS소진액</t>
    <phoneticPr fontId="18" type="noConversion"/>
  </si>
  <si>
    <t>부문</t>
  </si>
  <si>
    <t>담당자명</t>
  </si>
  <si>
    <t>광고계정</t>
  </si>
  <si>
    <t>키</t>
    <phoneticPr fontId="20" type="noConversion"/>
  </si>
  <si>
    <t>사유</t>
    <phoneticPr fontId="20" type="noConversion"/>
  </si>
  <si>
    <t>NAVER</t>
    <phoneticPr fontId="20" type="noConversion"/>
  </si>
  <si>
    <t>skdusdkqk</t>
  </si>
  <si>
    <t>광고주 피이관으로 인식된 계정</t>
  </si>
  <si>
    <t>NAVER</t>
    <phoneticPr fontId="20" type="noConversion"/>
  </si>
  <si>
    <t>naurylaw1004</t>
  </si>
  <si>
    <t>광고운영 내역 정보보호로 계정권한 삭제</t>
  </si>
  <si>
    <t>NAVER</t>
    <phoneticPr fontId="20" type="noConversion"/>
  </si>
  <si>
    <t>daeshinlaw</t>
  </si>
  <si>
    <t>김소진</t>
  </si>
  <si>
    <t>yjt2146</t>
  </si>
  <si>
    <t>광고주 트리플하이엠에서 관리받는 것 모르고 연락시 피이관 이슈 잇는 계정</t>
    <phoneticPr fontId="25" type="noConversion"/>
  </si>
  <si>
    <t>팀 스와트</t>
  </si>
  <si>
    <t>lerder78</t>
  </si>
  <si>
    <t>업체 내부 광고 담당자 투입후 계정권한 삭제</t>
  </si>
  <si>
    <t>dagachidaegu</t>
  </si>
  <si>
    <t>전 퇴사자 계정으로 인수인계 이전 계정권한 삭제된 상태로 인수
(전화 자체를 거부 하는 상태로 통화 불가)</t>
    <phoneticPr fontId="25" type="noConversion"/>
  </si>
  <si>
    <t>newk2s</t>
  </si>
  <si>
    <t>휴면계정 연락 불가</t>
    <phoneticPr fontId="25" type="noConversion"/>
  </si>
  <si>
    <t>lim51366</t>
  </si>
  <si>
    <t>담당 마케터 외 보안 문제로 데이터 노출 꺼려함.</t>
  </si>
  <si>
    <t>lim513666</t>
  </si>
  <si>
    <t>koolman</t>
  </si>
  <si>
    <t>광고주 소개로 4년전 계정만 만들고 휴면이었다가 지난달부터 라이브 됨 스토어 고객센터에 전화해도 대표와 연결 힘듬</t>
  </si>
  <si>
    <t>dnjfem19</t>
  </si>
  <si>
    <t>광고주 히스토리를 알수 없는 장기 휴면건</t>
    <phoneticPr fontId="25" type="noConversion"/>
  </si>
  <si>
    <t>레저친구</t>
  </si>
  <si>
    <t>kag8587</t>
  </si>
  <si>
    <t>광고주 연락두절</t>
  </si>
  <si>
    <t>greenbay</t>
  </si>
  <si>
    <t>sos1326</t>
  </si>
  <si>
    <t>광고비 과소진으로 인해 권한을 광고주가 삭제하였고
관련 요청시 피이관 될것이 확실하여 연락할수 없음</t>
    <phoneticPr fontId="25" type="noConversion"/>
  </si>
  <si>
    <t>대대행</t>
  </si>
  <si>
    <t>민플래닝</t>
  </si>
  <si>
    <t>(주)하우셈</t>
  </si>
  <si>
    <t>muinbox</t>
  </si>
  <si>
    <t>부재중</t>
  </si>
  <si>
    <t>새론테크놀로지</t>
  </si>
  <si>
    <t>serontech</t>
  </si>
  <si>
    <t>성광기계</t>
  </si>
  <si>
    <t>skct2472</t>
  </si>
  <si>
    <t>탐케이스튜디오</t>
  </si>
  <si>
    <t>falmouth</t>
  </si>
  <si>
    <t>비비드플러스</t>
  </si>
  <si>
    <t>더샘</t>
  </si>
  <si>
    <t>thesame0520:naver</t>
  </si>
  <si>
    <t>연락 두절</t>
  </si>
  <si>
    <t>신진방화문</t>
  </si>
  <si>
    <t>ss781103</t>
  </si>
  <si>
    <t>약초다</t>
  </si>
  <si>
    <t>guess815</t>
  </si>
  <si>
    <t>어닝천하</t>
  </si>
  <si>
    <t>hsung2011</t>
  </si>
  <si>
    <t>우림가구</t>
  </si>
  <si>
    <t>trini87</t>
  </si>
  <si>
    <t>전국대형렉카</t>
  </si>
  <si>
    <t>wlwlals911</t>
  </si>
  <si>
    <t>태광프라스틱</t>
  </si>
  <si>
    <t>wqw02</t>
  </si>
  <si>
    <t>팔로모리빙</t>
  </si>
  <si>
    <t>daonslt</t>
  </si>
  <si>
    <t>아이에스케이메이드</t>
  </si>
  <si>
    <t>isk010</t>
  </si>
  <si>
    <t>광고주직접운영 중 으로 이슈공유만 원하여, 마스터아이디 임의삭제함</t>
    <phoneticPr fontId="25" type="noConversion"/>
  </si>
  <si>
    <t>김윤지_D</t>
  </si>
  <si>
    <t>슈트파크</t>
  </si>
  <si>
    <t>deki52</t>
  </si>
  <si>
    <r>
      <rPr>
        <sz val="9"/>
        <color indexed="8"/>
        <rFont val="돋움"/>
        <family val="3"/>
        <charset val="129"/>
      </rPr>
      <t>휴면계정으로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연락불가</t>
    </r>
    <phoneticPr fontId="20" type="noConversion"/>
  </si>
  <si>
    <t>이지은_D</t>
  </si>
  <si>
    <t>베르상점</t>
  </si>
  <si>
    <t>supiaheera:naver</t>
  </si>
  <si>
    <t xml:space="preserve">대대행
</t>
  </si>
  <si>
    <t>에이원의료기산업</t>
  </si>
  <si>
    <t>aone15</t>
  </si>
  <si>
    <t>연락두절</t>
    <phoneticPr fontId="20" type="noConversion"/>
  </si>
  <si>
    <t>주식회사 그린푸드앤케어</t>
  </si>
  <si>
    <t>bollana:naver</t>
  </si>
  <si>
    <t>피이관</t>
    <phoneticPr fontId="20" type="noConversion"/>
  </si>
  <si>
    <t>씨아이그룹</t>
  </si>
  <si>
    <t>brucewol:naver</t>
  </si>
  <si>
    <r>
      <rPr>
        <sz val="9"/>
        <color indexed="8"/>
        <rFont val="돋움"/>
        <family val="3"/>
        <charset val="129"/>
      </rPr>
      <t>광고종료되어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추후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광고계획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phoneticPr fontId="20" type="noConversion"/>
  </si>
  <si>
    <t>퍼스트마케팅컴퍼니</t>
  </si>
  <si>
    <t>(주)티씨엠</t>
  </si>
  <si>
    <t>caminotcm</t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</si>
  <si>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0" type="noConversion"/>
  </si>
  <si>
    <t>성진커뮤니케이션</t>
  </si>
  <si>
    <t>하얀세상</t>
  </si>
  <si>
    <t>chfhr227:naver</t>
  </si>
  <si>
    <t>광고주 연락두절</t>
    <phoneticPr fontId="20" type="noConversion"/>
  </si>
  <si>
    <t>퍼포먼스디자인</t>
  </si>
  <si>
    <t>세종디앤씨</t>
  </si>
  <si>
    <t>dradev</t>
  </si>
  <si>
    <t>에이치케이그룹</t>
  </si>
  <si>
    <t>hkgroup11</t>
  </si>
  <si>
    <r>
      <rPr>
        <sz val="9"/>
        <color indexed="8"/>
        <rFont val="돋움"/>
        <family val="3"/>
        <charset val="129"/>
      </rPr>
      <t>광고중단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0" type="noConversion"/>
  </si>
  <si>
    <t>옥반식품</t>
  </si>
  <si>
    <t>jkjung50</t>
  </si>
  <si>
    <t>하이프렌즈</t>
  </si>
  <si>
    <t>핫싸다</t>
  </si>
  <si>
    <t>kimsungri77:naver</t>
  </si>
  <si>
    <t>이네이블미디어</t>
  </si>
  <si>
    <t>이상투자클럽</t>
  </si>
  <si>
    <t>lsmedilab10</t>
  </si>
  <si>
    <t>스터드앤너드</t>
  </si>
  <si>
    <t>studnerd</t>
  </si>
  <si>
    <t>연락두절</t>
    <phoneticPr fontId="20" type="noConversion"/>
  </si>
  <si>
    <t>참된건강랜드</t>
  </si>
  <si>
    <t>urback</t>
  </si>
  <si>
    <t>피이관</t>
    <phoneticPr fontId="20" type="noConversion"/>
  </si>
  <si>
    <t>알에스인터렉티브</t>
  </si>
  <si>
    <t>옥산퍼니쳐</t>
  </si>
  <si>
    <t>ycj0694:naver</t>
  </si>
  <si>
    <t>씨앤피</t>
  </si>
  <si>
    <t>youngpsh</t>
  </si>
  <si>
    <r>
      <rPr>
        <sz val="9"/>
        <color indexed="8"/>
        <rFont val="돋움"/>
        <family val="3"/>
        <charset val="129"/>
      </rPr>
      <t>장기</t>
    </r>
    <r>
      <rPr>
        <sz val="9"/>
        <color indexed="8"/>
        <rFont val="Calibri"/>
        <family val="2"/>
      </rPr>
      <t xml:space="preserve">OFF, </t>
    </r>
    <r>
      <rPr>
        <sz val="9"/>
        <color indexed="8"/>
        <rFont val="돋움"/>
        <family val="3"/>
        <charset val="129"/>
      </rPr>
      <t>컨택불가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계정</t>
    </r>
    <phoneticPr fontId="20" type="noConversion"/>
  </si>
  <si>
    <t>순희네</t>
  </si>
  <si>
    <t>zigzag1204</t>
  </si>
  <si>
    <r>
      <rPr>
        <sz val="9"/>
        <color indexed="8"/>
        <rFont val="돋움"/>
        <family val="3"/>
        <charset val="129"/>
      </rPr>
      <t>강성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/ </t>
    </r>
    <r>
      <rPr>
        <sz val="9"/>
        <color indexed="8"/>
        <rFont val="돋움"/>
        <family val="3"/>
        <charset val="129"/>
      </rPr>
      <t>다음</t>
    </r>
    <r>
      <rPr>
        <sz val="9"/>
        <color indexed="8"/>
        <rFont val="Calibri"/>
        <family val="2"/>
      </rPr>
      <t xml:space="preserve"> &gt; </t>
    </r>
    <r>
      <rPr>
        <sz val="9"/>
        <color indexed="8"/>
        <rFont val="돋움"/>
        <family val="3"/>
        <charset val="129"/>
      </rPr>
      <t>카카오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이전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시점부터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두절</t>
    </r>
    <phoneticPr fontId="20" type="noConversion"/>
  </si>
  <si>
    <t>주코일렉</t>
  </si>
  <si>
    <t>zucoelec:naver</t>
  </si>
  <si>
    <t>무비코</t>
  </si>
  <si>
    <t>324992</t>
  </si>
  <si>
    <t>농업회사법인콩사랑유한회사</t>
  </si>
  <si>
    <t>309807</t>
  </si>
  <si>
    <t>광고주 원치 않음</t>
    <phoneticPr fontId="20" type="noConversion"/>
  </si>
  <si>
    <t>주식회사 우리투어베스트</t>
  </si>
  <si>
    <t>324683</t>
  </si>
  <si>
    <t>stonebank</t>
  </si>
  <si>
    <r>
      <rPr>
        <sz val="9"/>
        <color indexed="8"/>
        <rFont val="돋움"/>
        <family val="3"/>
        <charset val="129"/>
      </rPr>
      <t>직접운영으로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변경원하여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마케터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삭제</t>
    </r>
    <phoneticPr fontId="20" type="noConversion"/>
  </si>
  <si>
    <t>KAKAO</t>
    <phoneticPr fontId="20" type="noConversion"/>
  </si>
  <si>
    <t>331712</t>
  </si>
  <si>
    <r>
      <rPr>
        <sz val="9"/>
        <color indexed="8"/>
        <rFont val="돋움"/>
        <family val="3"/>
        <charset val="129"/>
      </rPr>
      <t>퇴사자계정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내부이관후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권한요청하였으나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진행</t>
    </r>
    <r>
      <rPr>
        <sz val="9"/>
        <color indexed="8"/>
        <rFont val="Calibri"/>
        <family val="2"/>
      </rPr>
      <t>X</t>
    </r>
    <phoneticPr fontId="20" type="noConversion"/>
  </si>
  <si>
    <t>78744</t>
  </si>
  <si>
    <t>양승현</t>
  </si>
  <si>
    <t>309756</t>
  </si>
  <si>
    <t>330750</t>
  </si>
  <si>
    <t>김미선</t>
  </si>
  <si>
    <t>보헤미안</t>
  </si>
  <si>
    <t>342322</t>
  </si>
  <si>
    <r>
      <rPr>
        <sz val="9"/>
        <color indexed="8"/>
        <rFont val="돋움"/>
        <family val="3"/>
        <charset val="129"/>
      </rPr>
      <t>매핑은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되어있으나</t>
    </r>
    <r>
      <rPr>
        <sz val="9"/>
        <color indexed="8"/>
        <rFont val="Calibri"/>
        <family val="2"/>
      </rPr>
      <t xml:space="preserve">,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직접관리로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인하여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멤버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권한조차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r>
      <rPr>
        <sz val="9"/>
        <color indexed="8"/>
        <rFont val="Calibri"/>
        <family val="2"/>
      </rPr>
      <t>.</t>
    </r>
    <phoneticPr fontId="20" type="noConversion"/>
  </si>
  <si>
    <t>346846</t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</si>
  <si>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미희망</t>
    </r>
    <phoneticPr fontId="20" type="noConversion"/>
  </si>
  <si>
    <t>엘비컴퍼니</t>
  </si>
  <si>
    <t>lbcp2020</t>
  </si>
  <si>
    <t>광고주 데이터 수집 미희망</t>
  </si>
  <si>
    <t>김다솔</t>
  </si>
  <si>
    <t>eventoday</t>
  </si>
  <si>
    <t>연락두절</t>
  </si>
  <si>
    <t>플레시크</t>
  </si>
  <si>
    <t>43362</t>
  </si>
  <si>
    <t>광고주 직접관리 ( 전략노출 원치않다고함 )</t>
  </si>
  <si>
    <t>김태영</t>
  </si>
  <si>
    <t>365living</t>
  </si>
  <si>
    <t>일반영역 상위 노출 안될시에만 광고 진행</t>
  </si>
  <si>
    <t>hatsplus</t>
  </si>
  <si>
    <t>필요시에만 광고주 직접운영</t>
  </si>
  <si>
    <t>이미경</t>
  </si>
  <si>
    <t>곧은나무</t>
  </si>
  <si>
    <t>135925</t>
  </si>
  <si>
    <t>필요시만 운영(데이터 수집 미희망)</t>
  </si>
  <si>
    <t>lr84</t>
  </si>
  <si>
    <t>연락안됨</t>
    <phoneticPr fontId="20" type="noConversion"/>
  </si>
  <si>
    <t>매직카오토숍</t>
  </si>
  <si>
    <t>sangcomi79</t>
  </si>
  <si>
    <t>광고주와 사이 악화</t>
    <phoneticPr fontId="20" type="noConversion"/>
  </si>
  <si>
    <t>장형섭</t>
  </si>
  <si>
    <t>세븐플로어</t>
  </si>
  <si>
    <t>7floor</t>
  </si>
  <si>
    <t>타 바이럴업체 통해 소개로 진행했던 계정,해당 업체와 바이럴사 계약기간이 끝나 피이관 있을수있음, 광고주소통 없이  바이럴업체 담당자와 소통</t>
  </si>
  <si>
    <t>hanil5424</t>
  </si>
  <si>
    <t>tree2547</t>
  </si>
  <si>
    <t>1년에 한두달 광고하는 광고주며 광고주가 통화를 끊어버림</t>
  </si>
  <si>
    <t>성남이사</t>
  </si>
  <si>
    <t>ady6185</t>
  </si>
  <si>
    <t>광고주 직접운영</t>
  </si>
  <si>
    <t>마이쿠츠</t>
  </si>
  <si>
    <t>ragiimma</t>
  </si>
  <si>
    <t>김동운</t>
  </si>
  <si>
    <t>bobox88</t>
  </si>
  <si>
    <t>80살 되신 어르신이라 혼자서 불가능함 , 아들이 가끔 관리해주었는데 아들이 외국가서 현재 아예 연락두절</t>
  </si>
  <si>
    <t>금호주택건설</t>
  </si>
  <si>
    <t>ksjjjang58</t>
  </si>
  <si>
    <t>2년째 휴면계정 / 광고주 연락안됨</t>
  </si>
  <si>
    <t>로뎀파크</t>
  </si>
  <si>
    <t>creativeman5</t>
  </si>
  <si>
    <t>법률사무소 대진</t>
  </si>
  <si>
    <t>lawntaxoffic</t>
  </si>
  <si>
    <t>sejongfood</t>
  </si>
  <si>
    <t>전화 연결이 되지 않습니다.</t>
  </si>
  <si>
    <t>피움</t>
  </si>
  <si>
    <t>fium</t>
  </si>
  <si>
    <t>피이관</t>
  </si>
  <si>
    <t>조인메디칼 (주)</t>
  </si>
  <si>
    <t>joinmedical</t>
  </si>
  <si>
    <t>동성이엔지</t>
  </si>
  <si>
    <t>yms04245</t>
  </si>
  <si>
    <t>렌즈웨어 (Lens wear)</t>
  </si>
  <si>
    <t>lenswear</t>
  </si>
  <si>
    <t>더블업컴퍼니</t>
  </si>
  <si>
    <t>doubleup1</t>
  </si>
  <si>
    <t>애드플래닛</t>
  </si>
  <si>
    <t>주식회사 여수예술랜드</t>
  </si>
  <si>
    <t>artland_ys_</t>
  </si>
  <si>
    <t>지유오투</t>
  </si>
  <si>
    <t>gu02</t>
  </si>
  <si>
    <t>바오바론</t>
  </si>
  <si>
    <t>baobaron:naver</t>
  </si>
  <si>
    <t>홈앤키즈</t>
  </si>
  <si>
    <t>homenkids:naver</t>
  </si>
  <si>
    <t>smartkds79</t>
  </si>
  <si>
    <t>내부 담당자 퇴사 이후 광고 운영 협의 원활하지 않으며, 내부 담당자 확실하지 않음</t>
  </si>
  <si>
    <t>365hmc</t>
  </si>
  <si>
    <t>컨택불가광고주</t>
  </si>
  <si>
    <t>제이엘6274</t>
  </si>
  <si>
    <t>kindjineun:naver</t>
  </si>
  <si>
    <t>광고주대행사인지되어있지않음,컨택불가</t>
  </si>
  <si>
    <t>인천SBS미용학원</t>
  </si>
  <si>
    <t>choidahee77</t>
  </si>
  <si>
    <t>광고주 멤버요청 하였으나 아직 미승인, 광고주 직접운영</t>
  </si>
  <si>
    <t>홍대ART</t>
  </si>
  <si>
    <t>더드림</t>
  </si>
  <si>
    <t>올준</t>
  </si>
  <si>
    <t>(주)만다린</t>
  </si>
  <si>
    <t>광고주 권한부여 미희망</t>
  </si>
  <si>
    <t>대찬크린</t>
  </si>
  <si>
    <t>KAKAO</t>
    <phoneticPr fontId="20" type="noConversion"/>
  </si>
  <si>
    <t>광고주비협조</t>
  </si>
  <si>
    <t>주식회사 에반</t>
  </si>
  <si>
    <t>NAVER</t>
    <phoneticPr fontId="20" type="noConversion"/>
  </si>
  <si>
    <t>aaebon</t>
  </si>
  <si>
    <t>영우드디자인</t>
  </si>
  <si>
    <t>youngwooddesign:naver</t>
  </si>
  <si>
    <t>연락두절 및 광고미진행</t>
  </si>
  <si>
    <t>드레스홀릭</t>
  </si>
  <si>
    <t>jskysmac1</t>
  </si>
  <si>
    <t>SM신용정보</t>
  </si>
  <si>
    <t>dkk2424</t>
  </si>
  <si>
    <t>yudang</t>
  </si>
  <si>
    <t>카카오 마스터 권한 이전한 건에 대해서도 계속 못미더워 하심.</t>
  </si>
  <si>
    <t>NAVER</t>
    <phoneticPr fontId="20" type="noConversion"/>
  </si>
  <si>
    <t>baral8</t>
  </si>
  <si>
    <t>광고주 마케터외 접근권한 거부</t>
  </si>
  <si>
    <t>김푸른솔</t>
  </si>
  <si>
    <t>NAVER</t>
    <phoneticPr fontId="20" type="noConversion"/>
  </si>
  <si>
    <t>chlgns80</t>
  </si>
  <si>
    <t>네이버 구버젼 광고시스템 및 광고운영X</t>
  </si>
  <si>
    <t>didimdol_art</t>
  </si>
  <si>
    <t>광고주와 연락안되고 있음</t>
  </si>
  <si>
    <t>chy7999</t>
  </si>
  <si>
    <t>이미있음</t>
    <phoneticPr fontId="20" type="noConversion"/>
  </si>
  <si>
    <t>jslee6702</t>
  </si>
  <si>
    <t>gain5766766</t>
  </si>
  <si>
    <t>광고주 직접권한삭제</t>
  </si>
  <si>
    <t>샘바스</t>
  </si>
  <si>
    <t>vjtmxm0906</t>
  </si>
  <si>
    <t>이리텍</t>
  </si>
  <si>
    <t>미관리계정으로 연락처 부재</t>
  </si>
  <si>
    <t>서울홈크리닝</t>
  </si>
  <si>
    <t>광고직접운영</t>
  </si>
  <si>
    <t>에스텐</t>
  </si>
  <si>
    <t>sten245</t>
  </si>
  <si>
    <t>동양산업</t>
  </si>
  <si>
    <t>lay_wing:naver</t>
  </si>
  <si>
    <t>해밀로직스</t>
  </si>
  <si>
    <t>wjsk0903:naver</t>
  </si>
  <si>
    <t>코스매직</t>
  </si>
  <si>
    <t>herbsecret:naver</t>
  </si>
  <si>
    <t>잇템빌리지</t>
  </si>
  <si>
    <t>tlsrbwoo:naver</t>
  </si>
  <si>
    <t>몽당연필</t>
  </si>
  <si>
    <t>kej68913:naver</t>
  </si>
  <si>
    <t>한솔플러스</t>
  </si>
  <si>
    <t>hansolplus79</t>
  </si>
  <si>
    <t>아이디어크루</t>
  </si>
  <si>
    <t>ideacrew</t>
  </si>
  <si>
    <t>굳바이(Good-buy)</t>
  </si>
  <si>
    <t>jhonsoyoung:naver</t>
  </si>
  <si>
    <t>연락안됨</t>
  </si>
  <si>
    <t>네이버 피이관</t>
  </si>
  <si>
    <t>광고담당자 퇴사</t>
  </si>
  <si>
    <t>거산토탈시스템</t>
  </si>
  <si>
    <t>wk8582</t>
  </si>
  <si>
    <t>광고주 거부</t>
  </si>
  <si>
    <t>유진세라트</t>
  </si>
  <si>
    <t>sjha63</t>
  </si>
  <si>
    <t>오키드앤코</t>
  </si>
  <si>
    <t>orchid0501</t>
  </si>
  <si>
    <t>피이관예정</t>
  </si>
  <si>
    <t>라인유니온</t>
  </si>
  <si>
    <t>lineunion:naver</t>
  </si>
  <si>
    <t>제이케이파트너그룹</t>
  </si>
  <si>
    <t>jkinspir:naver</t>
  </si>
  <si>
    <t>bulsapa1</t>
  </si>
  <si>
    <t>제이엠커넥티드</t>
  </si>
  <si>
    <t>jmconnected</t>
  </si>
  <si>
    <t>아이차케어</t>
  </si>
  <si>
    <t>ichacare:naver</t>
  </si>
  <si>
    <t>8615694:naver</t>
  </si>
  <si>
    <t>skyfestival</t>
  </si>
  <si>
    <t>보안상</t>
  </si>
  <si>
    <t>시월드비젼</t>
  </si>
  <si>
    <t>kscam</t>
  </si>
  <si>
    <t>조이웍스 호카 (주)</t>
  </si>
  <si>
    <t>광고주 연락불가</t>
  </si>
  <si>
    <t>소울기획</t>
  </si>
  <si>
    <t>휴면연락두절)</t>
  </si>
  <si>
    <t>텐박스</t>
  </si>
  <si>
    <t>휴면연락두절</t>
  </si>
  <si>
    <t>대대행_x000D_</t>
  </si>
  <si>
    <t>올댓뷰티아카데미</t>
  </si>
  <si>
    <t>ehddn0611:naver</t>
  </si>
  <si>
    <t>오금하드웨어</t>
  </si>
  <si>
    <t>qkrrkswltka:naver</t>
  </si>
  <si>
    <t>chungsimi:naver</t>
  </si>
  <si>
    <t>NAVERchungsimi:naver</t>
  </si>
  <si>
    <t>피이관 계정</t>
  </si>
  <si>
    <t>모먼트189723</t>
  </si>
  <si>
    <t>휴면계정</t>
  </si>
  <si>
    <r>
      <rPr>
        <sz val="9"/>
        <color indexed="8"/>
        <rFont val="돋움"/>
        <family val="3"/>
        <charset val="129"/>
      </rPr>
      <t>광고사업</t>
    </r>
    <r>
      <rPr>
        <sz val="9"/>
        <color indexed="8"/>
        <rFont val="Calibri"/>
        <family val="2"/>
      </rPr>
      <t>1</t>
    </r>
    <r>
      <rPr>
        <sz val="9"/>
        <color indexed="8"/>
        <rFont val="돋움"/>
        <family val="3"/>
        <charset val="129"/>
      </rPr>
      <t>부문</t>
    </r>
    <phoneticPr fontId="20" type="noConversion"/>
  </si>
  <si>
    <t>윤홍이</t>
    <phoneticPr fontId="20" type="noConversion"/>
  </si>
  <si>
    <t>오만물</t>
    <phoneticPr fontId="20" type="noConversion"/>
  </si>
  <si>
    <t>323944</t>
    <phoneticPr fontId="20" type="noConversion"/>
  </si>
  <si>
    <t>퇴사자</t>
    <phoneticPr fontId="20" type="noConversion"/>
  </si>
  <si>
    <t>윤홍이</t>
    <phoneticPr fontId="20" type="noConversion"/>
  </si>
  <si>
    <t>플로우시스템</t>
    <phoneticPr fontId="20" type="noConversion"/>
  </si>
  <si>
    <t>327123</t>
    <phoneticPr fontId="20" type="noConversion"/>
  </si>
  <si>
    <t>윤홍이</t>
    <phoneticPr fontId="20" type="noConversion"/>
  </si>
  <si>
    <t>제일나염</t>
    <phoneticPr fontId="20" type="noConversion"/>
  </si>
  <si>
    <t>318523</t>
    <phoneticPr fontId="20" type="noConversion"/>
  </si>
  <si>
    <t>퇴사자</t>
    <phoneticPr fontId="20" type="noConversion"/>
  </si>
  <si>
    <t>불가이유</t>
  </si>
  <si>
    <t>불가이유</t>
    <phoneticPr fontId="18" type="noConversion"/>
  </si>
  <si>
    <t>부서(한글)</t>
  </si>
  <si>
    <t>팀(한글)</t>
  </si>
  <si>
    <t>직원명</t>
  </si>
  <si>
    <t>직원번호</t>
  </si>
  <si>
    <t>팀(코드)</t>
  </si>
  <si>
    <t>dev관리자</t>
  </si>
  <si>
    <t>박혁</t>
  </si>
  <si>
    <t>마케팅1본부</t>
  </si>
  <si>
    <t>브랜드마케팅팀</t>
  </si>
  <si>
    <t>디에스엔터케이션</t>
  </si>
  <si>
    <t xml:space="preserve">신규사업본부
</t>
  </si>
  <si>
    <t>신규사업팀</t>
  </si>
  <si>
    <t>신규사업</t>
  </si>
  <si>
    <t>컨텐츠영업팀</t>
  </si>
  <si>
    <t>컨텐츠영업</t>
  </si>
  <si>
    <t>MI팀</t>
  </si>
  <si>
    <t>MI</t>
  </si>
  <si>
    <t>본애드컴</t>
  </si>
  <si>
    <t>엠아이오홀딩스</t>
  </si>
  <si>
    <t>제이슨컴퍼니</t>
  </si>
  <si>
    <t>대대행총괄</t>
  </si>
  <si>
    <t>㈜온웨이브</t>
  </si>
  <si>
    <t>(주)스윗코</t>
  </si>
  <si>
    <t>AMPM(미사용)</t>
  </si>
  <si>
    <t>APC애드</t>
  </si>
  <si>
    <t>ck네트웍스</t>
  </si>
  <si>
    <t>DAM</t>
  </si>
  <si>
    <t>DBK네트웍스</t>
  </si>
  <si>
    <t>IMC</t>
  </si>
  <si>
    <t>JJ컴퍼니</t>
  </si>
  <si>
    <t>KGB</t>
  </si>
  <si>
    <t>KMC</t>
  </si>
  <si>
    <t>KR마케팅</t>
  </si>
  <si>
    <t>KTD</t>
  </si>
  <si>
    <t>MIG</t>
  </si>
  <si>
    <t>NSM</t>
  </si>
  <si>
    <t>PNL+</t>
  </si>
  <si>
    <t>smc커뮤니케이션</t>
  </si>
  <si>
    <t>SPA(온애드)</t>
  </si>
  <si>
    <t>TK101글로벌코리아</t>
  </si>
  <si>
    <t>TNT마케팅</t>
  </si>
  <si>
    <t>V토리</t>
  </si>
  <si>
    <t>가비아컴</t>
  </si>
  <si>
    <t>감성넷</t>
  </si>
  <si>
    <t>감성닷컴</t>
  </si>
  <si>
    <t>강화도펜션협동조합</t>
  </si>
  <si>
    <t>고양교차로</t>
  </si>
  <si>
    <t>광고나무</t>
  </si>
  <si>
    <t>광고를디자인하다</t>
  </si>
  <si>
    <t>광고생각</t>
  </si>
  <si>
    <t>굿모닝애드</t>
  </si>
  <si>
    <t>금빛</t>
  </si>
  <si>
    <t>김부옥</t>
  </si>
  <si>
    <t>나눔기획</t>
  </si>
  <si>
    <t>나라M</t>
  </si>
  <si>
    <t>나라닷컴</t>
  </si>
  <si>
    <t>나린마케팅</t>
  </si>
  <si>
    <t>나모</t>
  </si>
  <si>
    <t>나무커뮤니케이션</t>
  </si>
  <si>
    <t>나비위드</t>
  </si>
  <si>
    <t>나스미디어</t>
  </si>
  <si>
    <t>나인커뮤니케이션</t>
  </si>
  <si>
    <t>나인컴즈</t>
  </si>
  <si>
    <t>넥스디</t>
  </si>
  <si>
    <t>노바마케팅</t>
  </si>
  <si>
    <t>노블컴퍼니</t>
  </si>
  <si>
    <t>뉴런커뮤니케이션</t>
  </si>
  <si>
    <t>뉴미디어아이엠씨</t>
  </si>
  <si>
    <t>뉴스프링</t>
  </si>
  <si>
    <t>뉴에스타</t>
  </si>
  <si>
    <t>뉴클릭미디어</t>
  </si>
  <si>
    <t>니즈애드</t>
  </si>
  <si>
    <t>니즈컴퍼니</t>
  </si>
  <si>
    <t>다알커뮤니케이션</t>
  </si>
  <si>
    <t>다올</t>
  </si>
  <si>
    <t>다인커뮤니티</t>
  </si>
  <si>
    <t>다츠</t>
  </si>
  <si>
    <t>대드</t>
  </si>
  <si>
    <t>더리얼마케팅</t>
  </si>
  <si>
    <t>더베스트미디어</t>
  </si>
  <si>
    <t>더블유나인</t>
  </si>
  <si>
    <t>더블유에스컴퍼니</t>
  </si>
  <si>
    <t>더블유컴즈</t>
  </si>
  <si>
    <t>더아이엠씨</t>
  </si>
  <si>
    <t>더클커뮤니케이션</t>
  </si>
  <si>
    <t>더프렌즈</t>
  </si>
  <si>
    <t>데이세븐</t>
  </si>
  <si>
    <t>도도커뮤니케이션</t>
  </si>
  <si>
    <t>동아오츠카</t>
  </si>
  <si>
    <t>드림마케팅</t>
  </si>
  <si>
    <t>드림위즈</t>
  </si>
  <si>
    <t>드림이즈컴퍼니</t>
  </si>
  <si>
    <t>드림인사이트</t>
  </si>
  <si>
    <t>디렉팅아이즈</t>
  </si>
  <si>
    <t>디자인민트(이디지털큐브)</t>
  </si>
  <si>
    <t>디자인피플</t>
  </si>
  <si>
    <t>디퍼플</t>
  </si>
  <si>
    <t>디피허브</t>
  </si>
  <si>
    <t>띵송</t>
  </si>
  <si>
    <t>라이크애드</t>
  </si>
  <si>
    <t>라인닷컴</t>
  </si>
  <si>
    <t>락앤컴퍼니</t>
  </si>
  <si>
    <t>레디온코리아</t>
  </si>
  <si>
    <t>레오플</t>
  </si>
  <si>
    <t>레코벨</t>
  </si>
  <si>
    <t>렌트모아</t>
  </si>
  <si>
    <t>로그</t>
  </si>
  <si>
    <t>로그플레이</t>
  </si>
  <si>
    <t>로얄자이넷</t>
  </si>
  <si>
    <t>로커뮤니케이션</t>
  </si>
  <si>
    <t>루나</t>
  </si>
  <si>
    <t>리드온마케팅</t>
  </si>
  <si>
    <t>리얼커머스</t>
  </si>
  <si>
    <t>링크프라이스</t>
  </si>
  <si>
    <t>마루커뮤니케이션</t>
  </si>
  <si>
    <t>마르스호야</t>
  </si>
  <si>
    <t>마름모커뮤니케이션</t>
  </si>
  <si>
    <t>마이미디어</t>
  </si>
  <si>
    <t>마인코퍼레이션</t>
  </si>
  <si>
    <t>마케팅선</t>
  </si>
  <si>
    <t>마케팅스톰</t>
  </si>
  <si>
    <t>마케팅이즈</t>
  </si>
  <si>
    <t>마케팅지음랩</t>
  </si>
  <si>
    <t>마켓플러스</t>
  </si>
  <si>
    <t>마하나임</t>
  </si>
  <si>
    <t>매그넘빈트</t>
  </si>
  <si>
    <t>매드비</t>
  </si>
  <si>
    <t>매드인코리아</t>
  </si>
  <si>
    <t>맥퍼트</t>
  </si>
  <si>
    <t>메디인사이드</t>
  </si>
  <si>
    <t>메이크센스</t>
  </si>
  <si>
    <t>메조미디어</t>
  </si>
  <si>
    <t>모두팩토리</t>
  </si>
  <si>
    <t>모스트잇</t>
  </si>
  <si>
    <t>문화미디어랩</t>
  </si>
  <si>
    <t>미디어스퀘어</t>
  </si>
  <si>
    <t>미디어썬</t>
  </si>
  <si>
    <t>미래아이엔씨</t>
  </si>
  <si>
    <t>믹스애드</t>
  </si>
  <si>
    <t>바로커뮤니케이션</t>
  </si>
  <si>
    <t>바론미디어</t>
  </si>
  <si>
    <t>바른그룹</t>
  </si>
  <si>
    <t>바른커뮤니케이션</t>
  </si>
  <si>
    <t>바보커뮤니케이션</t>
  </si>
  <si>
    <t>바이애드</t>
  </si>
  <si>
    <t>백필현</t>
  </si>
  <si>
    <t>베니트</t>
  </si>
  <si>
    <t>베스트브라더스</t>
  </si>
  <si>
    <t>불타는놀이터</t>
  </si>
  <si>
    <t>브랜드믹스</t>
  </si>
  <si>
    <t>브랜드테이크아웃</t>
  </si>
  <si>
    <t>브레인웍스</t>
  </si>
  <si>
    <t>브리드웹</t>
  </si>
  <si>
    <t>브이에스엠그룹</t>
  </si>
  <si>
    <t>블로그119</t>
  </si>
  <si>
    <t>블루솔루션</t>
  </si>
  <si>
    <t>블루오렌지</t>
  </si>
  <si>
    <t>블루텍생활건강</t>
  </si>
  <si>
    <t>비브로스</t>
  </si>
  <si>
    <t>비스컨애드</t>
  </si>
  <si>
    <t>비에스그룹</t>
  </si>
  <si>
    <t>비에스티</t>
  </si>
  <si>
    <t>비엠컴퍼니</t>
  </si>
  <si>
    <t>비욘드마켓</t>
  </si>
  <si>
    <t>비욘드모어</t>
  </si>
  <si>
    <t>비즈메카플러스</t>
  </si>
  <si>
    <t>비즈엠피플</t>
  </si>
  <si>
    <t>새움마케팅</t>
  </si>
  <si>
    <t>성진커뮤니케이션즈</t>
  </si>
  <si>
    <t>세일업</t>
  </si>
  <si>
    <t>소통미디어</t>
  </si>
  <si>
    <t>소프트블린</t>
  </si>
  <si>
    <t>손스마케팅</t>
  </si>
  <si>
    <t>솔티</t>
  </si>
  <si>
    <t>솜미디어</t>
  </si>
  <si>
    <t>스마트</t>
  </si>
  <si>
    <t>스마트인사이트</t>
  </si>
  <si>
    <t>스트레인져</t>
  </si>
  <si>
    <t>스파클인터랙티브</t>
  </si>
  <si>
    <t>스폰서코리아에이전시</t>
  </si>
  <si>
    <t>시선커뮤니케이션</t>
  </si>
  <si>
    <t>시카고컴즈</t>
  </si>
  <si>
    <t>써니기획</t>
  </si>
  <si>
    <t>써치엠</t>
  </si>
  <si>
    <t>씨아이비즈</t>
  </si>
  <si>
    <t>씨유기획</t>
  </si>
  <si>
    <t>아이두엠씨</t>
  </si>
  <si>
    <t>아이디네트웍스</t>
  </si>
  <si>
    <t>아이보스</t>
  </si>
  <si>
    <t>아이비웹스</t>
  </si>
  <si>
    <t>아이애드원</t>
  </si>
  <si>
    <t>아이에이엠파트너즈</t>
  </si>
  <si>
    <t>아이이네트웍스</t>
  </si>
  <si>
    <t>아이티코리아</t>
  </si>
  <si>
    <t>아이프로덕트</t>
  </si>
  <si>
    <t>아인스미디어</t>
  </si>
  <si>
    <t>아쿠아플래닛</t>
  </si>
  <si>
    <t>알리바바하우스(핀트미디어)</t>
  </si>
  <si>
    <t>알에스기획</t>
  </si>
  <si>
    <t>알오아이플러스</t>
  </si>
  <si>
    <t>애드24</t>
  </si>
  <si>
    <t>애드니즈컴퍼니</t>
  </si>
  <si>
    <t>애드링크</t>
  </si>
  <si>
    <t>애드마인컴퍼니</t>
  </si>
  <si>
    <t>애드매니저(골든몽키)</t>
  </si>
  <si>
    <t>애드믹스엠</t>
  </si>
  <si>
    <t>애드브레인</t>
  </si>
  <si>
    <t>애드앤로우</t>
  </si>
  <si>
    <t>애드엠</t>
  </si>
  <si>
    <t>애드온마케팅</t>
  </si>
  <si>
    <t>애드올(ADM커뮤니케이션)</t>
  </si>
  <si>
    <t>애드원</t>
  </si>
  <si>
    <t>애드웹</t>
  </si>
  <si>
    <t>애드위즈</t>
  </si>
  <si>
    <t>애드젠</t>
  </si>
  <si>
    <t>애드커뮤니케이션</t>
  </si>
  <si>
    <t>애드클러치</t>
  </si>
  <si>
    <t>애드클릭(조병건)</t>
  </si>
  <si>
    <t>애드파인</t>
  </si>
  <si>
    <t>애드플레이</t>
  </si>
  <si>
    <t>애드피아</t>
  </si>
  <si>
    <t>애인드</t>
  </si>
  <si>
    <t>애플애드벤처</t>
  </si>
  <si>
    <t>액트코어</t>
  </si>
  <si>
    <t>앤플러스</t>
  </si>
  <si>
    <t>앤플러스(구 웹엔조이)</t>
  </si>
  <si>
    <t>앰플트리</t>
  </si>
  <si>
    <t>어나더</t>
  </si>
  <si>
    <t>어니스트</t>
  </si>
  <si>
    <t>어메이징E&amp;M</t>
  </si>
  <si>
    <t>어시스트</t>
  </si>
  <si>
    <t>어썸크루</t>
  </si>
  <si>
    <t>언약엔터프라이즈</t>
  </si>
  <si>
    <t>에그커뮤니케이션</t>
  </si>
  <si>
    <t>에듀애드</t>
  </si>
  <si>
    <t>에브리마케팅</t>
  </si>
  <si>
    <t>에스비에프앤비</t>
  </si>
  <si>
    <t>에스아이컴즈</t>
  </si>
  <si>
    <t>에스엘씨미디어</t>
  </si>
  <si>
    <t>에이애드</t>
  </si>
  <si>
    <t>에이엠씨컴퍼니</t>
  </si>
  <si>
    <t>에이엠피엠</t>
  </si>
  <si>
    <t>에이엠피엠커뮤니케이션</t>
  </si>
  <si>
    <t>에이와마케팅</t>
  </si>
  <si>
    <t>에이치엠트랜드</t>
  </si>
  <si>
    <t>에이플러스</t>
  </si>
  <si>
    <t>엔비스타</t>
  </si>
  <si>
    <t>엔씨씨제이솔루션</t>
  </si>
  <si>
    <t>엔에이치애드</t>
  </si>
  <si>
    <t>엘리스</t>
  </si>
  <si>
    <t>엘사</t>
  </si>
  <si>
    <t>엠서클</t>
  </si>
  <si>
    <t>엠컴(커튼즈)</t>
  </si>
  <si>
    <t>엠케이컴퍼니</t>
  </si>
  <si>
    <t>엠피아커뮤니케이션</t>
  </si>
  <si>
    <t>연수기획</t>
  </si>
  <si>
    <t>열정공작소</t>
  </si>
  <si>
    <t>예지솔루션</t>
  </si>
  <si>
    <t>옐로디지털마케팅(도담)</t>
  </si>
  <si>
    <t>오뜨데코</t>
  </si>
  <si>
    <t>오라인포</t>
  </si>
  <si>
    <t>오라클랜드</t>
  </si>
  <si>
    <t>오렌지디자인</t>
  </si>
  <si>
    <t>오토캐슬모터스</t>
  </si>
  <si>
    <t>오피노마케팅</t>
  </si>
  <si>
    <t>온라인애드</t>
  </si>
  <si>
    <t>온서치</t>
  </si>
  <si>
    <t>온애드</t>
  </si>
  <si>
    <t>올라인커뮤니케이션</t>
  </si>
  <si>
    <t>와이낫</t>
  </si>
  <si>
    <t>와이쏘컴퍼니</t>
  </si>
  <si>
    <t>와이엠넷</t>
  </si>
  <si>
    <t>와이즈넛</t>
  </si>
  <si>
    <t>우노미디어</t>
  </si>
  <si>
    <t>워너애드</t>
  </si>
  <si>
    <t>웹앤조이</t>
  </si>
  <si>
    <t>웹초롱</t>
  </si>
  <si>
    <t>웹하니</t>
  </si>
  <si>
    <t>위너스마케팅</t>
  </si>
  <si>
    <t>위드스토리</t>
  </si>
  <si>
    <t>위사</t>
  </si>
  <si>
    <t>위시드인베스트먼트</t>
  </si>
  <si>
    <t>위플랜미디어</t>
  </si>
  <si>
    <t>위플랫폼</t>
  </si>
  <si>
    <t>위픽코퍼레이션</t>
  </si>
  <si>
    <t>윈스토리</t>
  </si>
  <si>
    <t>유니클론미디어(플라이업)</t>
  </si>
  <si>
    <t>유민애드</t>
  </si>
  <si>
    <t>유즈플레이스</t>
  </si>
  <si>
    <t>윤커뮤니케이션</t>
  </si>
  <si>
    <t>이그리프</t>
  </si>
  <si>
    <t>이그프리</t>
  </si>
  <si>
    <t>이노레드</t>
  </si>
  <si>
    <t>이노에이치</t>
  </si>
  <si>
    <t>이든앤앨리스</t>
  </si>
  <si>
    <t>이롬애드컴</t>
  </si>
  <si>
    <t>이룸</t>
  </si>
  <si>
    <t>이비엠그룹</t>
  </si>
  <si>
    <t>이엠스타</t>
  </si>
  <si>
    <t>이올커뮤니케이션</t>
  </si>
  <si>
    <t>이인벤션</t>
  </si>
  <si>
    <t>이주원(컴온애드)</t>
  </si>
  <si>
    <t>이지웹</t>
  </si>
  <si>
    <t>이츠애드</t>
  </si>
  <si>
    <t>이케이엠에스</t>
  </si>
  <si>
    <t>인사랑컨설팅</t>
  </si>
  <si>
    <t>인에이블컴퍼니</t>
  </si>
  <si>
    <t>인츠빌</t>
  </si>
  <si>
    <t>인컴웹</t>
  </si>
  <si>
    <t>인탑</t>
  </si>
  <si>
    <t>인터넷114</t>
  </si>
  <si>
    <t>인터포스</t>
  </si>
  <si>
    <t>인터포스(강영준)</t>
  </si>
  <si>
    <t>인투스페이스</t>
  </si>
  <si>
    <t>인포타운</t>
  </si>
  <si>
    <t>임프미디어</t>
  </si>
  <si>
    <t>입소문</t>
  </si>
  <si>
    <t>자이블</t>
  </si>
  <si>
    <t>장소프트</t>
  </si>
  <si>
    <t>잭팟캐스트</t>
  </si>
  <si>
    <t>정보아이엔에스</t>
  </si>
  <si>
    <t>정은언니</t>
  </si>
  <si>
    <t>제나플래너즈</t>
  </si>
  <si>
    <t>제이브릿지</t>
  </si>
  <si>
    <t>제이비씨코리아</t>
  </si>
  <si>
    <t>제이슨마케팅</t>
  </si>
  <si>
    <t>제이쓰리엠앤씨</t>
  </si>
  <si>
    <t>제이아이앤시</t>
  </si>
  <si>
    <t>제이애드랩</t>
  </si>
  <si>
    <t>제이앤컴퍼니</t>
  </si>
  <si>
    <t>제이에스컴퍼니</t>
  </si>
  <si>
    <t>제이영컨설팅</t>
  </si>
  <si>
    <t>제이지아이티</t>
  </si>
  <si>
    <t>제이컴퍼니(구 웹엔조이)</t>
  </si>
  <si>
    <t>젠메이드코리아</t>
  </si>
  <si>
    <t>조병건(프리랜서)</t>
  </si>
  <si>
    <t>좋은마케팅</t>
  </si>
  <si>
    <t>주식회사 두길로</t>
  </si>
  <si>
    <t>주식회사혜윰커뮤니케이션즈</t>
  </si>
  <si>
    <t>주식회사황지선</t>
  </si>
  <si>
    <t>주주커뮤니케이션</t>
  </si>
  <si>
    <t>주피터</t>
  </si>
  <si>
    <t>준커뮤니케이션</t>
  </si>
  <si>
    <t>쥐씨와이어드벤처</t>
  </si>
  <si>
    <t>지니애드</t>
  </si>
  <si>
    <t>지엘솔루션</t>
  </si>
  <si>
    <t>지엠크리에이티브</t>
  </si>
  <si>
    <t>진심커뮤니케이션</t>
  </si>
  <si>
    <t>카라커뮤니케이션</t>
  </si>
  <si>
    <t>칸투칸</t>
  </si>
  <si>
    <t>캠페인유나이티드</t>
  </si>
  <si>
    <t>커넥트원</t>
  </si>
  <si>
    <t>커뮤니케이션산</t>
  </si>
  <si>
    <t>커튼즈</t>
  </si>
  <si>
    <t>컨텐츠오션</t>
  </si>
  <si>
    <t>컨플랫</t>
  </si>
  <si>
    <t>컴플러스넷</t>
  </si>
  <si>
    <t>케미캐스트</t>
  </si>
  <si>
    <t>케이비넷솔루션</t>
  </si>
  <si>
    <t>케이스퀘어컴즈</t>
  </si>
  <si>
    <t>케이애드플러스</t>
  </si>
  <si>
    <t>케이에드</t>
  </si>
  <si>
    <t>케이엘카이넥스</t>
  </si>
  <si>
    <t>케이오마케팅</t>
  </si>
  <si>
    <t>코리아웹센터</t>
  </si>
  <si>
    <t>코어컨설팅</t>
  </si>
  <si>
    <t>코이즈</t>
  </si>
  <si>
    <t>큐브</t>
  </si>
  <si>
    <t>키노티시스템</t>
  </si>
  <si>
    <t>택토리</t>
  </si>
  <si>
    <t>테그해라</t>
  </si>
  <si>
    <t>텔게이트</t>
  </si>
  <si>
    <t>토탈마케팅어거스트</t>
  </si>
  <si>
    <t>트랜스파이나이트</t>
  </si>
  <si>
    <t>트랜시노</t>
  </si>
  <si>
    <t>트렌시노</t>
  </si>
  <si>
    <t>트리플카프마케팅</t>
  </si>
  <si>
    <t>티디아이플레이</t>
  </si>
  <si>
    <t>티엠지코퍼레이션</t>
  </si>
  <si>
    <t>파란</t>
  </si>
  <si>
    <t>파머메이커스</t>
  </si>
  <si>
    <t>파이널세트</t>
  </si>
  <si>
    <t>파이커뮤니케이션</t>
  </si>
  <si>
    <t>펀애드피플</t>
  </si>
  <si>
    <t>펜션센타</t>
  </si>
  <si>
    <t>펜션앤피플</t>
  </si>
  <si>
    <t>포인트커뮤니케이션즈</t>
  </si>
  <si>
    <t>퓨처스애드</t>
  </si>
  <si>
    <t>프로그레스미디어</t>
  </si>
  <si>
    <t>프로텔컴</t>
  </si>
  <si>
    <t>프리랜서 김장재</t>
  </si>
  <si>
    <t>프리랜서 김효섭</t>
  </si>
  <si>
    <t>프리랜서 박세연</t>
  </si>
  <si>
    <t>프리랜서 박지훈</t>
  </si>
  <si>
    <t>프리랜서 신종빈</t>
  </si>
  <si>
    <t>프리랜서 이강욱</t>
  </si>
  <si>
    <t>프리랜서 이한형</t>
  </si>
  <si>
    <t>프리랜서 장자원</t>
  </si>
  <si>
    <t>프리랜서 정희찬</t>
  </si>
  <si>
    <t>프리랜서(박동석)</t>
  </si>
  <si>
    <t>프리랜서장자원</t>
  </si>
  <si>
    <t>프리장자원</t>
  </si>
  <si>
    <t>프리커뮤니티</t>
  </si>
  <si>
    <t>플랜에프</t>
  </si>
  <si>
    <t>플러스마케팅</t>
  </si>
  <si>
    <t>피앤스토리</t>
  </si>
  <si>
    <t>피앤에이컴퍼니</t>
  </si>
  <si>
    <t>피제이패션그룹</t>
  </si>
  <si>
    <t>핀셋</t>
  </si>
  <si>
    <t>핀스프레드</t>
  </si>
  <si>
    <t>하나애드</t>
  </si>
  <si>
    <t>하우투엠</t>
  </si>
  <si>
    <t>한국마케팅</t>
  </si>
  <si>
    <t>한국모바일지원센타</t>
  </si>
  <si>
    <t>한국인터넷센터</t>
  </si>
  <si>
    <t>한미르</t>
  </si>
  <si>
    <t>허브넷</t>
  </si>
  <si>
    <t>호원앤컴퍼니</t>
  </si>
  <si>
    <t>효성</t>
  </si>
  <si>
    <t>희망날개협동조합</t>
  </si>
  <si>
    <t>CM</t>
  </si>
  <si>
    <t>R&amp;D본부</t>
  </si>
  <si>
    <t>뉴미디어팀</t>
  </si>
  <si>
    <t>한현우_뉴미디어팀계정</t>
  </si>
  <si>
    <t>모바일</t>
  </si>
  <si>
    <t>마케팅5본부</t>
  </si>
  <si>
    <t>광고운영1팀</t>
  </si>
  <si>
    <t>DS</t>
  </si>
  <si>
    <t>김판호</t>
  </si>
  <si>
    <t>김다희_D</t>
  </si>
  <si>
    <t>김지희_D</t>
  </si>
  <si>
    <t>이다솜_D</t>
  </si>
  <si>
    <t>이만수_D</t>
  </si>
  <si>
    <t>이하늘_D</t>
  </si>
  <si>
    <t>정세연_D</t>
  </si>
  <si>
    <t>대대행-디지털플래닝</t>
  </si>
  <si>
    <t>글로벌엠아이지</t>
  </si>
  <si>
    <t>유시젼</t>
  </si>
  <si>
    <t>제이프랜즈마케팅그룹</t>
  </si>
  <si>
    <t>마케팅지원팀</t>
  </si>
  <si>
    <t>권민정_D</t>
  </si>
  <si>
    <t>정유경_D</t>
  </si>
  <si>
    <t>김판호_D</t>
  </si>
  <si>
    <t>바이럴마케팅팀</t>
  </si>
  <si>
    <t>이선영_D</t>
  </si>
  <si>
    <t>김도연</t>
  </si>
  <si>
    <t>박수빈</t>
  </si>
  <si>
    <t>김창욱</t>
  </si>
  <si>
    <t>김창욱_E7</t>
  </si>
  <si>
    <t>배소은</t>
  </si>
  <si>
    <t>정지아</t>
  </si>
  <si>
    <t>김정은</t>
  </si>
  <si>
    <t>박성훈</t>
  </si>
  <si>
    <t>제휴사업본부-2팀</t>
  </si>
  <si>
    <t>광고운영휴면</t>
  </si>
  <si>
    <t>이은주(OP)</t>
  </si>
  <si>
    <t>제휴사업본부-채널영업팀</t>
  </si>
  <si>
    <t>채널영업팀</t>
  </si>
  <si>
    <t>김유리</t>
  </si>
  <si>
    <t>김태형</t>
  </si>
  <si>
    <t>3부문영업기획팀</t>
  </si>
  <si>
    <t>권현정</t>
  </si>
  <si>
    <t>김승철</t>
  </si>
  <si>
    <t>황지민</t>
  </si>
  <si>
    <t>이은영</t>
  </si>
  <si>
    <t>임이랑</t>
  </si>
  <si>
    <t>3부문_E7</t>
  </si>
  <si>
    <t>노선채/박세진_1</t>
  </si>
  <si>
    <t>정미진/박수정/정래현</t>
  </si>
  <si>
    <t>강다은</t>
  </si>
  <si>
    <t>김동욱</t>
  </si>
  <si>
    <t>김민지</t>
  </si>
  <si>
    <t>김봉훈</t>
  </si>
  <si>
    <t>김희진</t>
  </si>
  <si>
    <t>박나리</t>
  </si>
  <si>
    <t>박하은</t>
  </si>
  <si>
    <t>반재남</t>
  </si>
  <si>
    <t>배희정</t>
  </si>
  <si>
    <t>오세범</t>
  </si>
  <si>
    <t>유영주</t>
  </si>
  <si>
    <t>윤민정</t>
  </si>
  <si>
    <t>이강익</t>
  </si>
  <si>
    <t>임아린</t>
  </si>
  <si>
    <t>조민선</t>
  </si>
  <si>
    <t>조치훈</t>
  </si>
  <si>
    <t>최경원</t>
  </si>
  <si>
    <t>한지원</t>
  </si>
  <si>
    <t>황영신</t>
  </si>
  <si>
    <t>제휴사업본부-컨텐츠기획팀</t>
  </si>
  <si>
    <t>김서연</t>
  </si>
  <si>
    <t>경영지원부문</t>
  </si>
  <si>
    <t>김문수</t>
  </si>
  <si>
    <t>신용주</t>
  </si>
  <si>
    <t>경영지원본부-경리회계팀</t>
  </si>
  <si>
    <t>김한나</t>
  </si>
  <si>
    <t>이유현</t>
  </si>
  <si>
    <t>이은주</t>
  </si>
  <si>
    <t>이은주_3</t>
  </si>
  <si>
    <t>이지혜</t>
  </si>
  <si>
    <t>서선일</t>
  </si>
  <si>
    <t>경영지원본부-정산팀</t>
  </si>
  <si>
    <t>박세진</t>
  </si>
  <si>
    <t>오수현</t>
  </si>
  <si>
    <t>정채영</t>
  </si>
  <si>
    <t>차유미</t>
  </si>
  <si>
    <t>경영지원본부-총무팀</t>
  </si>
  <si>
    <t>박은혜</t>
  </si>
  <si>
    <t>이희수</t>
  </si>
  <si>
    <t>김경완</t>
  </si>
  <si>
    <t>김춘자</t>
  </si>
  <si>
    <t>경영지원본부-VR운영팀</t>
  </si>
  <si>
    <t>김현철</t>
  </si>
  <si>
    <t>HR본부-인사팀</t>
  </si>
  <si>
    <t>김태광</t>
  </si>
  <si>
    <t>임수지</t>
  </si>
  <si>
    <t>조은비</t>
  </si>
  <si>
    <t>미래사업부문</t>
  </si>
  <si>
    <t>이동수</t>
  </si>
  <si>
    <t>전략기획본부</t>
  </si>
  <si>
    <t>권민정</t>
  </si>
  <si>
    <t>김예솔</t>
  </si>
  <si>
    <t>남정현</t>
  </si>
  <si>
    <t>노지혜</t>
  </si>
  <si>
    <t>배기은</t>
  </si>
  <si>
    <t>이슬비</t>
  </si>
  <si>
    <t>임지은</t>
  </si>
  <si>
    <t>장하은</t>
  </si>
  <si>
    <t>정혜림</t>
  </si>
  <si>
    <t>착한가게본부</t>
  </si>
  <si>
    <t>강선미</t>
  </si>
  <si>
    <t>김보라</t>
  </si>
  <si>
    <t>서우리</t>
  </si>
  <si>
    <t>안홍균</t>
  </si>
  <si>
    <t>투자개발부문</t>
  </si>
  <si>
    <t>이상묵</t>
  </si>
  <si>
    <t>컨텐츠부문</t>
  </si>
  <si>
    <t>이만풍</t>
  </si>
  <si>
    <t>디자인팀</t>
  </si>
  <si>
    <t>김미래</t>
  </si>
  <si>
    <t>김미래_1</t>
  </si>
  <si>
    <t>김안나</t>
  </si>
  <si>
    <t>김지혜</t>
  </si>
  <si>
    <t>이가영</t>
  </si>
  <si>
    <t>이지현</t>
  </si>
  <si>
    <t>컨텐츠팀</t>
  </si>
  <si>
    <t>교육용아이디</t>
  </si>
  <si>
    <t>김혜지</t>
  </si>
  <si>
    <t>나유미</t>
  </si>
  <si>
    <t>윤수민</t>
  </si>
  <si>
    <t>전진아</t>
  </si>
  <si>
    <t>the착한가게사업본부</t>
  </si>
  <si>
    <t>김도형</t>
  </si>
  <si>
    <t>박준수</t>
  </si>
  <si>
    <t>곽수정</t>
  </si>
  <si>
    <t>김유리_1</t>
  </si>
  <si>
    <t>김지수</t>
  </si>
  <si>
    <t>박기주</t>
  </si>
  <si>
    <t>박종원</t>
  </si>
  <si>
    <t>백여미</t>
  </si>
  <si>
    <t>신효철</t>
  </si>
  <si>
    <t>심지은</t>
  </si>
  <si>
    <t>이겨레</t>
  </si>
  <si>
    <t>이수빈</t>
  </si>
  <si>
    <t>정석현</t>
  </si>
  <si>
    <t>함현주</t>
  </si>
  <si>
    <t>연구소</t>
  </si>
  <si>
    <t>권광섭</t>
  </si>
  <si>
    <t>인프라개발팀</t>
  </si>
  <si>
    <t>김민주</t>
  </si>
  <si>
    <t>부문장공용</t>
  </si>
  <si>
    <t>신현준</t>
  </si>
  <si>
    <t>개발팀공용</t>
  </si>
  <si>
    <t>최해송</t>
  </si>
  <si>
    <t>데이터분석팀</t>
  </si>
  <si>
    <t>강한별</t>
  </si>
  <si>
    <t>엄태영</t>
  </si>
  <si>
    <t>임주현</t>
  </si>
  <si>
    <t>본부코드</t>
  </si>
  <si>
    <t>본부코드</t>
    <phoneticPr fontId="18" type="noConversion"/>
  </si>
  <si>
    <t>팀코드</t>
  </si>
  <si>
    <t>팀코드</t>
    <phoneticPr fontId="18" type="noConversion"/>
  </si>
  <si>
    <t>담당자코드</t>
  </si>
  <si>
    <t>담당자코드</t>
    <phoneticPr fontId="18" type="noConversion"/>
  </si>
  <si>
    <t>01034394813</t>
  </si>
  <si>
    <t>01054551482</t>
  </si>
  <si>
    <t>01073381068:naver</t>
  </si>
  <si>
    <t>024333607</t>
  </si>
  <si>
    <t>02545</t>
  </si>
  <si>
    <t>0482ds:naver</t>
  </si>
  <si>
    <t>0922ms</t>
  </si>
  <si>
    <t>1014roes:naver</t>
  </si>
  <si>
    <t>11444gyn</t>
  </si>
  <si>
    <t>114boat</t>
  </si>
  <si>
    <t>114print</t>
  </si>
  <si>
    <t>21jyh</t>
  </si>
  <si>
    <t>21run</t>
  </si>
  <si>
    <t>2248147347</t>
  </si>
  <si>
    <t>247fit</t>
  </si>
  <si>
    <t>24solution:naver</t>
  </si>
  <si>
    <t>259official:naver</t>
  </si>
  <si>
    <t>2727kl</t>
  </si>
  <si>
    <t>2f_cafe_:naver</t>
  </si>
  <si>
    <t>3005kt</t>
  </si>
  <si>
    <t>3012989568</t>
  </si>
  <si>
    <t>3220051</t>
  </si>
  <si>
    <t>NAVER365hmc</t>
  </si>
  <si>
    <t>3gforever</t>
  </si>
  <si>
    <t>5759ppgg</t>
  </si>
  <si>
    <t>58jeap</t>
  </si>
  <si>
    <t>5mypilates</t>
  </si>
  <si>
    <t>60seconds</t>
  </si>
  <si>
    <t>63square</t>
  </si>
  <si>
    <t>67jai:naver</t>
  </si>
  <si>
    <t>711rokmc</t>
  </si>
  <si>
    <t>7145755</t>
  </si>
  <si>
    <t>720426-:naver</t>
  </si>
  <si>
    <t>7410sin</t>
  </si>
  <si>
    <t>777ook</t>
  </si>
  <si>
    <t>8325saemaul</t>
  </si>
  <si>
    <t>838306</t>
  </si>
  <si>
    <t>83cmy</t>
  </si>
  <si>
    <t>NAVER8615694:naver</t>
  </si>
  <si>
    <t>8848254sun</t>
  </si>
  <si>
    <t>9625214a</t>
  </si>
  <si>
    <t>9965611</t>
  </si>
  <si>
    <t>999shot</t>
  </si>
  <si>
    <t>99pack</t>
  </si>
  <si>
    <t>a000hl</t>
  </si>
  <si>
    <t>a0515kyh:naver</t>
  </si>
  <si>
    <t>a30003722</t>
  </si>
  <si>
    <t>a608985</t>
  </si>
  <si>
    <t>aaaa3800:naver</t>
  </si>
  <si>
    <t>abc</t>
  </si>
  <si>
    <t>abnc2235:naver</t>
  </si>
  <si>
    <t>academy1230</t>
  </si>
  <si>
    <t>accentri82</t>
  </si>
  <si>
    <t>acemach</t>
  </si>
  <si>
    <t>adinart</t>
  </si>
  <si>
    <t>advantrue</t>
  </si>
  <si>
    <t>aegisseal</t>
  </si>
  <si>
    <t>aeya</t>
  </si>
  <si>
    <t>afec</t>
  </si>
  <si>
    <t>afg</t>
  </si>
  <si>
    <t>africahj213</t>
  </si>
  <si>
    <t>aganaa4271</t>
  </si>
  <si>
    <t>agapa1008he2</t>
  </si>
  <si>
    <t>agltiger</t>
  </si>
  <si>
    <t>NAVERahj3345</t>
  </si>
  <si>
    <t>ahj3345</t>
  </si>
  <si>
    <t>ahrvhghdrk</t>
  </si>
  <si>
    <t>aimakorea</t>
  </si>
  <si>
    <t>aimsak</t>
  </si>
  <si>
    <t>aircenter</t>
  </si>
  <si>
    <t>aircosea</t>
  </si>
  <si>
    <t>ajeon10</t>
  </si>
  <si>
    <t>ajukitchen</t>
  </si>
  <si>
    <t>algu0429</t>
  </si>
  <si>
    <t>alienasia</t>
  </si>
  <si>
    <t>alldaygift</t>
  </si>
  <si>
    <t>allinfok</t>
  </si>
  <si>
    <t>alltrendmall</t>
  </si>
  <si>
    <t>alphaamc:naver</t>
  </si>
  <si>
    <t>alsdn2233</t>
  </si>
  <si>
    <t>alstjr240</t>
  </si>
  <si>
    <t>alstjr240:naver</t>
  </si>
  <si>
    <t>alswjd7590</t>
  </si>
  <si>
    <t>altech</t>
  </si>
  <si>
    <t>alwk7464</t>
  </si>
  <si>
    <t>alznner4639</t>
  </si>
  <si>
    <t>anchon119</t>
  </si>
  <si>
    <t>angel5587</t>
  </si>
  <si>
    <t>angeljuicer</t>
  </si>
  <si>
    <t>annzed</t>
  </si>
  <si>
    <t>NAVERansgmlgh1</t>
  </si>
  <si>
    <t>ansgmlgh1</t>
  </si>
  <si>
    <t>anycam10</t>
  </si>
  <si>
    <t>anypeel</t>
  </si>
  <si>
    <t>anyseal</t>
  </si>
  <si>
    <t>anysecure</t>
  </si>
  <si>
    <t>apexems3</t>
  </si>
  <si>
    <t>apexschool</t>
  </si>
  <si>
    <t>apgujeongfs</t>
  </si>
  <si>
    <t>NAVERaphesis</t>
  </si>
  <si>
    <t>aphesis</t>
  </si>
  <si>
    <t>apixgaming</t>
  </si>
  <si>
    <t>apk</t>
  </si>
  <si>
    <t>appenz</t>
  </si>
  <si>
    <t>appenz_coffee:naver</t>
  </si>
  <si>
    <t>approco</t>
  </si>
  <si>
    <t>aprosheet</t>
  </si>
  <si>
    <t>apt247</t>
  </si>
  <si>
    <t>aptgin</t>
  </si>
  <si>
    <t>aqua3725</t>
  </si>
  <si>
    <t>aranhuez</t>
  </si>
  <si>
    <t>arborstudio</t>
  </si>
  <si>
    <t>ares_company:naver</t>
  </si>
  <si>
    <t>aritech</t>
  </si>
  <si>
    <t>arogold4312</t>
  </si>
  <si>
    <t>art10041004</t>
  </si>
  <si>
    <t>arteye73</t>
  </si>
  <si>
    <t>artu4502</t>
  </si>
  <si>
    <t>as7316</t>
  </si>
  <si>
    <t>asan_kopo:naver</t>
  </si>
  <si>
    <t>asbesto</t>
  </si>
  <si>
    <t>asd83op</t>
  </si>
  <si>
    <t>asiatour</t>
  </si>
  <si>
    <t>asicb</t>
  </si>
  <si>
    <t>assa_aran</t>
  </si>
  <si>
    <t>athene1</t>
  </si>
  <si>
    <t>athomepasta</t>
  </si>
  <si>
    <t>atobath</t>
  </si>
  <si>
    <t>atoz1826:naver</t>
  </si>
  <si>
    <t>atoz3494</t>
  </si>
  <si>
    <t>autobot123</t>
  </si>
  <si>
    <t>autodoor1</t>
  </si>
  <si>
    <t>autoharp1004</t>
  </si>
  <si>
    <t>avan8286</t>
  </si>
  <si>
    <t>avila3007</t>
  </si>
  <si>
    <t>avworld</t>
  </si>
  <si>
    <t>aweekinc</t>
  </si>
  <si>
    <t>azrael0907</t>
  </si>
  <si>
    <t>b1326</t>
  </si>
  <si>
    <t>baby1397</t>
  </si>
  <si>
    <t>babyplusdt:naver</t>
  </si>
  <si>
    <t>badamolli:naver</t>
  </si>
  <si>
    <t>baejjangin</t>
  </si>
  <si>
    <t>baewo89</t>
  </si>
  <si>
    <t>bak1583:naver</t>
  </si>
  <si>
    <t>balancewheel</t>
  </si>
  <si>
    <t>bandichon</t>
  </si>
  <si>
    <t>bangjjayougi</t>
  </si>
  <si>
    <t>baptongapp:naver</t>
  </si>
  <si>
    <t>NAVERbaral8</t>
  </si>
  <si>
    <t>bareunsafe</t>
  </si>
  <si>
    <t>barobuilt</t>
  </si>
  <si>
    <t>bb6005</t>
  </si>
  <si>
    <t>bbodae2</t>
  </si>
  <si>
    <t>bbok80</t>
  </si>
  <si>
    <t>bcbcbc360:naver</t>
  </si>
  <si>
    <t>bccheong</t>
  </si>
  <si>
    <t>bcwaterjet</t>
  </si>
  <si>
    <t>bdcsbdcs</t>
  </si>
  <si>
    <t>bdjkorea:naver</t>
  </si>
  <si>
    <t>beautieter</t>
  </si>
  <si>
    <t>bebenuvo</t>
  </si>
  <si>
    <t>bellshop</t>
  </si>
  <si>
    <t>ben_kim91:naver</t>
  </si>
  <si>
    <t>benia</t>
  </si>
  <si>
    <t>bestamc</t>
  </si>
  <si>
    <t>bestart7</t>
  </si>
  <si>
    <t>bestguycho</t>
  </si>
  <si>
    <t>better-u:naver</t>
  </si>
  <si>
    <t>betterday</t>
  </si>
  <si>
    <t>bettersound</t>
  </si>
  <si>
    <t>bfline</t>
  </si>
  <si>
    <t>bg_angel</t>
  </si>
  <si>
    <t>bh1472</t>
  </si>
  <si>
    <t>bi9000</t>
  </si>
  <si>
    <t>bidet100:naver</t>
  </si>
  <si>
    <t>bigact:naver</t>
  </si>
  <si>
    <t>bisdda</t>
  </si>
  <si>
    <t>bkt9930</t>
  </si>
  <si>
    <t>blingblingphone:naver</t>
  </si>
  <si>
    <t>blisscoffee</t>
  </si>
  <si>
    <t>blleiad:naver</t>
  </si>
  <si>
    <t>bloster</t>
  </si>
  <si>
    <t>bluein</t>
  </si>
  <si>
    <t>bluetium:naver</t>
  </si>
  <si>
    <t>bluewing3418</t>
  </si>
  <si>
    <t>bm2883</t>
  </si>
  <si>
    <t>bnbpop</t>
  </si>
  <si>
    <t>bns0506</t>
  </si>
  <si>
    <t>boasmall</t>
  </si>
  <si>
    <t>bodeumshop:naver</t>
  </si>
  <si>
    <t>boggo84</t>
  </si>
  <si>
    <t>bogoimage</t>
  </si>
  <si>
    <t>bohyun2955</t>
  </si>
  <si>
    <t>bomgagejang</t>
  </si>
  <si>
    <t>bong9381</t>
  </si>
  <si>
    <t>boohgle</t>
  </si>
  <si>
    <t>boompsh2</t>
  </si>
  <si>
    <t>boostup19:naver</t>
  </si>
  <si>
    <t>bopulcokr</t>
  </si>
  <si>
    <t>boram1577</t>
  </si>
  <si>
    <t>botzim</t>
  </si>
  <si>
    <t>bow2005</t>
  </si>
  <si>
    <t>box77</t>
  </si>
  <si>
    <t>boygyo2:naver</t>
  </si>
  <si>
    <t>brain15:naver</t>
  </si>
  <si>
    <t>bravado</t>
  </si>
  <si>
    <t>brmbs</t>
  </si>
  <si>
    <t>brmmk</t>
  </si>
  <si>
    <t>광고종료되어 추후 광고계획 없음</t>
  </si>
  <si>
    <t>brush114</t>
  </si>
  <si>
    <t>bs_sky</t>
  </si>
  <si>
    <t>bs11170317:naver</t>
  </si>
  <si>
    <t>bssound</t>
  </si>
  <si>
    <t>bstogether</t>
  </si>
  <si>
    <t>bunnyworld</t>
  </si>
  <si>
    <t>butinastocking:naver</t>
  </si>
  <si>
    <t>bwist</t>
  </si>
  <si>
    <t>by_sieunso:naver</t>
  </si>
  <si>
    <t>bygami_busan</t>
  </si>
  <si>
    <t>byungpung</t>
  </si>
  <si>
    <t>byunsuk07</t>
  </si>
  <si>
    <t>cables</t>
  </si>
  <si>
    <t>cabletec</t>
  </si>
  <si>
    <t>NAVERcafeeseo</t>
  </si>
  <si>
    <t>cafeeseo</t>
  </si>
  <si>
    <t>cafeeseo1</t>
  </si>
  <si>
    <t>callvan13</t>
  </si>
  <si>
    <t>callvanfairy</t>
  </si>
  <si>
    <t>calos1</t>
  </si>
  <si>
    <t>capiolani</t>
  </si>
  <si>
    <t>careermaking</t>
  </si>
  <si>
    <t>carelabgn:naver</t>
  </si>
  <si>
    <t>careness</t>
  </si>
  <si>
    <t>cargo5959</t>
  </si>
  <si>
    <t>carone68</t>
  </si>
  <si>
    <t>cas</t>
  </si>
  <si>
    <t>cas5544</t>
  </si>
  <si>
    <t>casign</t>
  </si>
  <si>
    <t>castle6200</t>
  </si>
  <si>
    <t>cats040617</t>
  </si>
  <si>
    <t>cbcpress:naver</t>
  </si>
  <si>
    <t>ccc1166</t>
  </si>
  <si>
    <t>ccin0428</t>
  </si>
  <si>
    <t>ccuration</t>
  </si>
  <si>
    <t>cdnetworks</t>
  </si>
  <si>
    <t>central1254</t>
  </si>
  <si>
    <t>cghrn</t>
  </si>
  <si>
    <t>chacha0115:naver</t>
  </si>
  <si>
    <t>chaeumsaeng</t>
  </si>
  <si>
    <t>chajung</t>
  </si>
  <si>
    <t>chameleon360</t>
  </si>
  <si>
    <t>chameloroasters:naver</t>
  </si>
  <si>
    <t>chamjoeun17</t>
  </si>
  <si>
    <t>chandew</t>
  </si>
  <si>
    <t>changjo2012</t>
  </si>
  <si>
    <t>chasedae</t>
  </si>
  <si>
    <t>che0070:naver</t>
  </si>
  <si>
    <t>cheonglimwon:naver</t>
  </si>
  <si>
    <t>cheunghak</t>
  </si>
  <si>
    <t>chlwnghks</t>
  </si>
  <si>
    <t>chnuno</t>
  </si>
  <si>
    <t>choi6065</t>
  </si>
  <si>
    <t>chojangyen:naver</t>
  </si>
  <si>
    <t>chokohr</t>
  </si>
  <si>
    <t>chokwang</t>
  </si>
  <si>
    <t>chonilstone</t>
  </si>
  <si>
    <t>chowory</t>
  </si>
  <si>
    <t>chungchyedu</t>
  </si>
  <si>
    <t>chungman</t>
  </si>
  <si>
    <t>chungrim</t>
  </si>
  <si>
    <t>chunhowig</t>
  </si>
  <si>
    <t>chwo2001</t>
  </si>
  <si>
    <t>이미있음</t>
  </si>
  <si>
    <t>cia7007</t>
  </si>
  <si>
    <t>cimakwon</t>
  </si>
  <si>
    <t>cindy0265:naver</t>
  </si>
  <si>
    <t>circlenet</t>
  </si>
  <si>
    <t>city0405</t>
  </si>
  <si>
    <t>cj8177</t>
  </si>
  <si>
    <t>cjart815</t>
  </si>
  <si>
    <t>cjbeauty</t>
  </si>
  <si>
    <t>cjcplan0903</t>
  </si>
  <si>
    <t>cjhc140401:naver</t>
  </si>
  <si>
    <t>cjsm7</t>
  </si>
  <si>
    <t>ckfood</t>
  </si>
  <si>
    <t>ckj315</t>
  </si>
  <si>
    <t>clarins_kr</t>
  </si>
  <si>
    <t>classicpot1</t>
  </si>
  <si>
    <t>cleanisland</t>
  </si>
  <si>
    <t>clhat</t>
  </si>
  <si>
    <t>clickdj</t>
  </si>
  <si>
    <t>cmtech1</t>
  </si>
  <si>
    <t>cnmall29</t>
  </si>
  <si>
    <t>com274</t>
  </si>
  <si>
    <t>comland</t>
  </si>
  <si>
    <t>company-sj:naver</t>
  </si>
  <si>
    <t>compass114</t>
  </si>
  <si>
    <t>compia66:naver</t>
  </si>
  <si>
    <t>conestore</t>
  </si>
  <si>
    <t>coolpetbd</t>
  </si>
  <si>
    <t>coolred7:naver</t>
  </si>
  <si>
    <t>core93</t>
  </si>
  <si>
    <t>coreanhope</t>
  </si>
  <si>
    <t>cosm</t>
  </si>
  <si>
    <t>coxcoda</t>
  </si>
  <si>
    <t>cplan0509</t>
  </si>
  <si>
    <t>cplan1004</t>
  </si>
  <si>
    <t>cplan1719</t>
  </si>
  <si>
    <t>cplan22</t>
  </si>
  <si>
    <t>cplan79</t>
  </si>
  <si>
    <t>cs54595:naver</t>
  </si>
  <si>
    <t>csh774</t>
  </si>
  <si>
    <t>csm01411:naver</t>
  </si>
  <si>
    <t>css7380</t>
  </si>
  <si>
    <t>curtainwave:naver</t>
  </si>
  <si>
    <t>cz4293535</t>
  </si>
  <si>
    <t>d0410e:naver</t>
  </si>
  <si>
    <t>NAVERdae02016</t>
  </si>
  <si>
    <t>dae02016</t>
  </si>
  <si>
    <t>daebag810</t>
  </si>
  <si>
    <t>daeguhoo</t>
  </si>
  <si>
    <t>daeguun</t>
  </si>
  <si>
    <t>daejin9216</t>
  </si>
  <si>
    <t>daejinrila</t>
  </si>
  <si>
    <t>daelimwood</t>
  </si>
  <si>
    <t>daerosystem</t>
  </si>
  <si>
    <t>daeshin1</t>
  </si>
  <si>
    <t>NAVERdaeshinlaw</t>
  </si>
  <si>
    <t>daesung2110</t>
  </si>
  <si>
    <t>daesung3003</t>
  </si>
  <si>
    <t>daewoon7</t>
  </si>
  <si>
    <t>NAVERdagachidaegu</t>
  </si>
  <si>
    <t>전 퇴사자 계정으로 인수인계 이전 계정권한 삭제된 상태로 인수
(전화 자체를 거부 하는 상태로 통화 불가)</t>
  </si>
  <si>
    <t>dakyunggmb</t>
  </si>
  <si>
    <t>daloe</t>
  </si>
  <si>
    <t>damoa0</t>
  </si>
  <si>
    <t>damoa7875</t>
  </si>
  <si>
    <t>damok4840</t>
  </si>
  <si>
    <t>damyang</t>
  </si>
  <si>
    <t>daniel777</t>
  </si>
  <si>
    <t>daniel888</t>
  </si>
  <si>
    <t>danika777</t>
  </si>
  <si>
    <t>danika888</t>
  </si>
  <si>
    <t>daonwelding</t>
  </si>
  <si>
    <t>dasfdas7</t>
  </si>
  <si>
    <t>datavoucher</t>
  </si>
  <si>
    <t>david8241</t>
  </si>
  <si>
    <t>daylighting</t>
  </si>
  <si>
    <t>dbf62</t>
  </si>
  <si>
    <t>dbs6229</t>
  </si>
  <si>
    <t>dbthinkltd</t>
  </si>
  <si>
    <t>dcmall88</t>
  </si>
  <si>
    <t>ddangyo_ad</t>
  </si>
  <si>
    <t>dddoing8805:naver</t>
  </si>
  <si>
    <t>dditco</t>
  </si>
  <si>
    <t>dduckhamji</t>
  </si>
  <si>
    <t>degreve</t>
  </si>
  <si>
    <t>dgblind</t>
  </si>
  <si>
    <t>dggy135:naver</t>
  </si>
  <si>
    <t>dhbbcar</t>
  </si>
  <si>
    <t>dhcru</t>
  </si>
  <si>
    <t>dhldy012:naver</t>
  </si>
  <si>
    <t>dhrfyd0207:naver</t>
  </si>
  <si>
    <t>dhsoss</t>
  </si>
  <si>
    <t>dicson</t>
  </si>
  <si>
    <t>NAVERdidimdol_art</t>
  </si>
  <si>
    <t>didrkdus152152:naver</t>
  </si>
  <si>
    <t>digh4000:naver</t>
  </si>
  <si>
    <t>digpet:naver</t>
  </si>
  <si>
    <t>dinthink</t>
  </si>
  <si>
    <t>direct1234</t>
  </si>
  <si>
    <t>direct4321</t>
  </si>
  <si>
    <t>dkrakx3</t>
  </si>
  <si>
    <t>dksxodud34</t>
  </si>
  <si>
    <t>dktools0949</t>
  </si>
  <si>
    <t>dlaeodlf</t>
  </si>
  <si>
    <t>dlawodlr9113</t>
  </si>
  <si>
    <t>dldbstnsla</t>
  </si>
  <si>
    <t>dlqudcjf888</t>
  </si>
  <si>
    <t>dls27</t>
  </si>
  <si>
    <t>dls5189:naver</t>
  </si>
  <si>
    <t>NAVERdmsdl6831</t>
  </si>
  <si>
    <t>dmsdl6831</t>
  </si>
  <si>
    <t>dnishop</t>
  </si>
  <si>
    <t>NAVERdnjfem19</t>
  </si>
  <si>
    <t>광고주 히스토리를 알수 없는 장기 휴면건</t>
  </si>
  <si>
    <t>dnmd</t>
  </si>
  <si>
    <t>dnp00</t>
  </si>
  <si>
    <t>doctor3</t>
  </si>
  <si>
    <t>doctorspga</t>
  </si>
  <si>
    <t>doctorsurim</t>
  </si>
  <si>
    <t>dodo211</t>
  </si>
  <si>
    <t>dodopop1:naver</t>
  </si>
  <si>
    <t>doglia19</t>
  </si>
  <si>
    <t>doglia2002</t>
  </si>
  <si>
    <t>doiggy89</t>
  </si>
  <si>
    <t>dokunenc</t>
  </si>
  <si>
    <t>dongbotr</t>
  </si>
  <si>
    <t>dongbu5611</t>
  </si>
  <si>
    <t>dongiovanni</t>
  </si>
  <si>
    <t>dongrim04</t>
  </si>
  <si>
    <t>dongyangcnc</t>
  </si>
  <si>
    <t>donmo</t>
  </si>
  <si>
    <t>doolleda:naver</t>
  </si>
  <si>
    <t>doosung1511</t>
  </si>
  <si>
    <t>doosung79</t>
  </si>
  <si>
    <t>dorangga27</t>
  </si>
  <si>
    <t>doumso</t>
  </si>
  <si>
    <t>NAVERdpdlsxxx:naver</t>
  </si>
  <si>
    <t>dpdlsxxx:naver</t>
  </si>
  <si>
    <t>dprotocol</t>
  </si>
  <si>
    <t>drckikit:naver</t>
  </si>
  <si>
    <t>dream4450921</t>
  </si>
  <si>
    <t>dream6794</t>
  </si>
  <si>
    <t>dreamhos</t>
  </si>
  <si>
    <t>dreamkyp1:naver</t>
  </si>
  <si>
    <t>drju13</t>
  </si>
  <si>
    <t>drmaket:naver</t>
  </si>
  <si>
    <t>drquland</t>
  </si>
  <si>
    <t>drwoouro</t>
  </si>
  <si>
    <t>ds0049</t>
  </si>
  <si>
    <t>ds1118</t>
  </si>
  <si>
    <t>ds5653052k</t>
  </si>
  <si>
    <t>dscord</t>
  </si>
  <si>
    <t>dsgs2588</t>
  </si>
  <si>
    <t>dsindus</t>
  </si>
  <si>
    <t>dsmesh</t>
  </si>
  <si>
    <t>dstech_inc</t>
  </si>
  <si>
    <t>ducklife</t>
  </si>
  <si>
    <t>dudahr80</t>
  </si>
  <si>
    <t>duddns433</t>
  </si>
  <si>
    <t>dufwjd22</t>
  </si>
  <si>
    <t>duin100</t>
  </si>
  <si>
    <t>duk13579:naver</t>
  </si>
  <si>
    <t>dukto123</t>
  </si>
  <si>
    <t>duoitl</t>
  </si>
  <si>
    <t>dusdl2366:naver</t>
  </si>
  <si>
    <t>dusghzlzl:naver</t>
  </si>
  <si>
    <t>dusty000</t>
  </si>
  <si>
    <t>dveshop2</t>
  </si>
  <si>
    <t>dwelec</t>
  </si>
  <si>
    <t>dydwls3</t>
  </si>
  <si>
    <t>dyjeen:naver</t>
  </si>
  <si>
    <t>dyjeen79</t>
  </si>
  <si>
    <t>dyroller</t>
  </si>
  <si>
    <t>e9092002</t>
  </si>
  <si>
    <t>easyfun3s:naver</t>
  </si>
  <si>
    <t>ebaykids</t>
  </si>
  <si>
    <t>ebbysory</t>
  </si>
  <si>
    <t>ebinkorea_ad:naver</t>
  </si>
  <si>
    <t>ebinkorea2:naver</t>
  </si>
  <si>
    <t>ecello</t>
  </si>
  <si>
    <t>ecmall9459</t>
  </si>
  <si>
    <t>eco_dongwha</t>
  </si>
  <si>
    <t>econnature</t>
  </si>
  <si>
    <t>ecoprize</t>
  </si>
  <si>
    <t>ecu3322</t>
  </si>
  <si>
    <t>eden6505</t>
  </si>
  <si>
    <t>edendoor</t>
  </si>
  <si>
    <t>edubankhs</t>
  </si>
  <si>
    <t>edufrance</t>
  </si>
  <si>
    <t>edukenhomepy</t>
  </si>
  <si>
    <t>eduplexdh</t>
  </si>
  <si>
    <t>edupure</t>
  </si>
  <si>
    <t>edwinrsun</t>
  </si>
  <si>
    <t>ef2233</t>
  </si>
  <si>
    <t>egt</t>
  </si>
  <si>
    <t>ehekadl</t>
  </si>
  <si>
    <t>ehfotoa</t>
  </si>
  <si>
    <t>ehrudtnr1208</t>
  </si>
  <si>
    <t>ehs645</t>
  </si>
  <si>
    <t>eicn90</t>
  </si>
  <si>
    <t>ejiya70</t>
  </si>
  <si>
    <t>ejrrms3711</t>
  </si>
  <si>
    <t>ejvusgks77</t>
  </si>
  <si>
    <t>ekbeauty</t>
  </si>
  <si>
    <t>ekramer</t>
  </si>
  <si>
    <t>eksti</t>
  </si>
  <si>
    <t>eliestory</t>
  </si>
  <si>
    <t>elimsky</t>
  </si>
  <si>
    <t>elopcorp</t>
  </si>
  <si>
    <t>ems123</t>
  </si>
  <si>
    <t>enertec2010</t>
  </si>
  <si>
    <t>enha</t>
  </si>
  <si>
    <t>ennongs</t>
  </si>
  <si>
    <t>enpos</t>
  </si>
  <si>
    <t>eodml66</t>
  </si>
  <si>
    <t>eos122</t>
  </si>
  <si>
    <t>epe4102</t>
  </si>
  <si>
    <t>epzl000:naver</t>
  </si>
  <si>
    <t>eqwreqw</t>
  </si>
  <si>
    <t>eremall</t>
  </si>
  <si>
    <t>ericchi</t>
  </si>
  <si>
    <t>eso01</t>
  </si>
  <si>
    <t>estmusic</t>
  </si>
  <si>
    <t>etoosanswer2</t>
  </si>
  <si>
    <t>ett0026</t>
  </si>
  <si>
    <t>eumkymungu66</t>
  </si>
  <si>
    <t>eunha2377</t>
  </si>
  <si>
    <t>eunheejee</t>
  </si>
  <si>
    <t>eunho9504:naver</t>
  </si>
  <si>
    <t>eunjungbbong:naver</t>
  </si>
  <si>
    <t>eunsung1</t>
  </si>
  <si>
    <t>eurakorea:naver</t>
  </si>
  <si>
    <t>europevill</t>
  </si>
  <si>
    <t>NAVEReventoday</t>
  </si>
  <si>
    <t>evercleantek</t>
  </si>
  <si>
    <t>everhousing</t>
  </si>
  <si>
    <t>fabbridge00</t>
  </si>
  <si>
    <t>farmtobaby</t>
  </si>
  <si>
    <t>fbgmlco1234:naver</t>
  </si>
  <si>
    <t>fdckjh</t>
  </si>
  <si>
    <t>fdlab</t>
  </si>
  <si>
    <t>feel9kim:naver</t>
  </si>
  <si>
    <t>feelanet</t>
  </si>
  <si>
    <t>ff7178</t>
  </si>
  <si>
    <t>fh777s</t>
  </si>
  <si>
    <t>filterrnd</t>
  </si>
  <si>
    <t>fineco</t>
  </si>
  <si>
    <t>finex97</t>
  </si>
  <si>
    <t>fingals-jung89:naver</t>
  </si>
  <si>
    <t>firsteg1:naver</t>
  </si>
  <si>
    <t>fish21c3</t>
  </si>
  <si>
    <t>NAVERflat5402</t>
  </si>
  <si>
    <t>flat5402</t>
  </si>
  <si>
    <t>flc2006</t>
  </si>
  <si>
    <t>flduddhr:naver</t>
  </si>
  <si>
    <t>flowsystem</t>
  </si>
  <si>
    <t>flyjam</t>
  </si>
  <si>
    <t>fnaldocp</t>
  </si>
  <si>
    <t>foodnote_mkt</t>
  </si>
  <si>
    <t>foodstoryb:naver</t>
  </si>
  <si>
    <t>fosjys</t>
  </si>
  <si>
    <t>freaksandgeeks:naver</t>
  </si>
  <si>
    <t>fsolution</t>
  </si>
  <si>
    <t>future1123</t>
  </si>
  <si>
    <t>g2inet</t>
  </si>
  <si>
    <t>gaga7113</t>
  </si>
  <si>
    <t>NAVERgain5766766</t>
  </si>
  <si>
    <t>galaxy1234</t>
  </si>
  <si>
    <t>gargadise</t>
  </si>
  <si>
    <t>gayabrick</t>
  </si>
  <si>
    <t>geniee0321:naver</t>
  </si>
  <si>
    <t>gentil</t>
  </si>
  <si>
    <t>geotechno55</t>
  </si>
  <si>
    <t>gf070:naver</t>
  </si>
  <si>
    <t>ggaggung</t>
  </si>
  <si>
    <t>ggu3154</t>
  </si>
  <si>
    <t>gh9031</t>
  </si>
  <si>
    <t>ghbest</t>
  </si>
  <si>
    <t>ghlwlsld</t>
  </si>
  <si>
    <t>ghlwn2002</t>
  </si>
  <si>
    <t>ghssksek1</t>
  </si>
  <si>
    <t>ghyper</t>
  </si>
  <si>
    <t>giannaflowers:naver</t>
  </si>
  <si>
    <t>gift2627</t>
  </si>
  <si>
    <t>giftcola</t>
  </si>
  <si>
    <t>gisan031:naver</t>
  </si>
  <si>
    <t>gj0829</t>
  </si>
  <si>
    <t>gjdlsdhr1</t>
  </si>
  <si>
    <t>gjgosi</t>
  </si>
  <si>
    <t>gkfl1938</t>
  </si>
  <si>
    <t>gksqh88</t>
  </si>
  <si>
    <t>gksrudwn</t>
  </si>
  <si>
    <t>gkwjd5872</t>
  </si>
  <si>
    <t>gkwlgns1</t>
  </si>
  <si>
    <t>gladstudio</t>
  </si>
  <si>
    <t>gloscom</t>
  </si>
  <si>
    <t>gluten</t>
  </si>
  <si>
    <t>gmf0523</t>
  </si>
  <si>
    <t>gmq1004</t>
  </si>
  <si>
    <t>go2maple</t>
  </si>
  <si>
    <t>gogo9016</t>
  </si>
  <si>
    <t>gold-future:naver</t>
  </si>
  <si>
    <t>goldenpalace</t>
  </si>
  <si>
    <t>goldstar7747</t>
  </si>
  <si>
    <t>gombo56:naver</t>
  </si>
  <si>
    <t>gongdangi047:naver</t>
  </si>
  <si>
    <t>gony0211</t>
  </si>
  <si>
    <t>goodsesang</t>
  </si>
  <si>
    <t>goooda</t>
  </si>
  <si>
    <t>gozipfood</t>
  </si>
  <si>
    <t>graducks</t>
  </si>
  <si>
    <t>greattao1</t>
  </si>
  <si>
    <t>green12</t>
  </si>
  <si>
    <t>NAVERgreenbay</t>
  </si>
  <si>
    <t>greencross</t>
  </si>
  <si>
    <t>greenfood1008:naver</t>
  </si>
  <si>
    <t>greenpeople</t>
  </si>
  <si>
    <t>grutugy827</t>
  </si>
  <si>
    <t>gshousing</t>
  </si>
  <si>
    <t>guard727</t>
  </si>
  <si>
    <t>guard727:naver</t>
  </si>
  <si>
    <t>gueam:naver</t>
  </si>
  <si>
    <t>gulbisusan</t>
  </si>
  <si>
    <t>guts0879:naver</t>
  </si>
  <si>
    <t>gweduplex</t>
  </si>
  <si>
    <t>gyl</t>
  </si>
  <si>
    <t>gyo74:naver</t>
  </si>
  <si>
    <t>gyx2077</t>
  </si>
  <si>
    <t>h4h</t>
  </si>
  <si>
    <t>hadabin092</t>
  </si>
  <si>
    <t>haircastle</t>
  </si>
  <si>
    <t>hakkch:naver</t>
  </si>
  <si>
    <t>hamann</t>
  </si>
  <si>
    <t>hana40003:naver</t>
  </si>
  <si>
    <t>hanamail11:naver</t>
  </si>
  <si>
    <t>hanarosb</t>
  </si>
  <si>
    <t>hanbada</t>
  </si>
  <si>
    <t>hanbeakcar</t>
  </si>
  <si>
    <t>hanbit1055</t>
  </si>
  <si>
    <t>handa032:naver</t>
  </si>
  <si>
    <t>handaroo</t>
  </si>
  <si>
    <t>handys</t>
  </si>
  <si>
    <t>hanelecon</t>
  </si>
  <si>
    <t>hangil4204</t>
  </si>
  <si>
    <t>hangilcare</t>
  </si>
  <si>
    <t>hanhosoo</t>
  </si>
  <si>
    <t>hanilm</t>
  </si>
  <si>
    <t>hanjiechul12</t>
  </si>
  <si>
    <t>hanju888</t>
  </si>
  <si>
    <t>hanjucns</t>
  </si>
  <si>
    <t>hanky000</t>
  </si>
  <si>
    <t>hanmac</t>
  </si>
  <si>
    <t>hanmacit</t>
  </si>
  <si>
    <t>hannanmary:naver</t>
  </si>
  <si>
    <t>hansmile</t>
  </si>
  <si>
    <t>hanssem</t>
  </si>
  <si>
    <t>hantom</t>
  </si>
  <si>
    <t>hanvittm</t>
  </si>
  <si>
    <t>hanyangbrick</t>
  </si>
  <si>
    <t>happy04225</t>
  </si>
  <si>
    <t>happyblind</t>
  </si>
  <si>
    <t>happygo5969</t>
  </si>
  <si>
    <t>happylimo</t>
  </si>
  <si>
    <t>har1125</t>
  </si>
  <si>
    <t>NAVERhatsplus</t>
  </si>
  <si>
    <t>havaran:naver</t>
  </si>
  <si>
    <t>hcn1004</t>
  </si>
  <si>
    <t>hcn777</t>
  </si>
  <si>
    <t>hdkim5066</t>
  </si>
  <si>
    <t>hdyachts</t>
  </si>
  <si>
    <t>healinghc</t>
  </si>
  <si>
    <t>heavysteak</t>
  </si>
  <si>
    <t>hee0987</t>
  </si>
  <si>
    <t>heejunstyle1:naver</t>
  </si>
  <si>
    <t>NAVERheidian7</t>
  </si>
  <si>
    <t>heidian7</t>
  </si>
  <si>
    <t>heim220505</t>
  </si>
  <si>
    <t>hejkayla:naver</t>
  </si>
  <si>
    <t>helloph20:naver</t>
  </si>
  <si>
    <t>hera2555</t>
  </si>
  <si>
    <t>herbmolly514</t>
  </si>
  <si>
    <t>herbrapa</t>
  </si>
  <si>
    <t>herbvill</t>
  </si>
  <si>
    <t>hesed931</t>
  </si>
  <si>
    <t>heshms</t>
  </si>
  <si>
    <t>hewanma</t>
  </si>
  <si>
    <t>heydaystudio</t>
  </si>
  <si>
    <t>NAVERheypay</t>
  </si>
  <si>
    <t>heypay</t>
  </si>
  <si>
    <t>hgd</t>
  </si>
  <si>
    <t>hgy7715</t>
  </si>
  <si>
    <t>hhj4500709:naver</t>
  </si>
  <si>
    <t>hhs2042</t>
  </si>
  <si>
    <t>hhy701</t>
  </si>
  <si>
    <t>hibirx:naver</t>
  </si>
  <si>
    <t>hifist</t>
  </si>
  <si>
    <t>highcog</t>
  </si>
  <si>
    <t>highend12</t>
  </si>
  <si>
    <t>hijooseong</t>
  </si>
  <si>
    <t>hil11</t>
  </si>
  <si>
    <t>hipgirl01</t>
  </si>
  <si>
    <t>hiplay2021:naver</t>
  </si>
  <si>
    <t>hitee</t>
  </si>
  <si>
    <t>hitmade</t>
  </si>
  <si>
    <t>hj167428</t>
  </si>
  <si>
    <t>hjdnp</t>
  </si>
  <si>
    <t>hjglass</t>
  </si>
  <si>
    <t>hkkey</t>
  </si>
  <si>
    <t>hl4gwe</t>
  </si>
  <si>
    <t>hm_mk3</t>
  </si>
  <si>
    <t>hm75</t>
  </si>
  <si>
    <t>hmhm223</t>
  </si>
  <si>
    <t>hmland</t>
  </si>
  <si>
    <t>hnmedi</t>
  </si>
  <si>
    <t>home1005</t>
  </si>
  <si>
    <t>homeinfarm:naver</t>
  </si>
  <si>
    <t>homsys88</t>
  </si>
  <si>
    <t>honestu</t>
  </si>
  <si>
    <t>hong242</t>
  </si>
  <si>
    <t>hongtax</t>
  </si>
  <si>
    <t>hoo_ad</t>
  </si>
  <si>
    <t>hoocheonan</t>
  </si>
  <si>
    <t>hooclinicps</t>
  </si>
  <si>
    <t>hoogumi</t>
  </si>
  <si>
    <t>hooilsan</t>
  </si>
  <si>
    <t>hoojj123</t>
  </si>
  <si>
    <t>hoonowon</t>
  </si>
  <si>
    <t>hoosillim</t>
  </si>
  <si>
    <t>hopefulroof:naver</t>
  </si>
  <si>
    <t>howo2005:naver</t>
  </si>
  <si>
    <t>hs_fashion</t>
  </si>
  <si>
    <t>hs14210</t>
  </si>
  <si>
    <t>hsd4139</t>
  </si>
  <si>
    <t>hsenergy</t>
  </si>
  <si>
    <t>hso5321</t>
  </si>
  <si>
    <t>hssci</t>
  </si>
  <si>
    <t>hsy881203:naver</t>
  </si>
  <si>
    <t>hu3753</t>
  </si>
  <si>
    <t>hunk</t>
  </si>
  <si>
    <t>huonsnatural</t>
  </si>
  <si>
    <t>hvglobal</t>
  </si>
  <si>
    <t>hwanhae</t>
  </si>
  <si>
    <t>hwicurry555:naver</t>
  </si>
  <si>
    <t>hyo350</t>
  </si>
  <si>
    <t>hyoun59</t>
  </si>
  <si>
    <t>hypergate</t>
  </si>
  <si>
    <t>hyun63krkr</t>
  </si>
  <si>
    <t>hyungsung</t>
  </si>
  <si>
    <t>hyunsuk1209</t>
  </si>
  <si>
    <t>hyupjinear</t>
  </si>
  <si>
    <t>hyupjineng</t>
  </si>
  <si>
    <t>i-jintech:naver</t>
  </si>
  <si>
    <t>i944747</t>
  </si>
  <si>
    <t>iaansci</t>
  </si>
  <si>
    <t>id5114</t>
  </si>
  <si>
    <t>idongyang</t>
  </si>
  <si>
    <t>ihair2</t>
  </si>
  <si>
    <t>ihair92</t>
  </si>
  <si>
    <t>ijpack2</t>
  </si>
  <si>
    <t>iklvt4</t>
  </si>
  <si>
    <t>iksumkt2022:naver</t>
  </si>
  <si>
    <t>ildeungt</t>
  </si>
  <si>
    <t>illoway2002</t>
  </si>
  <si>
    <t>ilooent</t>
  </si>
  <si>
    <t>ilsangate</t>
  </si>
  <si>
    <t>im2492</t>
  </si>
  <si>
    <t>imctcom:naver</t>
  </si>
  <si>
    <t>imdro:naver</t>
  </si>
  <si>
    <t>inc</t>
  </si>
  <si>
    <t>indigobox</t>
  </si>
  <si>
    <t>indrobot</t>
  </si>
  <si>
    <t>info21c</t>
  </si>
  <si>
    <t>infoans</t>
  </si>
  <si>
    <t>inforix</t>
  </si>
  <si>
    <t>infraware11:naver</t>
  </si>
  <si>
    <t>ing5812</t>
  </si>
  <si>
    <t>injung</t>
  </si>
  <si>
    <t>inpage</t>
  </si>
  <si>
    <t>inpipe</t>
  </si>
  <si>
    <t>inpos0042</t>
  </si>
  <si>
    <t>insanga9585</t>
  </si>
  <si>
    <t>interiorfilm</t>
  </si>
  <si>
    <t>interlab</t>
  </si>
  <si>
    <t>inzicar</t>
  </si>
  <si>
    <t>ionejob</t>
  </si>
  <si>
    <t>ippi2</t>
  </si>
  <si>
    <t>iqzero2000</t>
  </si>
  <si>
    <t>irken</t>
  </si>
  <si>
    <t>irohome</t>
  </si>
  <si>
    <t>is042600</t>
  </si>
  <si>
    <t>is2352</t>
  </si>
  <si>
    <t>isaac3231</t>
  </si>
  <si>
    <t>iscompany01</t>
  </si>
  <si>
    <t>iscs1234</t>
  </si>
  <si>
    <t>isj9284</t>
  </si>
  <si>
    <t>NAVERisongdo</t>
  </si>
  <si>
    <t>isongdo</t>
  </si>
  <si>
    <t>issac8770:naver</t>
  </si>
  <si>
    <t>isumedi</t>
  </si>
  <si>
    <t>isyou86</t>
  </si>
  <si>
    <t>ithaja</t>
  </si>
  <si>
    <t>itranslator</t>
  </si>
  <si>
    <t>itssamsung:naver</t>
  </si>
  <si>
    <t>iuclinic</t>
  </si>
  <si>
    <t>iwon12</t>
  </si>
  <si>
    <t>iwoorian</t>
  </si>
  <si>
    <t>j871105</t>
  </si>
  <si>
    <t>jackal5510</t>
  </si>
  <si>
    <t>jackid</t>
  </si>
  <si>
    <t>jade833</t>
  </si>
  <si>
    <t>jaeilgoldgur</t>
  </si>
  <si>
    <t>jaeilgoldsh</t>
  </si>
  <si>
    <t>jail1972</t>
  </si>
  <si>
    <t>jalabau</t>
  </si>
  <si>
    <t>jallmann</t>
  </si>
  <si>
    <t>jangbuja01:naver</t>
  </si>
  <si>
    <t>jasingle</t>
  </si>
  <si>
    <t>jayou111</t>
  </si>
  <si>
    <t>jbgogo777</t>
  </si>
  <si>
    <t>jchyo12</t>
  </si>
  <si>
    <t>jcnho</t>
  </si>
  <si>
    <t>jcoshm</t>
  </si>
  <si>
    <t>jcutter</t>
  </si>
  <si>
    <t>jdb2100</t>
  </si>
  <si>
    <t>jdg</t>
  </si>
  <si>
    <t>jebiggot4</t>
  </si>
  <si>
    <t>jedinsight20</t>
  </si>
  <si>
    <t>jeicegold</t>
  </si>
  <si>
    <t>jeilroof50</t>
  </si>
  <si>
    <t>jeju6070</t>
  </si>
  <si>
    <t>jejuara9191</t>
  </si>
  <si>
    <t>jejumade064:naver</t>
  </si>
  <si>
    <t>jejung</t>
  </si>
  <si>
    <t>jenis1</t>
  </si>
  <si>
    <t>jennyy</t>
  </si>
  <si>
    <t>jeon03</t>
  </si>
  <si>
    <t>jeongsoo4143:naver</t>
  </si>
  <si>
    <t>jfsindustry1</t>
  </si>
  <si>
    <t>jgofree1895</t>
  </si>
  <si>
    <t>jh1004_company:naver</t>
  </si>
  <si>
    <t>jh6choi</t>
  </si>
  <si>
    <t>jhb0386</t>
  </si>
  <si>
    <t>jhc5406</t>
  </si>
  <si>
    <t>jhg5506</t>
  </si>
  <si>
    <t>jhjs1027</t>
  </si>
  <si>
    <t>jhss4861124</t>
  </si>
  <si>
    <t>jhy1206105</t>
  </si>
  <si>
    <t>ji319</t>
  </si>
  <si>
    <t>jihye72</t>
  </si>
  <si>
    <t>jiinne</t>
  </si>
  <si>
    <t>jijiannunda:naver</t>
  </si>
  <si>
    <t>jik7044</t>
  </si>
  <si>
    <t>jindamin1:naver</t>
  </si>
  <si>
    <t>jinggum106</t>
  </si>
  <si>
    <t>jinhain</t>
  </si>
  <si>
    <t>jinhangen:naver</t>
  </si>
  <si>
    <t>jinsun1973</t>
  </si>
  <si>
    <t>jiwon</t>
  </si>
  <si>
    <t>jjbs</t>
  </si>
  <si>
    <t>jjh019060</t>
  </si>
  <si>
    <t>jjjj0424</t>
  </si>
  <si>
    <t>jjjj9191</t>
  </si>
  <si>
    <t>jjoffice</t>
  </si>
  <si>
    <t>jkh1791</t>
  </si>
  <si>
    <t>jklabel:naver</t>
  </si>
  <si>
    <t>jkoh1210</t>
  </si>
  <si>
    <t>jm7672</t>
  </si>
  <si>
    <t>jmjmhmo3</t>
  </si>
  <si>
    <t>jndshop77</t>
  </si>
  <si>
    <t>jnhwa</t>
  </si>
  <si>
    <t>jnjsujo</t>
  </si>
  <si>
    <t>jnktrade18:naver</t>
  </si>
  <si>
    <t>jo140620</t>
  </si>
  <si>
    <t>joio6432</t>
  </si>
  <si>
    <t>jollinda</t>
  </si>
  <si>
    <t>jongkyu1225:naver</t>
  </si>
  <si>
    <t>jonwoo2002</t>
  </si>
  <si>
    <t>joo062911</t>
  </si>
  <si>
    <t>joochan0930</t>
  </si>
  <si>
    <t>joochan0930:naver</t>
  </si>
  <si>
    <t>joongang2009</t>
  </si>
  <si>
    <t>joonhao</t>
  </si>
  <si>
    <t>josanghwi</t>
  </si>
  <si>
    <t>joyful1275</t>
  </si>
  <si>
    <t>jpack</t>
  </si>
  <si>
    <t>jpl3834</t>
  </si>
  <si>
    <t>js1313</t>
  </si>
  <si>
    <t>jsashop</t>
  </si>
  <si>
    <t>jscwoo</t>
  </si>
  <si>
    <t>jsh34055</t>
  </si>
  <si>
    <t>jsmedia</t>
  </si>
  <si>
    <t>jstore0629</t>
  </si>
  <si>
    <t>jtokill</t>
  </si>
  <si>
    <t>ju7113</t>
  </si>
  <si>
    <t>judi2340</t>
  </si>
  <si>
    <t>judie73</t>
  </si>
  <si>
    <t>jun7136</t>
  </si>
  <si>
    <t>junghoon1164</t>
  </si>
  <si>
    <t>jungwoogbag:naver</t>
  </si>
  <si>
    <t>junk345</t>
  </si>
  <si>
    <t>justg1976</t>
  </si>
  <si>
    <t>juvision</t>
  </si>
  <si>
    <t>juyong0910</t>
  </si>
  <si>
    <t>jw0711</t>
  </si>
  <si>
    <t>jwax</t>
  </si>
  <si>
    <t>jylogis79:naver</t>
  </si>
  <si>
    <t>jyproto</t>
  </si>
  <si>
    <t>k1123</t>
  </si>
  <si>
    <t>k912_2089</t>
  </si>
  <si>
    <t>kacnet</t>
  </si>
  <si>
    <t>kahp01</t>
  </si>
  <si>
    <t>kangda9819</t>
  </si>
  <si>
    <t>kaplansgkr</t>
  </si>
  <si>
    <t>karu07</t>
  </si>
  <si>
    <t>kategorieseoul:naver</t>
  </si>
  <si>
    <t>kctdi</t>
  </si>
  <si>
    <t>kd12023</t>
  </si>
  <si>
    <t>kd5924:naver</t>
  </si>
  <si>
    <t>kdb2002</t>
  </si>
  <si>
    <t>kdglass</t>
  </si>
  <si>
    <t>kdglobal</t>
  </si>
  <si>
    <t>kdive2002</t>
  </si>
  <si>
    <t>kdr717</t>
  </si>
  <si>
    <t>kds315</t>
  </si>
  <si>
    <t>kecimom2:naver</t>
  </si>
  <si>
    <t>kesco</t>
  </si>
  <si>
    <t>kfeng</t>
  </si>
  <si>
    <t>kfsysy99</t>
  </si>
  <si>
    <t>kg5050</t>
  </si>
  <si>
    <t>kg710206</t>
  </si>
  <si>
    <t>khdigipro</t>
  </si>
  <si>
    <t>khi1937</t>
  </si>
  <si>
    <t>khj4483</t>
  </si>
  <si>
    <t>kht840622</t>
  </si>
  <si>
    <t>ki1212</t>
  </si>
  <si>
    <t>ki4490</t>
  </si>
  <si>
    <t>kiboram:naver</t>
  </si>
  <si>
    <t>kichuri999</t>
  </si>
  <si>
    <t>kidsnuri0055</t>
  </si>
  <si>
    <t>kikubo:naver</t>
  </si>
  <si>
    <t>kim07300</t>
  </si>
  <si>
    <t>kim2019</t>
  </si>
  <si>
    <t>kimchisarang</t>
  </si>
  <si>
    <t>kimgdom77</t>
  </si>
  <si>
    <t>kimgood0909:naver</t>
  </si>
  <si>
    <t>kimiljung4</t>
  </si>
  <si>
    <t>kimki3063</t>
  </si>
  <si>
    <t>kimposw</t>
  </si>
  <si>
    <t>kims9467</t>
  </si>
  <si>
    <t>kimsrain</t>
  </si>
  <si>
    <t>kine311:naver</t>
  </si>
  <si>
    <t>kingsale88</t>
  </si>
  <si>
    <t>kiyoung2_2:naver</t>
  </si>
  <si>
    <t>kjamex</t>
  </si>
  <si>
    <t>kjh1538</t>
  </si>
  <si>
    <t>kjh6422</t>
  </si>
  <si>
    <t>kjhhi630313:naver</t>
  </si>
  <si>
    <t>kjin923:naver</t>
  </si>
  <si>
    <t>kjl0529:naver</t>
  </si>
  <si>
    <t>kjl9497</t>
  </si>
  <si>
    <t>kjpump</t>
  </si>
  <si>
    <t>kjw5051</t>
  </si>
  <si>
    <t>kk100403</t>
  </si>
  <si>
    <t>kkm110</t>
  </si>
  <si>
    <t>kkmicro</t>
  </si>
  <si>
    <t>kks4475</t>
  </si>
  <si>
    <t>kliving</t>
  </si>
  <si>
    <t>km3933</t>
  </si>
  <si>
    <t>kmask2020:naver</t>
  </si>
  <si>
    <t>kmeshop</t>
  </si>
  <si>
    <t>kmj901027:naver</t>
  </si>
  <si>
    <t>kmy0155:naver</t>
  </si>
  <si>
    <t>knh151597:naver</t>
  </si>
  <si>
    <t>knmailbox</t>
  </si>
  <si>
    <t>koad7082</t>
  </si>
  <si>
    <t>koamhotel</t>
  </si>
  <si>
    <t>kogurean1</t>
  </si>
  <si>
    <t>kokoro8308</t>
  </si>
  <si>
    <t>koneinfo</t>
  </si>
  <si>
    <t>konnecthing</t>
  </si>
  <si>
    <t>kook21</t>
  </si>
  <si>
    <t>NAVERkoolman</t>
  </si>
  <si>
    <t>koreadain</t>
  </si>
  <si>
    <t>koreadc</t>
  </si>
  <si>
    <t>korlight</t>
  </si>
  <si>
    <t>kpcc7080</t>
  </si>
  <si>
    <t>kptool</t>
  </si>
  <si>
    <t>kr042504</t>
  </si>
  <si>
    <t>krm2545</t>
  </si>
  <si>
    <t>ks20713</t>
  </si>
  <si>
    <t>ksb8643</t>
  </si>
  <si>
    <t>kss1992kr</t>
  </si>
  <si>
    <t>kth_vodshop</t>
  </si>
  <si>
    <t>kth10051</t>
  </si>
  <si>
    <t>kth7701</t>
  </si>
  <si>
    <t>kthdhealth</t>
  </si>
  <si>
    <t>ktjgu</t>
  </si>
  <si>
    <t>kukjetrad12</t>
  </si>
  <si>
    <t>kumkang2000</t>
  </si>
  <si>
    <t>kumo2016</t>
  </si>
  <si>
    <t>kumon123</t>
  </si>
  <si>
    <t>kurukang</t>
  </si>
  <si>
    <t>kvc</t>
  </si>
  <si>
    <t>kw0049</t>
  </si>
  <si>
    <t>kwak2230:naver</t>
  </si>
  <si>
    <t>kwakouo</t>
  </si>
  <si>
    <t>kwanml77</t>
  </si>
  <si>
    <t>kweather</t>
  </si>
  <si>
    <t>kwg2948</t>
  </si>
  <si>
    <t>kwoollim</t>
  </si>
  <si>
    <t>kww6132</t>
  </si>
  <si>
    <t>kyc9189</t>
  </si>
  <si>
    <t>kyowonedum</t>
  </si>
  <si>
    <t>kyowontheorm</t>
  </si>
  <si>
    <t>kyungrimco</t>
  </si>
  <si>
    <t>l860923l:naver</t>
  </si>
  <si>
    <t>lacasa_gm</t>
  </si>
  <si>
    <t>lacasa527</t>
  </si>
  <si>
    <t>lacheln</t>
  </si>
  <si>
    <t>lalaview1:naver</t>
  </si>
  <si>
    <t>lane0801</t>
  </si>
  <si>
    <t>latexkorea</t>
  </si>
  <si>
    <t>NAVERlauraclassy:naver</t>
  </si>
  <si>
    <t>lauraclassy:naver</t>
  </si>
  <si>
    <t>lawfirmdaejin:naver</t>
  </si>
  <si>
    <t>lawnus</t>
  </si>
  <si>
    <t>lbh6134</t>
  </si>
  <si>
    <t>lcs1478</t>
  </si>
  <si>
    <t>ldh930301:naver</t>
  </si>
  <si>
    <t>leddis</t>
  </si>
  <si>
    <t>lee2435559</t>
  </si>
  <si>
    <t>leebboms</t>
  </si>
  <si>
    <t>leebnbpop</t>
  </si>
  <si>
    <t>leebnbpop:naver</t>
  </si>
  <si>
    <t>leech0408</t>
  </si>
  <si>
    <t>leehobum85</t>
  </si>
  <si>
    <t>leeja486rr</t>
  </si>
  <si>
    <t>leejs9210</t>
  </si>
  <si>
    <t>leesangjun68</t>
  </si>
  <si>
    <t>leesbong3669</t>
  </si>
  <si>
    <t>leesibong65</t>
  </si>
  <si>
    <t>leesubok75</t>
  </si>
  <si>
    <t>leipang24</t>
  </si>
  <si>
    <t>lelab_official:naver</t>
  </si>
  <si>
    <t>leoholdings:naver</t>
  </si>
  <si>
    <t>leroiq12</t>
  </si>
  <si>
    <t>letalk_official:naver</t>
  </si>
  <si>
    <t>lethogy</t>
  </si>
  <si>
    <t>lgtotalid:naver</t>
  </si>
  <si>
    <t>lgxnote</t>
  </si>
  <si>
    <t>lhc1105:naver</t>
  </si>
  <si>
    <t>lhs15</t>
  </si>
  <si>
    <t>lianbeankn</t>
  </si>
  <si>
    <t>lim1718</t>
  </si>
  <si>
    <t>lim5136666</t>
  </si>
  <si>
    <t>lime9513:naver</t>
  </si>
  <si>
    <t>limeh06588</t>
  </si>
  <si>
    <t>limsungil196</t>
  </si>
  <si>
    <t>line1675</t>
  </si>
  <si>
    <t>linepluscosmetics:naver</t>
  </si>
  <si>
    <t>lion8711:naver</t>
  </si>
  <si>
    <t>livingit</t>
  </si>
  <si>
    <t>livingn</t>
  </si>
  <si>
    <t>lja5406</t>
  </si>
  <si>
    <t>lkj2916</t>
  </si>
  <si>
    <t>lks2821</t>
  </si>
  <si>
    <t>llb1106:naver</t>
  </si>
  <si>
    <t>lldygs</t>
  </si>
  <si>
    <t>logclean</t>
  </si>
  <si>
    <t>lohas_blind</t>
  </si>
  <si>
    <t>longchina</t>
  </si>
  <si>
    <t>looe1220</t>
  </si>
  <si>
    <t>lookatitok</t>
  </si>
  <si>
    <t>lotteimall</t>
  </si>
  <si>
    <t>lotteimall2</t>
  </si>
  <si>
    <t>lottesports1</t>
  </si>
  <si>
    <t>lottesuper</t>
  </si>
  <si>
    <t>lottoone</t>
  </si>
  <si>
    <t>lovemell</t>
  </si>
  <si>
    <t>NAVERlr84</t>
  </si>
  <si>
    <t>lsh1987</t>
  </si>
  <si>
    <t>lsmeee:naver</t>
  </si>
  <si>
    <t>lsrudalsrud:naver</t>
  </si>
  <si>
    <t>luckybuddha:naver</t>
  </si>
  <si>
    <t>lululu25</t>
  </si>
  <si>
    <t>luxkeeper</t>
  </si>
  <si>
    <t>lwelec</t>
  </si>
  <si>
    <t>lykkk88:naver</t>
  </si>
  <si>
    <t>m5582:naver</t>
  </si>
  <si>
    <t>macgai7</t>
  </si>
  <si>
    <t>magachem</t>
  </si>
  <si>
    <t>makers79</t>
  </si>
  <si>
    <t>malldeview</t>
  </si>
  <si>
    <t>mandor3</t>
  </si>
  <si>
    <t>maria870</t>
  </si>
  <si>
    <t>mary194</t>
  </si>
  <si>
    <t>matrixwakeup</t>
  </si>
  <si>
    <t>matwoori</t>
  </si>
  <si>
    <t>mbcdoctor</t>
  </si>
  <si>
    <t>mbikorea</t>
  </si>
  <si>
    <t>mbk2920</t>
  </si>
  <si>
    <t>mcnylon</t>
  </si>
  <si>
    <t>mcsl_table</t>
  </si>
  <si>
    <t>mdskorea</t>
  </si>
  <si>
    <t>mduk2635</t>
  </si>
  <si>
    <t>mec97:naver</t>
  </si>
  <si>
    <t>mecks0819:naver</t>
  </si>
  <si>
    <t>mediadu:naver</t>
  </si>
  <si>
    <t>medicats</t>
  </si>
  <si>
    <t>medimecca</t>
  </si>
  <si>
    <t>meditree12</t>
  </si>
  <si>
    <t>meetyeo</t>
  </si>
  <si>
    <t>meharoad</t>
  </si>
  <si>
    <t>mesacompany</t>
  </si>
  <si>
    <t>metanetmcc</t>
  </si>
  <si>
    <t>midamhi:naver</t>
  </si>
  <si>
    <t>mielle3</t>
  </si>
  <si>
    <t>mihwa9681</t>
  </si>
  <si>
    <t>millesia</t>
  </si>
  <si>
    <t>millingind</t>
  </si>
  <si>
    <t>minewonta:naver</t>
  </si>
  <si>
    <t>minikiland:naver</t>
  </si>
  <si>
    <t>mipull</t>
  </si>
  <si>
    <t>mirae434</t>
  </si>
  <si>
    <t>mirae73</t>
  </si>
  <si>
    <t>mireng2013</t>
  </si>
  <si>
    <t>misiktable</t>
  </si>
  <si>
    <t>miskos</t>
  </si>
  <si>
    <t>miso_cu</t>
  </si>
  <si>
    <t>misunglove2</t>
  </si>
  <si>
    <t>mj950627:naver</t>
  </si>
  <si>
    <t>mjbelly</t>
  </si>
  <si>
    <t>mkoreamall:naver</t>
  </si>
  <si>
    <t>mnec9889:naver</t>
  </si>
  <si>
    <t>moabank</t>
  </si>
  <si>
    <t>mobidoo</t>
  </si>
  <si>
    <t>mobiletour</t>
  </si>
  <si>
    <t>mobyscomfort</t>
  </si>
  <si>
    <t>mocons</t>
  </si>
  <si>
    <t>mode17</t>
  </si>
  <si>
    <t>modelsale</t>
  </si>
  <si>
    <t>modoo6638:naver</t>
  </si>
  <si>
    <t>modupanda</t>
  </si>
  <si>
    <t>moens2018</t>
  </si>
  <si>
    <t>moggoge</t>
  </si>
  <si>
    <t>moksoo1</t>
  </si>
  <si>
    <t>momjari1_</t>
  </si>
  <si>
    <t>moms-cookingbox:naver</t>
  </si>
  <si>
    <t>mondrianseoulitaewon:naver</t>
  </si>
  <si>
    <t>mongdang1004</t>
  </si>
  <si>
    <t>monitorlee</t>
  </si>
  <si>
    <t>montable_official:naver</t>
  </si>
  <si>
    <t>moogigae11</t>
  </si>
  <si>
    <t>NAVERmoonsr68</t>
  </si>
  <si>
    <t>moonsr68</t>
  </si>
  <si>
    <t>mostar</t>
  </si>
  <si>
    <t>mostar1212</t>
  </si>
  <si>
    <t>mps4981:naver</t>
  </si>
  <si>
    <t>mr-living:naver</t>
  </si>
  <si>
    <t>mr3jjang</t>
  </si>
  <si>
    <t>mred6462</t>
  </si>
  <si>
    <t>mrlighting1</t>
  </si>
  <si>
    <t>ms2k</t>
  </si>
  <si>
    <t>msh0819</t>
  </si>
  <si>
    <t>msn0609</t>
  </si>
  <si>
    <t>msunhe2:naver</t>
  </si>
  <si>
    <t>msy</t>
  </si>
  <si>
    <t>mtherapy7</t>
  </si>
  <si>
    <t>mugboya16:naver</t>
  </si>
  <si>
    <t>muka0000</t>
  </si>
  <si>
    <t>munarchi124</t>
  </si>
  <si>
    <t>munseo</t>
  </si>
  <si>
    <t>mutu</t>
  </si>
  <si>
    <t>mycompany9818:naver</t>
  </si>
  <si>
    <t>mygguna</t>
  </si>
  <si>
    <t>myheim1203</t>
  </si>
  <si>
    <t>myoll</t>
  </si>
  <si>
    <t>mypartyboy00:naver</t>
  </si>
  <si>
    <t>myungin0404</t>
  </si>
  <si>
    <t>myuzkorea</t>
  </si>
  <si>
    <t>mzfhrtl</t>
  </si>
  <si>
    <t>n_monopoly</t>
  </si>
  <si>
    <t>n4244</t>
  </si>
  <si>
    <t>na114sin</t>
  </si>
  <si>
    <t>nabinamucat</t>
  </si>
  <si>
    <t>namuhncare:naver</t>
  </si>
  <si>
    <t>nana5654:naver</t>
  </si>
  <si>
    <t>naniwa1128:naver</t>
  </si>
  <si>
    <t>nanocu</t>
  </si>
  <si>
    <t>nanosport</t>
  </si>
  <si>
    <t>nanumi9996</t>
  </si>
  <si>
    <t>nara11</t>
  </si>
  <si>
    <t>narzio_hong</t>
  </si>
  <si>
    <t>natureobgy</t>
  </si>
  <si>
    <t>nauryart</t>
  </si>
  <si>
    <t>NAVERnaurylaw1004</t>
  </si>
  <si>
    <t>naver72</t>
  </si>
  <si>
    <t>ncr0331</t>
  </si>
  <si>
    <t>nct20:naver</t>
  </si>
  <si>
    <t>ncy60</t>
  </si>
  <si>
    <t>ndonq:naver</t>
  </si>
  <si>
    <t>ndyes</t>
  </si>
  <si>
    <t>neoblind</t>
  </si>
  <si>
    <t>neofocus14</t>
  </si>
  <si>
    <t>neon2014</t>
  </si>
  <si>
    <t>neoneo45</t>
  </si>
  <si>
    <t>new300wins</t>
  </si>
  <si>
    <t>newcazon:naver</t>
  </si>
  <si>
    <t>newgensauna</t>
  </si>
  <si>
    <t>NAVERnewk2s</t>
  </si>
  <si>
    <t>휴면계정 연락 불가</t>
  </si>
  <si>
    <t>nexniz1:naver</t>
  </si>
  <si>
    <t>nexsoshop</t>
  </si>
  <si>
    <t>nh178961</t>
  </si>
  <si>
    <t>nhj981124:naver</t>
  </si>
  <si>
    <t>nhnad_rdh</t>
  </si>
  <si>
    <t>nina1207</t>
  </si>
  <si>
    <t>nncdesign</t>
  </si>
  <si>
    <t>no-day:naver</t>
  </si>
  <si>
    <t>nobleskin1</t>
  </si>
  <si>
    <t>nochearchive:naver</t>
  </si>
  <si>
    <t>nollae93</t>
  </si>
  <si>
    <t>nonfiction40</t>
  </si>
  <si>
    <t>noori2502</t>
  </si>
  <si>
    <t>nornza1212</t>
  </si>
  <si>
    <t>note4you</t>
  </si>
  <si>
    <t>novita016</t>
  </si>
  <si>
    <t>nowon123</t>
  </si>
  <si>
    <t>nplus_dolls</t>
  </si>
  <si>
    <t>nsispeech:naver</t>
  </si>
  <si>
    <t>nsjun2000</t>
  </si>
  <si>
    <t>nsy1004</t>
  </si>
  <si>
    <t>nu2216:naver</t>
  </si>
  <si>
    <t>nulpr</t>
  </si>
  <si>
    <t>nuripet</t>
  </si>
  <si>
    <t>nutriplan</t>
  </si>
  <si>
    <t>nw8272</t>
  </si>
  <si>
    <t>nyblock</t>
  </si>
  <si>
    <t>o112152606</t>
  </si>
  <si>
    <t>o2heal</t>
  </si>
  <si>
    <t>o2owmpo</t>
  </si>
  <si>
    <t>oa990003</t>
  </si>
  <si>
    <t>oasistrans</t>
  </si>
  <si>
    <t>obc3331</t>
  </si>
  <si>
    <t>obid</t>
  </si>
  <si>
    <t>obiwood</t>
  </si>
  <si>
    <t>obt3269</t>
  </si>
  <si>
    <t>oclock24</t>
  </si>
  <si>
    <t>ocokorea</t>
  </si>
  <si>
    <t>octcys</t>
  </si>
  <si>
    <t>odh790</t>
  </si>
  <si>
    <t>odp11518</t>
  </si>
  <si>
    <t>odp4955</t>
  </si>
  <si>
    <t>officehome</t>
  </si>
  <si>
    <t>ohdong73</t>
  </si>
  <si>
    <t>ohyes600</t>
  </si>
  <si>
    <t>NAVERojinger77</t>
  </si>
  <si>
    <t>ojinger77</t>
  </si>
  <si>
    <t>ojm7002</t>
  </si>
  <si>
    <t>okshowcase</t>
  </si>
  <si>
    <t>olibro1001:naver</t>
  </si>
  <si>
    <t>omanmul</t>
  </si>
  <si>
    <t>omypilates</t>
  </si>
  <si>
    <t>onair</t>
  </si>
  <si>
    <t>ongym1115:naver</t>
  </si>
  <si>
    <t>oniljang</t>
  </si>
  <si>
    <t>only069191</t>
  </si>
  <si>
    <t>onplus_kyang</t>
  </si>
  <si>
    <t>oopp4567</t>
  </si>
  <si>
    <t>op0723:naver</t>
  </si>
  <si>
    <t>opara</t>
  </si>
  <si>
    <t>oracle-center:naver</t>
  </si>
  <si>
    <t>oracle3516</t>
  </si>
  <si>
    <t>oracleclinic</t>
  </si>
  <si>
    <t>oracleland</t>
  </si>
  <si>
    <t>orange1066</t>
  </si>
  <si>
    <t>orthohan</t>
  </si>
  <si>
    <t>oso582</t>
  </si>
  <si>
    <t>otoo</t>
  </si>
  <si>
    <t>ourdiffuser</t>
  </si>
  <si>
    <t>padischool</t>
  </si>
  <si>
    <t>page45:naver</t>
  </si>
  <si>
    <t>paladog8030</t>
  </si>
  <si>
    <t>palap</t>
  </si>
  <si>
    <t>panky51</t>
  </si>
  <si>
    <t>paran1237:naver</t>
  </si>
  <si>
    <t>parkeun1004</t>
  </si>
  <si>
    <t>partner21</t>
  </si>
  <si>
    <t>partysale0</t>
  </si>
  <si>
    <t>pbunyun:naver</t>
  </si>
  <si>
    <t>peepershop</t>
  </si>
  <si>
    <t>perrigato_ad</t>
  </si>
  <si>
    <t>persontel</t>
  </si>
  <si>
    <t>petamall:naver</t>
  </si>
  <si>
    <t>petpublic1</t>
  </si>
  <si>
    <t>pgtk22</t>
  </si>
  <si>
    <t>NAVERphhousekr</t>
  </si>
  <si>
    <t>phhousekr</t>
  </si>
  <si>
    <t>philsanglifescience:naver</t>
  </si>
  <si>
    <t>phj7155</t>
  </si>
  <si>
    <t>phoebe5665</t>
  </si>
  <si>
    <t>phoenixkb</t>
  </si>
  <si>
    <t>photoaum</t>
  </si>
  <si>
    <t>photong21</t>
  </si>
  <si>
    <t>pht-posthometown:naver</t>
  </si>
  <si>
    <t>phy0929a</t>
  </si>
  <si>
    <t>pi2010</t>
  </si>
  <si>
    <t>pia707</t>
  </si>
  <si>
    <t>picoson</t>
  </si>
  <si>
    <t>pinfactory</t>
  </si>
  <si>
    <t>pip2015</t>
  </si>
  <si>
    <t>pjc8357</t>
  </si>
  <si>
    <t>pjy950254:naver</t>
  </si>
  <si>
    <t>planbmood:naver</t>
  </si>
  <si>
    <t>playmom</t>
  </si>
  <si>
    <t>pmjh57</t>
  </si>
  <si>
    <t>pnbbook</t>
  </si>
  <si>
    <t>pnfwithpf:naver</t>
  </si>
  <si>
    <t>pointproduct:naver</t>
  </si>
  <si>
    <t>polostar210</t>
  </si>
  <si>
    <t>poong7000</t>
  </si>
  <si>
    <t>popo151151:naver</t>
  </si>
  <si>
    <t>popomario:naver</t>
  </si>
  <si>
    <t>porti0701</t>
  </si>
  <si>
    <t>porti0702</t>
  </si>
  <si>
    <t>portibujeok</t>
  </si>
  <si>
    <t>portigold</t>
  </si>
  <si>
    <t>portisilver</t>
  </si>
  <si>
    <t>poscom0695</t>
  </si>
  <si>
    <t>posheet2</t>
  </si>
  <si>
    <t>powercord</t>
  </si>
  <si>
    <t>poweroaky</t>
  </si>
  <si>
    <t>pozalabs:naver</t>
  </si>
  <si>
    <t>ppuri</t>
  </si>
  <si>
    <t>pronw</t>
  </si>
  <si>
    <t>ps3355</t>
  </si>
  <si>
    <t>pshsms1029</t>
  </si>
  <si>
    <t>pss5021</t>
  </si>
  <si>
    <t>pswkiller</t>
  </si>
  <si>
    <t>publicgolf</t>
  </si>
  <si>
    <t>pulmulti</t>
  </si>
  <si>
    <t>pulmulti1</t>
  </si>
  <si>
    <t>pulmuone02</t>
  </si>
  <si>
    <t>purespace123</t>
  </si>
  <si>
    <t>pwj238</t>
  </si>
  <si>
    <t>pwon11</t>
  </si>
  <si>
    <t>pyeongchon90</t>
  </si>
  <si>
    <t>pyk770124:naver</t>
  </si>
  <si>
    <t>pym2733</t>
  </si>
  <si>
    <t>qawe3320</t>
  </si>
  <si>
    <t>qkdn3937</t>
  </si>
  <si>
    <t>qkrtnswk2990</t>
  </si>
  <si>
    <t>qntkswlqkdgh</t>
  </si>
  <si>
    <t>quantumtech-korea:naver</t>
  </si>
  <si>
    <t>quo318</t>
  </si>
  <si>
    <t>raguhouse:naver</t>
  </si>
  <si>
    <t>raille</t>
  </si>
  <si>
    <t>rainman117:naver</t>
  </si>
  <si>
    <t>ran7714</t>
  </si>
  <si>
    <t>rblower</t>
  </si>
  <si>
    <t>rboots</t>
  </si>
  <si>
    <t>rbpr7788</t>
  </si>
  <si>
    <t>rccl</t>
  </si>
  <si>
    <t>realstudio14</t>
  </si>
  <si>
    <t>realtorsgr</t>
  </si>
  <si>
    <t>realtorsjh</t>
  </si>
  <si>
    <t>realty1</t>
  </si>
  <si>
    <t>redbnp</t>
  </si>
  <si>
    <t>redfox2585:naver</t>
  </si>
  <si>
    <t>redpig0090</t>
  </si>
  <si>
    <t>remyshop</t>
  </si>
  <si>
    <t>NAVERrenoma2716</t>
  </si>
  <si>
    <t>renoma2716</t>
  </si>
  <si>
    <t>rentcar7253:naver</t>
  </si>
  <si>
    <t>revyys</t>
  </si>
  <si>
    <t>rhaty</t>
  </si>
  <si>
    <t>rhkstn</t>
  </si>
  <si>
    <t>rhtnsdhr</t>
  </si>
  <si>
    <t>rhwhdfla0901</t>
  </si>
  <si>
    <t>rhwhdfla1619:naver</t>
  </si>
  <si>
    <t>riddlsdnstn</t>
  </si>
  <si>
    <t>rinnai7000</t>
  </si>
  <si>
    <t>rkwk59</t>
  </si>
  <si>
    <t>rkwk82</t>
  </si>
  <si>
    <t>rkwktngh123</t>
  </si>
  <si>
    <t>rla3830:naver</t>
  </si>
  <si>
    <t>rlaehddls</t>
  </si>
  <si>
    <t>rlaghtjd777:naver</t>
  </si>
  <si>
    <t>rlagodnr</t>
  </si>
  <si>
    <t>rlarlfwk1088:naver</t>
  </si>
  <si>
    <t>rlatnscns</t>
  </si>
  <si>
    <t>rlawnals5481</t>
  </si>
  <si>
    <t>rmafmd101</t>
  </si>
  <si>
    <t>rna6612:naver</t>
  </si>
  <si>
    <t>rngj07</t>
  </si>
  <si>
    <t>rnrudghks</t>
  </si>
  <si>
    <t>roho0012:naver</t>
  </si>
  <si>
    <t>roidesign</t>
  </si>
  <si>
    <t>rollent</t>
  </si>
  <si>
    <t>romannism</t>
  </si>
  <si>
    <t>roniewell_m</t>
  </si>
  <si>
    <t>rope1900</t>
  </si>
  <si>
    <t>rosashop</t>
  </si>
  <si>
    <t>NAVERrose2213:naver</t>
  </si>
  <si>
    <t>rose2213:naver</t>
  </si>
  <si>
    <t>rrladnjsgh</t>
  </si>
  <si>
    <t>rsm0625:naver</t>
  </si>
  <si>
    <t>rsm08416</t>
  </si>
  <si>
    <t>ruachcw</t>
  </si>
  <si>
    <t>ruby9051</t>
  </si>
  <si>
    <t>ruhwa81</t>
  </si>
  <si>
    <t>runnershigh</t>
  </si>
  <si>
    <t>ruthair_</t>
  </si>
  <si>
    <t>rys4004</t>
  </si>
  <si>
    <t>s-education:naver</t>
  </si>
  <si>
    <t>s4013</t>
  </si>
  <si>
    <t>sabusong</t>
  </si>
  <si>
    <t>sada73</t>
  </si>
  <si>
    <t>sadak5</t>
  </si>
  <si>
    <t>saekwang</t>
  </si>
  <si>
    <t>safemotors</t>
  </si>
  <si>
    <t>safere</t>
  </si>
  <si>
    <t>sajoseafood2020:naver</t>
  </si>
  <si>
    <t>saki3003</t>
  </si>
  <si>
    <t>saladykorea</t>
  </si>
  <si>
    <t>salcoach</t>
  </si>
  <si>
    <t>saltmall</t>
  </si>
  <si>
    <t>sam00925</t>
  </si>
  <si>
    <t>samantha</t>
  </si>
  <si>
    <t>samdasu</t>
  </si>
  <si>
    <t>samhopr</t>
  </si>
  <si>
    <t>samhwa12</t>
  </si>
  <si>
    <t>samik</t>
  </si>
  <si>
    <t>samjinacc</t>
  </si>
  <si>
    <t>samkyungpol</t>
  </si>
  <si>
    <t>samsuk3333:naver</t>
  </si>
  <si>
    <t>samt1</t>
  </si>
  <si>
    <t>sangasystem</t>
  </si>
  <si>
    <t>sangmin7584</t>
  </si>
  <si>
    <t>sangwon11</t>
  </si>
  <si>
    <t>sansukapsan</t>
  </si>
  <si>
    <t>sapoking</t>
  </si>
  <si>
    <t>sarotech1</t>
  </si>
  <si>
    <t>sasetrd:naver</t>
  </si>
  <si>
    <t>sbcarstory</t>
  </si>
  <si>
    <t>sbinc2022</t>
  </si>
  <si>
    <t>sblee6606</t>
  </si>
  <si>
    <t>sbt0948jtt</t>
  </si>
  <si>
    <t>sc_culture</t>
  </si>
  <si>
    <t>scommtech</t>
  </si>
  <si>
    <t>sdj_2010</t>
  </si>
  <si>
    <t>sdtelec</t>
  </si>
  <si>
    <t>sea3435</t>
  </si>
  <si>
    <t>sea4511</t>
  </si>
  <si>
    <t>sealer77</t>
  </si>
  <si>
    <t>secret6855:naver</t>
  </si>
  <si>
    <t>seesee02</t>
  </si>
  <si>
    <t>sejinlift123</t>
  </si>
  <si>
    <t>sejongvinyl</t>
  </si>
  <si>
    <t>self291</t>
  </si>
  <si>
    <t>semiworks</t>
  </si>
  <si>
    <t>seobw77:naver</t>
  </si>
  <si>
    <t>seod</t>
  </si>
  <si>
    <t>seodukq</t>
  </si>
  <si>
    <t>seohaecar</t>
  </si>
  <si>
    <t>seokgye56</t>
  </si>
  <si>
    <t>seokye01</t>
  </si>
  <si>
    <t>seolhaeone2:naver</t>
  </si>
  <si>
    <t>seonhoramen</t>
  </si>
  <si>
    <t>seoulcafe</t>
  </si>
  <si>
    <t>seoulfamilydent:naver</t>
  </si>
  <si>
    <t>seoultrust</t>
  </si>
  <si>
    <t>seracomtec</t>
  </si>
  <si>
    <t>ses4027</t>
  </si>
  <si>
    <t>setx</t>
  </si>
  <si>
    <t>sexywoo</t>
  </si>
  <si>
    <t>sg123</t>
  </si>
  <si>
    <t>sg1285</t>
  </si>
  <si>
    <t>sgoceo</t>
  </si>
  <si>
    <t>sh2658843</t>
  </si>
  <si>
    <t>sh6130</t>
  </si>
  <si>
    <t>shc2288:naver</t>
  </si>
  <si>
    <t>shc9023</t>
  </si>
  <si>
    <t>shchaf</t>
  </si>
  <si>
    <t>sheepman9</t>
  </si>
  <si>
    <t>sheetcom</t>
  </si>
  <si>
    <t>sheetlab</t>
  </si>
  <si>
    <t>shguddn74</t>
  </si>
  <si>
    <t>NAVERshhj1235:naver</t>
  </si>
  <si>
    <t>shhj1235:naver</t>
  </si>
  <si>
    <t>shin0339</t>
  </si>
  <si>
    <t>shingu91</t>
  </si>
  <si>
    <t>shinhan17</t>
  </si>
  <si>
    <t>shinjun2001</t>
  </si>
  <si>
    <t>shinsegae7</t>
  </si>
  <si>
    <t>shjtax</t>
  </si>
  <si>
    <t>shmesh</t>
  </si>
  <si>
    <t>shoesdeblanc</t>
  </si>
  <si>
    <t>shomagen:naver</t>
  </si>
  <si>
    <t>shopjl</t>
  </si>
  <si>
    <t>sibrush</t>
  </si>
  <si>
    <t>sihwaper</t>
  </si>
  <si>
    <t>silwh</t>
  </si>
  <si>
    <t>simpan911</t>
  </si>
  <si>
    <t>sinix</t>
  </si>
  <si>
    <t>sinj234</t>
  </si>
  <si>
    <t>sinsky1321</t>
  </si>
  <si>
    <t>sinsung52840</t>
  </si>
  <si>
    <t>sinzo</t>
  </si>
  <si>
    <t>sionhome4834</t>
  </si>
  <si>
    <t>sir0824</t>
  </si>
  <si>
    <t>siriyajang</t>
  </si>
  <si>
    <t>sisa_ejb</t>
  </si>
  <si>
    <t>sj3060</t>
  </si>
  <si>
    <t>sjahwlfl1</t>
  </si>
  <si>
    <t>sjc0570</t>
  </si>
  <si>
    <t>sjjopop22</t>
  </si>
  <si>
    <t>sjsafety</t>
  </si>
  <si>
    <t>sjselfstudy</t>
  </si>
  <si>
    <t>sjselpa</t>
  </si>
  <si>
    <t>sjsign</t>
  </si>
  <si>
    <t>sjtit</t>
  </si>
  <si>
    <t>sjy7977:naver</t>
  </si>
  <si>
    <t>sk3943</t>
  </si>
  <si>
    <t>skdc007</t>
  </si>
  <si>
    <t>NAVERskdusdkqk</t>
  </si>
  <si>
    <t>skinrexkorea_e:naver</t>
  </si>
  <si>
    <t>skinschool</t>
  </si>
  <si>
    <t>skitm3152</t>
  </si>
  <si>
    <t>sklec:naver</t>
  </si>
  <si>
    <t>skqmsuwk:naver</t>
  </si>
  <si>
    <t>sks674377</t>
  </si>
  <si>
    <t>sky2dad2:naver</t>
  </si>
  <si>
    <t>sky3667</t>
  </si>
  <si>
    <t>sky74819</t>
  </si>
  <si>
    <t>skydisc</t>
  </si>
  <si>
    <t>skyfes1</t>
  </si>
  <si>
    <t>skyonebbang1</t>
  </si>
  <si>
    <t>skyviva</t>
  </si>
  <si>
    <t>sleepcenter</t>
  </si>
  <si>
    <t>sm1004</t>
  </si>
  <si>
    <t>sm3379</t>
  </si>
  <si>
    <t>NAVERsmartkds79</t>
  </si>
  <si>
    <t>smartmall2:naver</t>
  </si>
  <si>
    <t>smartx</t>
  </si>
  <si>
    <t>smile77</t>
  </si>
  <si>
    <t>smlietable</t>
  </si>
  <si>
    <t>smsanjae:naver</t>
  </si>
  <si>
    <t>smsimplehan</t>
  </si>
  <si>
    <t>smsteel</t>
  </si>
  <si>
    <t>smu0945</t>
  </si>
  <si>
    <t>smy1208</t>
  </si>
  <si>
    <t>snapj</t>
  </si>
  <si>
    <t>snidwing21</t>
  </si>
  <si>
    <t>sodambath</t>
  </si>
  <si>
    <t>sodamha</t>
  </si>
  <si>
    <t>softzion</t>
  </si>
  <si>
    <t>solarsun7</t>
  </si>
  <si>
    <t>solge</t>
  </si>
  <si>
    <t>somang5785</t>
  </si>
  <si>
    <t>sonchen</t>
  </si>
  <si>
    <t>song767</t>
  </si>
  <si>
    <t>songpastel</t>
  </si>
  <si>
    <t>sono_play</t>
  </si>
  <si>
    <t>soodtal</t>
  </si>
  <si>
    <t>sopumclassic</t>
  </si>
  <si>
    <t>NAVERsos1326</t>
  </si>
  <si>
    <t>광고비 과소진으로 인해 권한을 광고주가 삭제하였고
관련 요청시 피이관 될것이 확실하여 연락할수 없음</t>
  </si>
  <si>
    <t>sp159:naver</t>
  </si>
  <si>
    <t>spc3114</t>
  </si>
  <si>
    <t>spdoor2019</t>
  </si>
  <si>
    <t>speedsokgi</t>
  </si>
  <si>
    <t>spfresh:naver</t>
  </si>
  <si>
    <t>spoon100</t>
  </si>
  <si>
    <t>srtt</t>
  </si>
  <si>
    <t>ss13711</t>
  </si>
  <si>
    <t>sseo9363</t>
  </si>
  <si>
    <t>ssjg12</t>
  </si>
  <si>
    <t>sskorea772</t>
  </si>
  <si>
    <t>ssonic2021</t>
  </si>
  <si>
    <t>sss3909</t>
  </si>
  <si>
    <t>ssss1962</t>
  </si>
  <si>
    <t>ssy9933:naver</t>
  </si>
  <si>
    <t>stage9456</t>
  </si>
  <si>
    <t>startone_office:naver</t>
  </si>
  <si>
    <t>stcommerce1:naver</t>
  </si>
  <si>
    <t>steeeve1018:naver</t>
  </si>
  <si>
    <t>stherapy7</t>
  </si>
  <si>
    <t>stnong</t>
  </si>
  <si>
    <t>NAVERstonebank</t>
  </si>
  <si>
    <t>직접운영으로 변경원하여 마케터 권한 삭제</t>
  </si>
  <si>
    <t>sts1030:naver</t>
  </si>
  <si>
    <t>studytass</t>
  </si>
  <si>
    <t>suaviss0980</t>
  </si>
  <si>
    <t>sugar8553</t>
  </si>
  <si>
    <t>sullyn</t>
  </si>
  <si>
    <t>sung43</t>
  </si>
  <si>
    <t>sungeun1014</t>
  </si>
  <si>
    <t>sunghwa1511:naver</t>
  </si>
  <si>
    <t>sungjink</t>
  </si>
  <si>
    <t>sungok0903</t>
  </si>
  <si>
    <t>sunjinstt</t>
  </si>
  <si>
    <t>sunobgy</t>
  </si>
  <si>
    <t>suntongsin</t>
  </si>
  <si>
    <t>sunwinder</t>
  </si>
  <si>
    <t>super5yp</t>
  </si>
  <si>
    <t>supersky3503</t>
  </si>
  <si>
    <t>surkhun</t>
  </si>
  <si>
    <t>sweetblock</t>
  </si>
  <si>
    <t>sweker</t>
  </si>
  <si>
    <t>swoil</t>
  </si>
  <si>
    <t>sws7003</t>
  </si>
  <si>
    <t>swtower7</t>
  </si>
  <si>
    <t>sy150114</t>
  </si>
  <si>
    <t>system01</t>
  </si>
  <si>
    <t>taeboy7</t>
  </si>
  <si>
    <t>taejong2220</t>
  </si>
  <si>
    <t>taekwang0111</t>
  </si>
  <si>
    <t>taesungpmc0330:naver</t>
  </si>
  <si>
    <t>taeyang5785</t>
  </si>
  <si>
    <t>taezcompany:naver</t>
  </si>
  <si>
    <t>tarumo</t>
  </si>
  <si>
    <t>tdz9915:naver</t>
  </si>
  <si>
    <t>tgnarae</t>
  </si>
  <si>
    <t>thddl4694</t>
  </si>
  <si>
    <t>thebath</t>
  </si>
  <si>
    <t>NAVERthebee1970</t>
  </si>
  <si>
    <t>thebee1970</t>
  </si>
  <si>
    <t>thecompanion</t>
  </si>
  <si>
    <t>thedoor</t>
  </si>
  <si>
    <t>thedream0221</t>
  </si>
  <si>
    <t>thehan-health:naver</t>
  </si>
  <si>
    <t>theice</t>
  </si>
  <si>
    <t>thejoen88:naver</t>
  </si>
  <si>
    <t>theohi11</t>
  </si>
  <si>
    <t>theshiny</t>
  </si>
  <si>
    <t>thesoft216</t>
  </si>
  <si>
    <t>thessdam:naver</t>
  </si>
  <si>
    <t>theuniform</t>
  </si>
  <si>
    <t>thoo922</t>
  </si>
  <si>
    <t>thsckdud77</t>
  </si>
  <si>
    <t>thss498</t>
  </si>
  <si>
    <t>thswkdtn70</t>
  </si>
  <si>
    <t>thswo3144</t>
  </si>
  <si>
    <t>tigen29:naver</t>
  </si>
  <si>
    <t>time-out:naver</t>
  </si>
  <si>
    <t>ting1156</t>
  </si>
  <si>
    <t>tjdskrqhd</t>
  </si>
  <si>
    <t>tjdtjdodrmf</t>
  </si>
  <si>
    <t>tjrcozz</t>
  </si>
  <si>
    <t>tjrekdflek</t>
  </si>
  <si>
    <t>NAVERtkatmf:naver</t>
  </si>
  <si>
    <t>tkatmf:naver</t>
  </si>
  <si>
    <t>tkbolt326</t>
  </si>
  <si>
    <t>tkdaksvvvv:naver</t>
  </si>
  <si>
    <t>tkdxo3282</t>
  </si>
  <si>
    <t>tkeng21</t>
  </si>
  <si>
    <t>tkfkdgo3a</t>
  </si>
  <si>
    <t>tkhealthcare</t>
  </si>
  <si>
    <t>tksqkek77:naver</t>
  </si>
  <si>
    <t>tls3880:naver</t>
  </si>
  <si>
    <t>tlsrhkdxkdlf</t>
  </si>
  <si>
    <t>todam2015</t>
  </si>
  <si>
    <t>todaypick</t>
  </si>
  <si>
    <t>togukco</t>
  </si>
  <si>
    <t>tomas009</t>
  </si>
  <si>
    <t>tomatobag</t>
  </si>
  <si>
    <t>toopiece2:naver</t>
  </si>
  <si>
    <t>topazpila:naver</t>
  </si>
  <si>
    <t>topeng</t>
  </si>
  <si>
    <t>topncar</t>
  </si>
  <si>
    <t>tops3860</t>
  </si>
  <si>
    <t>total__wood:naver</t>
  </si>
  <si>
    <t>totalmgv5409</t>
  </si>
  <si>
    <t>tourmktg</t>
  </si>
  <si>
    <t>tove2020</t>
  </si>
  <si>
    <t>NAVERtree2547</t>
  </si>
  <si>
    <t>trendkkim:naver</t>
  </si>
  <si>
    <t>ts1234</t>
  </si>
  <si>
    <t>tsscience</t>
  </si>
  <si>
    <t>ttagu8446:naver</t>
  </si>
  <si>
    <t>ttft00</t>
  </si>
  <si>
    <t>ttrendy</t>
  </si>
  <si>
    <t>tutupet0525</t>
  </si>
  <si>
    <t>tveg1:naver</t>
  </si>
  <si>
    <t>tw02252:naver</t>
  </si>
  <si>
    <t>twozzim</t>
  </si>
  <si>
    <t>ty7363</t>
  </si>
  <si>
    <t>udorang</t>
  </si>
  <si>
    <t>uhc0523</t>
  </si>
  <si>
    <t>uiop909</t>
  </si>
  <si>
    <t>ukshin21</t>
  </si>
  <si>
    <t>unicc</t>
  </si>
  <si>
    <t>unicnc</t>
  </si>
  <si>
    <t>uniel2001</t>
  </si>
  <si>
    <t>unitrend</t>
  </si>
  <si>
    <t>universallif</t>
  </si>
  <si>
    <t>univmeeting:naver</t>
  </si>
  <si>
    <t>upcasti</t>
  </si>
  <si>
    <t>urisystem1</t>
  </si>
  <si>
    <t>usfishing_official:naver</t>
  </si>
  <si>
    <t>ushoo</t>
  </si>
  <si>
    <t>v17433</t>
  </si>
  <si>
    <t>venueg</t>
  </si>
  <si>
    <t>vexpert</t>
  </si>
  <si>
    <t>victory5336</t>
  </si>
  <si>
    <t>victory75</t>
  </si>
  <si>
    <t>vigor4862:naver</t>
  </si>
  <si>
    <t>vip0424</t>
  </si>
  <si>
    <t>vipm:naver</t>
  </si>
  <si>
    <t>virology</t>
  </si>
  <si>
    <t>vision2005</t>
  </si>
  <si>
    <t>visionmall</t>
  </si>
  <si>
    <t>vivalime</t>
  </si>
  <si>
    <t>vjavm88</t>
  </si>
  <si>
    <t>vkvk1995</t>
  </si>
  <si>
    <t>vop0505:naver</t>
  </si>
  <si>
    <t>vstar0313</t>
  </si>
  <si>
    <t>vz001</t>
  </si>
  <si>
    <t>w_interpark</t>
  </si>
  <si>
    <t>walkbrain1</t>
  </si>
  <si>
    <t>waneebe</t>
  </si>
  <si>
    <t>watchcase2</t>
  </si>
  <si>
    <t>waternix</t>
  </si>
  <si>
    <t>wavecompany</t>
  </si>
  <si>
    <t>ways98:naver</t>
  </si>
  <si>
    <t>we_will_win:naver</t>
  </si>
  <si>
    <t>wellchoi</t>
  </si>
  <si>
    <t>wemake</t>
  </si>
  <si>
    <t>wemake0</t>
  </si>
  <si>
    <t>wemake1</t>
  </si>
  <si>
    <t>wesleygym</t>
  </si>
  <si>
    <t>westhunter21</t>
  </si>
  <si>
    <t>weve2875</t>
  </si>
  <si>
    <t>wgs513:naver</t>
  </si>
  <si>
    <t>whatthegyeongju:naver</t>
  </si>
  <si>
    <t>whdbstjdvs12</t>
  </si>
  <si>
    <t>white2vv</t>
  </si>
  <si>
    <t>wholefarm</t>
  </si>
  <si>
    <t>whtjddndy</t>
  </si>
  <si>
    <t>whtkdgus</t>
  </si>
  <si>
    <t>whtndms9090:naver</t>
  </si>
  <si>
    <t>wias123</t>
  </si>
  <si>
    <t>wilshire</t>
  </si>
  <si>
    <t>windkee</t>
  </si>
  <si>
    <t>winner97</t>
  </si>
  <si>
    <t>winnermart</t>
  </si>
  <si>
    <t>wiselawyer</t>
  </si>
  <si>
    <t>withus123</t>
  </si>
  <si>
    <t>withusnet:naver</t>
  </si>
  <si>
    <t>witty_market:naver</t>
  </si>
  <si>
    <t>wizer6633</t>
  </si>
  <si>
    <t>wizu2011</t>
  </si>
  <si>
    <t>wjdgktn8991</t>
  </si>
  <si>
    <t>wjdwoqhr1144</t>
  </si>
  <si>
    <t>wjjs</t>
  </si>
  <si>
    <t>wjmanhole</t>
  </si>
  <si>
    <t>wjtank</t>
  </si>
  <si>
    <t>wjtax1</t>
  </si>
  <si>
    <t>wjwaters</t>
  </si>
  <si>
    <t>wkdqldi</t>
  </si>
  <si>
    <t>wlsdid</t>
  </si>
  <si>
    <t>wlsxor2002</t>
  </si>
  <si>
    <t>wmelonshop</t>
  </si>
  <si>
    <t>wmglobal</t>
  </si>
  <si>
    <t>wmp_2018</t>
  </si>
  <si>
    <t>wmpbox</t>
  </si>
  <si>
    <t>wmpshopping</t>
  </si>
  <si>
    <t>wnkanglim</t>
  </si>
  <si>
    <t>wnpaint</t>
  </si>
  <si>
    <t>woman7</t>
  </si>
  <si>
    <t>wonder_shop</t>
  </si>
  <si>
    <t>wonjuu</t>
  </si>
  <si>
    <t>wonsp2001</t>
  </si>
  <si>
    <t>wonsun1545</t>
  </si>
  <si>
    <t>wook7157</t>
  </si>
  <si>
    <t>woolfmen2000</t>
  </si>
  <si>
    <t>woori885</t>
  </si>
  <si>
    <t>wooryfence</t>
  </si>
  <si>
    <t>woovak:naver</t>
  </si>
  <si>
    <t>worisky</t>
  </si>
  <si>
    <t>work4b:naver</t>
  </si>
  <si>
    <t>wotmd0417:naver</t>
  </si>
  <si>
    <t>wr3943</t>
  </si>
  <si>
    <t>wscoly</t>
  </si>
  <si>
    <t>wv6432</t>
  </si>
  <si>
    <t>wysg2002</t>
  </si>
  <si>
    <t>xpkiller</t>
  </si>
  <si>
    <t>y012500</t>
  </si>
  <si>
    <t>y21</t>
  </si>
  <si>
    <t>y77lsw</t>
  </si>
  <si>
    <t>yanan2930</t>
  </si>
  <si>
    <t>yangji9000</t>
  </si>
  <si>
    <t>yangji9001</t>
  </si>
  <si>
    <t>yangji9002</t>
  </si>
  <si>
    <t>yangji9003</t>
  </si>
  <si>
    <t>yangji9004</t>
  </si>
  <si>
    <t>yangju-ch:naver</t>
  </si>
  <si>
    <t>yangpa113</t>
  </si>
  <si>
    <t>yangpa115</t>
  </si>
  <si>
    <t>ybhflower</t>
  </si>
  <si>
    <t>yec1012</t>
  </si>
  <si>
    <t>yechang7</t>
  </si>
  <si>
    <t>yedamwoo22</t>
  </si>
  <si>
    <t>yega1877</t>
  </si>
  <si>
    <t>yeilmgr22</t>
  </si>
  <si>
    <t>yeinart77</t>
  </si>
  <si>
    <t>yes2440</t>
  </si>
  <si>
    <t>ygfrr11:naver</t>
  </si>
  <si>
    <t>ygim3191</t>
  </si>
  <si>
    <t>yhd1234</t>
  </si>
  <si>
    <t>yhs5256:naver</t>
  </si>
  <si>
    <t>yhth12</t>
  </si>
  <si>
    <t>yjcompany00</t>
  </si>
  <si>
    <t>yjmah</t>
  </si>
  <si>
    <t>광고주 트리플하이엠에서 관리받는 것 모르고 연락시 피이관 이슈 잇는 계정</t>
  </si>
  <si>
    <t>ylizonno2</t>
  </si>
  <si>
    <t>ymnet</t>
  </si>
  <si>
    <t>yong6538</t>
  </si>
  <si>
    <t>yongyong8456</t>
  </si>
  <si>
    <t>yoocanon</t>
  </si>
  <si>
    <t>yoolse:naver</t>
  </si>
  <si>
    <t>yoon76x:naver</t>
  </si>
  <si>
    <t>yoonjunglee2:naver</t>
  </si>
  <si>
    <t>yoonvery:naver</t>
  </si>
  <si>
    <t>yorisu2019</t>
  </si>
  <si>
    <t>youngdis</t>
  </si>
  <si>
    <t>youngtop119</t>
  </si>
  <si>
    <t>yptech1</t>
  </si>
  <si>
    <t>ysjmt2014</t>
  </si>
  <si>
    <t>ysmedi2014</t>
  </si>
  <si>
    <t>ysmiz</t>
  </si>
  <si>
    <t>ysnews111</t>
  </si>
  <si>
    <t>yss57</t>
  </si>
  <si>
    <t>yssonglaw</t>
  </si>
  <si>
    <t>NAVERysupdent:naver</t>
  </si>
  <si>
    <t>ysupdent:naver</t>
  </si>
  <si>
    <t>ytslucky</t>
  </si>
  <si>
    <t>yuil1107</t>
  </si>
  <si>
    <t>yummy99</t>
  </si>
  <si>
    <t>yun8915</t>
  </si>
  <si>
    <t>yureka777</t>
  </si>
  <si>
    <t>yusineco-:naver</t>
  </si>
  <si>
    <t>yvette197903:naver</t>
  </si>
  <si>
    <t>yw_ygl</t>
  </si>
  <si>
    <t>ywd_vmware</t>
  </si>
  <si>
    <t>yyj7791</t>
  </si>
  <si>
    <t>yykorea</t>
  </si>
  <si>
    <t>z10shop</t>
  </si>
  <si>
    <t>z9golf</t>
  </si>
  <si>
    <t>zalhana</t>
  </si>
  <si>
    <t>zamyeong</t>
  </si>
  <si>
    <t>zangbi</t>
  </si>
  <si>
    <t>zbros8</t>
  </si>
  <si>
    <t>zeuseng</t>
  </si>
  <si>
    <t>NAVERzincone:naver</t>
  </si>
  <si>
    <t>zincone:naver</t>
  </si>
  <si>
    <t>zioxx</t>
  </si>
  <si>
    <t>zoomtech</t>
  </si>
  <si>
    <t>zzini3307</t>
  </si>
  <si>
    <t>297232</t>
  </si>
  <si>
    <t>KAKAO297854</t>
  </si>
  <si>
    <t>297854</t>
  </si>
  <si>
    <t>298034</t>
  </si>
  <si>
    <t>298107</t>
  </si>
  <si>
    <t>298289</t>
  </si>
  <si>
    <t>KAKAO298364</t>
  </si>
  <si>
    <t>298364</t>
  </si>
  <si>
    <t>298661</t>
  </si>
  <si>
    <t>299600</t>
  </si>
  <si>
    <t>299744</t>
  </si>
  <si>
    <t>KAKAO300171</t>
  </si>
  <si>
    <t>300171</t>
  </si>
  <si>
    <t>300250</t>
  </si>
  <si>
    <t>KAKAO300251</t>
  </si>
  <si>
    <t>300251</t>
  </si>
  <si>
    <t>300612</t>
  </si>
  <si>
    <t>300806</t>
  </si>
  <si>
    <t>KAKAO300825</t>
  </si>
  <si>
    <t>300825</t>
  </si>
  <si>
    <t>KAKAO300977</t>
  </si>
  <si>
    <t>300977</t>
  </si>
  <si>
    <t>KAKAO301061</t>
  </si>
  <si>
    <t>301061</t>
  </si>
  <si>
    <t>KAKAO301788</t>
  </si>
  <si>
    <t>301788</t>
  </si>
  <si>
    <t>302004</t>
  </si>
  <si>
    <t>302416</t>
  </si>
  <si>
    <t>302940</t>
  </si>
  <si>
    <t>303244</t>
  </si>
  <si>
    <t>303272</t>
  </si>
  <si>
    <t>KAKAO303517</t>
  </si>
  <si>
    <t>303517</t>
  </si>
  <si>
    <t>303627</t>
  </si>
  <si>
    <t>KAKAO304759</t>
  </si>
  <si>
    <t>304759</t>
  </si>
  <si>
    <t>304849</t>
  </si>
  <si>
    <t>304858</t>
  </si>
  <si>
    <t>304891</t>
  </si>
  <si>
    <t>KAKAO305014</t>
  </si>
  <si>
    <t>305014</t>
  </si>
  <si>
    <t>305069</t>
  </si>
  <si>
    <t>305195</t>
  </si>
  <si>
    <t>305387</t>
  </si>
  <si>
    <t>305405</t>
  </si>
  <si>
    <t>305627</t>
  </si>
  <si>
    <t>305659</t>
  </si>
  <si>
    <t>KAKAO305894</t>
  </si>
  <si>
    <t>305894</t>
  </si>
  <si>
    <t>KAKAO305990</t>
  </si>
  <si>
    <t>305990</t>
  </si>
  <si>
    <t>KAKAO306055</t>
  </si>
  <si>
    <t>306055</t>
  </si>
  <si>
    <t>KAKAO306068</t>
  </si>
  <si>
    <t>306068</t>
  </si>
  <si>
    <t>KAKAO306158</t>
  </si>
  <si>
    <t>306158</t>
  </si>
  <si>
    <t>KAKAO306240</t>
  </si>
  <si>
    <t>306240</t>
  </si>
  <si>
    <t>KAKAO306284</t>
  </si>
  <si>
    <t>306284</t>
  </si>
  <si>
    <t>KAKAO306535</t>
  </si>
  <si>
    <t>306535</t>
  </si>
  <si>
    <t>KAKAO306969</t>
  </si>
  <si>
    <t>306969</t>
  </si>
  <si>
    <t>307041</t>
  </si>
  <si>
    <t>307089</t>
  </si>
  <si>
    <t>307093</t>
  </si>
  <si>
    <t>307097</t>
  </si>
  <si>
    <t>KAKAO307333</t>
  </si>
  <si>
    <t>307333</t>
  </si>
  <si>
    <t>307391</t>
  </si>
  <si>
    <t>307417</t>
  </si>
  <si>
    <t>KAKAO307573</t>
  </si>
  <si>
    <t>307573</t>
  </si>
  <si>
    <t>307575</t>
  </si>
  <si>
    <t>307601</t>
  </si>
  <si>
    <t>307756</t>
  </si>
  <si>
    <t>KAKAO307856</t>
  </si>
  <si>
    <t>307856</t>
  </si>
  <si>
    <t>308082</t>
  </si>
  <si>
    <t>308083</t>
  </si>
  <si>
    <t>308258</t>
  </si>
  <si>
    <t>308299</t>
  </si>
  <si>
    <t>308332</t>
  </si>
  <si>
    <t>308443</t>
  </si>
  <si>
    <t>308488</t>
  </si>
  <si>
    <t>308548</t>
  </si>
  <si>
    <t>308714</t>
  </si>
  <si>
    <t>308731</t>
  </si>
  <si>
    <t>308765</t>
  </si>
  <si>
    <t>308894</t>
  </si>
  <si>
    <t>KAKAO308955</t>
  </si>
  <si>
    <t>308955</t>
  </si>
  <si>
    <t>308982</t>
  </si>
  <si>
    <t>309017</t>
  </si>
  <si>
    <t>309027</t>
  </si>
  <si>
    <t>KAKAO309213</t>
  </si>
  <si>
    <t>309213</t>
  </si>
  <si>
    <t>KAKAO309288</t>
  </si>
  <si>
    <t>309288</t>
  </si>
  <si>
    <t>KAKAO309529</t>
  </si>
  <si>
    <t>309529</t>
  </si>
  <si>
    <t>309621</t>
  </si>
  <si>
    <t>309745</t>
  </si>
  <si>
    <t>퇴사자계정 내부이관후 권한요청하였으나 광고주 연락두절로 진행X</t>
  </si>
  <si>
    <t>KAKAO309899</t>
  </si>
  <si>
    <t>309899</t>
  </si>
  <si>
    <t>309932</t>
  </si>
  <si>
    <t>309939</t>
  </si>
  <si>
    <t>310005</t>
  </si>
  <si>
    <t>310071</t>
  </si>
  <si>
    <t>310262</t>
  </si>
  <si>
    <t>310325</t>
  </si>
  <si>
    <t>310326</t>
  </si>
  <si>
    <t>310423</t>
  </si>
  <si>
    <t>310440</t>
  </si>
  <si>
    <t>310619</t>
  </si>
  <si>
    <t>310649</t>
  </si>
  <si>
    <t>310698</t>
  </si>
  <si>
    <t>310758</t>
  </si>
  <si>
    <t>KAKAO311164</t>
  </si>
  <si>
    <t>311164</t>
  </si>
  <si>
    <t>311204</t>
  </si>
  <si>
    <t>KAKAO311299</t>
  </si>
  <si>
    <t>311299</t>
  </si>
  <si>
    <t>311350</t>
  </si>
  <si>
    <t>311378</t>
  </si>
  <si>
    <t>311430</t>
  </si>
  <si>
    <t>311520</t>
  </si>
  <si>
    <t>311526</t>
  </si>
  <si>
    <t>311555</t>
  </si>
  <si>
    <t>311699</t>
  </si>
  <si>
    <t>311913</t>
  </si>
  <si>
    <t>KAKAO312032</t>
  </si>
  <si>
    <t>312032</t>
  </si>
  <si>
    <t>KAKAO312210</t>
  </si>
  <si>
    <t>312210</t>
  </si>
  <si>
    <t>KAKAO312212</t>
  </si>
  <si>
    <t>312212</t>
  </si>
  <si>
    <t>KAKAO312484</t>
  </si>
  <si>
    <t>312484</t>
  </si>
  <si>
    <t>312763</t>
  </si>
  <si>
    <t>KAKAO312846</t>
  </si>
  <si>
    <t>312846</t>
  </si>
  <si>
    <t>313061</t>
  </si>
  <si>
    <t>KAKAO313738</t>
  </si>
  <si>
    <t>313738</t>
  </si>
  <si>
    <t>313805</t>
  </si>
  <si>
    <t>KAKAO313983</t>
  </si>
  <si>
    <t>313983</t>
  </si>
  <si>
    <t>KAKAO314157</t>
  </si>
  <si>
    <t>314157</t>
  </si>
  <si>
    <t>314464</t>
  </si>
  <si>
    <t>314748</t>
  </si>
  <si>
    <t>314869</t>
  </si>
  <si>
    <t>KAKAO314893</t>
  </si>
  <si>
    <t>314893</t>
  </si>
  <si>
    <t>314896</t>
  </si>
  <si>
    <t>315289</t>
  </si>
  <si>
    <t>315604</t>
  </si>
  <si>
    <t>315889</t>
  </si>
  <si>
    <t>316118</t>
  </si>
  <si>
    <t>316146</t>
  </si>
  <si>
    <t>316257</t>
  </si>
  <si>
    <t>316298</t>
  </si>
  <si>
    <t>317277</t>
  </si>
  <si>
    <t>317288</t>
  </si>
  <si>
    <t>KAKAO317325</t>
  </si>
  <si>
    <t>317325</t>
  </si>
  <si>
    <t>KAKAO317478</t>
  </si>
  <si>
    <t>317478</t>
  </si>
  <si>
    <t>317480</t>
  </si>
  <si>
    <t>317483</t>
  </si>
  <si>
    <t>317484</t>
  </si>
  <si>
    <t>317501</t>
  </si>
  <si>
    <t>317513</t>
  </si>
  <si>
    <t>317653</t>
  </si>
  <si>
    <t>317708</t>
  </si>
  <si>
    <t>317868</t>
  </si>
  <si>
    <t>318218</t>
  </si>
  <si>
    <t>318299</t>
  </si>
  <si>
    <t>KAKAO318523</t>
  </si>
  <si>
    <t>318523</t>
  </si>
  <si>
    <t>퇴사자</t>
  </si>
  <si>
    <t>318570</t>
  </si>
  <si>
    <t>318590</t>
  </si>
  <si>
    <t>319438</t>
  </si>
  <si>
    <t>319837</t>
  </si>
  <si>
    <t>319876</t>
  </si>
  <si>
    <t>319898</t>
  </si>
  <si>
    <t>319908</t>
  </si>
  <si>
    <t>319933</t>
  </si>
  <si>
    <t>KAKAO319934</t>
  </si>
  <si>
    <t>319934</t>
  </si>
  <si>
    <t>KAKAO319960</t>
  </si>
  <si>
    <t>319960</t>
  </si>
  <si>
    <t>KAKAO319975</t>
  </si>
  <si>
    <t>319975</t>
  </si>
  <si>
    <t>KAKAO319990</t>
  </si>
  <si>
    <t>319990</t>
  </si>
  <si>
    <t>319993</t>
  </si>
  <si>
    <t>320091</t>
  </si>
  <si>
    <t>KAKAO320178</t>
  </si>
  <si>
    <t>320178</t>
  </si>
  <si>
    <t>320282</t>
  </si>
  <si>
    <t>320512</t>
  </si>
  <si>
    <t>KAKAO320648</t>
  </si>
  <si>
    <t>320648</t>
  </si>
  <si>
    <t>KAKAO320697</t>
  </si>
  <si>
    <t>320697</t>
  </si>
  <si>
    <t>KAKAO320710</t>
  </si>
  <si>
    <t>320710</t>
  </si>
  <si>
    <t>320759</t>
  </si>
  <si>
    <t>320951</t>
  </si>
  <si>
    <t>KAKAO321025</t>
  </si>
  <si>
    <t>321025</t>
  </si>
  <si>
    <t>321230</t>
  </si>
  <si>
    <t>321231</t>
  </si>
  <si>
    <t>321266</t>
  </si>
  <si>
    <t>321326</t>
  </si>
  <si>
    <t>321473</t>
  </si>
  <si>
    <t>321616</t>
  </si>
  <si>
    <t>321803</t>
  </si>
  <si>
    <t>321851</t>
  </si>
  <si>
    <t>KAKAO322037</t>
  </si>
  <si>
    <t>322037</t>
  </si>
  <si>
    <t>322208</t>
  </si>
  <si>
    <t>322568</t>
  </si>
  <si>
    <t>322620</t>
  </si>
  <si>
    <t>322735</t>
  </si>
  <si>
    <t>KAKAO323277</t>
  </si>
  <si>
    <t>323277</t>
  </si>
  <si>
    <t>KAKAO323635</t>
  </si>
  <si>
    <t>323635</t>
  </si>
  <si>
    <t>323751</t>
  </si>
  <si>
    <t>323780</t>
  </si>
  <si>
    <t>KAKAO323848</t>
  </si>
  <si>
    <t>323848</t>
  </si>
  <si>
    <t>KAKAO323876</t>
  </si>
  <si>
    <t>323876</t>
  </si>
  <si>
    <t>KAKAO323922</t>
  </si>
  <si>
    <t>323922</t>
  </si>
  <si>
    <t>KAKAO323944</t>
  </si>
  <si>
    <t>323944</t>
  </si>
  <si>
    <t>324103</t>
  </si>
  <si>
    <t>324186</t>
  </si>
  <si>
    <t>324192</t>
  </si>
  <si>
    <t>324274</t>
  </si>
  <si>
    <t>324367</t>
  </si>
  <si>
    <t>324919</t>
  </si>
  <si>
    <t>325020</t>
  </si>
  <si>
    <t>325103</t>
  </si>
  <si>
    <t>325191</t>
  </si>
  <si>
    <t>325464</t>
  </si>
  <si>
    <t>325487</t>
  </si>
  <si>
    <t>325567</t>
  </si>
  <si>
    <t>KAKAO326387</t>
  </si>
  <si>
    <t>326387</t>
  </si>
  <si>
    <t>326493</t>
  </si>
  <si>
    <t>326605</t>
  </si>
  <si>
    <t>326629</t>
  </si>
  <si>
    <t>KAKAO326652</t>
  </si>
  <si>
    <t>326652</t>
  </si>
  <si>
    <t>326895</t>
  </si>
  <si>
    <t>KAKAO326992</t>
  </si>
  <si>
    <t>326992</t>
  </si>
  <si>
    <t>327036</t>
  </si>
  <si>
    <t>KAKAO327123</t>
  </si>
  <si>
    <t>327123</t>
  </si>
  <si>
    <t>327204</t>
  </si>
  <si>
    <t>KAKAO327222</t>
  </si>
  <si>
    <t>327222</t>
  </si>
  <si>
    <t>KAKAO327261</t>
  </si>
  <si>
    <t>327261</t>
  </si>
  <si>
    <t>KAKAO327366</t>
  </si>
  <si>
    <t>327366</t>
  </si>
  <si>
    <t>327409</t>
  </si>
  <si>
    <t>KAKAO327497</t>
  </si>
  <si>
    <t>327497</t>
  </si>
  <si>
    <t>327651</t>
  </si>
  <si>
    <t>327759</t>
  </si>
  <si>
    <t>KAKAO328036</t>
  </si>
  <si>
    <t>328036</t>
  </si>
  <si>
    <t>328328</t>
  </si>
  <si>
    <t>328427</t>
  </si>
  <si>
    <t>328475</t>
  </si>
  <si>
    <t>328766</t>
  </si>
  <si>
    <t>328876</t>
  </si>
  <si>
    <t>328967</t>
  </si>
  <si>
    <t>329040</t>
  </si>
  <si>
    <t>KAKAO329254</t>
  </si>
  <si>
    <t>329254</t>
  </si>
  <si>
    <t>329258</t>
  </si>
  <si>
    <t>329285</t>
  </si>
  <si>
    <t>329360</t>
  </si>
  <si>
    <t>329833</t>
  </si>
  <si>
    <t>KAKAO329859</t>
  </si>
  <si>
    <t>329859</t>
  </si>
  <si>
    <t>KAKAO329876</t>
  </si>
  <si>
    <t>329876</t>
  </si>
  <si>
    <t>330026</t>
  </si>
  <si>
    <t>330176</t>
  </si>
  <si>
    <t>KAKAO330212</t>
  </si>
  <si>
    <t>330212</t>
  </si>
  <si>
    <t>KAKAO330569</t>
  </si>
  <si>
    <t>330569</t>
  </si>
  <si>
    <t>KAKAO330684</t>
  </si>
  <si>
    <t>330684</t>
  </si>
  <si>
    <t>330801</t>
  </si>
  <si>
    <t>330842</t>
  </si>
  <si>
    <t>330918</t>
  </si>
  <si>
    <t>331075</t>
  </si>
  <si>
    <t>331316</t>
  </si>
  <si>
    <t>331321</t>
  </si>
  <si>
    <t>331354</t>
  </si>
  <si>
    <t>KAKAO333182</t>
  </si>
  <si>
    <t>333182</t>
  </si>
  <si>
    <t>KAKAO333700</t>
  </si>
  <si>
    <t>333700</t>
  </si>
  <si>
    <t>KAKAO333726</t>
  </si>
  <si>
    <t>333726</t>
  </si>
  <si>
    <t>334688</t>
  </si>
  <si>
    <t>335787</t>
  </si>
  <si>
    <t>335866</t>
  </si>
  <si>
    <t>KAKAO335867</t>
  </si>
  <si>
    <t>335867</t>
  </si>
  <si>
    <t>KAKAO336515</t>
  </si>
  <si>
    <t>336515</t>
  </si>
  <si>
    <t>337149</t>
  </si>
  <si>
    <t>KAKAO337362</t>
  </si>
  <si>
    <t>337362</t>
  </si>
  <si>
    <t>337530</t>
  </si>
  <si>
    <t>337843</t>
  </si>
  <si>
    <t>338513</t>
  </si>
  <si>
    <t>338844</t>
  </si>
  <si>
    <t>338909</t>
  </si>
  <si>
    <t>KAKAO338922</t>
  </si>
  <si>
    <t>338922</t>
  </si>
  <si>
    <t>340747</t>
  </si>
  <si>
    <t>341555</t>
  </si>
  <si>
    <t>341573</t>
  </si>
  <si>
    <t>341865</t>
  </si>
  <si>
    <t>342015</t>
  </si>
  <si>
    <t>342043</t>
  </si>
  <si>
    <t>342284</t>
  </si>
  <si>
    <t>342939</t>
  </si>
  <si>
    <t>344747</t>
  </si>
  <si>
    <t>344872</t>
  </si>
  <si>
    <t>KAKAO346041</t>
  </si>
  <si>
    <t>346041</t>
  </si>
  <si>
    <t>347785</t>
  </si>
  <si>
    <t>348849</t>
  </si>
  <si>
    <t>353552</t>
  </si>
  <si>
    <t>355646</t>
  </si>
  <si>
    <t>355797</t>
  </si>
  <si>
    <t>367135</t>
  </si>
  <si>
    <t>368500</t>
  </si>
  <si>
    <t>369642</t>
  </si>
  <si>
    <t>373876</t>
  </si>
  <si>
    <t>KAKAO373995</t>
  </si>
  <si>
    <t>373995</t>
  </si>
  <si>
    <t>383812</t>
  </si>
  <si>
    <t>384461</t>
  </si>
  <si>
    <t>387552</t>
  </si>
  <si>
    <t>387600</t>
  </si>
  <si>
    <t>KAKAO389819</t>
  </si>
  <si>
    <t>389819</t>
  </si>
  <si>
    <t>391969</t>
  </si>
  <si>
    <t>396616</t>
  </si>
  <si>
    <t>397019</t>
  </si>
  <si>
    <t>405901</t>
  </si>
  <si>
    <t>KAKAO406796</t>
  </si>
  <si>
    <t>406796</t>
  </si>
  <si>
    <t>413996</t>
  </si>
  <si>
    <t>416919</t>
  </si>
  <si>
    <t>419042</t>
  </si>
  <si>
    <t>420212</t>
  </si>
  <si>
    <t>425660</t>
  </si>
  <si>
    <t>KAKAO427163</t>
  </si>
  <si>
    <t>427163</t>
  </si>
  <si>
    <t>427706</t>
  </si>
  <si>
    <t>437092</t>
  </si>
  <si>
    <t>446076</t>
  </si>
  <si>
    <t>KAKAO457524</t>
  </si>
  <si>
    <t>457524</t>
  </si>
  <si>
    <t>457790</t>
  </si>
  <si>
    <t>459533</t>
  </si>
  <si>
    <t>465105</t>
  </si>
  <si>
    <t>KAKAO467917</t>
  </si>
  <si>
    <t>467917</t>
  </si>
  <si>
    <t>468565</t>
  </si>
  <si>
    <t>469587</t>
  </si>
  <si>
    <t>469588</t>
  </si>
  <si>
    <t>469589</t>
  </si>
  <si>
    <t>469590</t>
  </si>
  <si>
    <t>469592</t>
  </si>
  <si>
    <t>470051</t>
  </si>
  <si>
    <t>470516</t>
  </si>
  <si>
    <t>470593</t>
  </si>
  <si>
    <t>470598</t>
  </si>
  <si>
    <t>470599</t>
  </si>
  <si>
    <t>470604</t>
  </si>
  <si>
    <t>470605</t>
  </si>
  <si>
    <t>470612</t>
  </si>
  <si>
    <t>470614</t>
  </si>
  <si>
    <t>470617</t>
  </si>
  <si>
    <t>470620</t>
  </si>
  <si>
    <t>470621</t>
  </si>
  <si>
    <t>470625</t>
  </si>
  <si>
    <t>470630</t>
  </si>
  <si>
    <t>471038</t>
  </si>
  <si>
    <t>472049</t>
  </si>
  <si>
    <t>472050</t>
  </si>
  <si>
    <t>475336</t>
  </si>
  <si>
    <t>475347</t>
  </si>
  <si>
    <t>477332</t>
  </si>
  <si>
    <t>483484</t>
  </si>
  <si>
    <t>KAKAO485630</t>
  </si>
  <si>
    <t>485630</t>
  </si>
  <si>
    <t>497961</t>
  </si>
  <si>
    <t>499450</t>
  </si>
  <si>
    <t>KAKAO501488</t>
  </si>
  <si>
    <t>501488</t>
  </si>
  <si>
    <t>106966</t>
  </si>
  <si>
    <t>모먼트124348</t>
  </si>
  <si>
    <t>124348</t>
  </si>
  <si>
    <t>126966</t>
  </si>
  <si>
    <t>136197</t>
  </si>
  <si>
    <t>모먼트138725</t>
  </si>
  <si>
    <t>138725</t>
  </si>
  <si>
    <t>모먼트140858</t>
  </si>
  <si>
    <t>140858</t>
  </si>
  <si>
    <t>모먼트146436</t>
  </si>
  <si>
    <t>146436</t>
  </si>
  <si>
    <t>150177</t>
  </si>
  <si>
    <t>모먼트150299</t>
  </si>
  <si>
    <t>150299</t>
  </si>
  <si>
    <t>모먼트154181</t>
  </si>
  <si>
    <t>154181</t>
  </si>
  <si>
    <t>154879</t>
  </si>
  <si>
    <t>모먼트156715</t>
  </si>
  <si>
    <t>156715</t>
  </si>
  <si>
    <t>189723</t>
  </si>
  <si>
    <t>모먼트189770</t>
  </si>
  <si>
    <t>189770</t>
  </si>
  <si>
    <t>190552</t>
  </si>
  <si>
    <t>모먼트195095</t>
  </si>
  <si>
    <t>195095</t>
  </si>
  <si>
    <t>216923</t>
  </si>
  <si>
    <t>217545</t>
  </si>
  <si>
    <t>217547</t>
  </si>
  <si>
    <t>217657</t>
  </si>
  <si>
    <t>226234</t>
  </si>
  <si>
    <t>229297</t>
  </si>
  <si>
    <t>모먼트243069</t>
  </si>
  <si>
    <t>243069</t>
  </si>
  <si>
    <t>243383</t>
  </si>
  <si>
    <t>모먼트250983</t>
  </si>
  <si>
    <t>250983</t>
  </si>
  <si>
    <t>252734</t>
  </si>
  <si>
    <t>모먼트267424</t>
  </si>
  <si>
    <t>267424</t>
  </si>
  <si>
    <t>모먼트276004</t>
  </si>
  <si>
    <t>276004</t>
  </si>
  <si>
    <t>293469</t>
  </si>
  <si>
    <t>모먼트296434</t>
  </si>
  <si>
    <t>296434</t>
  </si>
  <si>
    <t>모먼트320516</t>
  </si>
  <si>
    <t>320516</t>
  </si>
  <si>
    <t>321940</t>
  </si>
  <si>
    <t>344227</t>
  </si>
  <si>
    <t>366104</t>
  </si>
  <si>
    <t>모먼트366859</t>
  </si>
  <si>
    <t>366859</t>
  </si>
  <si>
    <t>371444</t>
  </si>
  <si>
    <t>모먼트378127</t>
  </si>
  <si>
    <t>378127</t>
  </si>
  <si>
    <t>모먼트389747</t>
  </si>
  <si>
    <t>389747</t>
  </si>
  <si>
    <t>모먼트389780</t>
  </si>
  <si>
    <t>389780</t>
  </si>
  <si>
    <t>390900</t>
  </si>
  <si>
    <t>394139</t>
  </si>
  <si>
    <t>397217</t>
  </si>
  <si>
    <t>399170</t>
  </si>
  <si>
    <t>401692</t>
  </si>
  <si>
    <t>모먼트402860</t>
  </si>
  <si>
    <t>402860</t>
  </si>
  <si>
    <t>405555</t>
  </si>
  <si>
    <t>41128</t>
  </si>
  <si>
    <t>41662</t>
  </si>
  <si>
    <t>모먼트424123</t>
  </si>
  <si>
    <t>424123</t>
  </si>
  <si>
    <t>모먼트432463</t>
  </si>
  <si>
    <t>432463</t>
  </si>
  <si>
    <t>437971</t>
  </si>
  <si>
    <t>모먼트451275</t>
  </si>
  <si>
    <t>451275</t>
  </si>
  <si>
    <t>45316</t>
  </si>
  <si>
    <t>모먼트453515</t>
  </si>
  <si>
    <t>453515</t>
  </si>
  <si>
    <t>모먼트454992</t>
  </si>
  <si>
    <t>454992</t>
  </si>
  <si>
    <t>모먼트456505</t>
  </si>
  <si>
    <t>456505</t>
  </si>
  <si>
    <t>모먼트466128</t>
  </si>
  <si>
    <t>466128</t>
  </si>
  <si>
    <t>모먼트46946</t>
  </si>
  <si>
    <t>46946</t>
  </si>
  <si>
    <t>모먼트47326</t>
  </si>
  <si>
    <t>47326</t>
  </si>
  <si>
    <t>47342</t>
  </si>
  <si>
    <t>모먼트47575</t>
  </si>
  <si>
    <t>47575</t>
  </si>
  <si>
    <t>47818</t>
  </si>
  <si>
    <t>48072</t>
  </si>
  <si>
    <t>485159</t>
  </si>
  <si>
    <t>모먼트488116</t>
  </si>
  <si>
    <t>488116</t>
  </si>
  <si>
    <t>488787</t>
  </si>
  <si>
    <t>489401</t>
  </si>
  <si>
    <t>모먼트491674</t>
  </si>
  <si>
    <t>491674</t>
  </si>
  <si>
    <t>모먼트495789</t>
  </si>
  <si>
    <t>495789</t>
  </si>
  <si>
    <t>모먼트496045</t>
  </si>
  <si>
    <t>496045</t>
  </si>
  <si>
    <t>모먼트50086</t>
  </si>
  <si>
    <t>50086</t>
  </si>
  <si>
    <t>51167</t>
  </si>
  <si>
    <t>53570</t>
  </si>
  <si>
    <t>모먼트53889</t>
  </si>
  <si>
    <t>53889</t>
  </si>
  <si>
    <t>모먼트54523</t>
  </si>
  <si>
    <t>54523</t>
  </si>
  <si>
    <t>60639</t>
  </si>
  <si>
    <t>모먼트63907</t>
  </si>
  <si>
    <t>63907</t>
  </si>
  <si>
    <t>65389</t>
  </si>
  <si>
    <t>모먼트94461</t>
  </si>
  <si>
    <t>94461</t>
  </si>
  <si>
    <t>97494</t>
  </si>
  <si>
    <t>모먼트99234</t>
  </si>
  <si>
    <t>99234</t>
  </si>
  <si>
    <t>부문</t>
    <phoneticPr fontId="18" type="noConversion"/>
  </si>
  <si>
    <t>팀</t>
    <phoneticPr fontId="18" type="noConversion"/>
  </si>
  <si>
    <t>담당자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</si>
</sst>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Calibri"/>
      <family val="2"/>
    </font>
    <font>
      <sz val="9"/>
      <color indexed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9"/>
      <color rgb="FF000000"/>
      <name val="Calibri"/>
      <family val="2"/>
    </font>
    <font>
      <sz val="9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" fontId="0" fillId="0" borderId="0" xfId="0" applyNumberFormat="1">
      <alignment vertical="center"/>
    </xf>
    <xf numFmtId="49" fontId="19" fillId="33" borderId="10" xfId="0" applyNumberFormat="1" applyFont="1" applyFill="1" applyBorder="1" applyAlignment="1" applyProtection="1">
      <alignment horizontal="center" vertical="center"/>
    </xf>
    <xf numFmtId="0" fontId="19" fillId="33" borderId="10" xfId="0" applyNumberFormat="1" applyFont="1" applyFill="1" applyBorder="1" applyAlignment="1" applyProtection="1">
      <alignment horizontal="center" vertical="center"/>
    </xf>
    <xf numFmtId="49" fontId="21" fillId="0" borderId="10" xfId="0" applyNumberFormat="1" applyFont="1" applyFill="1" applyBorder="1" applyAlignment="1" applyProtection="1">
      <alignment vertical="center"/>
    </xf>
    <xf numFmtId="49" fontId="22" fillId="0" borderId="10" xfId="0" applyNumberFormat="1" applyFont="1" applyFill="1" applyBorder="1" applyAlignment="1" applyProtection="1">
      <alignment vertical="center"/>
    </xf>
    <xf numFmtId="0" fontId="21" fillId="0" borderId="10" xfId="0" applyNumberFormat="1" applyFont="1" applyFill="1" applyBorder="1" applyAlignment="1" applyProtection="1">
      <alignment vertical="center"/>
    </xf>
    <xf numFmtId="49" fontId="23" fillId="0" borderId="10" xfId="0" applyNumberFormat="1" applyFont="1" applyFill="1" applyBorder="1" applyAlignment="1">
      <alignment vertical="center"/>
    </xf>
    <xf numFmtId="49" fontId="24" fillId="0" borderId="10" xfId="0" applyNumberFormat="1" applyFont="1" applyFill="1" applyBorder="1" applyAlignment="1">
      <alignment vertical="center"/>
    </xf>
    <xf numFmtId="49" fontId="23" fillId="0" borderId="10" xfId="0" applyNumberFormat="1" applyFont="1" applyFill="1" applyBorder="1" applyAlignment="1">
      <alignment vertical="center" wrapText="1"/>
    </xf>
    <xf numFmtId="49" fontId="21" fillId="0" borderId="10" xfId="0" applyNumberFormat="1" applyFont="1" applyFill="1" applyBorder="1" applyAlignment="1" applyProtection="1"/>
    <xf numFmtId="49" fontId="22" fillId="0" borderId="10" xfId="0" applyNumberFormat="1" applyFont="1" applyFill="1" applyBorder="1" applyAlignment="1" applyProtection="1">
      <alignment horizontal="left"/>
    </xf>
    <xf numFmtId="49" fontId="21" fillId="0" borderId="10" xfId="0" applyNumberFormat="1" applyFont="1" applyFill="1" applyBorder="1" applyAlignment="1" applyProtection="1">
      <alignment horizontal="left"/>
    </xf>
    <xf numFmtId="49" fontId="26" fillId="0" borderId="10" xfId="0" applyNumberFormat="1" applyFont="1" applyFill="1" applyBorder="1" applyAlignment="1" applyProtection="1"/>
    <xf numFmtId="49" fontId="21" fillId="0" borderId="10" xfId="0" applyNumberFormat="1" applyFont="1" applyFill="1" applyBorder="1" applyAlignment="1" applyProtection="1">
      <alignment horizontal="center"/>
    </xf>
    <xf numFmtId="49" fontId="21" fillId="34" borderId="10" xfId="0" applyNumberFormat="1" applyFont="1" applyFill="1" applyBorder="1" applyAlignment="1" applyProtection="1">
      <alignment horizontal="left"/>
    </xf>
    <xf numFmtId="49" fontId="27" fillId="0" borderId="10" xfId="0" applyNumberFormat="1" applyFont="1" applyBorder="1" applyAlignment="1"/>
    <xf numFmtId="49" fontId="28" fillId="0" borderId="10" xfId="0" applyNumberFormat="1" applyFont="1" applyBorder="1" applyAlignment="1">
      <alignment vertical="center"/>
    </xf>
    <xf numFmtId="0" fontId="0" fillId="0" borderId="11" xfId="0" applyFill="1" applyBorder="1" applyAlignment="1" applyProtection="1">
      <alignment horizontal="center"/>
    </xf>
    <xf numFmtId="0" fontId="0" fillId="0" borderId="0" xfId="0" applyFill="1" applyAlignment="1" applyProtection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57"/>
  <sheetViews>
    <sheetView workbookViewId="0">
      <selection activeCell="H11" sqref="A1:N2238"/>
    </sheetView>
  </sheetViews>
  <sheetFormatPr defaultRowHeight="16.5" x14ac:dyDescent="0.3"/>
  <cols>
    <col min="8" max="8" width="17" customWidth="1"/>
  </cols>
  <sheetData>
    <row r="1" spans="1:19" x14ac:dyDescent="0.3">
      <c r="A1" t="s">
        <v>0</v>
      </c>
      <c r="B1" t="s">
        <v>7800</v>
      </c>
      <c r="C1" t="s">
        <v>1</v>
      </c>
      <c r="D1" t="s">
        <v>7802</v>
      </c>
      <c r="E1" t="s">
        <v>2</v>
      </c>
      <c r="F1" t="s">
        <v>7804</v>
      </c>
      <c r="G1" t="s">
        <v>3</v>
      </c>
      <c r="H1" t="s">
        <v>6883</v>
      </c>
      <c r="I1" t="s">
        <v>4</v>
      </c>
      <c r="J1" t="s">
        <v>5</v>
      </c>
      <c r="K1" t="s">
        <v>6</v>
      </c>
      <c r="L1" t="s">
        <v>7</v>
      </c>
      <c r="M1" t="s">
        <v>6885</v>
      </c>
      <c r="N1" t="s">
        <v>7221</v>
      </c>
      <c r="R1" t="s">
        <v>1924</v>
      </c>
      <c r="S1" t="s">
        <v>1925</v>
      </c>
    </row>
    <row r="2" spans="1:19" x14ac:dyDescent="0.3">
      <c r="A2" t="s">
        <v>8</v>
      </c>
      <c r="B2">
        <f>VLOOKUP(A2,Sheet2!B:F,5,FALSE)</f>
        <v>928</v>
      </c>
      <c r="C2" t="s">
        <v>9</v>
      </c>
      <c r="D2">
        <f>VLOOKUP(C2,Sheet2!C:G,5,FALSE)</f>
        <v>1202</v>
      </c>
      <c r="E2" t="s">
        <v>10</v>
      </c>
      <c r="F2">
        <f>VLOOKUP(E2,Sheet2!D:E,2,FALSE)</f>
        <v>939</v>
      </c>
      <c r="G2" t="s">
        <v>11</v>
      </c>
      <c r="H2" t="str">
        <f>CONCATENATE(G2,I2)</f>
        <v>NAVER01034394813</v>
      </c>
      <c r="I2" t="str">
        <f>"01034394813"</f>
        <v>01034394813</v>
      </c>
      <c r="J2">
        <v>180230</v>
      </c>
      <c r="K2" s="1">
        <v>44866</v>
      </c>
      <c r="L2" t="s">
        <v>12</v>
      </c>
      <c r="M2">
        <f>VLOOKUP(H2,R:S,2,FALSE)</f>
        <v>58330</v>
      </c>
      <c r="N2" t="e">
        <f>VLOOKUP(H2,Sheet1!G:H,2,FALSE)</f>
        <v>#N/A</v>
      </c>
      <c r="R2" t="s">
        <v>1926</v>
      </c>
      <c r="S2">
        <v>100</v>
      </c>
    </row>
    <row r="3" spans="1:19" x14ac:dyDescent="0.3">
      <c r="A3" t="s">
        <v>8</v>
      </c>
      <c r="B3">
        <f>VLOOKUP(A3,Sheet2!B:F,5,FALSE)</f>
        <v>928</v>
      </c>
      <c r="C3" t="s">
        <v>13</v>
      </c>
      <c r="D3">
        <f>VLOOKUP(C3,Sheet2!C:G,5,FALSE)</f>
        <v>1184</v>
      </c>
      <c r="E3" t="s">
        <v>14</v>
      </c>
      <c r="F3">
        <f>VLOOKUP(E3,Sheet2!D:E,2,FALSE)</f>
        <v>914</v>
      </c>
      <c r="G3" t="s">
        <v>11</v>
      </c>
      <c r="H3" t="str">
        <f t="shared" ref="H3:H66" si="0">CONCATENATE(G3,I3)</f>
        <v>NAVER01054551482</v>
      </c>
      <c r="I3" t="str">
        <f>"01054551482"</f>
        <v>01054551482</v>
      </c>
      <c r="J3">
        <v>92160</v>
      </c>
      <c r="K3" s="1">
        <v>44866</v>
      </c>
      <c r="L3" t="s">
        <v>15</v>
      </c>
      <c r="M3">
        <f t="shared" ref="M3:M66" si="1">VLOOKUP(H3,R:S,2,FALSE)</f>
        <v>92160</v>
      </c>
      <c r="N3" t="e">
        <f>VLOOKUP(H3,Sheet1!G:H,2,FALSE)</f>
        <v>#N/A</v>
      </c>
      <c r="R3" t="s">
        <v>1927</v>
      </c>
      <c r="S3">
        <v>1102090</v>
      </c>
    </row>
    <row r="4" spans="1:19" x14ac:dyDescent="0.3">
      <c r="A4" t="s">
        <v>16</v>
      </c>
      <c r="B4">
        <f>VLOOKUP(A4,Sheet2!B:F,5,FALSE)</f>
        <v>927</v>
      </c>
      <c r="C4" t="s">
        <v>17</v>
      </c>
      <c r="D4">
        <f>VLOOKUP(C4,Sheet2!C:G,5,FALSE)</f>
        <v>1200</v>
      </c>
      <c r="E4" t="s">
        <v>18</v>
      </c>
      <c r="F4">
        <f>VLOOKUP(E4,Sheet2!D:E,2,FALSE)</f>
        <v>201116</v>
      </c>
      <c r="G4" t="s">
        <v>11</v>
      </c>
      <c r="H4" t="str">
        <f t="shared" si="0"/>
        <v>NAVER01073381068:naver</v>
      </c>
      <c r="I4" t="str">
        <f>"01073381068:naver"</f>
        <v>01073381068:naver</v>
      </c>
      <c r="J4">
        <v>1222313</v>
      </c>
      <c r="K4" s="1">
        <v>44866</v>
      </c>
      <c r="L4" t="s">
        <v>19</v>
      </c>
      <c r="M4">
        <f t="shared" si="1"/>
        <v>1249530</v>
      </c>
      <c r="N4" t="e">
        <f>VLOOKUP(H4,Sheet1!G:H,2,FALSE)</f>
        <v>#N/A</v>
      </c>
      <c r="R4" t="s">
        <v>1928</v>
      </c>
      <c r="S4">
        <v>920</v>
      </c>
    </row>
    <row r="5" spans="1:19" x14ac:dyDescent="0.3">
      <c r="A5" t="s">
        <v>8</v>
      </c>
      <c r="B5">
        <f>VLOOKUP(A5,Sheet2!B:F,5,FALSE)</f>
        <v>928</v>
      </c>
      <c r="C5" t="s">
        <v>9</v>
      </c>
      <c r="D5">
        <f>VLOOKUP(C5,Sheet2!C:G,5,FALSE)</f>
        <v>1202</v>
      </c>
      <c r="E5" t="s">
        <v>20</v>
      </c>
      <c r="F5">
        <f>VLOOKUP(E5,Sheet2!D:E,2,FALSE)</f>
        <v>938</v>
      </c>
      <c r="G5" t="s">
        <v>11</v>
      </c>
      <c r="H5" t="str">
        <f t="shared" si="0"/>
        <v>NAVER024333607</v>
      </c>
      <c r="I5" t="str">
        <f>"024333607"</f>
        <v>024333607</v>
      </c>
      <c r="J5">
        <v>2511080</v>
      </c>
      <c r="K5" s="1">
        <v>44866</v>
      </c>
      <c r="L5" t="s">
        <v>21</v>
      </c>
      <c r="M5">
        <f t="shared" si="1"/>
        <v>2511080</v>
      </c>
      <c r="N5" t="e">
        <f>VLOOKUP(H5,Sheet1!G:H,2,FALSE)</f>
        <v>#N/A</v>
      </c>
      <c r="R5" t="s">
        <v>1929</v>
      </c>
      <c r="S5">
        <v>136790</v>
      </c>
    </row>
    <row r="6" spans="1:19" x14ac:dyDescent="0.3">
      <c r="A6" t="s">
        <v>22</v>
      </c>
      <c r="B6">
        <f>VLOOKUP(A6,Sheet2!B:F,5,FALSE)</f>
        <v>809</v>
      </c>
      <c r="C6" t="s">
        <v>23</v>
      </c>
      <c r="D6">
        <f>VLOOKUP(C6,Sheet2!C:G,5,FALSE)</f>
        <v>810</v>
      </c>
      <c r="E6" t="s">
        <v>24</v>
      </c>
      <c r="F6">
        <f>VLOOKUP(E6,Sheet2!D:E,2,FALSE)</f>
        <v>201032</v>
      </c>
      <c r="G6" t="s">
        <v>11</v>
      </c>
      <c r="H6" t="str">
        <f t="shared" si="0"/>
        <v>NAVER02545</v>
      </c>
      <c r="I6" t="str">
        <f>"02545"</f>
        <v>02545</v>
      </c>
      <c r="J6">
        <v>2230</v>
      </c>
      <c r="K6" s="1">
        <v>44866</v>
      </c>
      <c r="L6" t="s">
        <v>25</v>
      </c>
      <c r="M6">
        <f t="shared" si="1"/>
        <v>2230</v>
      </c>
      <c r="N6" t="e">
        <f>VLOOKUP(H6,Sheet1!G:H,2,FALSE)</f>
        <v>#N/A</v>
      </c>
      <c r="R6" t="s">
        <v>1930</v>
      </c>
      <c r="S6">
        <v>115740</v>
      </c>
    </row>
    <row r="7" spans="1:19" x14ac:dyDescent="0.3">
      <c r="A7" t="s">
        <v>8</v>
      </c>
      <c r="B7">
        <f>VLOOKUP(A7,Sheet2!B:F,5,FALSE)</f>
        <v>928</v>
      </c>
      <c r="C7" t="s">
        <v>9</v>
      </c>
      <c r="D7">
        <f>VLOOKUP(C7,Sheet2!C:G,5,FALSE)</f>
        <v>1202</v>
      </c>
      <c r="E7" t="s">
        <v>20</v>
      </c>
      <c r="F7">
        <f>VLOOKUP(E7,Sheet2!D:E,2,FALSE)</f>
        <v>938</v>
      </c>
      <c r="G7" t="s">
        <v>11</v>
      </c>
      <c r="H7" t="str">
        <f t="shared" si="0"/>
        <v>NAVER0482ds:naver</v>
      </c>
      <c r="I7" t="str">
        <f>"0482ds:naver"</f>
        <v>0482ds:naver</v>
      </c>
      <c r="J7">
        <v>65150</v>
      </c>
      <c r="K7" s="1">
        <v>44866</v>
      </c>
      <c r="L7" t="s">
        <v>26</v>
      </c>
      <c r="M7">
        <f t="shared" si="1"/>
        <v>65150</v>
      </c>
      <c r="N7" t="e">
        <f>VLOOKUP(H7,Sheet1!G:H,2,FALSE)</f>
        <v>#N/A</v>
      </c>
      <c r="R7" t="s">
        <v>1931</v>
      </c>
      <c r="S7">
        <v>7240</v>
      </c>
    </row>
    <row r="8" spans="1:19" x14ac:dyDescent="0.3">
      <c r="A8" t="s">
        <v>8</v>
      </c>
      <c r="B8">
        <f>VLOOKUP(A8,Sheet2!B:F,5,FALSE)</f>
        <v>928</v>
      </c>
      <c r="C8" t="s">
        <v>9</v>
      </c>
      <c r="D8">
        <f>VLOOKUP(C8,Sheet2!C:G,5,FALSE)</f>
        <v>1202</v>
      </c>
      <c r="E8" t="s">
        <v>27</v>
      </c>
      <c r="F8">
        <f>VLOOKUP(E8,Sheet2!D:E,2,FALSE)</f>
        <v>806</v>
      </c>
      <c r="G8" t="s">
        <v>11</v>
      </c>
      <c r="H8" t="str">
        <f t="shared" si="0"/>
        <v>NAVER0922ms</v>
      </c>
      <c r="I8" t="str">
        <f>"0922ms"</f>
        <v>0922ms</v>
      </c>
      <c r="J8">
        <v>21210</v>
      </c>
      <c r="K8" s="1">
        <v>44866</v>
      </c>
      <c r="L8" t="s">
        <v>28</v>
      </c>
      <c r="M8">
        <f t="shared" si="1"/>
        <v>21210</v>
      </c>
      <c r="N8" t="e">
        <f>VLOOKUP(H8,Sheet1!G:H,2,FALSE)</f>
        <v>#N/A</v>
      </c>
      <c r="R8" t="s">
        <v>1932</v>
      </c>
      <c r="S8">
        <v>32600</v>
      </c>
    </row>
    <row r="9" spans="1:19" x14ac:dyDescent="0.3">
      <c r="A9" t="s">
        <v>16</v>
      </c>
      <c r="B9">
        <f>VLOOKUP(A9,Sheet2!B:F,5,FALSE)</f>
        <v>927</v>
      </c>
      <c r="C9" t="s">
        <v>17</v>
      </c>
      <c r="D9">
        <f>VLOOKUP(C9,Sheet2!C:G,5,FALSE)</f>
        <v>1200</v>
      </c>
      <c r="E9" t="s">
        <v>29</v>
      </c>
      <c r="F9">
        <f>VLOOKUP(E9,Sheet2!D:E,2,FALSE)</f>
        <v>1496</v>
      </c>
      <c r="G9" t="s">
        <v>11</v>
      </c>
      <c r="H9" t="str">
        <f t="shared" si="0"/>
        <v>NAVER1014roes:naver</v>
      </c>
      <c r="I9" t="str">
        <f>"1014roes:naver"</f>
        <v>1014roes:naver</v>
      </c>
      <c r="J9">
        <v>120</v>
      </c>
      <c r="K9" s="1">
        <v>44866</v>
      </c>
      <c r="L9" t="s">
        <v>30</v>
      </c>
      <c r="M9">
        <f t="shared" si="1"/>
        <v>120</v>
      </c>
      <c r="N9" t="e">
        <f>VLOOKUP(H9,Sheet1!G:H,2,FALSE)</f>
        <v>#N/A</v>
      </c>
      <c r="R9" t="s">
        <v>1933</v>
      </c>
      <c r="S9">
        <v>50400</v>
      </c>
    </row>
    <row r="10" spans="1:19" x14ac:dyDescent="0.3">
      <c r="A10" t="s">
        <v>8</v>
      </c>
      <c r="B10">
        <f>VLOOKUP(A10,Sheet2!B:F,5,FALSE)</f>
        <v>928</v>
      </c>
      <c r="C10" t="s">
        <v>9</v>
      </c>
      <c r="D10">
        <f>VLOOKUP(C10,Sheet2!C:G,5,FALSE)</f>
        <v>1202</v>
      </c>
      <c r="E10" t="s">
        <v>31</v>
      </c>
      <c r="F10">
        <f>VLOOKUP(E10,Sheet2!D:E,2,FALSE)</f>
        <v>1040</v>
      </c>
      <c r="G10" t="s">
        <v>11</v>
      </c>
      <c r="H10" t="str">
        <f t="shared" si="0"/>
        <v>NAVER11444gyn</v>
      </c>
      <c r="I10" t="str">
        <f>"11444gyn"</f>
        <v>11444gyn</v>
      </c>
      <c r="J10">
        <v>88240</v>
      </c>
      <c r="K10" s="1">
        <v>44866</v>
      </c>
      <c r="L10" t="s">
        <v>32</v>
      </c>
      <c r="M10">
        <f t="shared" si="1"/>
        <v>88240</v>
      </c>
      <c r="N10" t="e">
        <f>VLOOKUP(H10,Sheet1!G:H,2,FALSE)</f>
        <v>#N/A</v>
      </c>
      <c r="R10" t="s">
        <v>1934</v>
      </c>
      <c r="S10">
        <v>220</v>
      </c>
    </row>
    <row r="11" spans="1:19" x14ac:dyDescent="0.3">
      <c r="A11" t="s">
        <v>8</v>
      </c>
      <c r="B11">
        <f>VLOOKUP(A11,Sheet2!B:F,5,FALSE)</f>
        <v>928</v>
      </c>
      <c r="C11" t="s">
        <v>9</v>
      </c>
      <c r="D11">
        <f>VLOOKUP(C11,Sheet2!C:G,5,FALSE)</f>
        <v>1202</v>
      </c>
      <c r="E11" t="s">
        <v>33</v>
      </c>
      <c r="F11">
        <f>VLOOKUP(E11,Sheet2!D:E,2,FALSE)</f>
        <v>933</v>
      </c>
      <c r="G11" t="s">
        <v>11</v>
      </c>
      <c r="H11" t="str">
        <f t="shared" si="0"/>
        <v>NAVER114boat</v>
      </c>
      <c r="I11" t="str">
        <f>"114boat"</f>
        <v>114boat</v>
      </c>
      <c r="J11">
        <v>1436950</v>
      </c>
      <c r="K11" s="1">
        <v>44866</v>
      </c>
      <c r="L11" t="s">
        <v>34</v>
      </c>
      <c r="M11">
        <f t="shared" si="1"/>
        <v>1436950</v>
      </c>
      <c r="N11" t="e">
        <f>VLOOKUP(H11,Sheet1!G:H,2,FALSE)</f>
        <v>#N/A</v>
      </c>
      <c r="R11" t="s">
        <v>1935</v>
      </c>
      <c r="S11">
        <v>420</v>
      </c>
    </row>
    <row r="12" spans="1:19" x14ac:dyDescent="0.3">
      <c r="A12" t="s">
        <v>8</v>
      </c>
      <c r="B12">
        <f>VLOOKUP(A12,Sheet2!B:F,5,FALSE)</f>
        <v>928</v>
      </c>
      <c r="C12" t="s">
        <v>9</v>
      </c>
      <c r="D12">
        <f>VLOOKUP(C12,Sheet2!C:G,5,FALSE)</f>
        <v>1202</v>
      </c>
      <c r="E12" t="s">
        <v>35</v>
      </c>
      <c r="F12">
        <f>VLOOKUP(E12,Sheet2!D:E,2,FALSE)</f>
        <v>51</v>
      </c>
      <c r="G12" t="s">
        <v>11</v>
      </c>
      <c r="H12" t="str">
        <f t="shared" si="0"/>
        <v>NAVER114print</v>
      </c>
      <c r="I12" t="str">
        <f>"114print"</f>
        <v>114print</v>
      </c>
      <c r="J12">
        <v>1847593</v>
      </c>
      <c r="K12" s="1">
        <v>44866</v>
      </c>
      <c r="L12" t="s">
        <v>36</v>
      </c>
      <c r="M12">
        <f t="shared" si="1"/>
        <v>1497600</v>
      </c>
      <c r="N12" t="e">
        <f>VLOOKUP(H12,Sheet1!G:H,2,FALSE)</f>
        <v>#N/A</v>
      </c>
      <c r="R12" t="s">
        <v>1936</v>
      </c>
      <c r="S12">
        <v>200</v>
      </c>
    </row>
    <row r="13" spans="1:19" x14ac:dyDescent="0.3">
      <c r="A13" t="s">
        <v>8</v>
      </c>
      <c r="B13">
        <f>VLOOKUP(A13,Sheet2!B:F,5,FALSE)</f>
        <v>928</v>
      </c>
      <c r="C13" t="s">
        <v>9</v>
      </c>
      <c r="D13">
        <f>VLOOKUP(C13,Sheet2!C:G,5,FALSE)</f>
        <v>1202</v>
      </c>
      <c r="E13" t="s">
        <v>37</v>
      </c>
      <c r="F13">
        <f>VLOOKUP(E13,Sheet2!D:E,2,FALSE)</f>
        <v>81</v>
      </c>
      <c r="G13" t="s">
        <v>11</v>
      </c>
      <c r="H13" t="str">
        <f t="shared" si="0"/>
        <v>NAVER21jyh</v>
      </c>
      <c r="I13" t="str">
        <f>"21jyh"</f>
        <v>21jyh</v>
      </c>
      <c r="J13">
        <v>45140</v>
      </c>
      <c r="K13" s="1">
        <v>44866</v>
      </c>
      <c r="L13" t="s">
        <v>38</v>
      </c>
      <c r="M13">
        <f t="shared" si="1"/>
        <v>45140</v>
      </c>
      <c r="N13" t="e">
        <f>VLOOKUP(H13,Sheet1!G:H,2,FALSE)</f>
        <v>#N/A</v>
      </c>
      <c r="R13" t="s">
        <v>1937</v>
      </c>
      <c r="S13">
        <v>1220</v>
      </c>
    </row>
    <row r="14" spans="1:19" x14ac:dyDescent="0.3">
      <c r="A14" t="s">
        <v>8</v>
      </c>
      <c r="B14">
        <f>VLOOKUP(A14,Sheet2!B:F,5,FALSE)</f>
        <v>928</v>
      </c>
      <c r="C14" t="s">
        <v>9</v>
      </c>
      <c r="D14">
        <f>VLOOKUP(C14,Sheet2!C:G,5,FALSE)</f>
        <v>1202</v>
      </c>
      <c r="E14" t="s">
        <v>39</v>
      </c>
      <c r="F14">
        <f>VLOOKUP(E14,Sheet2!D:E,2,FALSE)</f>
        <v>25</v>
      </c>
      <c r="G14" t="s">
        <v>11</v>
      </c>
      <c r="H14" t="str">
        <f t="shared" si="0"/>
        <v>NAVER21run</v>
      </c>
      <c r="I14" t="str">
        <f>"21run"</f>
        <v>21run</v>
      </c>
      <c r="J14">
        <v>134020</v>
      </c>
      <c r="K14" s="1">
        <v>44866</v>
      </c>
      <c r="L14" t="s">
        <v>40</v>
      </c>
      <c r="M14">
        <f t="shared" si="1"/>
        <v>134020</v>
      </c>
      <c r="N14" t="e">
        <f>VLOOKUP(H14,Sheet1!G:H,2,FALSE)</f>
        <v>#N/A</v>
      </c>
      <c r="R14" t="s">
        <v>1938</v>
      </c>
      <c r="S14">
        <v>4238010</v>
      </c>
    </row>
    <row r="15" spans="1:19" x14ac:dyDescent="0.3">
      <c r="A15" t="s">
        <v>41</v>
      </c>
      <c r="B15">
        <f>VLOOKUP(A15,Sheet2!B:F,5,FALSE)</f>
        <v>926</v>
      </c>
      <c r="C15" t="s">
        <v>42</v>
      </c>
      <c r="D15">
        <f>VLOOKUP(C15,Sheet2!C:G,5,FALSE)</f>
        <v>964</v>
      </c>
      <c r="E15" t="s">
        <v>43</v>
      </c>
      <c r="F15">
        <f>VLOOKUP(E15,Sheet2!D:E,2,FALSE)</f>
        <v>200998</v>
      </c>
      <c r="G15" t="s">
        <v>11</v>
      </c>
      <c r="H15" t="str">
        <f t="shared" si="0"/>
        <v>NAVER2248147347</v>
      </c>
      <c r="I15" t="str">
        <f>"2248147347"</f>
        <v>2248147347</v>
      </c>
      <c r="J15">
        <v>30130</v>
      </c>
      <c r="K15" s="1">
        <v>44866</v>
      </c>
      <c r="L15" t="s">
        <v>44</v>
      </c>
      <c r="M15">
        <f t="shared" si="1"/>
        <v>30130</v>
      </c>
      <c r="N15" t="e">
        <f>VLOOKUP(H15,Sheet1!G:H,2,FALSE)</f>
        <v>#N/A</v>
      </c>
      <c r="R15" t="s">
        <v>1939</v>
      </c>
      <c r="S15">
        <v>8730</v>
      </c>
    </row>
    <row r="16" spans="1:19" x14ac:dyDescent="0.3">
      <c r="A16" t="s">
        <v>8</v>
      </c>
      <c r="B16">
        <f>VLOOKUP(A16,Sheet2!B:F,5,FALSE)</f>
        <v>928</v>
      </c>
      <c r="C16" t="s">
        <v>9</v>
      </c>
      <c r="D16">
        <f>VLOOKUP(C16,Sheet2!C:G,5,FALSE)</f>
        <v>1202</v>
      </c>
      <c r="E16" t="s">
        <v>45</v>
      </c>
      <c r="F16">
        <f>VLOOKUP(E16,Sheet2!D:E,2,FALSE)</f>
        <v>26</v>
      </c>
      <c r="G16" t="s">
        <v>11</v>
      </c>
      <c r="H16" t="str">
        <f t="shared" si="0"/>
        <v>NAVER247fit</v>
      </c>
      <c r="I16" t="str">
        <f>"247fit"</f>
        <v>247fit</v>
      </c>
      <c r="J16">
        <v>2960</v>
      </c>
      <c r="K16" s="1">
        <v>44866</v>
      </c>
      <c r="L16" t="s">
        <v>46</v>
      </c>
      <c r="M16">
        <f t="shared" si="1"/>
        <v>2960</v>
      </c>
      <c r="N16" t="e">
        <f>VLOOKUP(H16,Sheet1!G:H,2,FALSE)</f>
        <v>#N/A</v>
      </c>
      <c r="R16" t="s">
        <v>1940</v>
      </c>
      <c r="S16">
        <v>58330</v>
      </c>
    </row>
    <row r="17" spans="1:19" x14ac:dyDescent="0.3">
      <c r="A17" t="s">
        <v>8</v>
      </c>
      <c r="B17">
        <f>VLOOKUP(A17,Sheet2!B:F,5,FALSE)</f>
        <v>928</v>
      </c>
      <c r="C17" t="s">
        <v>9</v>
      </c>
      <c r="D17">
        <f>VLOOKUP(C17,Sheet2!C:G,5,FALSE)</f>
        <v>1202</v>
      </c>
      <c r="E17" t="s">
        <v>47</v>
      </c>
      <c r="F17">
        <f>VLOOKUP(E17,Sheet2!D:E,2,FALSE)</f>
        <v>898</v>
      </c>
      <c r="G17" t="s">
        <v>11</v>
      </c>
      <c r="H17" t="str">
        <f t="shared" si="0"/>
        <v>NAVER24solution:naver</v>
      </c>
      <c r="I17" t="str">
        <f>"24solution:naver"</f>
        <v>24solution:naver</v>
      </c>
      <c r="J17">
        <v>145530</v>
      </c>
      <c r="K17" s="1">
        <v>44866</v>
      </c>
      <c r="L17" t="s">
        <v>48</v>
      </c>
      <c r="M17">
        <f t="shared" si="1"/>
        <v>145530</v>
      </c>
      <c r="N17" t="e">
        <f>VLOOKUP(H17,Sheet1!G:H,2,FALSE)</f>
        <v>#N/A</v>
      </c>
      <c r="R17" t="s">
        <v>1941</v>
      </c>
      <c r="S17">
        <v>36260</v>
      </c>
    </row>
    <row r="18" spans="1:19" x14ac:dyDescent="0.3">
      <c r="A18" t="s">
        <v>16</v>
      </c>
      <c r="B18">
        <f>VLOOKUP(A18,Sheet2!B:F,5,FALSE)</f>
        <v>927</v>
      </c>
      <c r="C18" t="s">
        <v>17</v>
      </c>
      <c r="D18">
        <f>VLOOKUP(C18,Sheet2!C:G,5,FALSE)</f>
        <v>1200</v>
      </c>
      <c r="E18" t="s">
        <v>49</v>
      </c>
      <c r="F18">
        <f>VLOOKUP(E18,Sheet2!D:E,2,FALSE)</f>
        <v>201114</v>
      </c>
      <c r="G18" t="s">
        <v>11</v>
      </c>
      <c r="H18" t="str">
        <f t="shared" si="0"/>
        <v>NAVER259official:naver</v>
      </c>
      <c r="I18" t="str">
        <f>"259official:naver"</f>
        <v>259official:naver</v>
      </c>
      <c r="J18">
        <v>1855200</v>
      </c>
      <c r="K18" s="1">
        <v>44866</v>
      </c>
      <c r="L18" t="s">
        <v>50</v>
      </c>
      <c r="M18">
        <f t="shared" si="1"/>
        <v>1855200</v>
      </c>
      <c r="N18" t="e">
        <f>VLOOKUP(H18,Sheet1!G:H,2,FALSE)</f>
        <v>#N/A</v>
      </c>
      <c r="R18" t="s">
        <v>1942</v>
      </c>
      <c r="S18">
        <v>1182450</v>
      </c>
    </row>
    <row r="19" spans="1:19" x14ac:dyDescent="0.3">
      <c r="A19" t="s">
        <v>8</v>
      </c>
      <c r="B19">
        <f>VLOOKUP(A19,Sheet2!B:F,5,FALSE)</f>
        <v>928</v>
      </c>
      <c r="C19" t="s">
        <v>13</v>
      </c>
      <c r="D19">
        <f>VLOOKUP(C19,Sheet2!C:G,5,FALSE)</f>
        <v>1184</v>
      </c>
      <c r="E19" t="s">
        <v>51</v>
      </c>
      <c r="F19">
        <f>VLOOKUP(E19,Sheet2!D:E,2,FALSE)</f>
        <v>1274</v>
      </c>
      <c r="G19" t="s">
        <v>11</v>
      </c>
      <c r="H19" t="str">
        <f t="shared" si="0"/>
        <v>NAVER2727kl</v>
      </c>
      <c r="I19" t="str">
        <f>"2727kl"</f>
        <v>2727kl</v>
      </c>
      <c r="J19">
        <v>2360</v>
      </c>
      <c r="K19" s="1">
        <v>44866</v>
      </c>
      <c r="L19" t="s">
        <v>52</v>
      </c>
      <c r="M19">
        <f t="shared" si="1"/>
        <v>2360</v>
      </c>
      <c r="N19" t="e">
        <f>VLOOKUP(H19,Sheet1!G:H,2,FALSE)</f>
        <v>#N/A</v>
      </c>
      <c r="R19" t="s">
        <v>1943</v>
      </c>
      <c r="S19">
        <v>70890</v>
      </c>
    </row>
    <row r="20" spans="1:19" x14ac:dyDescent="0.3">
      <c r="A20" t="s">
        <v>16</v>
      </c>
      <c r="B20">
        <f>VLOOKUP(A20,Sheet2!B:F,5,FALSE)</f>
        <v>927</v>
      </c>
      <c r="C20" t="s">
        <v>17</v>
      </c>
      <c r="D20">
        <f>VLOOKUP(C20,Sheet2!C:G,5,FALSE)</f>
        <v>1200</v>
      </c>
      <c r="E20" t="s">
        <v>53</v>
      </c>
      <c r="F20">
        <f>VLOOKUP(E20,Sheet2!D:E,2,FALSE)</f>
        <v>201080</v>
      </c>
      <c r="G20" t="s">
        <v>11</v>
      </c>
      <c r="H20" t="str">
        <f t="shared" si="0"/>
        <v>NAVER2f_cafe_:naver</v>
      </c>
      <c r="I20" t="str">
        <f>"2f_cafe_:naver"</f>
        <v>2f_cafe_:naver</v>
      </c>
      <c r="J20">
        <v>413960</v>
      </c>
      <c r="K20" s="1">
        <v>44866</v>
      </c>
      <c r="L20" t="s">
        <v>54</v>
      </c>
      <c r="M20">
        <f t="shared" si="1"/>
        <v>413960</v>
      </c>
      <c r="N20" t="e">
        <f>VLOOKUP(H20,Sheet1!G:H,2,FALSE)</f>
        <v>#N/A</v>
      </c>
      <c r="R20" t="s">
        <v>1944</v>
      </c>
      <c r="S20">
        <v>92160</v>
      </c>
    </row>
    <row r="21" spans="1:19" x14ac:dyDescent="0.3">
      <c r="A21" t="s">
        <v>8</v>
      </c>
      <c r="B21">
        <f>VLOOKUP(A21,Sheet2!B:F,5,FALSE)</f>
        <v>928</v>
      </c>
      <c r="C21" t="s">
        <v>9</v>
      </c>
      <c r="D21">
        <f>VLOOKUP(C21,Sheet2!C:G,5,FALSE)</f>
        <v>1202</v>
      </c>
      <c r="E21" t="s">
        <v>37</v>
      </c>
      <c r="F21">
        <f>VLOOKUP(E21,Sheet2!D:E,2,FALSE)</f>
        <v>81</v>
      </c>
      <c r="G21" t="s">
        <v>11</v>
      </c>
      <c r="H21" t="str">
        <f t="shared" si="0"/>
        <v>NAVER3005kt</v>
      </c>
      <c r="I21" t="str">
        <f>"3005kt"</f>
        <v>3005kt</v>
      </c>
      <c r="J21">
        <v>86450</v>
      </c>
      <c r="K21" s="1">
        <v>44866</v>
      </c>
      <c r="L21" t="s">
        <v>55</v>
      </c>
      <c r="M21">
        <f t="shared" si="1"/>
        <v>86450</v>
      </c>
      <c r="N21" t="e">
        <f>VLOOKUP(H21,Sheet1!G:H,2,FALSE)</f>
        <v>#N/A</v>
      </c>
      <c r="R21" t="s">
        <v>1945</v>
      </c>
      <c r="S21">
        <v>1249530</v>
      </c>
    </row>
    <row r="22" spans="1:19" x14ac:dyDescent="0.3">
      <c r="A22" t="s">
        <v>41</v>
      </c>
      <c r="B22">
        <f>VLOOKUP(A22,Sheet2!B:F,5,FALSE)</f>
        <v>926</v>
      </c>
      <c r="C22" t="s">
        <v>56</v>
      </c>
      <c r="D22">
        <f>VLOOKUP(C22,Sheet2!C:G,5,FALSE)</f>
        <v>1207</v>
      </c>
      <c r="E22" t="s">
        <v>57</v>
      </c>
      <c r="F22">
        <f>VLOOKUP(E22,Sheet2!D:E,2,FALSE)</f>
        <v>200982</v>
      </c>
      <c r="G22" t="s">
        <v>11</v>
      </c>
      <c r="H22" t="str">
        <f t="shared" si="0"/>
        <v>NAVER3012989568</v>
      </c>
      <c r="I22" t="str">
        <f>"3012989568"</f>
        <v>3012989568</v>
      </c>
      <c r="J22">
        <v>110350</v>
      </c>
      <c r="K22" s="1">
        <v>44866</v>
      </c>
      <c r="L22" t="s">
        <v>58</v>
      </c>
      <c r="M22">
        <f t="shared" si="1"/>
        <v>110350</v>
      </c>
      <c r="N22" t="e">
        <f>VLOOKUP(H22,Sheet1!G:H,2,FALSE)</f>
        <v>#N/A</v>
      </c>
      <c r="R22" t="s">
        <v>1946</v>
      </c>
      <c r="S22">
        <v>858380</v>
      </c>
    </row>
    <row r="23" spans="1:19" x14ac:dyDescent="0.3">
      <c r="A23" t="s">
        <v>8</v>
      </c>
      <c r="B23">
        <f>VLOOKUP(A23,Sheet2!B:F,5,FALSE)</f>
        <v>928</v>
      </c>
      <c r="C23" t="s">
        <v>13</v>
      </c>
      <c r="D23">
        <f>VLOOKUP(C23,Sheet2!C:G,5,FALSE)</f>
        <v>1184</v>
      </c>
      <c r="E23" t="s">
        <v>59</v>
      </c>
      <c r="F23">
        <f>VLOOKUP(E23,Sheet2!D:E,2,FALSE)</f>
        <v>9</v>
      </c>
      <c r="G23" t="s">
        <v>11</v>
      </c>
      <c r="H23" t="str">
        <f t="shared" si="0"/>
        <v>NAVER3220051</v>
      </c>
      <c r="I23" t="str">
        <f>"3220051"</f>
        <v>3220051</v>
      </c>
      <c r="J23">
        <v>3790</v>
      </c>
      <c r="K23" s="1">
        <v>44866</v>
      </c>
      <c r="L23" t="s">
        <v>60</v>
      </c>
      <c r="M23">
        <f t="shared" si="1"/>
        <v>3790</v>
      </c>
      <c r="N23" t="e">
        <f>VLOOKUP(H23,Sheet1!G:H,2,FALSE)</f>
        <v>#N/A</v>
      </c>
      <c r="R23" t="s">
        <v>1947</v>
      </c>
      <c r="S23">
        <v>480</v>
      </c>
    </row>
    <row r="24" spans="1:19" x14ac:dyDescent="0.3">
      <c r="A24" t="s">
        <v>8</v>
      </c>
      <c r="B24">
        <f>VLOOKUP(A24,Sheet2!B:F,5,FALSE)</f>
        <v>928</v>
      </c>
      <c r="C24" t="s">
        <v>13</v>
      </c>
      <c r="D24">
        <f>VLOOKUP(C24,Sheet2!C:G,5,FALSE)</f>
        <v>1184</v>
      </c>
      <c r="E24" t="s">
        <v>14</v>
      </c>
      <c r="F24">
        <f>VLOOKUP(E24,Sheet2!D:E,2,FALSE)</f>
        <v>914</v>
      </c>
      <c r="G24" t="s">
        <v>11</v>
      </c>
      <c r="H24" t="str">
        <f t="shared" si="0"/>
        <v>NAVER365hmc</v>
      </c>
      <c r="I24" t="str">
        <f>"365hmc"</f>
        <v>365hmc</v>
      </c>
      <c r="J24">
        <v>680</v>
      </c>
      <c r="K24" s="1">
        <v>44866</v>
      </c>
      <c r="L24" t="s">
        <v>61</v>
      </c>
      <c r="M24" t="e">
        <f t="shared" si="1"/>
        <v>#N/A</v>
      </c>
      <c r="N24" t="str">
        <f>VLOOKUP(H24,Sheet1!G:H,2,FALSE)</f>
        <v>컨택불가광고주</v>
      </c>
      <c r="R24" t="s">
        <v>1948</v>
      </c>
      <c r="S24">
        <v>21020</v>
      </c>
    </row>
    <row r="25" spans="1:19" x14ac:dyDescent="0.3">
      <c r="A25" t="s">
        <v>41</v>
      </c>
      <c r="B25">
        <f>VLOOKUP(A25,Sheet2!B:F,5,FALSE)</f>
        <v>926</v>
      </c>
      <c r="C25" t="s">
        <v>56</v>
      </c>
      <c r="D25">
        <f>VLOOKUP(C25,Sheet2!C:G,5,FALSE)</f>
        <v>1207</v>
      </c>
      <c r="E25" t="s">
        <v>62</v>
      </c>
      <c r="F25">
        <f>VLOOKUP(E25,Sheet2!D:E,2,FALSE)</f>
        <v>201037</v>
      </c>
      <c r="G25" t="s">
        <v>11</v>
      </c>
      <c r="H25" t="str">
        <f t="shared" si="0"/>
        <v>NAVER365living</v>
      </c>
      <c r="I25" t="str">
        <f>"365living"</f>
        <v>365living</v>
      </c>
      <c r="J25">
        <v>220</v>
      </c>
      <c r="K25" s="1">
        <v>44866</v>
      </c>
      <c r="L25" t="s">
        <v>63</v>
      </c>
      <c r="M25">
        <f t="shared" si="1"/>
        <v>220</v>
      </c>
      <c r="N25" t="str">
        <f>VLOOKUP(H25,Sheet1!G:H,2,FALSE)</f>
        <v>일반영역 상위 노출 안될시에만 광고 진행</v>
      </c>
      <c r="R25" t="s">
        <v>1949</v>
      </c>
      <c r="S25">
        <v>44360</v>
      </c>
    </row>
    <row r="26" spans="1:19" x14ac:dyDescent="0.3">
      <c r="A26" t="s">
        <v>41</v>
      </c>
      <c r="B26">
        <f>VLOOKUP(A26,Sheet2!B:F,5,FALSE)</f>
        <v>926</v>
      </c>
      <c r="C26" t="s">
        <v>56</v>
      </c>
      <c r="D26">
        <f>VLOOKUP(C26,Sheet2!C:G,5,FALSE)</f>
        <v>1207</v>
      </c>
      <c r="E26" t="s">
        <v>64</v>
      </c>
      <c r="F26">
        <f>VLOOKUP(E26,Sheet2!D:E,2,FALSE)</f>
        <v>201011</v>
      </c>
      <c r="G26" t="s">
        <v>11</v>
      </c>
      <c r="H26" t="str">
        <f t="shared" si="0"/>
        <v>NAVER3gforever</v>
      </c>
      <c r="I26" t="str">
        <f>"3gforever"</f>
        <v>3gforever</v>
      </c>
      <c r="J26">
        <v>73780</v>
      </c>
      <c r="K26" s="1">
        <v>44866</v>
      </c>
      <c r="L26" t="s">
        <v>65</v>
      </c>
      <c r="M26">
        <f t="shared" si="1"/>
        <v>73780</v>
      </c>
      <c r="N26" t="e">
        <f>VLOOKUP(H26,Sheet1!G:H,2,FALSE)</f>
        <v>#N/A</v>
      </c>
      <c r="R26" t="s">
        <v>1950</v>
      </c>
      <c r="S26">
        <v>1402270</v>
      </c>
    </row>
    <row r="27" spans="1:19" x14ac:dyDescent="0.3">
      <c r="A27" t="s">
        <v>16</v>
      </c>
      <c r="B27">
        <f>VLOOKUP(A27,Sheet2!B:F,5,FALSE)</f>
        <v>927</v>
      </c>
      <c r="C27" t="s">
        <v>17</v>
      </c>
      <c r="D27">
        <f>VLOOKUP(C27,Sheet2!C:G,5,FALSE)</f>
        <v>1200</v>
      </c>
      <c r="E27" t="s">
        <v>66</v>
      </c>
      <c r="F27">
        <f>VLOOKUP(E27,Sheet2!D:E,2,FALSE)</f>
        <v>33</v>
      </c>
      <c r="G27" t="s">
        <v>11</v>
      </c>
      <c r="H27" t="str">
        <f t="shared" si="0"/>
        <v>NAVER5759ppgg</v>
      </c>
      <c r="I27" t="str">
        <f>"5759ppgg"</f>
        <v>5759ppgg</v>
      </c>
      <c r="J27">
        <v>244370</v>
      </c>
      <c r="K27" s="1">
        <v>44866</v>
      </c>
      <c r="L27" t="s">
        <v>67</v>
      </c>
      <c r="M27">
        <f t="shared" si="1"/>
        <v>244430</v>
      </c>
      <c r="N27" t="e">
        <f>VLOOKUP(H27,Sheet1!G:H,2,FALSE)</f>
        <v>#N/A</v>
      </c>
      <c r="R27" t="s">
        <v>1951</v>
      </c>
      <c r="S27">
        <v>211080</v>
      </c>
    </row>
    <row r="28" spans="1:19" x14ac:dyDescent="0.3">
      <c r="A28" t="s">
        <v>41</v>
      </c>
      <c r="B28">
        <f>VLOOKUP(A28,Sheet2!B:F,5,FALSE)</f>
        <v>926</v>
      </c>
      <c r="C28" t="s">
        <v>56</v>
      </c>
      <c r="D28">
        <f>VLOOKUP(C28,Sheet2!C:G,5,FALSE)</f>
        <v>1207</v>
      </c>
      <c r="E28" t="s">
        <v>62</v>
      </c>
      <c r="F28">
        <f>VLOOKUP(E28,Sheet2!D:E,2,FALSE)</f>
        <v>201037</v>
      </c>
      <c r="G28" t="s">
        <v>11</v>
      </c>
      <c r="H28" t="str">
        <f t="shared" si="0"/>
        <v>NAVER58jeap</v>
      </c>
      <c r="I28" t="str">
        <f>"58jeap"</f>
        <v>58jeap</v>
      </c>
      <c r="J28">
        <v>30600</v>
      </c>
      <c r="K28" s="1">
        <v>44866</v>
      </c>
      <c r="L28" t="s">
        <v>68</v>
      </c>
      <c r="M28">
        <f t="shared" si="1"/>
        <v>30600</v>
      </c>
      <c r="N28" t="e">
        <f>VLOOKUP(H28,Sheet1!G:H,2,FALSE)</f>
        <v>#N/A</v>
      </c>
      <c r="R28" t="s">
        <v>1952</v>
      </c>
      <c r="S28">
        <v>100</v>
      </c>
    </row>
    <row r="29" spans="1:19" x14ac:dyDescent="0.3">
      <c r="A29" t="s">
        <v>41</v>
      </c>
      <c r="B29">
        <f>VLOOKUP(A29,Sheet2!B:F,5,FALSE)</f>
        <v>926</v>
      </c>
      <c r="C29" t="s">
        <v>56</v>
      </c>
      <c r="D29">
        <f>VLOOKUP(C29,Sheet2!C:G,5,FALSE)</f>
        <v>1207</v>
      </c>
      <c r="E29" t="s">
        <v>57</v>
      </c>
      <c r="F29">
        <f>VLOOKUP(E29,Sheet2!D:E,2,FALSE)</f>
        <v>200982</v>
      </c>
      <c r="G29" t="s">
        <v>11</v>
      </c>
      <c r="H29" t="str">
        <f t="shared" si="0"/>
        <v>NAVER5mypilates</v>
      </c>
      <c r="I29" t="str">
        <f>"5mypilates"</f>
        <v>5mypilates</v>
      </c>
      <c r="J29">
        <v>15850</v>
      </c>
      <c r="K29" s="1">
        <v>44866</v>
      </c>
      <c r="L29" t="s">
        <v>69</v>
      </c>
      <c r="M29">
        <f t="shared" si="1"/>
        <v>15850</v>
      </c>
      <c r="N29" t="e">
        <f>VLOOKUP(H29,Sheet1!G:H,2,FALSE)</f>
        <v>#N/A</v>
      </c>
      <c r="R29" t="s">
        <v>1953</v>
      </c>
      <c r="S29">
        <v>1552020</v>
      </c>
    </row>
    <row r="30" spans="1:19" x14ac:dyDescent="0.3">
      <c r="A30" t="s">
        <v>41</v>
      </c>
      <c r="B30">
        <f>VLOOKUP(A30,Sheet2!B:F,5,FALSE)</f>
        <v>926</v>
      </c>
      <c r="C30" t="s">
        <v>56</v>
      </c>
      <c r="D30">
        <f>VLOOKUP(C30,Sheet2!C:G,5,FALSE)</f>
        <v>1207</v>
      </c>
      <c r="E30" t="s">
        <v>62</v>
      </c>
      <c r="F30">
        <f>VLOOKUP(E30,Sheet2!D:E,2,FALSE)</f>
        <v>201037</v>
      </c>
      <c r="G30" t="s">
        <v>11</v>
      </c>
      <c r="H30" t="str">
        <f t="shared" si="0"/>
        <v>NAVER60seconds</v>
      </c>
      <c r="I30" t="str">
        <f>"60seconds"</f>
        <v>60seconds</v>
      </c>
      <c r="J30">
        <v>2945190</v>
      </c>
      <c r="K30" s="1">
        <v>44866</v>
      </c>
      <c r="L30" t="s">
        <v>70</v>
      </c>
      <c r="M30">
        <f t="shared" si="1"/>
        <v>1545200</v>
      </c>
      <c r="N30" t="e">
        <f>VLOOKUP(H30,Sheet1!G:H,2,FALSE)</f>
        <v>#N/A</v>
      </c>
      <c r="R30" t="s">
        <v>1954</v>
      </c>
      <c r="S30">
        <v>2511080</v>
      </c>
    </row>
    <row r="31" spans="1:19" x14ac:dyDescent="0.3">
      <c r="A31" t="s">
        <v>41</v>
      </c>
      <c r="B31">
        <f>VLOOKUP(A31,Sheet2!B:F,5,FALSE)</f>
        <v>926</v>
      </c>
      <c r="C31" t="s">
        <v>56</v>
      </c>
      <c r="D31">
        <f>VLOOKUP(C31,Sheet2!C:G,5,FALSE)</f>
        <v>1207</v>
      </c>
      <c r="E31" t="s">
        <v>57</v>
      </c>
      <c r="F31">
        <f>VLOOKUP(E31,Sheet2!D:E,2,FALSE)</f>
        <v>200982</v>
      </c>
      <c r="G31" t="s">
        <v>11</v>
      </c>
      <c r="H31" t="str">
        <f t="shared" si="0"/>
        <v>NAVER63square</v>
      </c>
      <c r="I31" t="str">
        <f>"63square"</f>
        <v>63square</v>
      </c>
      <c r="J31">
        <v>999980</v>
      </c>
      <c r="K31" s="1">
        <v>44866</v>
      </c>
      <c r="L31" t="s">
        <v>71</v>
      </c>
      <c r="M31">
        <f t="shared" si="1"/>
        <v>0</v>
      </c>
      <c r="N31" t="e">
        <f>VLOOKUP(H31,Sheet1!G:H,2,FALSE)</f>
        <v>#N/A</v>
      </c>
      <c r="R31" t="s">
        <v>1955</v>
      </c>
      <c r="S31">
        <v>2230</v>
      </c>
    </row>
    <row r="32" spans="1:19" x14ac:dyDescent="0.3">
      <c r="A32" t="s">
        <v>16</v>
      </c>
      <c r="B32">
        <f>VLOOKUP(A32,Sheet2!B:F,5,FALSE)</f>
        <v>927</v>
      </c>
      <c r="C32" t="s">
        <v>17</v>
      </c>
      <c r="D32">
        <f>VLOOKUP(C32,Sheet2!C:G,5,FALSE)</f>
        <v>1200</v>
      </c>
      <c r="E32" t="s">
        <v>18</v>
      </c>
      <c r="F32">
        <f>VLOOKUP(E32,Sheet2!D:E,2,FALSE)</f>
        <v>201116</v>
      </c>
      <c r="G32" t="s">
        <v>11</v>
      </c>
      <c r="H32" t="str">
        <f t="shared" si="0"/>
        <v>NAVER67jai:naver</v>
      </c>
      <c r="I32" t="str">
        <f>"67jai:naver"</f>
        <v>67jai:naver</v>
      </c>
      <c r="J32">
        <v>251040</v>
      </c>
      <c r="K32" s="1">
        <v>44866</v>
      </c>
      <c r="L32" t="s">
        <v>72</v>
      </c>
      <c r="M32">
        <f t="shared" si="1"/>
        <v>251040</v>
      </c>
      <c r="N32" t="e">
        <f>VLOOKUP(H32,Sheet1!G:H,2,FALSE)</f>
        <v>#N/A</v>
      </c>
      <c r="R32" t="s">
        <v>1956</v>
      </c>
      <c r="S32">
        <v>61270</v>
      </c>
    </row>
    <row r="33" spans="1:19" x14ac:dyDescent="0.3">
      <c r="A33" t="s">
        <v>8</v>
      </c>
      <c r="B33">
        <f>VLOOKUP(A33,Sheet2!B:F,5,FALSE)</f>
        <v>928</v>
      </c>
      <c r="C33" t="s">
        <v>9</v>
      </c>
      <c r="D33">
        <f>VLOOKUP(C33,Sheet2!C:G,5,FALSE)</f>
        <v>1202</v>
      </c>
      <c r="E33" t="s">
        <v>73</v>
      </c>
      <c r="F33">
        <f>VLOOKUP(E33,Sheet2!D:E,2,FALSE)</f>
        <v>895</v>
      </c>
      <c r="G33" t="s">
        <v>11</v>
      </c>
      <c r="H33" t="str">
        <f t="shared" si="0"/>
        <v>NAVER711rokmc</v>
      </c>
      <c r="I33" t="str">
        <f>"711rokmc"</f>
        <v>711rokmc</v>
      </c>
      <c r="J33">
        <v>37000</v>
      </c>
      <c r="K33" s="1">
        <v>44866</v>
      </c>
      <c r="L33" t="s">
        <v>74</v>
      </c>
      <c r="M33">
        <f t="shared" si="1"/>
        <v>37000</v>
      </c>
      <c r="N33" t="e">
        <f>VLOOKUP(H33,Sheet1!G:H,2,FALSE)</f>
        <v>#N/A</v>
      </c>
      <c r="R33" t="s">
        <v>1957</v>
      </c>
      <c r="S33">
        <v>65150</v>
      </c>
    </row>
    <row r="34" spans="1:19" x14ac:dyDescent="0.3">
      <c r="A34" t="s">
        <v>8</v>
      </c>
      <c r="B34">
        <f>VLOOKUP(A34,Sheet2!B:F,5,FALSE)</f>
        <v>928</v>
      </c>
      <c r="C34" t="s">
        <v>9</v>
      </c>
      <c r="D34">
        <f>VLOOKUP(C34,Sheet2!C:G,5,FALSE)</f>
        <v>1202</v>
      </c>
      <c r="E34" t="s">
        <v>75</v>
      </c>
      <c r="F34">
        <f>VLOOKUP(E34,Sheet2!D:E,2,FALSE)</f>
        <v>50</v>
      </c>
      <c r="G34" t="s">
        <v>11</v>
      </c>
      <c r="H34" t="str">
        <f t="shared" si="0"/>
        <v>NAVER7145755</v>
      </c>
      <c r="I34" t="str">
        <f>"7145755"</f>
        <v>7145755</v>
      </c>
      <c r="J34">
        <v>742100</v>
      </c>
      <c r="K34" s="1">
        <v>44866</v>
      </c>
      <c r="L34" t="s">
        <v>76</v>
      </c>
      <c r="M34">
        <f t="shared" si="1"/>
        <v>742100</v>
      </c>
      <c r="N34" t="e">
        <f>VLOOKUP(H34,Sheet1!G:H,2,FALSE)</f>
        <v>#N/A</v>
      </c>
      <c r="R34" t="s">
        <v>1958</v>
      </c>
      <c r="S34">
        <v>34520</v>
      </c>
    </row>
    <row r="35" spans="1:19" x14ac:dyDescent="0.3">
      <c r="A35" t="s">
        <v>8</v>
      </c>
      <c r="B35">
        <f>VLOOKUP(A35,Sheet2!B:F,5,FALSE)</f>
        <v>928</v>
      </c>
      <c r="C35" t="s">
        <v>9</v>
      </c>
      <c r="D35">
        <f>VLOOKUP(C35,Sheet2!C:G,5,FALSE)</f>
        <v>1202</v>
      </c>
      <c r="E35" t="s">
        <v>27</v>
      </c>
      <c r="F35">
        <f>VLOOKUP(E35,Sheet2!D:E,2,FALSE)</f>
        <v>806</v>
      </c>
      <c r="G35" t="s">
        <v>11</v>
      </c>
      <c r="H35" t="str">
        <f t="shared" si="0"/>
        <v>NAVER720426-:naver</v>
      </c>
      <c r="I35" t="str">
        <f>"720426-:naver"</f>
        <v>720426-:naver</v>
      </c>
      <c r="J35">
        <v>1000</v>
      </c>
      <c r="K35" s="1">
        <v>44866</v>
      </c>
      <c r="L35" t="s">
        <v>77</v>
      </c>
      <c r="M35">
        <f t="shared" si="1"/>
        <v>1000</v>
      </c>
      <c r="N35" t="e">
        <f>VLOOKUP(H35,Sheet1!G:H,2,FALSE)</f>
        <v>#N/A</v>
      </c>
      <c r="R35" t="s">
        <v>1959</v>
      </c>
      <c r="S35">
        <v>377440</v>
      </c>
    </row>
    <row r="36" spans="1:19" x14ac:dyDescent="0.3">
      <c r="A36" t="s">
        <v>16</v>
      </c>
      <c r="B36">
        <f>VLOOKUP(A36,Sheet2!B:F,5,FALSE)</f>
        <v>927</v>
      </c>
      <c r="C36" t="s">
        <v>17</v>
      </c>
      <c r="D36">
        <f>VLOOKUP(C36,Sheet2!C:G,5,FALSE)</f>
        <v>1200</v>
      </c>
      <c r="E36" t="s">
        <v>78</v>
      </c>
      <c r="F36">
        <f>VLOOKUP(E36,Sheet2!D:E,2,FALSE)</f>
        <v>57</v>
      </c>
      <c r="G36" t="s">
        <v>11</v>
      </c>
      <c r="H36" t="str">
        <f t="shared" si="0"/>
        <v>NAVER7410sin</v>
      </c>
      <c r="I36" t="str">
        <f>"7410sin"</f>
        <v>7410sin</v>
      </c>
      <c r="J36">
        <v>983920</v>
      </c>
      <c r="K36" s="1">
        <v>44866</v>
      </c>
      <c r="L36" t="s">
        <v>79</v>
      </c>
      <c r="M36">
        <f t="shared" si="1"/>
        <v>983920</v>
      </c>
      <c r="N36" t="e">
        <f>VLOOKUP(H36,Sheet1!G:H,2,FALSE)</f>
        <v>#N/A</v>
      </c>
      <c r="R36" t="s">
        <v>1960</v>
      </c>
      <c r="S36">
        <v>21210</v>
      </c>
    </row>
    <row r="37" spans="1:19" x14ac:dyDescent="0.3">
      <c r="A37" t="s">
        <v>41</v>
      </c>
      <c r="B37">
        <f>VLOOKUP(A37,Sheet2!B:F,5,FALSE)</f>
        <v>926</v>
      </c>
      <c r="C37" t="s">
        <v>56</v>
      </c>
      <c r="D37">
        <f>VLOOKUP(C37,Sheet2!C:G,5,FALSE)</f>
        <v>1207</v>
      </c>
      <c r="E37" t="s">
        <v>57</v>
      </c>
      <c r="F37">
        <f>VLOOKUP(E37,Sheet2!D:E,2,FALSE)</f>
        <v>200982</v>
      </c>
      <c r="G37" t="s">
        <v>11</v>
      </c>
      <c r="H37" t="str">
        <f t="shared" si="0"/>
        <v>NAVER777ook</v>
      </c>
      <c r="I37" t="str">
        <f>"777ook"</f>
        <v>777ook</v>
      </c>
      <c r="J37">
        <v>24940</v>
      </c>
      <c r="K37" s="1">
        <v>44866</v>
      </c>
      <c r="L37" t="s">
        <v>80</v>
      </c>
      <c r="M37">
        <f t="shared" si="1"/>
        <v>24940</v>
      </c>
      <c r="N37" t="e">
        <f>VLOOKUP(H37,Sheet1!G:H,2,FALSE)</f>
        <v>#N/A</v>
      </c>
      <c r="R37" t="s">
        <v>1961</v>
      </c>
      <c r="S37">
        <v>120</v>
      </c>
    </row>
    <row r="38" spans="1:19" x14ac:dyDescent="0.3">
      <c r="A38" t="s">
        <v>8</v>
      </c>
      <c r="B38">
        <f>VLOOKUP(A38,Sheet2!B:F,5,FALSE)</f>
        <v>928</v>
      </c>
      <c r="C38" t="s">
        <v>9</v>
      </c>
      <c r="D38">
        <f>VLOOKUP(C38,Sheet2!C:G,5,FALSE)</f>
        <v>1202</v>
      </c>
      <c r="E38" t="s">
        <v>20</v>
      </c>
      <c r="F38">
        <f>VLOOKUP(E38,Sheet2!D:E,2,FALSE)</f>
        <v>938</v>
      </c>
      <c r="G38" t="s">
        <v>11</v>
      </c>
      <c r="H38" t="str">
        <f t="shared" si="0"/>
        <v>NAVER8325saemaul</v>
      </c>
      <c r="I38" t="str">
        <f>"8325saemaul"</f>
        <v>8325saemaul</v>
      </c>
      <c r="J38">
        <v>474790</v>
      </c>
      <c r="K38" s="1">
        <v>44866</v>
      </c>
      <c r="L38" t="s">
        <v>81</v>
      </c>
      <c r="M38">
        <f t="shared" si="1"/>
        <v>474790</v>
      </c>
      <c r="N38" t="e">
        <f>VLOOKUP(H38,Sheet1!G:H,2,FALSE)</f>
        <v>#N/A</v>
      </c>
      <c r="R38" t="s">
        <v>1962</v>
      </c>
      <c r="S38">
        <v>88240</v>
      </c>
    </row>
    <row r="39" spans="1:19" x14ac:dyDescent="0.3">
      <c r="A39" t="s">
        <v>8</v>
      </c>
      <c r="B39">
        <f>VLOOKUP(A39,Sheet2!B:F,5,FALSE)</f>
        <v>928</v>
      </c>
      <c r="C39" t="s">
        <v>9</v>
      </c>
      <c r="D39">
        <f>VLOOKUP(C39,Sheet2!C:G,5,FALSE)</f>
        <v>1202</v>
      </c>
      <c r="E39" t="s">
        <v>39</v>
      </c>
      <c r="F39">
        <f>VLOOKUP(E39,Sheet2!D:E,2,FALSE)</f>
        <v>25</v>
      </c>
      <c r="G39" t="s">
        <v>11</v>
      </c>
      <c r="H39" t="str">
        <f t="shared" si="0"/>
        <v>NAVER838306</v>
      </c>
      <c r="I39" t="str">
        <f>"838306"</f>
        <v>838306</v>
      </c>
      <c r="J39">
        <v>178910</v>
      </c>
      <c r="K39" s="1">
        <v>44866</v>
      </c>
      <c r="L39" t="s">
        <v>82</v>
      </c>
      <c r="M39">
        <f t="shared" si="1"/>
        <v>178910</v>
      </c>
      <c r="N39" t="e">
        <f>VLOOKUP(H39,Sheet1!G:H,2,FALSE)</f>
        <v>#N/A</v>
      </c>
      <c r="R39" t="s">
        <v>1963</v>
      </c>
      <c r="S39">
        <v>1436950</v>
      </c>
    </row>
    <row r="40" spans="1:19" x14ac:dyDescent="0.3">
      <c r="A40" t="s">
        <v>8</v>
      </c>
      <c r="B40">
        <f>VLOOKUP(A40,Sheet2!B:F,5,FALSE)</f>
        <v>928</v>
      </c>
      <c r="C40" t="s">
        <v>83</v>
      </c>
      <c r="D40">
        <f>VLOOKUP(C40,Sheet2!C:G,5,FALSE)</f>
        <v>960</v>
      </c>
      <c r="E40" t="s">
        <v>84</v>
      </c>
      <c r="F40">
        <f>VLOOKUP(E40,Sheet2!D:E,2,FALSE)</f>
        <v>1632</v>
      </c>
      <c r="G40" t="s">
        <v>11</v>
      </c>
      <c r="H40" t="str">
        <f t="shared" si="0"/>
        <v>NAVER83cmy</v>
      </c>
      <c r="I40" t="str">
        <f>"83cmy"</f>
        <v>83cmy</v>
      </c>
      <c r="J40">
        <v>66320</v>
      </c>
      <c r="K40" s="1">
        <v>44866</v>
      </c>
      <c r="L40" t="s">
        <v>85</v>
      </c>
      <c r="M40">
        <f t="shared" si="1"/>
        <v>66320</v>
      </c>
      <c r="N40" t="e">
        <f>VLOOKUP(H40,Sheet1!G:H,2,FALSE)</f>
        <v>#N/A</v>
      </c>
      <c r="R40" t="s">
        <v>1964</v>
      </c>
      <c r="S40">
        <v>1497600</v>
      </c>
    </row>
    <row r="41" spans="1:19" x14ac:dyDescent="0.3">
      <c r="A41" t="s">
        <v>22</v>
      </c>
      <c r="B41">
        <f>VLOOKUP(A41,Sheet2!B:F,5,FALSE)</f>
        <v>809</v>
      </c>
      <c r="C41" t="s">
        <v>23</v>
      </c>
      <c r="D41">
        <f>VLOOKUP(C41,Sheet2!C:G,5,FALSE)</f>
        <v>810</v>
      </c>
      <c r="E41" t="s">
        <v>86</v>
      </c>
      <c r="F41">
        <f>VLOOKUP(E41,Sheet2!D:E,2,FALSE)</f>
        <v>201021</v>
      </c>
      <c r="G41" t="s">
        <v>11</v>
      </c>
      <c r="H41" t="str">
        <f t="shared" si="0"/>
        <v>NAVER8615694:naver</v>
      </c>
      <c r="I41" t="str">
        <f>"8615694:naver"</f>
        <v>8615694:naver</v>
      </c>
      <c r="J41">
        <v>218386</v>
      </c>
      <c r="K41" s="1">
        <v>44866</v>
      </c>
      <c r="L41" t="s">
        <v>87</v>
      </c>
      <c r="M41" t="e">
        <f t="shared" si="1"/>
        <v>#N/A</v>
      </c>
      <c r="N41" t="str">
        <f>VLOOKUP(H41,Sheet1!G:H,2,FALSE)</f>
        <v>연락두절</v>
      </c>
      <c r="R41" t="s">
        <v>1965</v>
      </c>
      <c r="S41">
        <v>0</v>
      </c>
    </row>
    <row r="42" spans="1:19" x14ac:dyDescent="0.3">
      <c r="A42" t="s">
        <v>41</v>
      </c>
      <c r="B42">
        <f>VLOOKUP(A42,Sheet2!B:F,5,FALSE)</f>
        <v>926</v>
      </c>
      <c r="C42" t="s">
        <v>56</v>
      </c>
      <c r="D42">
        <f>VLOOKUP(C42,Sheet2!C:G,5,FALSE)</f>
        <v>1207</v>
      </c>
      <c r="E42" t="s">
        <v>64</v>
      </c>
      <c r="F42">
        <f>VLOOKUP(E42,Sheet2!D:E,2,FALSE)</f>
        <v>201011</v>
      </c>
      <c r="G42" t="s">
        <v>11</v>
      </c>
      <c r="H42" t="str">
        <f t="shared" si="0"/>
        <v>NAVER8848254sun</v>
      </c>
      <c r="I42" t="str">
        <f>"8848254sun"</f>
        <v>8848254sun</v>
      </c>
      <c r="J42">
        <v>200310</v>
      </c>
      <c r="K42" s="1">
        <v>44866</v>
      </c>
      <c r="L42" t="s">
        <v>88</v>
      </c>
      <c r="M42">
        <f t="shared" si="1"/>
        <v>200310</v>
      </c>
      <c r="N42" t="e">
        <f>VLOOKUP(H42,Sheet1!G:H,2,FALSE)</f>
        <v>#N/A</v>
      </c>
      <c r="R42" t="s">
        <v>1966</v>
      </c>
      <c r="S42">
        <v>371520</v>
      </c>
    </row>
    <row r="43" spans="1:19" x14ac:dyDescent="0.3">
      <c r="A43" t="s">
        <v>8</v>
      </c>
      <c r="B43">
        <f>VLOOKUP(A43,Sheet2!B:F,5,FALSE)</f>
        <v>928</v>
      </c>
      <c r="C43" t="s">
        <v>13</v>
      </c>
      <c r="D43">
        <f>VLOOKUP(C43,Sheet2!C:G,5,FALSE)</f>
        <v>1184</v>
      </c>
      <c r="E43" t="s">
        <v>14</v>
      </c>
      <c r="F43">
        <f>VLOOKUP(E43,Sheet2!D:E,2,FALSE)</f>
        <v>914</v>
      </c>
      <c r="G43" t="s">
        <v>11</v>
      </c>
      <c r="H43" t="str">
        <f t="shared" si="0"/>
        <v>NAVER9625214a</v>
      </c>
      <c r="I43" t="str">
        <f>"9625214a"</f>
        <v>9625214a</v>
      </c>
      <c r="J43">
        <v>6240</v>
      </c>
      <c r="K43" s="1">
        <v>44866</v>
      </c>
      <c r="L43" t="s">
        <v>89</v>
      </c>
      <c r="M43">
        <f t="shared" si="1"/>
        <v>6240</v>
      </c>
      <c r="N43" t="e">
        <f>VLOOKUP(H43,Sheet1!G:H,2,FALSE)</f>
        <v>#N/A</v>
      </c>
      <c r="R43" t="s">
        <v>1967</v>
      </c>
      <c r="S43">
        <v>695540</v>
      </c>
    </row>
    <row r="44" spans="1:19" x14ac:dyDescent="0.3">
      <c r="A44" t="s">
        <v>8</v>
      </c>
      <c r="B44">
        <f>VLOOKUP(A44,Sheet2!B:F,5,FALSE)</f>
        <v>928</v>
      </c>
      <c r="C44" t="s">
        <v>9</v>
      </c>
      <c r="D44">
        <f>VLOOKUP(C44,Sheet2!C:G,5,FALSE)</f>
        <v>1202</v>
      </c>
      <c r="E44" t="s">
        <v>10</v>
      </c>
      <c r="F44">
        <f>VLOOKUP(E44,Sheet2!D:E,2,FALSE)</f>
        <v>939</v>
      </c>
      <c r="G44" t="s">
        <v>11</v>
      </c>
      <c r="H44" t="str">
        <f t="shared" si="0"/>
        <v>NAVER9965611</v>
      </c>
      <c r="I44" t="str">
        <f>"9965611"</f>
        <v>9965611</v>
      </c>
      <c r="J44">
        <v>142920</v>
      </c>
      <c r="K44" s="1">
        <v>44866</v>
      </c>
      <c r="L44" t="s">
        <v>90</v>
      </c>
      <c r="M44">
        <f t="shared" si="1"/>
        <v>142920</v>
      </c>
      <c r="N44" t="e">
        <f>VLOOKUP(H44,Sheet1!G:H,2,FALSE)</f>
        <v>#N/A</v>
      </c>
      <c r="R44" t="s">
        <v>1968</v>
      </c>
      <c r="S44">
        <v>396620</v>
      </c>
    </row>
    <row r="45" spans="1:19" x14ac:dyDescent="0.3">
      <c r="A45" t="s">
        <v>41</v>
      </c>
      <c r="B45">
        <f>VLOOKUP(A45,Sheet2!B:F,5,FALSE)</f>
        <v>926</v>
      </c>
      <c r="C45" t="s">
        <v>56</v>
      </c>
      <c r="D45">
        <f>VLOOKUP(C45,Sheet2!C:G,5,FALSE)</f>
        <v>1207</v>
      </c>
      <c r="E45" t="s">
        <v>91</v>
      </c>
      <c r="F45">
        <f>VLOOKUP(E45,Sheet2!D:E,2,FALSE)</f>
        <v>201104</v>
      </c>
      <c r="G45" t="s">
        <v>11</v>
      </c>
      <c r="H45" t="str">
        <f t="shared" si="0"/>
        <v>NAVER999shot</v>
      </c>
      <c r="I45" t="str">
        <f>"999shot"</f>
        <v>999shot</v>
      </c>
      <c r="J45">
        <v>226670</v>
      </c>
      <c r="K45" s="1">
        <v>44866</v>
      </c>
      <c r="L45" t="s">
        <v>92</v>
      </c>
      <c r="M45">
        <f t="shared" si="1"/>
        <v>226670</v>
      </c>
      <c r="N45" t="e">
        <f>VLOOKUP(H45,Sheet1!G:H,2,FALSE)</f>
        <v>#N/A</v>
      </c>
      <c r="R45" t="s">
        <v>1969</v>
      </c>
      <c r="S45">
        <v>72610</v>
      </c>
    </row>
    <row r="46" spans="1:19" x14ac:dyDescent="0.3">
      <c r="A46" t="s">
        <v>16</v>
      </c>
      <c r="B46">
        <f>VLOOKUP(A46,Sheet2!B:F,5,FALSE)</f>
        <v>927</v>
      </c>
      <c r="C46" t="s">
        <v>17</v>
      </c>
      <c r="D46">
        <f>VLOOKUP(C46,Sheet2!C:G,5,FALSE)</f>
        <v>1200</v>
      </c>
      <c r="E46" t="s">
        <v>93</v>
      </c>
      <c r="F46">
        <f>VLOOKUP(E46,Sheet2!D:E,2,FALSE)</f>
        <v>930</v>
      </c>
      <c r="G46" t="s">
        <v>11</v>
      </c>
      <c r="H46" t="str">
        <f t="shared" si="0"/>
        <v>NAVER99pack</v>
      </c>
      <c r="I46" t="str">
        <f>"99pack"</f>
        <v>99pack</v>
      </c>
      <c r="J46">
        <v>244990</v>
      </c>
      <c r="K46" s="1">
        <v>44866</v>
      </c>
      <c r="L46" t="s">
        <v>94</v>
      </c>
      <c r="M46">
        <f t="shared" si="1"/>
        <v>246680</v>
      </c>
      <c r="N46" t="e">
        <f>VLOOKUP(H46,Sheet1!G:H,2,FALSE)</f>
        <v>#N/A</v>
      </c>
      <c r="R46" t="s">
        <v>1970</v>
      </c>
      <c r="S46">
        <v>45140</v>
      </c>
    </row>
    <row r="47" spans="1:19" x14ac:dyDescent="0.3">
      <c r="A47" t="s">
        <v>8</v>
      </c>
      <c r="B47">
        <f>VLOOKUP(A47,Sheet2!B:F,5,FALSE)</f>
        <v>928</v>
      </c>
      <c r="C47" t="s">
        <v>9</v>
      </c>
      <c r="D47">
        <f>VLOOKUP(C47,Sheet2!C:G,5,FALSE)</f>
        <v>1202</v>
      </c>
      <c r="E47" t="s">
        <v>10</v>
      </c>
      <c r="F47">
        <f>VLOOKUP(E47,Sheet2!D:E,2,FALSE)</f>
        <v>939</v>
      </c>
      <c r="G47" t="s">
        <v>11</v>
      </c>
      <c r="H47" t="str">
        <f t="shared" si="0"/>
        <v>NAVERa000hl</v>
      </c>
      <c r="I47" t="str">
        <f>"a000hl"</f>
        <v>a000hl</v>
      </c>
      <c r="J47">
        <v>193130</v>
      </c>
      <c r="K47" s="1">
        <v>44866</v>
      </c>
      <c r="L47" t="s">
        <v>95</v>
      </c>
      <c r="M47">
        <f t="shared" si="1"/>
        <v>193130</v>
      </c>
      <c r="N47" t="e">
        <f>VLOOKUP(H47,Sheet1!G:H,2,FALSE)</f>
        <v>#N/A</v>
      </c>
      <c r="R47" t="s">
        <v>1971</v>
      </c>
      <c r="S47">
        <v>1280</v>
      </c>
    </row>
    <row r="48" spans="1:19" x14ac:dyDescent="0.3">
      <c r="A48" t="s">
        <v>16</v>
      </c>
      <c r="B48">
        <f>VLOOKUP(A48,Sheet2!B:F,5,FALSE)</f>
        <v>927</v>
      </c>
      <c r="C48" t="s">
        <v>17</v>
      </c>
      <c r="D48">
        <f>VLOOKUP(C48,Sheet2!C:G,5,FALSE)</f>
        <v>1200</v>
      </c>
      <c r="E48" t="s">
        <v>96</v>
      </c>
      <c r="F48">
        <f>VLOOKUP(E48,Sheet2!D:E,2,FALSE)</f>
        <v>1271</v>
      </c>
      <c r="G48" t="s">
        <v>11</v>
      </c>
      <c r="H48" t="str">
        <f t="shared" si="0"/>
        <v>NAVERa0515kyh:naver</v>
      </c>
      <c r="I48" t="str">
        <f>"a0515kyh:naver"</f>
        <v>a0515kyh:naver</v>
      </c>
      <c r="J48">
        <v>1070</v>
      </c>
      <c r="K48" s="1">
        <v>44866</v>
      </c>
      <c r="L48" t="s">
        <v>97</v>
      </c>
      <c r="M48">
        <f t="shared" si="1"/>
        <v>1070</v>
      </c>
      <c r="N48" t="e">
        <f>VLOOKUP(H48,Sheet1!G:H,2,FALSE)</f>
        <v>#N/A</v>
      </c>
      <c r="R48" t="s">
        <v>1972</v>
      </c>
      <c r="S48">
        <v>134020</v>
      </c>
    </row>
    <row r="49" spans="1:19" x14ac:dyDescent="0.3">
      <c r="A49" t="s">
        <v>8</v>
      </c>
      <c r="B49">
        <f>VLOOKUP(A49,Sheet2!B:F,5,FALSE)</f>
        <v>928</v>
      </c>
      <c r="C49" t="s">
        <v>13</v>
      </c>
      <c r="D49">
        <f>VLOOKUP(C49,Sheet2!C:G,5,FALSE)</f>
        <v>1184</v>
      </c>
      <c r="E49" t="s">
        <v>59</v>
      </c>
      <c r="F49">
        <f>VLOOKUP(E49,Sheet2!D:E,2,FALSE)</f>
        <v>9</v>
      </c>
      <c r="G49" t="s">
        <v>11</v>
      </c>
      <c r="H49" t="str">
        <f t="shared" si="0"/>
        <v>NAVERa30003722</v>
      </c>
      <c r="I49" t="str">
        <f>"a30003722"</f>
        <v>a30003722</v>
      </c>
      <c r="J49">
        <v>11640</v>
      </c>
      <c r="K49" s="1">
        <v>44866</v>
      </c>
      <c r="L49" t="s">
        <v>98</v>
      </c>
      <c r="M49">
        <f t="shared" si="1"/>
        <v>11640</v>
      </c>
      <c r="N49" t="e">
        <f>VLOOKUP(H49,Sheet1!G:H,2,FALSE)</f>
        <v>#N/A</v>
      </c>
      <c r="R49" t="s">
        <v>1973</v>
      </c>
      <c r="S49">
        <v>30130</v>
      </c>
    </row>
    <row r="50" spans="1:19" x14ac:dyDescent="0.3">
      <c r="A50" t="s">
        <v>8</v>
      </c>
      <c r="B50">
        <f>VLOOKUP(A50,Sheet2!B:F,5,FALSE)</f>
        <v>928</v>
      </c>
      <c r="C50" t="s">
        <v>9</v>
      </c>
      <c r="D50">
        <f>VLOOKUP(C50,Sheet2!C:G,5,FALSE)</f>
        <v>1202</v>
      </c>
      <c r="E50" t="s">
        <v>10</v>
      </c>
      <c r="F50">
        <f>VLOOKUP(E50,Sheet2!D:E,2,FALSE)</f>
        <v>939</v>
      </c>
      <c r="G50" t="s">
        <v>11</v>
      </c>
      <c r="H50" t="str">
        <f t="shared" si="0"/>
        <v>NAVERa608985</v>
      </c>
      <c r="I50" t="str">
        <f>"a608985"</f>
        <v>a608985</v>
      </c>
      <c r="J50">
        <v>950</v>
      </c>
      <c r="K50" s="1">
        <v>44866</v>
      </c>
      <c r="L50" t="s">
        <v>99</v>
      </c>
      <c r="M50">
        <f t="shared" si="1"/>
        <v>950</v>
      </c>
      <c r="N50" t="e">
        <f>VLOOKUP(H50,Sheet1!G:H,2,FALSE)</f>
        <v>#N/A</v>
      </c>
      <c r="R50" t="s">
        <v>1974</v>
      </c>
      <c r="S50">
        <v>450</v>
      </c>
    </row>
    <row r="51" spans="1:19" x14ac:dyDescent="0.3">
      <c r="A51" t="s">
        <v>16</v>
      </c>
      <c r="B51">
        <f>VLOOKUP(A51,Sheet2!B:F,5,FALSE)</f>
        <v>927</v>
      </c>
      <c r="C51" t="s">
        <v>17</v>
      </c>
      <c r="D51">
        <f>VLOOKUP(C51,Sheet2!C:G,5,FALSE)</f>
        <v>1200</v>
      </c>
      <c r="E51" t="s">
        <v>100</v>
      </c>
      <c r="F51">
        <f>VLOOKUP(E51,Sheet2!D:E,2,FALSE)</f>
        <v>201038</v>
      </c>
      <c r="G51" t="s">
        <v>11</v>
      </c>
      <c r="H51" t="str">
        <f t="shared" si="0"/>
        <v>NAVERaaaa3800:naver</v>
      </c>
      <c r="I51" t="str">
        <f>"aaaa3800:naver"</f>
        <v>aaaa3800:naver</v>
      </c>
      <c r="J51">
        <v>401670</v>
      </c>
      <c r="K51" s="1">
        <v>44866</v>
      </c>
      <c r="L51" t="s">
        <v>101</v>
      </c>
      <c r="M51">
        <f t="shared" si="1"/>
        <v>401670</v>
      </c>
      <c r="N51" t="e">
        <f>VLOOKUP(H51,Sheet1!G:H,2,FALSE)</f>
        <v>#N/A</v>
      </c>
      <c r="R51" t="s">
        <v>1975</v>
      </c>
      <c r="S51">
        <v>130850</v>
      </c>
    </row>
    <row r="52" spans="1:19" x14ac:dyDescent="0.3">
      <c r="A52" t="s">
        <v>8</v>
      </c>
      <c r="B52">
        <f>VLOOKUP(A52,Sheet2!B:F,5,FALSE)</f>
        <v>928</v>
      </c>
      <c r="C52" t="s">
        <v>13</v>
      </c>
      <c r="D52">
        <f>VLOOKUP(C52,Sheet2!C:G,5,FALSE)</f>
        <v>1184</v>
      </c>
      <c r="E52" t="s">
        <v>102</v>
      </c>
      <c r="F52">
        <f>VLOOKUP(E52,Sheet2!D:E,2,FALSE)</f>
        <v>917</v>
      </c>
      <c r="G52" t="s">
        <v>11</v>
      </c>
      <c r="H52" t="str">
        <f t="shared" si="0"/>
        <v>NAVERabc</v>
      </c>
      <c r="I52" t="str">
        <f>"abc"</f>
        <v>abc</v>
      </c>
      <c r="J52">
        <v>1650</v>
      </c>
      <c r="K52" s="1">
        <v>44866</v>
      </c>
      <c r="L52" t="s">
        <v>103</v>
      </c>
      <c r="M52">
        <f t="shared" si="1"/>
        <v>1650</v>
      </c>
      <c r="N52" t="e">
        <f>VLOOKUP(H52,Sheet1!G:H,2,FALSE)</f>
        <v>#N/A</v>
      </c>
      <c r="R52" t="s">
        <v>1976</v>
      </c>
      <c r="S52">
        <v>2960</v>
      </c>
    </row>
    <row r="53" spans="1:19" x14ac:dyDescent="0.3">
      <c r="A53" t="s">
        <v>8</v>
      </c>
      <c r="B53">
        <f>VLOOKUP(A53,Sheet2!B:F,5,FALSE)</f>
        <v>928</v>
      </c>
      <c r="C53" t="s">
        <v>9</v>
      </c>
      <c r="D53">
        <f>VLOOKUP(C53,Sheet2!C:G,5,FALSE)</f>
        <v>1202</v>
      </c>
      <c r="E53" t="s">
        <v>104</v>
      </c>
      <c r="F53">
        <f>VLOOKUP(E53,Sheet2!D:E,2,FALSE)</f>
        <v>201009</v>
      </c>
      <c r="G53" t="s">
        <v>11</v>
      </c>
      <c r="H53" t="str">
        <f t="shared" si="0"/>
        <v>NAVERabnc2235:naver</v>
      </c>
      <c r="I53" t="str">
        <f>"abnc2235:naver"</f>
        <v>abnc2235:naver</v>
      </c>
      <c r="J53">
        <v>12720</v>
      </c>
      <c r="K53" s="1">
        <v>44866</v>
      </c>
      <c r="L53" t="s">
        <v>105</v>
      </c>
      <c r="M53">
        <f t="shared" si="1"/>
        <v>12720</v>
      </c>
      <c r="N53" t="e">
        <f>VLOOKUP(H53,Sheet1!G:H,2,FALSE)</f>
        <v>#N/A</v>
      </c>
      <c r="R53" t="s">
        <v>1977</v>
      </c>
      <c r="S53">
        <v>145530</v>
      </c>
    </row>
    <row r="54" spans="1:19" x14ac:dyDescent="0.3">
      <c r="A54" t="s">
        <v>22</v>
      </c>
      <c r="B54">
        <f>VLOOKUP(A54,Sheet2!B:F,5,FALSE)</f>
        <v>809</v>
      </c>
      <c r="C54" t="s">
        <v>23</v>
      </c>
      <c r="D54">
        <f>VLOOKUP(C54,Sheet2!C:G,5,FALSE)</f>
        <v>810</v>
      </c>
      <c r="E54" t="s">
        <v>106</v>
      </c>
      <c r="F54">
        <f>VLOOKUP(E54,Sheet2!D:E,2,FALSE)</f>
        <v>1349</v>
      </c>
      <c r="G54" t="s">
        <v>11</v>
      </c>
      <c r="H54" t="str">
        <f t="shared" si="0"/>
        <v>NAVERacademy1230</v>
      </c>
      <c r="I54" t="str">
        <f>"academy1230"</f>
        <v>academy1230</v>
      </c>
      <c r="J54">
        <v>304130</v>
      </c>
      <c r="K54" s="1">
        <v>44866</v>
      </c>
      <c r="L54" t="s">
        <v>107</v>
      </c>
      <c r="M54">
        <f t="shared" si="1"/>
        <v>304130</v>
      </c>
      <c r="N54" t="e">
        <f>VLOOKUP(H54,Sheet1!G:H,2,FALSE)</f>
        <v>#N/A</v>
      </c>
      <c r="R54" t="s">
        <v>1978</v>
      </c>
      <c r="S54">
        <v>1855200</v>
      </c>
    </row>
    <row r="55" spans="1:19" x14ac:dyDescent="0.3">
      <c r="A55" t="s">
        <v>16</v>
      </c>
      <c r="B55">
        <f>VLOOKUP(A55,Sheet2!B:F,5,FALSE)</f>
        <v>927</v>
      </c>
      <c r="C55" t="s">
        <v>17</v>
      </c>
      <c r="D55">
        <f>VLOOKUP(C55,Sheet2!C:G,5,FALSE)</f>
        <v>1200</v>
      </c>
      <c r="E55" t="s">
        <v>93</v>
      </c>
      <c r="F55">
        <f>VLOOKUP(E55,Sheet2!D:E,2,FALSE)</f>
        <v>930</v>
      </c>
      <c r="G55" t="s">
        <v>11</v>
      </c>
      <c r="H55" t="str">
        <f t="shared" si="0"/>
        <v>NAVERaccentri82</v>
      </c>
      <c r="I55" t="str">
        <f>"accentri82"</f>
        <v>accentri82</v>
      </c>
      <c r="J55">
        <v>11580910</v>
      </c>
      <c r="K55" s="1">
        <v>44866</v>
      </c>
      <c r="L55" t="s">
        <v>108</v>
      </c>
      <c r="M55">
        <f t="shared" si="1"/>
        <v>11580910</v>
      </c>
      <c r="N55" t="e">
        <f>VLOOKUP(H55,Sheet1!G:H,2,FALSE)</f>
        <v>#N/A</v>
      </c>
      <c r="R55" t="s">
        <v>1979</v>
      </c>
      <c r="S55">
        <v>2360</v>
      </c>
    </row>
    <row r="56" spans="1:19" x14ac:dyDescent="0.3">
      <c r="A56" t="s">
        <v>8</v>
      </c>
      <c r="B56">
        <f>VLOOKUP(A56,Sheet2!B:F,5,FALSE)</f>
        <v>928</v>
      </c>
      <c r="C56" t="s">
        <v>9</v>
      </c>
      <c r="D56">
        <f>VLOOKUP(C56,Sheet2!C:G,5,FALSE)</f>
        <v>1202</v>
      </c>
      <c r="E56" t="s">
        <v>27</v>
      </c>
      <c r="F56">
        <f>VLOOKUP(E56,Sheet2!D:E,2,FALSE)</f>
        <v>806</v>
      </c>
      <c r="G56" t="s">
        <v>11</v>
      </c>
      <c r="H56" t="str">
        <f t="shared" si="0"/>
        <v>NAVERacemach</v>
      </c>
      <c r="I56" t="str">
        <f>"acemach"</f>
        <v>acemach</v>
      </c>
      <c r="J56">
        <v>969070</v>
      </c>
      <c r="K56" s="1">
        <v>44866</v>
      </c>
      <c r="L56" t="s">
        <v>109</v>
      </c>
      <c r="M56">
        <f t="shared" si="1"/>
        <v>969070</v>
      </c>
      <c r="N56" t="e">
        <f>VLOOKUP(H56,Sheet1!G:H,2,FALSE)</f>
        <v>#N/A</v>
      </c>
      <c r="R56" t="s">
        <v>1980</v>
      </c>
      <c r="S56">
        <v>74620</v>
      </c>
    </row>
    <row r="57" spans="1:19" x14ac:dyDescent="0.3">
      <c r="A57" t="s">
        <v>8</v>
      </c>
      <c r="B57">
        <f>VLOOKUP(A57,Sheet2!B:F,5,FALSE)</f>
        <v>928</v>
      </c>
      <c r="C57" t="s">
        <v>9</v>
      </c>
      <c r="D57">
        <f>VLOOKUP(C57,Sheet2!C:G,5,FALSE)</f>
        <v>1202</v>
      </c>
      <c r="E57" t="s">
        <v>110</v>
      </c>
      <c r="F57">
        <f>VLOOKUP(E57,Sheet2!D:E,2,FALSE)</f>
        <v>929</v>
      </c>
      <c r="G57" t="s">
        <v>11</v>
      </c>
      <c r="H57" t="str">
        <f t="shared" si="0"/>
        <v>NAVERadinart</v>
      </c>
      <c r="I57" t="str">
        <f>"adinart"</f>
        <v>adinart</v>
      </c>
      <c r="J57">
        <v>183580</v>
      </c>
      <c r="K57" s="1">
        <v>44866</v>
      </c>
      <c r="L57" t="s">
        <v>111</v>
      </c>
      <c r="M57">
        <f t="shared" si="1"/>
        <v>183580</v>
      </c>
      <c r="N57" t="e">
        <f>VLOOKUP(H57,Sheet1!G:H,2,FALSE)</f>
        <v>#N/A</v>
      </c>
      <c r="R57" t="s">
        <v>1981</v>
      </c>
      <c r="S57">
        <v>141100</v>
      </c>
    </row>
    <row r="58" spans="1:19" x14ac:dyDescent="0.3">
      <c r="A58" t="s">
        <v>8</v>
      </c>
      <c r="B58">
        <f>VLOOKUP(A58,Sheet2!B:F,5,FALSE)</f>
        <v>928</v>
      </c>
      <c r="C58" t="s">
        <v>13</v>
      </c>
      <c r="D58">
        <f>VLOOKUP(C58,Sheet2!C:G,5,FALSE)</f>
        <v>1184</v>
      </c>
      <c r="E58" t="s">
        <v>51</v>
      </c>
      <c r="F58">
        <f>VLOOKUP(E58,Sheet2!D:E,2,FALSE)</f>
        <v>1274</v>
      </c>
      <c r="G58" t="s">
        <v>11</v>
      </c>
      <c r="H58" t="str">
        <f t="shared" si="0"/>
        <v>NAVERadvantrue</v>
      </c>
      <c r="I58" t="str">
        <f>"advantrue"</f>
        <v>advantrue</v>
      </c>
      <c r="J58">
        <v>8816750</v>
      </c>
      <c r="K58" s="1">
        <v>44866</v>
      </c>
      <c r="L58" t="s">
        <v>112</v>
      </c>
      <c r="M58">
        <f t="shared" si="1"/>
        <v>8816750</v>
      </c>
      <c r="N58" t="e">
        <f>VLOOKUP(H58,Sheet1!G:H,2,FALSE)</f>
        <v>#N/A</v>
      </c>
      <c r="R58" t="s">
        <v>1982</v>
      </c>
      <c r="S58">
        <v>337960</v>
      </c>
    </row>
    <row r="59" spans="1:19" x14ac:dyDescent="0.3">
      <c r="A59" t="s">
        <v>41</v>
      </c>
      <c r="B59">
        <f>VLOOKUP(A59,Sheet2!B:F,5,FALSE)</f>
        <v>926</v>
      </c>
      <c r="C59" t="s">
        <v>56</v>
      </c>
      <c r="D59">
        <f>VLOOKUP(C59,Sheet2!C:G,5,FALSE)</f>
        <v>1207</v>
      </c>
      <c r="E59" t="s">
        <v>91</v>
      </c>
      <c r="F59">
        <f>VLOOKUP(E59,Sheet2!D:E,2,FALSE)</f>
        <v>201104</v>
      </c>
      <c r="G59" t="s">
        <v>11</v>
      </c>
      <c r="H59" t="str">
        <f t="shared" si="0"/>
        <v>NAVERaegisseal</v>
      </c>
      <c r="I59" t="str">
        <f>"aegisseal"</f>
        <v>aegisseal</v>
      </c>
      <c r="J59">
        <v>344000</v>
      </c>
      <c r="K59" s="1">
        <v>44866</v>
      </c>
      <c r="L59" t="s">
        <v>113</v>
      </c>
      <c r="M59">
        <f t="shared" si="1"/>
        <v>344000</v>
      </c>
      <c r="N59" t="e">
        <f>VLOOKUP(H59,Sheet1!G:H,2,FALSE)</f>
        <v>#N/A</v>
      </c>
      <c r="R59" t="s">
        <v>1983</v>
      </c>
      <c r="S59">
        <v>413960</v>
      </c>
    </row>
    <row r="60" spans="1:19" x14ac:dyDescent="0.3">
      <c r="A60" t="s">
        <v>8</v>
      </c>
      <c r="B60">
        <f>VLOOKUP(A60,Sheet2!B:F,5,FALSE)</f>
        <v>928</v>
      </c>
      <c r="C60" t="s">
        <v>13</v>
      </c>
      <c r="D60">
        <f>VLOOKUP(C60,Sheet2!C:G,5,FALSE)</f>
        <v>1184</v>
      </c>
      <c r="E60" t="s">
        <v>59</v>
      </c>
      <c r="F60">
        <f>VLOOKUP(E60,Sheet2!D:E,2,FALSE)</f>
        <v>9</v>
      </c>
      <c r="G60" t="s">
        <v>11</v>
      </c>
      <c r="H60" t="str">
        <f t="shared" si="0"/>
        <v>NAVERaeya</v>
      </c>
      <c r="I60" t="str">
        <f>"aeya"</f>
        <v>aeya</v>
      </c>
      <c r="J60">
        <v>4380</v>
      </c>
      <c r="K60" s="1">
        <v>44866</v>
      </c>
      <c r="L60" t="s">
        <v>114</v>
      </c>
      <c r="M60">
        <f t="shared" si="1"/>
        <v>4380</v>
      </c>
      <c r="N60" t="e">
        <f>VLOOKUP(H60,Sheet1!G:H,2,FALSE)</f>
        <v>#N/A</v>
      </c>
      <c r="R60" t="s">
        <v>1984</v>
      </c>
      <c r="S60">
        <v>634360</v>
      </c>
    </row>
    <row r="61" spans="1:19" x14ac:dyDescent="0.3">
      <c r="A61" t="s">
        <v>8</v>
      </c>
      <c r="B61">
        <f>VLOOKUP(A61,Sheet2!B:F,5,FALSE)</f>
        <v>928</v>
      </c>
      <c r="C61" t="s">
        <v>13</v>
      </c>
      <c r="D61">
        <f>VLOOKUP(C61,Sheet2!C:G,5,FALSE)</f>
        <v>1184</v>
      </c>
      <c r="E61" t="s">
        <v>115</v>
      </c>
      <c r="F61">
        <f>VLOOKUP(E61,Sheet2!D:E,2,FALSE)</f>
        <v>1548</v>
      </c>
      <c r="G61" t="s">
        <v>11</v>
      </c>
      <c r="H61" t="str">
        <f t="shared" si="0"/>
        <v>NAVERafec</v>
      </c>
      <c r="I61" t="str">
        <f>"afec"</f>
        <v>afec</v>
      </c>
      <c r="J61">
        <v>2650</v>
      </c>
      <c r="K61" s="1">
        <v>44866</v>
      </c>
      <c r="L61" t="s">
        <v>116</v>
      </c>
      <c r="M61">
        <f t="shared" si="1"/>
        <v>2650</v>
      </c>
      <c r="N61" t="e">
        <f>VLOOKUP(H61,Sheet1!G:H,2,FALSE)</f>
        <v>#N/A</v>
      </c>
      <c r="R61" t="s">
        <v>1985</v>
      </c>
      <c r="S61">
        <v>774860</v>
      </c>
    </row>
    <row r="62" spans="1:19" x14ac:dyDescent="0.3">
      <c r="A62" t="s">
        <v>8</v>
      </c>
      <c r="B62">
        <f>VLOOKUP(A62,Sheet2!B:F,5,FALSE)</f>
        <v>928</v>
      </c>
      <c r="C62" t="s">
        <v>9</v>
      </c>
      <c r="D62">
        <f>VLOOKUP(C62,Sheet2!C:G,5,FALSE)</f>
        <v>1202</v>
      </c>
      <c r="E62" t="s">
        <v>31</v>
      </c>
      <c r="F62">
        <f>VLOOKUP(E62,Sheet2!D:E,2,FALSE)</f>
        <v>1040</v>
      </c>
      <c r="G62" t="s">
        <v>11</v>
      </c>
      <c r="H62" t="str">
        <f t="shared" si="0"/>
        <v>NAVERafg</v>
      </c>
      <c r="I62" t="str">
        <f>"afg"</f>
        <v>afg</v>
      </c>
      <c r="J62">
        <v>1065700</v>
      </c>
      <c r="K62" s="1">
        <v>44866</v>
      </c>
      <c r="L62" t="s">
        <v>117</v>
      </c>
      <c r="M62">
        <f t="shared" si="1"/>
        <v>1065700</v>
      </c>
      <c r="N62" t="e">
        <f>VLOOKUP(H62,Sheet1!G:H,2,FALSE)</f>
        <v>#N/A</v>
      </c>
      <c r="R62" t="s">
        <v>1986</v>
      </c>
      <c r="S62">
        <v>11820</v>
      </c>
    </row>
    <row r="63" spans="1:19" x14ac:dyDescent="0.3">
      <c r="A63" t="s">
        <v>8</v>
      </c>
      <c r="B63">
        <f>VLOOKUP(A63,Sheet2!B:F,5,FALSE)</f>
        <v>928</v>
      </c>
      <c r="C63" t="s">
        <v>13</v>
      </c>
      <c r="D63">
        <f>VLOOKUP(C63,Sheet2!C:G,5,FALSE)</f>
        <v>1184</v>
      </c>
      <c r="E63" t="s">
        <v>118</v>
      </c>
      <c r="F63">
        <f>VLOOKUP(E63,Sheet2!D:E,2,FALSE)</f>
        <v>201004</v>
      </c>
      <c r="G63" t="s">
        <v>11</v>
      </c>
      <c r="H63" t="str">
        <f t="shared" si="0"/>
        <v>NAVERafricahj213</v>
      </c>
      <c r="I63" t="str">
        <f>"africahj213"</f>
        <v>africahj213</v>
      </c>
      <c r="J63">
        <v>7360</v>
      </c>
      <c r="K63" s="1">
        <v>44866</v>
      </c>
      <c r="L63" t="s">
        <v>119</v>
      </c>
      <c r="M63">
        <f t="shared" si="1"/>
        <v>7360</v>
      </c>
      <c r="N63" t="e">
        <f>VLOOKUP(H63,Sheet1!G:H,2,FALSE)</f>
        <v>#N/A</v>
      </c>
      <c r="R63" t="s">
        <v>1987</v>
      </c>
      <c r="S63">
        <v>1992190</v>
      </c>
    </row>
    <row r="64" spans="1:19" x14ac:dyDescent="0.3">
      <c r="A64" t="s">
        <v>8</v>
      </c>
      <c r="B64">
        <f>VLOOKUP(A64,Sheet2!B:F,5,FALSE)</f>
        <v>928</v>
      </c>
      <c r="C64" t="s">
        <v>9</v>
      </c>
      <c r="D64">
        <f>VLOOKUP(C64,Sheet2!C:G,5,FALSE)</f>
        <v>1202</v>
      </c>
      <c r="E64" t="s">
        <v>35</v>
      </c>
      <c r="F64">
        <f>VLOOKUP(E64,Sheet2!D:E,2,FALSE)</f>
        <v>51</v>
      </c>
      <c r="G64" t="s">
        <v>11</v>
      </c>
      <c r="H64" t="str">
        <f t="shared" si="0"/>
        <v>NAVERaganaa4271</v>
      </c>
      <c r="I64" t="str">
        <f>"aganaa4271"</f>
        <v>aganaa4271</v>
      </c>
      <c r="J64">
        <v>20020</v>
      </c>
      <c r="K64" s="1">
        <v>44866</v>
      </c>
      <c r="L64" t="s">
        <v>120</v>
      </c>
      <c r="M64">
        <f t="shared" si="1"/>
        <v>20020</v>
      </c>
      <c r="N64" t="e">
        <f>VLOOKUP(H64,Sheet1!G:H,2,FALSE)</f>
        <v>#N/A</v>
      </c>
      <c r="R64" t="s">
        <v>1988</v>
      </c>
      <c r="S64">
        <v>2813868</v>
      </c>
    </row>
    <row r="65" spans="1:19" x14ac:dyDescent="0.3">
      <c r="A65" t="s">
        <v>41</v>
      </c>
      <c r="B65">
        <f>VLOOKUP(A65,Sheet2!B:F,5,FALSE)</f>
        <v>926</v>
      </c>
      <c r="C65" t="s">
        <v>42</v>
      </c>
      <c r="D65">
        <f>VLOOKUP(C65,Sheet2!C:G,5,FALSE)</f>
        <v>964</v>
      </c>
      <c r="E65" t="s">
        <v>43</v>
      </c>
      <c r="F65">
        <f>VLOOKUP(E65,Sheet2!D:E,2,FALSE)</f>
        <v>200998</v>
      </c>
      <c r="G65" t="s">
        <v>11</v>
      </c>
      <c r="H65" t="str">
        <f t="shared" si="0"/>
        <v>NAVERagapa1008he2</v>
      </c>
      <c r="I65" t="str">
        <f>"agapa1008he2"</f>
        <v>agapa1008he2</v>
      </c>
      <c r="J65">
        <v>328830</v>
      </c>
      <c r="K65" s="1">
        <v>44866</v>
      </c>
      <c r="L65" t="s">
        <v>121</v>
      </c>
      <c r="M65">
        <f t="shared" si="1"/>
        <v>328830</v>
      </c>
      <c r="N65" t="e">
        <f>VLOOKUP(H65,Sheet1!G:H,2,FALSE)</f>
        <v>#N/A</v>
      </c>
      <c r="R65" t="s">
        <v>1989</v>
      </c>
      <c r="S65">
        <v>86450</v>
      </c>
    </row>
    <row r="66" spans="1:19" x14ac:dyDescent="0.3">
      <c r="A66" t="s">
        <v>8</v>
      </c>
      <c r="B66">
        <f>VLOOKUP(A66,Sheet2!B:F,5,FALSE)</f>
        <v>928</v>
      </c>
      <c r="C66" t="s">
        <v>9</v>
      </c>
      <c r="D66">
        <f>VLOOKUP(C66,Sheet2!C:G,5,FALSE)</f>
        <v>1202</v>
      </c>
      <c r="E66" t="s">
        <v>122</v>
      </c>
      <c r="F66">
        <f>VLOOKUP(E66,Sheet2!D:E,2,FALSE)</f>
        <v>251</v>
      </c>
      <c r="G66" t="s">
        <v>11</v>
      </c>
      <c r="H66" t="str">
        <f t="shared" si="0"/>
        <v>NAVERagltiger</v>
      </c>
      <c r="I66" t="str">
        <f>"agltiger"</f>
        <v>agltiger</v>
      </c>
      <c r="J66">
        <v>1203020</v>
      </c>
      <c r="K66" s="1">
        <v>44866</v>
      </c>
      <c r="L66" t="s">
        <v>123</v>
      </c>
      <c r="M66">
        <f t="shared" si="1"/>
        <v>3050</v>
      </c>
      <c r="N66" t="e">
        <f>VLOOKUP(H66,Sheet1!G:H,2,FALSE)</f>
        <v>#N/A</v>
      </c>
      <c r="R66" t="s">
        <v>1990</v>
      </c>
      <c r="S66">
        <v>110350</v>
      </c>
    </row>
    <row r="67" spans="1:19" x14ac:dyDescent="0.3">
      <c r="A67" t="s">
        <v>16</v>
      </c>
      <c r="B67">
        <f>VLOOKUP(A67,Sheet2!B:F,5,FALSE)</f>
        <v>927</v>
      </c>
      <c r="C67" t="s">
        <v>17</v>
      </c>
      <c r="D67">
        <f>VLOOKUP(C67,Sheet2!C:G,5,FALSE)</f>
        <v>1200</v>
      </c>
      <c r="E67" t="s">
        <v>96</v>
      </c>
      <c r="F67">
        <f>VLOOKUP(E67,Sheet2!D:E,2,FALSE)</f>
        <v>1271</v>
      </c>
      <c r="G67" t="s">
        <v>11</v>
      </c>
      <c r="H67" t="str">
        <f t="shared" ref="H67:H130" si="2">CONCATENATE(G67,I67)</f>
        <v>NAVERahj3345</v>
      </c>
      <c r="I67" t="str">
        <f>"ahj3345"</f>
        <v>ahj3345</v>
      </c>
      <c r="J67">
        <v>27290</v>
      </c>
      <c r="K67" s="1">
        <v>44866</v>
      </c>
      <c r="L67" t="s">
        <v>124</v>
      </c>
      <c r="M67" t="e">
        <f t="shared" ref="M67:M130" si="3">VLOOKUP(H67,R:S,2,FALSE)</f>
        <v>#N/A</v>
      </c>
      <c r="N67" t="e">
        <f>VLOOKUP(H67,Sheet1!G:H,2,FALSE)</f>
        <v>#N/A</v>
      </c>
      <c r="R67" t="s">
        <v>1991</v>
      </c>
      <c r="S67">
        <v>3790</v>
      </c>
    </row>
    <row r="68" spans="1:19" x14ac:dyDescent="0.3">
      <c r="A68" t="s">
        <v>41</v>
      </c>
      <c r="B68">
        <f>VLOOKUP(A68,Sheet2!B:F,5,FALSE)</f>
        <v>926</v>
      </c>
      <c r="C68" t="s">
        <v>56</v>
      </c>
      <c r="D68">
        <f>VLOOKUP(C68,Sheet2!C:G,5,FALSE)</f>
        <v>1207</v>
      </c>
      <c r="E68" t="s">
        <v>64</v>
      </c>
      <c r="F68">
        <f>VLOOKUP(E68,Sheet2!D:E,2,FALSE)</f>
        <v>201011</v>
      </c>
      <c r="G68" t="s">
        <v>11</v>
      </c>
      <c r="H68" t="str">
        <f t="shared" si="2"/>
        <v>NAVERahrvhghdrk</v>
      </c>
      <c r="I68" t="str">
        <f>"ahrvhghdrk"</f>
        <v>ahrvhghdrk</v>
      </c>
      <c r="J68">
        <v>980220</v>
      </c>
      <c r="K68" s="1">
        <v>44866</v>
      </c>
      <c r="L68" t="s">
        <v>125</v>
      </c>
      <c r="M68">
        <f t="shared" si="3"/>
        <v>980220</v>
      </c>
      <c r="N68" t="e">
        <f>VLOOKUP(H68,Sheet1!G:H,2,FALSE)</f>
        <v>#N/A</v>
      </c>
      <c r="R68" t="s">
        <v>1992</v>
      </c>
      <c r="S68">
        <v>0</v>
      </c>
    </row>
    <row r="69" spans="1:19" x14ac:dyDescent="0.3">
      <c r="A69" t="s">
        <v>8</v>
      </c>
      <c r="B69">
        <f>VLOOKUP(A69,Sheet2!B:F,5,FALSE)</f>
        <v>928</v>
      </c>
      <c r="C69" t="s">
        <v>9</v>
      </c>
      <c r="D69">
        <f>VLOOKUP(C69,Sheet2!C:G,5,FALSE)</f>
        <v>1202</v>
      </c>
      <c r="E69" t="s">
        <v>27</v>
      </c>
      <c r="F69">
        <f>VLOOKUP(E69,Sheet2!D:E,2,FALSE)</f>
        <v>806</v>
      </c>
      <c r="G69" t="s">
        <v>11</v>
      </c>
      <c r="H69" t="str">
        <f t="shared" si="2"/>
        <v>NAVERaimakorea</v>
      </c>
      <c r="I69" t="str">
        <f>"aimakorea"</f>
        <v>aimakorea</v>
      </c>
      <c r="J69">
        <v>170000</v>
      </c>
      <c r="K69" s="1">
        <v>44866</v>
      </c>
      <c r="L69" t="s">
        <v>126</v>
      </c>
      <c r="M69">
        <f t="shared" si="3"/>
        <v>170000</v>
      </c>
      <c r="N69" t="e">
        <f>VLOOKUP(H69,Sheet1!G:H,2,FALSE)</f>
        <v>#N/A</v>
      </c>
      <c r="R69" t="s">
        <v>1993</v>
      </c>
      <c r="S69">
        <v>748830</v>
      </c>
    </row>
    <row r="70" spans="1:19" x14ac:dyDescent="0.3">
      <c r="A70" t="s">
        <v>8</v>
      </c>
      <c r="B70">
        <f>VLOOKUP(A70,Sheet2!B:F,5,FALSE)</f>
        <v>928</v>
      </c>
      <c r="C70" t="s">
        <v>13</v>
      </c>
      <c r="D70">
        <f>VLOOKUP(C70,Sheet2!C:G,5,FALSE)</f>
        <v>1184</v>
      </c>
      <c r="E70" t="s">
        <v>127</v>
      </c>
      <c r="F70">
        <f>VLOOKUP(E70,Sheet2!D:E,2,FALSE)</f>
        <v>201029</v>
      </c>
      <c r="G70" t="s">
        <v>11</v>
      </c>
      <c r="H70" t="str">
        <f t="shared" si="2"/>
        <v>NAVERaimsak</v>
      </c>
      <c r="I70" t="str">
        <f>"aimsak"</f>
        <v>aimsak</v>
      </c>
      <c r="J70">
        <v>1960540</v>
      </c>
      <c r="K70" s="1">
        <v>44866</v>
      </c>
      <c r="L70" t="s">
        <v>128</v>
      </c>
      <c r="M70">
        <f t="shared" si="3"/>
        <v>460570</v>
      </c>
      <c r="N70" t="e">
        <f>VLOOKUP(H70,Sheet1!G:H,2,FALSE)</f>
        <v>#N/A</v>
      </c>
      <c r="R70" t="s">
        <v>1994</v>
      </c>
      <c r="S70">
        <v>220</v>
      </c>
    </row>
    <row r="71" spans="1:19" x14ac:dyDescent="0.3">
      <c r="A71" t="s">
        <v>41</v>
      </c>
      <c r="B71">
        <f>VLOOKUP(A71,Sheet2!B:F,5,FALSE)</f>
        <v>926</v>
      </c>
      <c r="C71" t="s">
        <v>56</v>
      </c>
      <c r="D71">
        <f>VLOOKUP(C71,Sheet2!C:G,5,FALSE)</f>
        <v>1207</v>
      </c>
      <c r="E71" t="s">
        <v>64</v>
      </c>
      <c r="F71">
        <f>VLOOKUP(E71,Sheet2!D:E,2,FALSE)</f>
        <v>201011</v>
      </c>
      <c r="G71" t="s">
        <v>11</v>
      </c>
      <c r="H71" t="str">
        <f t="shared" si="2"/>
        <v>NAVERaircenter</v>
      </c>
      <c r="I71" t="str">
        <f>"aircenter"</f>
        <v>aircenter</v>
      </c>
      <c r="J71">
        <v>13500</v>
      </c>
      <c r="K71" s="1">
        <v>44866</v>
      </c>
      <c r="L71" t="s">
        <v>129</v>
      </c>
      <c r="M71">
        <f t="shared" si="3"/>
        <v>13500</v>
      </c>
      <c r="N71" t="e">
        <f>VLOOKUP(H71,Sheet1!G:H,2,FALSE)</f>
        <v>#N/A</v>
      </c>
      <c r="R71" t="s">
        <v>1995</v>
      </c>
      <c r="S71">
        <v>476750</v>
      </c>
    </row>
    <row r="72" spans="1:19" x14ac:dyDescent="0.3">
      <c r="A72" t="s">
        <v>8</v>
      </c>
      <c r="B72">
        <f>VLOOKUP(A72,Sheet2!B:F,5,FALSE)</f>
        <v>928</v>
      </c>
      <c r="C72" t="s">
        <v>9</v>
      </c>
      <c r="D72">
        <f>VLOOKUP(C72,Sheet2!C:G,5,FALSE)</f>
        <v>1202</v>
      </c>
      <c r="E72" t="s">
        <v>31</v>
      </c>
      <c r="F72">
        <f>VLOOKUP(E72,Sheet2!D:E,2,FALSE)</f>
        <v>1040</v>
      </c>
      <c r="G72" t="s">
        <v>11</v>
      </c>
      <c r="H72" t="str">
        <f t="shared" si="2"/>
        <v>NAVERaircosea</v>
      </c>
      <c r="I72" t="str">
        <f>"aircosea"</f>
        <v>aircosea</v>
      </c>
      <c r="J72">
        <v>1152050</v>
      </c>
      <c r="K72" s="1">
        <v>44866</v>
      </c>
      <c r="L72" t="s">
        <v>130</v>
      </c>
      <c r="M72">
        <f t="shared" si="3"/>
        <v>1152050</v>
      </c>
      <c r="N72" t="e">
        <f>VLOOKUP(H72,Sheet1!G:H,2,FALSE)</f>
        <v>#N/A</v>
      </c>
      <c r="R72" t="s">
        <v>1996</v>
      </c>
      <c r="S72">
        <v>73780</v>
      </c>
    </row>
    <row r="73" spans="1:19" x14ac:dyDescent="0.3">
      <c r="A73" t="s">
        <v>8</v>
      </c>
      <c r="B73">
        <f>VLOOKUP(A73,Sheet2!B:F,5,FALSE)</f>
        <v>928</v>
      </c>
      <c r="C73" t="s">
        <v>13</v>
      </c>
      <c r="D73">
        <f>VLOOKUP(C73,Sheet2!C:G,5,FALSE)</f>
        <v>1184</v>
      </c>
      <c r="E73" t="s">
        <v>59</v>
      </c>
      <c r="F73">
        <f>VLOOKUP(E73,Sheet2!D:E,2,FALSE)</f>
        <v>9</v>
      </c>
      <c r="G73" t="s">
        <v>11</v>
      </c>
      <c r="H73" t="str">
        <f t="shared" si="2"/>
        <v>NAVERajeon10</v>
      </c>
      <c r="I73" t="str">
        <f>"ajeon10"</f>
        <v>ajeon10</v>
      </c>
      <c r="J73">
        <v>10560</v>
      </c>
      <c r="K73" s="1">
        <v>44866</v>
      </c>
      <c r="L73" t="s">
        <v>131</v>
      </c>
      <c r="M73">
        <f t="shared" si="3"/>
        <v>10560</v>
      </c>
      <c r="N73" t="e">
        <f>VLOOKUP(H73,Sheet1!G:H,2,FALSE)</f>
        <v>#N/A</v>
      </c>
      <c r="R73" t="s">
        <v>1997</v>
      </c>
      <c r="S73">
        <v>166630</v>
      </c>
    </row>
    <row r="74" spans="1:19" x14ac:dyDescent="0.3">
      <c r="A74" t="s">
        <v>41</v>
      </c>
      <c r="B74">
        <f>VLOOKUP(A74,Sheet2!B:F,5,FALSE)</f>
        <v>926</v>
      </c>
      <c r="C74" t="s">
        <v>56</v>
      </c>
      <c r="D74">
        <f>VLOOKUP(C74,Sheet2!C:G,5,FALSE)</f>
        <v>1207</v>
      </c>
      <c r="E74" t="s">
        <v>91</v>
      </c>
      <c r="F74">
        <f>VLOOKUP(E74,Sheet2!D:E,2,FALSE)</f>
        <v>201104</v>
      </c>
      <c r="G74" t="s">
        <v>11</v>
      </c>
      <c r="H74" t="str">
        <f t="shared" si="2"/>
        <v>NAVERajukitchen</v>
      </c>
      <c r="I74" t="str">
        <f>"ajukitchen"</f>
        <v>ajukitchen</v>
      </c>
      <c r="J74">
        <v>229090</v>
      </c>
      <c r="K74" s="1">
        <v>44866</v>
      </c>
      <c r="L74" t="s">
        <v>132</v>
      </c>
      <c r="M74">
        <f t="shared" si="3"/>
        <v>229090</v>
      </c>
      <c r="N74" t="e">
        <f>VLOOKUP(H74,Sheet1!G:H,2,FALSE)</f>
        <v>#N/A</v>
      </c>
      <c r="R74" t="s">
        <v>1998</v>
      </c>
      <c r="S74">
        <v>279890</v>
      </c>
    </row>
    <row r="75" spans="1:19" x14ac:dyDescent="0.3">
      <c r="A75" t="s">
        <v>16</v>
      </c>
      <c r="B75">
        <f>VLOOKUP(A75,Sheet2!B:F,5,FALSE)</f>
        <v>927</v>
      </c>
      <c r="C75" t="s">
        <v>17</v>
      </c>
      <c r="D75">
        <f>VLOOKUP(C75,Sheet2!C:G,5,FALSE)</f>
        <v>1200</v>
      </c>
      <c r="E75" t="s">
        <v>93</v>
      </c>
      <c r="F75">
        <f>VLOOKUP(E75,Sheet2!D:E,2,FALSE)</f>
        <v>930</v>
      </c>
      <c r="G75" t="s">
        <v>11</v>
      </c>
      <c r="H75" t="str">
        <f t="shared" si="2"/>
        <v>NAVERalgu0429</v>
      </c>
      <c r="I75" t="str">
        <f>"algu0429"</f>
        <v>algu0429</v>
      </c>
      <c r="J75">
        <v>954070</v>
      </c>
      <c r="K75" s="1">
        <v>44866</v>
      </c>
      <c r="L75" t="s">
        <v>133</v>
      </c>
      <c r="M75">
        <f t="shared" si="3"/>
        <v>954070</v>
      </c>
      <c r="N75" t="e">
        <f>VLOOKUP(H75,Sheet1!G:H,2,FALSE)</f>
        <v>#N/A</v>
      </c>
      <c r="R75" t="s">
        <v>1999</v>
      </c>
      <c r="S75">
        <v>111670</v>
      </c>
    </row>
    <row r="76" spans="1:19" x14ac:dyDescent="0.3">
      <c r="A76" t="s">
        <v>8</v>
      </c>
      <c r="B76">
        <f>VLOOKUP(A76,Sheet2!B:F,5,FALSE)</f>
        <v>928</v>
      </c>
      <c r="C76" t="s">
        <v>9</v>
      </c>
      <c r="D76">
        <f>VLOOKUP(C76,Sheet2!C:G,5,FALSE)</f>
        <v>1202</v>
      </c>
      <c r="E76" t="s">
        <v>10</v>
      </c>
      <c r="F76">
        <f>VLOOKUP(E76,Sheet2!D:E,2,FALSE)</f>
        <v>939</v>
      </c>
      <c r="G76" t="s">
        <v>11</v>
      </c>
      <c r="H76" t="str">
        <f t="shared" si="2"/>
        <v>NAVERalienasia</v>
      </c>
      <c r="I76" t="str">
        <f>"alienasia"</f>
        <v>alienasia</v>
      </c>
      <c r="J76">
        <v>5338610</v>
      </c>
      <c r="K76" s="1">
        <v>44866</v>
      </c>
      <c r="L76" t="s">
        <v>134</v>
      </c>
      <c r="M76">
        <f t="shared" si="3"/>
        <v>5338610</v>
      </c>
      <c r="N76" t="e">
        <f>VLOOKUP(H76,Sheet1!G:H,2,FALSE)</f>
        <v>#N/A</v>
      </c>
      <c r="R76" t="s">
        <v>2000</v>
      </c>
      <c r="S76">
        <v>12970</v>
      </c>
    </row>
    <row r="77" spans="1:19" x14ac:dyDescent="0.3">
      <c r="A77" t="s">
        <v>8</v>
      </c>
      <c r="B77">
        <f>VLOOKUP(A77,Sheet2!B:F,5,FALSE)</f>
        <v>928</v>
      </c>
      <c r="C77" t="s">
        <v>9</v>
      </c>
      <c r="D77">
        <f>VLOOKUP(C77,Sheet2!C:G,5,FALSE)</f>
        <v>1202</v>
      </c>
      <c r="E77" t="s">
        <v>47</v>
      </c>
      <c r="F77">
        <f>VLOOKUP(E77,Sheet2!D:E,2,FALSE)</f>
        <v>898</v>
      </c>
      <c r="G77" t="s">
        <v>11</v>
      </c>
      <c r="H77" t="str">
        <f t="shared" si="2"/>
        <v>NAVERalldaygift</v>
      </c>
      <c r="I77" t="str">
        <f>"alldaygift"</f>
        <v>alldaygift</v>
      </c>
      <c r="J77">
        <v>49910</v>
      </c>
      <c r="K77" s="1">
        <v>44866</v>
      </c>
      <c r="L77" t="s">
        <v>135</v>
      </c>
      <c r="M77">
        <f t="shared" si="3"/>
        <v>49910</v>
      </c>
      <c r="N77" t="e">
        <f>VLOOKUP(H77,Sheet1!G:H,2,FALSE)</f>
        <v>#N/A</v>
      </c>
      <c r="R77" t="s">
        <v>2001</v>
      </c>
      <c r="S77">
        <v>25700</v>
      </c>
    </row>
    <row r="78" spans="1:19" x14ac:dyDescent="0.3">
      <c r="A78" t="s">
        <v>16</v>
      </c>
      <c r="B78">
        <f>VLOOKUP(A78,Sheet2!B:F,5,FALSE)</f>
        <v>927</v>
      </c>
      <c r="C78" t="s">
        <v>17</v>
      </c>
      <c r="D78">
        <f>VLOOKUP(C78,Sheet2!C:G,5,FALSE)</f>
        <v>1200</v>
      </c>
      <c r="E78" t="s">
        <v>93</v>
      </c>
      <c r="F78">
        <f>VLOOKUP(E78,Sheet2!D:E,2,FALSE)</f>
        <v>930</v>
      </c>
      <c r="G78" t="s">
        <v>11</v>
      </c>
      <c r="H78" t="str">
        <f t="shared" si="2"/>
        <v>NAVERallinfok</v>
      </c>
      <c r="I78" t="str">
        <f>"allinfok"</f>
        <v>allinfok</v>
      </c>
      <c r="J78">
        <v>24737380</v>
      </c>
      <c r="K78" s="1">
        <v>44866</v>
      </c>
      <c r="L78" t="s">
        <v>136</v>
      </c>
      <c r="M78">
        <f t="shared" si="3"/>
        <v>24782530</v>
      </c>
      <c r="N78" t="e">
        <f>VLOOKUP(H78,Sheet1!G:H,2,FALSE)</f>
        <v>#N/A</v>
      </c>
      <c r="R78" t="s">
        <v>2002</v>
      </c>
      <c r="S78">
        <v>244430</v>
      </c>
    </row>
    <row r="79" spans="1:19" x14ac:dyDescent="0.3">
      <c r="A79" t="s">
        <v>16</v>
      </c>
      <c r="B79">
        <f>VLOOKUP(A79,Sheet2!B:F,5,FALSE)</f>
        <v>927</v>
      </c>
      <c r="C79" t="s">
        <v>17</v>
      </c>
      <c r="D79">
        <f>VLOOKUP(C79,Sheet2!C:G,5,FALSE)</f>
        <v>1200</v>
      </c>
      <c r="E79" t="s">
        <v>137</v>
      </c>
      <c r="F79">
        <f>VLOOKUP(E79,Sheet2!D:E,2,FALSE)</f>
        <v>1012</v>
      </c>
      <c r="G79" t="s">
        <v>11</v>
      </c>
      <c r="H79" t="str">
        <f t="shared" si="2"/>
        <v>NAVERalltrendmall</v>
      </c>
      <c r="I79" t="str">
        <f>"alltrendmall"</f>
        <v>alltrendmall</v>
      </c>
      <c r="J79">
        <v>245840</v>
      </c>
      <c r="K79" s="1">
        <v>44866</v>
      </c>
      <c r="L79" t="s">
        <v>138</v>
      </c>
      <c r="M79">
        <f t="shared" si="3"/>
        <v>245840</v>
      </c>
      <c r="N79" t="e">
        <f>VLOOKUP(H79,Sheet1!G:H,2,FALSE)</f>
        <v>#N/A</v>
      </c>
      <c r="R79" t="s">
        <v>2003</v>
      </c>
      <c r="S79">
        <v>30600</v>
      </c>
    </row>
    <row r="80" spans="1:19" x14ac:dyDescent="0.3">
      <c r="A80" t="s">
        <v>41</v>
      </c>
      <c r="B80">
        <f>VLOOKUP(A80,Sheet2!B:F,5,FALSE)</f>
        <v>926</v>
      </c>
      <c r="C80" t="s">
        <v>56</v>
      </c>
      <c r="D80">
        <f>VLOOKUP(C80,Sheet2!C:G,5,FALSE)</f>
        <v>1207</v>
      </c>
      <c r="E80" t="s">
        <v>62</v>
      </c>
      <c r="F80">
        <f>VLOOKUP(E80,Sheet2!D:E,2,FALSE)</f>
        <v>201037</v>
      </c>
      <c r="G80" t="s">
        <v>11</v>
      </c>
      <c r="H80" t="str">
        <f t="shared" si="2"/>
        <v>NAVERalphaamc:naver</v>
      </c>
      <c r="I80" t="str">
        <f>"alphaamc:naver"</f>
        <v>alphaamc:naver</v>
      </c>
      <c r="J80">
        <v>474750</v>
      </c>
      <c r="K80" s="1">
        <v>44866</v>
      </c>
      <c r="L80" t="s">
        <v>139</v>
      </c>
      <c r="M80">
        <f t="shared" si="3"/>
        <v>474750</v>
      </c>
      <c r="N80" t="e">
        <f>VLOOKUP(H80,Sheet1!G:H,2,FALSE)</f>
        <v>#N/A</v>
      </c>
      <c r="R80" t="s">
        <v>2004</v>
      </c>
      <c r="S80">
        <v>105361</v>
      </c>
    </row>
    <row r="81" spans="1:19" x14ac:dyDescent="0.3">
      <c r="A81" t="s">
        <v>8</v>
      </c>
      <c r="B81">
        <f>VLOOKUP(A81,Sheet2!B:F,5,FALSE)</f>
        <v>928</v>
      </c>
      <c r="C81" t="s">
        <v>9</v>
      </c>
      <c r="D81">
        <f>VLOOKUP(C81,Sheet2!C:G,5,FALSE)</f>
        <v>1202</v>
      </c>
      <c r="E81" t="s">
        <v>20</v>
      </c>
      <c r="F81">
        <f>VLOOKUP(E81,Sheet2!D:E,2,FALSE)</f>
        <v>938</v>
      </c>
      <c r="G81" t="s">
        <v>11</v>
      </c>
      <c r="H81" t="str">
        <f t="shared" si="2"/>
        <v>NAVERalsdn2233</v>
      </c>
      <c r="I81" t="str">
        <f>"alsdn2233"</f>
        <v>alsdn2233</v>
      </c>
      <c r="J81">
        <v>43030</v>
      </c>
      <c r="K81" s="1">
        <v>44866</v>
      </c>
      <c r="L81" t="s">
        <v>140</v>
      </c>
      <c r="M81">
        <f t="shared" si="3"/>
        <v>43030</v>
      </c>
      <c r="N81" t="e">
        <f>VLOOKUP(H81,Sheet1!G:H,2,FALSE)</f>
        <v>#N/A</v>
      </c>
      <c r="R81" t="s">
        <v>2005</v>
      </c>
      <c r="S81">
        <v>15850</v>
      </c>
    </row>
    <row r="82" spans="1:19" x14ac:dyDescent="0.3">
      <c r="A82" t="s">
        <v>8</v>
      </c>
      <c r="B82">
        <f>VLOOKUP(A82,Sheet2!B:F,5,FALSE)</f>
        <v>928</v>
      </c>
      <c r="C82" t="s">
        <v>9</v>
      </c>
      <c r="D82">
        <f>VLOOKUP(C82,Sheet2!C:G,5,FALSE)</f>
        <v>1202</v>
      </c>
      <c r="E82" t="s">
        <v>27</v>
      </c>
      <c r="F82">
        <f>VLOOKUP(E82,Sheet2!D:E,2,FALSE)</f>
        <v>806</v>
      </c>
      <c r="G82" t="s">
        <v>11</v>
      </c>
      <c r="H82" t="str">
        <f t="shared" si="2"/>
        <v>NAVERalstjr240</v>
      </c>
      <c r="I82" t="str">
        <f>"alstjr240"</f>
        <v>alstjr240</v>
      </c>
      <c r="J82">
        <v>627280</v>
      </c>
      <c r="K82" s="1">
        <v>44866</v>
      </c>
      <c r="L82" t="s">
        <v>141</v>
      </c>
      <c r="M82">
        <f t="shared" si="3"/>
        <v>627280</v>
      </c>
      <c r="N82" t="e">
        <f>VLOOKUP(H82,Sheet1!G:H,2,FALSE)</f>
        <v>#N/A</v>
      </c>
      <c r="R82" t="s">
        <v>2006</v>
      </c>
      <c r="S82">
        <v>5696240</v>
      </c>
    </row>
    <row r="83" spans="1:19" x14ac:dyDescent="0.3">
      <c r="A83" t="s">
        <v>8</v>
      </c>
      <c r="B83">
        <f>VLOOKUP(A83,Sheet2!B:F,5,FALSE)</f>
        <v>928</v>
      </c>
      <c r="C83" t="s">
        <v>9</v>
      </c>
      <c r="D83">
        <f>VLOOKUP(C83,Sheet2!C:G,5,FALSE)</f>
        <v>1202</v>
      </c>
      <c r="E83" t="s">
        <v>27</v>
      </c>
      <c r="F83">
        <f>VLOOKUP(E83,Sheet2!D:E,2,FALSE)</f>
        <v>806</v>
      </c>
      <c r="G83" t="s">
        <v>11</v>
      </c>
      <c r="H83" t="str">
        <f t="shared" si="2"/>
        <v>NAVERalstjr240:naver</v>
      </c>
      <c r="I83" t="str">
        <f>"alstjr240:naver"</f>
        <v>alstjr240:naver</v>
      </c>
      <c r="J83">
        <v>271060</v>
      </c>
      <c r="K83" s="1">
        <v>44866</v>
      </c>
      <c r="L83" t="s">
        <v>141</v>
      </c>
      <c r="M83">
        <f t="shared" si="3"/>
        <v>271060</v>
      </c>
      <c r="N83" t="e">
        <f>VLOOKUP(H83,Sheet1!G:H,2,FALSE)</f>
        <v>#N/A</v>
      </c>
      <c r="R83" t="s">
        <v>2007</v>
      </c>
      <c r="S83">
        <v>1545200</v>
      </c>
    </row>
    <row r="84" spans="1:19" x14ac:dyDescent="0.3">
      <c r="A84" t="s">
        <v>8</v>
      </c>
      <c r="B84">
        <f>VLOOKUP(A84,Sheet2!B:F,5,FALSE)</f>
        <v>928</v>
      </c>
      <c r="C84" t="s">
        <v>9</v>
      </c>
      <c r="D84">
        <f>VLOOKUP(C84,Sheet2!C:G,5,FALSE)</f>
        <v>1202</v>
      </c>
      <c r="E84" t="s">
        <v>142</v>
      </c>
      <c r="F84">
        <f>VLOOKUP(E84,Sheet2!D:E,2,FALSE)</f>
        <v>652</v>
      </c>
      <c r="G84" t="s">
        <v>11</v>
      </c>
      <c r="H84" t="str">
        <f t="shared" si="2"/>
        <v>NAVERalswjd7590</v>
      </c>
      <c r="I84" t="str">
        <f>"alswjd7590"</f>
        <v>alswjd7590</v>
      </c>
      <c r="J84">
        <v>752142</v>
      </c>
      <c r="K84" s="1">
        <v>44866</v>
      </c>
      <c r="L84" t="s">
        <v>143</v>
      </c>
      <c r="M84">
        <f t="shared" si="3"/>
        <v>75542</v>
      </c>
      <c r="N84" t="e">
        <f>VLOOKUP(H84,Sheet1!G:H,2,FALSE)</f>
        <v>#N/A</v>
      </c>
      <c r="R84" t="s">
        <v>2008</v>
      </c>
      <c r="S84">
        <v>463310</v>
      </c>
    </row>
    <row r="85" spans="1:19" x14ac:dyDescent="0.3">
      <c r="A85" t="s">
        <v>8</v>
      </c>
      <c r="B85">
        <f>VLOOKUP(A85,Sheet2!B:F,5,FALSE)</f>
        <v>928</v>
      </c>
      <c r="C85" t="s">
        <v>9</v>
      </c>
      <c r="D85">
        <f>VLOOKUP(C85,Sheet2!C:G,5,FALSE)</f>
        <v>1202</v>
      </c>
      <c r="E85" t="s">
        <v>37</v>
      </c>
      <c r="F85">
        <f>VLOOKUP(E85,Sheet2!D:E,2,FALSE)</f>
        <v>81</v>
      </c>
      <c r="G85" t="s">
        <v>11</v>
      </c>
      <c r="H85" t="str">
        <f t="shared" si="2"/>
        <v>NAVERaltech</v>
      </c>
      <c r="I85" t="str">
        <f>"altech"</f>
        <v>altech</v>
      </c>
      <c r="J85">
        <v>683500</v>
      </c>
      <c r="K85" s="1">
        <v>44866</v>
      </c>
      <c r="L85" t="s">
        <v>144</v>
      </c>
      <c r="M85">
        <f t="shared" si="3"/>
        <v>683500</v>
      </c>
      <c r="N85" t="e">
        <f>VLOOKUP(H85,Sheet1!G:H,2,FALSE)</f>
        <v>#N/A</v>
      </c>
      <c r="R85" t="s">
        <v>2009</v>
      </c>
      <c r="S85">
        <v>566200</v>
      </c>
    </row>
    <row r="86" spans="1:19" x14ac:dyDescent="0.3">
      <c r="A86" t="s">
        <v>8</v>
      </c>
      <c r="B86">
        <f>VLOOKUP(A86,Sheet2!B:F,5,FALSE)</f>
        <v>928</v>
      </c>
      <c r="C86" t="s">
        <v>13</v>
      </c>
      <c r="D86">
        <f>VLOOKUP(C86,Sheet2!C:G,5,FALSE)</f>
        <v>1184</v>
      </c>
      <c r="E86" t="s">
        <v>51</v>
      </c>
      <c r="F86">
        <f>VLOOKUP(E86,Sheet2!D:E,2,FALSE)</f>
        <v>1274</v>
      </c>
      <c r="G86" t="s">
        <v>11</v>
      </c>
      <c r="H86" t="str">
        <f t="shared" si="2"/>
        <v>NAVERalwk7464</v>
      </c>
      <c r="I86" t="str">
        <f>"alwk7464"</f>
        <v>alwk7464</v>
      </c>
      <c r="J86">
        <v>2150</v>
      </c>
      <c r="K86" s="1">
        <v>44866</v>
      </c>
      <c r="L86" t="s">
        <v>145</v>
      </c>
      <c r="M86">
        <f t="shared" si="3"/>
        <v>2150</v>
      </c>
      <c r="N86" t="e">
        <f>VLOOKUP(H86,Sheet1!G:H,2,FALSE)</f>
        <v>#N/A</v>
      </c>
      <c r="R86" t="s">
        <v>2010</v>
      </c>
      <c r="S86">
        <v>75030</v>
      </c>
    </row>
    <row r="87" spans="1:19" x14ac:dyDescent="0.3">
      <c r="A87" t="s">
        <v>41</v>
      </c>
      <c r="B87">
        <f>VLOOKUP(A87,Sheet2!B:F,5,FALSE)</f>
        <v>926</v>
      </c>
      <c r="C87" t="s">
        <v>56</v>
      </c>
      <c r="D87">
        <f>VLOOKUP(C87,Sheet2!C:G,5,FALSE)</f>
        <v>1207</v>
      </c>
      <c r="E87" t="s">
        <v>57</v>
      </c>
      <c r="F87">
        <f>VLOOKUP(E87,Sheet2!D:E,2,FALSE)</f>
        <v>200982</v>
      </c>
      <c r="G87" t="s">
        <v>11</v>
      </c>
      <c r="H87" t="str">
        <f t="shared" si="2"/>
        <v>NAVERalznner4639</v>
      </c>
      <c r="I87" t="str">
        <f>"alznner4639"</f>
        <v>alznner4639</v>
      </c>
      <c r="J87">
        <v>1050850</v>
      </c>
      <c r="K87" s="1">
        <v>44866</v>
      </c>
      <c r="L87" t="s">
        <v>146</v>
      </c>
      <c r="M87">
        <f t="shared" si="3"/>
        <v>350870</v>
      </c>
      <c r="N87" t="e">
        <f>VLOOKUP(H87,Sheet1!G:H,2,FALSE)</f>
        <v>#N/A</v>
      </c>
      <c r="R87" t="s">
        <v>2011</v>
      </c>
      <c r="S87">
        <v>3099810</v>
      </c>
    </row>
    <row r="88" spans="1:19" x14ac:dyDescent="0.3">
      <c r="A88" t="s">
        <v>8</v>
      </c>
      <c r="B88">
        <f>VLOOKUP(A88,Sheet2!B:F,5,FALSE)</f>
        <v>928</v>
      </c>
      <c r="C88" t="s">
        <v>9</v>
      </c>
      <c r="D88">
        <f>VLOOKUP(C88,Sheet2!C:G,5,FALSE)</f>
        <v>1202</v>
      </c>
      <c r="E88" t="s">
        <v>33</v>
      </c>
      <c r="F88">
        <f>VLOOKUP(E88,Sheet2!D:E,2,FALSE)</f>
        <v>933</v>
      </c>
      <c r="G88" t="s">
        <v>11</v>
      </c>
      <c r="H88" t="str">
        <f t="shared" si="2"/>
        <v>NAVERanchon119</v>
      </c>
      <c r="I88" t="str">
        <f>"anchon119"</f>
        <v>anchon119</v>
      </c>
      <c r="J88">
        <v>10130</v>
      </c>
      <c r="K88" s="1">
        <v>44866</v>
      </c>
      <c r="L88" t="s">
        <v>147</v>
      </c>
      <c r="M88">
        <f t="shared" si="3"/>
        <v>10130</v>
      </c>
      <c r="N88" t="e">
        <f>VLOOKUP(H88,Sheet1!G:H,2,FALSE)</f>
        <v>#N/A</v>
      </c>
      <c r="R88" t="s">
        <v>2012</v>
      </c>
      <c r="S88">
        <v>0</v>
      </c>
    </row>
    <row r="89" spans="1:19" x14ac:dyDescent="0.3">
      <c r="A89" t="s">
        <v>8</v>
      </c>
      <c r="B89">
        <f>VLOOKUP(A89,Sheet2!B:F,5,FALSE)</f>
        <v>928</v>
      </c>
      <c r="C89" t="s">
        <v>13</v>
      </c>
      <c r="D89">
        <f>VLOOKUP(C89,Sheet2!C:G,5,FALSE)</f>
        <v>1184</v>
      </c>
      <c r="E89" t="s">
        <v>59</v>
      </c>
      <c r="F89">
        <f>VLOOKUP(E89,Sheet2!D:E,2,FALSE)</f>
        <v>9</v>
      </c>
      <c r="G89" t="s">
        <v>11</v>
      </c>
      <c r="H89" t="str">
        <f t="shared" si="2"/>
        <v>NAVERangel5587</v>
      </c>
      <c r="I89" t="str">
        <f>"angel5587"</f>
        <v>angel5587</v>
      </c>
      <c r="J89">
        <v>9900</v>
      </c>
      <c r="K89" s="1">
        <v>44866</v>
      </c>
      <c r="L89" t="s">
        <v>148</v>
      </c>
      <c r="M89">
        <f t="shared" si="3"/>
        <v>8850</v>
      </c>
      <c r="N89" t="e">
        <f>VLOOKUP(H89,Sheet1!G:H,2,FALSE)</f>
        <v>#N/A</v>
      </c>
      <c r="R89" t="s">
        <v>2013</v>
      </c>
      <c r="S89">
        <v>474320</v>
      </c>
    </row>
    <row r="90" spans="1:19" x14ac:dyDescent="0.3">
      <c r="A90" t="s">
        <v>8</v>
      </c>
      <c r="B90">
        <f>VLOOKUP(A90,Sheet2!B:F,5,FALSE)</f>
        <v>928</v>
      </c>
      <c r="C90" t="s">
        <v>9</v>
      </c>
      <c r="D90">
        <f>VLOOKUP(C90,Sheet2!C:G,5,FALSE)</f>
        <v>1202</v>
      </c>
      <c r="E90" t="s">
        <v>33</v>
      </c>
      <c r="F90">
        <f>VLOOKUP(E90,Sheet2!D:E,2,FALSE)</f>
        <v>933</v>
      </c>
      <c r="G90" t="s">
        <v>11</v>
      </c>
      <c r="H90" t="str">
        <f t="shared" si="2"/>
        <v>NAVERangeljuicer</v>
      </c>
      <c r="I90" t="str">
        <f>"angeljuicer"</f>
        <v>angeljuicer</v>
      </c>
      <c r="J90">
        <v>1303070</v>
      </c>
      <c r="K90" s="1">
        <v>44866</v>
      </c>
      <c r="L90" t="s">
        <v>149</v>
      </c>
      <c r="M90">
        <f t="shared" si="3"/>
        <v>1303070</v>
      </c>
      <c r="N90" t="e">
        <f>VLOOKUP(H90,Sheet1!G:H,2,FALSE)</f>
        <v>#N/A</v>
      </c>
      <c r="R90" t="s">
        <v>2014</v>
      </c>
      <c r="S90">
        <v>251040</v>
      </c>
    </row>
    <row r="91" spans="1:19" x14ac:dyDescent="0.3">
      <c r="A91" t="s">
        <v>16</v>
      </c>
      <c r="B91">
        <f>VLOOKUP(A91,Sheet2!B:F,5,FALSE)</f>
        <v>927</v>
      </c>
      <c r="C91" t="s">
        <v>17</v>
      </c>
      <c r="D91">
        <f>VLOOKUP(C91,Sheet2!C:G,5,FALSE)</f>
        <v>1200</v>
      </c>
      <c r="E91" t="s">
        <v>66</v>
      </c>
      <c r="F91">
        <f>VLOOKUP(E91,Sheet2!D:E,2,FALSE)</f>
        <v>33</v>
      </c>
      <c r="G91" t="s">
        <v>11</v>
      </c>
      <c r="H91" t="str">
        <f t="shared" si="2"/>
        <v>NAVERannzed</v>
      </c>
      <c r="I91" t="str">
        <f>"annzed"</f>
        <v>annzed</v>
      </c>
      <c r="J91">
        <v>257930</v>
      </c>
      <c r="K91" s="1">
        <v>44866</v>
      </c>
      <c r="L91" t="s">
        <v>150</v>
      </c>
      <c r="M91">
        <f t="shared" si="3"/>
        <v>257930</v>
      </c>
      <c r="N91" t="e">
        <f>VLOOKUP(H91,Sheet1!G:H,2,FALSE)</f>
        <v>#N/A</v>
      </c>
      <c r="R91" t="s">
        <v>2015</v>
      </c>
      <c r="S91">
        <v>787490</v>
      </c>
    </row>
    <row r="92" spans="1:19" x14ac:dyDescent="0.3">
      <c r="A92" t="s">
        <v>8</v>
      </c>
      <c r="B92">
        <f>VLOOKUP(A92,Sheet2!B:F,5,FALSE)</f>
        <v>928</v>
      </c>
      <c r="C92" t="s">
        <v>9</v>
      </c>
      <c r="D92">
        <f>VLOOKUP(C92,Sheet2!C:G,5,FALSE)</f>
        <v>1202</v>
      </c>
      <c r="E92" t="s">
        <v>35</v>
      </c>
      <c r="F92">
        <f>VLOOKUP(E92,Sheet2!D:E,2,FALSE)</f>
        <v>51</v>
      </c>
      <c r="G92" t="s">
        <v>11</v>
      </c>
      <c r="H92" t="str">
        <f t="shared" si="2"/>
        <v>NAVERansgmlgh1</v>
      </c>
      <c r="I92" t="str">
        <f>"ansgmlgh1"</f>
        <v>ansgmlgh1</v>
      </c>
      <c r="J92">
        <v>24210</v>
      </c>
      <c r="K92" s="1">
        <v>44866</v>
      </c>
      <c r="L92" t="s">
        <v>151</v>
      </c>
      <c r="M92" t="e">
        <f t="shared" si="3"/>
        <v>#N/A</v>
      </c>
      <c r="N92" t="e">
        <f>VLOOKUP(H92,Sheet1!G:H,2,FALSE)</f>
        <v>#N/A</v>
      </c>
      <c r="R92" t="s">
        <v>2016</v>
      </c>
      <c r="S92">
        <v>42630</v>
      </c>
    </row>
    <row r="93" spans="1:19" x14ac:dyDescent="0.3">
      <c r="A93" t="s">
        <v>16</v>
      </c>
      <c r="B93">
        <f>VLOOKUP(A93,Sheet2!B:F,5,FALSE)</f>
        <v>927</v>
      </c>
      <c r="C93" t="s">
        <v>17</v>
      </c>
      <c r="D93">
        <f>VLOOKUP(C93,Sheet2!C:G,5,FALSE)</f>
        <v>1200</v>
      </c>
      <c r="E93" t="s">
        <v>93</v>
      </c>
      <c r="F93">
        <f>VLOOKUP(E93,Sheet2!D:E,2,FALSE)</f>
        <v>930</v>
      </c>
      <c r="G93" t="s">
        <v>11</v>
      </c>
      <c r="H93" t="str">
        <f t="shared" si="2"/>
        <v>NAVERanycam10</v>
      </c>
      <c r="I93" t="str">
        <f>"anycam10"</f>
        <v>anycam10</v>
      </c>
      <c r="J93">
        <v>338760</v>
      </c>
      <c r="K93" s="1">
        <v>44866</v>
      </c>
      <c r="L93" t="s">
        <v>152</v>
      </c>
      <c r="M93">
        <f t="shared" si="3"/>
        <v>339480</v>
      </c>
      <c r="N93" t="e">
        <f>VLOOKUP(H93,Sheet1!G:H,2,FALSE)</f>
        <v>#N/A</v>
      </c>
      <c r="R93" t="s">
        <v>2017</v>
      </c>
      <c r="S93">
        <v>4067440</v>
      </c>
    </row>
    <row r="94" spans="1:19" x14ac:dyDescent="0.3">
      <c r="A94" t="s">
        <v>41</v>
      </c>
      <c r="B94">
        <f>VLOOKUP(A94,Sheet2!B:F,5,FALSE)</f>
        <v>926</v>
      </c>
      <c r="C94" t="s">
        <v>42</v>
      </c>
      <c r="D94">
        <f>VLOOKUP(C94,Sheet2!C:G,5,FALSE)</f>
        <v>964</v>
      </c>
      <c r="E94" t="s">
        <v>43</v>
      </c>
      <c r="F94">
        <f>VLOOKUP(E94,Sheet2!D:E,2,FALSE)</f>
        <v>200998</v>
      </c>
      <c r="G94" t="s">
        <v>11</v>
      </c>
      <c r="H94" t="str">
        <f t="shared" si="2"/>
        <v>NAVERanypeel</v>
      </c>
      <c r="I94" t="str">
        <f>"anypeel"</f>
        <v>anypeel</v>
      </c>
      <c r="J94">
        <v>8910</v>
      </c>
      <c r="K94" s="1">
        <v>44866</v>
      </c>
      <c r="L94" t="s">
        <v>153</v>
      </c>
      <c r="M94">
        <f t="shared" si="3"/>
        <v>8910</v>
      </c>
      <c r="N94" t="e">
        <f>VLOOKUP(H94,Sheet1!G:H,2,FALSE)</f>
        <v>#N/A</v>
      </c>
      <c r="R94" t="s">
        <v>2018</v>
      </c>
      <c r="S94">
        <v>550</v>
      </c>
    </row>
    <row r="95" spans="1:19" x14ac:dyDescent="0.3">
      <c r="A95" t="s">
        <v>41</v>
      </c>
      <c r="B95">
        <f>VLOOKUP(A95,Sheet2!B:F,5,FALSE)</f>
        <v>926</v>
      </c>
      <c r="C95" t="s">
        <v>56</v>
      </c>
      <c r="D95">
        <f>VLOOKUP(C95,Sheet2!C:G,5,FALSE)</f>
        <v>1207</v>
      </c>
      <c r="E95" t="s">
        <v>91</v>
      </c>
      <c r="F95">
        <f>VLOOKUP(E95,Sheet2!D:E,2,FALSE)</f>
        <v>201104</v>
      </c>
      <c r="G95" t="s">
        <v>11</v>
      </c>
      <c r="H95" t="str">
        <f t="shared" si="2"/>
        <v>NAVERanyseal</v>
      </c>
      <c r="I95" t="str">
        <f>"anyseal"</f>
        <v>anyseal</v>
      </c>
      <c r="J95">
        <v>386530</v>
      </c>
      <c r="K95" s="1">
        <v>44866</v>
      </c>
      <c r="L95" t="s">
        <v>154</v>
      </c>
      <c r="M95">
        <f t="shared" si="3"/>
        <v>386530</v>
      </c>
      <c r="N95" t="e">
        <f>VLOOKUP(H95,Sheet1!G:H,2,FALSE)</f>
        <v>#N/A</v>
      </c>
      <c r="R95" t="s">
        <v>2019</v>
      </c>
      <c r="S95">
        <v>37000</v>
      </c>
    </row>
    <row r="96" spans="1:19" x14ac:dyDescent="0.3">
      <c r="A96" t="s">
        <v>8</v>
      </c>
      <c r="B96">
        <f>VLOOKUP(A96,Sheet2!B:F,5,FALSE)</f>
        <v>928</v>
      </c>
      <c r="C96" t="s">
        <v>9</v>
      </c>
      <c r="D96">
        <f>VLOOKUP(C96,Sheet2!C:G,5,FALSE)</f>
        <v>1202</v>
      </c>
      <c r="E96" t="s">
        <v>33</v>
      </c>
      <c r="F96">
        <f>VLOOKUP(E96,Sheet2!D:E,2,FALSE)</f>
        <v>933</v>
      </c>
      <c r="G96" t="s">
        <v>11</v>
      </c>
      <c r="H96" t="str">
        <f t="shared" si="2"/>
        <v>NAVERanysecure</v>
      </c>
      <c r="I96" t="str">
        <f>"anysecure"</f>
        <v>anysecure</v>
      </c>
      <c r="J96">
        <v>1071770</v>
      </c>
      <c r="K96" s="1">
        <v>44866</v>
      </c>
      <c r="L96" t="s">
        <v>155</v>
      </c>
      <c r="M96">
        <f t="shared" si="3"/>
        <v>1071770</v>
      </c>
      <c r="N96" t="e">
        <f>VLOOKUP(H96,Sheet1!G:H,2,FALSE)</f>
        <v>#N/A</v>
      </c>
      <c r="R96" t="s">
        <v>2020</v>
      </c>
      <c r="S96">
        <v>742100</v>
      </c>
    </row>
    <row r="97" spans="1:19" x14ac:dyDescent="0.3">
      <c r="A97" t="s">
        <v>41</v>
      </c>
      <c r="B97">
        <f>VLOOKUP(A97,Sheet2!B:F,5,FALSE)</f>
        <v>926</v>
      </c>
      <c r="C97" t="s">
        <v>56</v>
      </c>
      <c r="D97">
        <f>VLOOKUP(C97,Sheet2!C:G,5,FALSE)</f>
        <v>1207</v>
      </c>
      <c r="E97" t="s">
        <v>156</v>
      </c>
      <c r="F97">
        <f>VLOOKUP(E97,Sheet2!D:E,2,FALSE)</f>
        <v>201103</v>
      </c>
      <c r="G97" t="s">
        <v>11</v>
      </c>
      <c r="H97" t="str">
        <f t="shared" si="2"/>
        <v>NAVERapexems3</v>
      </c>
      <c r="I97" t="str">
        <f>"apexems3"</f>
        <v>apexems3</v>
      </c>
      <c r="J97">
        <v>5380</v>
      </c>
      <c r="K97" s="1">
        <v>44866</v>
      </c>
      <c r="L97" t="s">
        <v>157</v>
      </c>
      <c r="M97">
        <f t="shared" si="3"/>
        <v>113220</v>
      </c>
      <c r="N97" t="e">
        <f>VLOOKUP(H97,Sheet1!G:H,2,FALSE)</f>
        <v>#N/A</v>
      </c>
      <c r="R97" t="s">
        <v>2021</v>
      </c>
      <c r="S97">
        <v>1000</v>
      </c>
    </row>
    <row r="98" spans="1:19" x14ac:dyDescent="0.3">
      <c r="A98" t="s">
        <v>41</v>
      </c>
      <c r="B98">
        <f>VLOOKUP(A98,Sheet2!B:F,5,FALSE)</f>
        <v>926</v>
      </c>
      <c r="C98" t="s">
        <v>56</v>
      </c>
      <c r="D98">
        <f>VLOOKUP(C98,Sheet2!C:G,5,FALSE)</f>
        <v>1207</v>
      </c>
      <c r="E98" t="s">
        <v>156</v>
      </c>
      <c r="F98">
        <f>VLOOKUP(E98,Sheet2!D:E,2,FALSE)</f>
        <v>201103</v>
      </c>
      <c r="G98" t="s">
        <v>11</v>
      </c>
      <c r="H98" t="str">
        <f t="shared" si="2"/>
        <v>NAVERapexschool</v>
      </c>
      <c r="I98" t="str">
        <f>"apexschool"</f>
        <v>apexschool</v>
      </c>
      <c r="J98">
        <v>565755</v>
      </c>
      <c r="K98" s="1">
        <v>44866</v>
      </c>
      <c r="L98" t="s">
        <v>158</v>
      </c>
      <c r="M98">
        <f t="shared" si="3"/>
        <v>565802</v>
      </c>
      <c r="N98" t="e">
        <f>VLOOKUP(H98,Sheet1!G:H,2,FALSE)</f>
        <v>#N/A</v>
      </c>
      <c r="R98" t="s">
        <v>2022</v>
      </c>
      <c r="S98">
        <v>7172820</v>
      </c>
    </row>
    <row r="99" spans="1:19" x14ac:dyDescent="0.3">
      <c r="A99" t="s">
        <v>41</v>
      </c>
      <c r="B99">
        <f>VLOOKUP(A99,Sheet2!B:F,5,FALSE)</f>
        <v>926</v>
      </c>
      <c r="C99" t="s">
        <v>56</v>
      </c>
      <c r="D99">
        <f>VLOOKUP(C99,Sheet2!C:G,5,FALSE)</f>
        <v>1207</v>
      </c>
      <c r="E99" t="s">
        <v>64</v>
      </c>
      <c r="F99">
        <f>VLOOKUP(E99,Sheet2!D:E,2,FALSE)</f>
        <v>201011</v>
      </c>
      <c r="G99" t="s">
        <v>11</v>
      </c>
      <c r="H99" t="str">
        <f t="shared" si="2"/>
        <v>NAVERapgujeongfs</v>
      </c>
      <c r="I99" t="str">
        <f>"apgujeongfs"</f>
        <v>apgujeongfs</v>
      </c>
      <c r="J99">
        <v>13305130</v>
      </c>
      <c r="K99" s="1">
        <v>44866</v>
      </c>
      <c r="L99" t="s">
        <v>159</v>
      </c>
      <c r="M99">
        <f t="shared" si="3"/>
        <v>13305130</v>
      </c>
      <c r="N99" t="e">
        <f>VLOOKUP(H99,Sheet1!G:H,2,FALSE)</f>
        <v>#N/A</v>
      </c>
      <c r="R99" t="s">
        <v>2023</v>
      </c>
      <c r="S99">
        <v>983920</v>
      </c>
    </row>
    <row r="100" spans="1:19" x14ac:dyDescent="0.3">
      <c r="A100" t="s">
        <v>8</v>
      </c>
      <c r="B100">
        <f>VLOOKUP(A100,Sheet2!B:F,5,FALSE)</f>
        <v>928</v>
      </c>
      <c r="C100" t="s">
        <v>13</v>
      </c>
      <c r="D100">
        <f>VLOOKUP(C100,Sheet2!C:G,5,FALSE)</f>
        <v>1184</v>
      </c>
      <c r="E100" t="s">
        <v>115</v>
      </c>
      <c r="F100">
        <f>VLOOKUP(E100,Sheet2!D:E,2,FALSE)</f>
        <v>1548</v>
      </c>
      <c r="G100" t="s">
        <v>11</v>
      </c>
      <c r="H100" t="str">
        <f t="shared" si="2"/>
        <v>NAVERaphesis</v>
      </c>
      <c r="I100" t="str">
        <f>"aphesis"</f>
        <v>aphesis</v>
      </c>
      <c r="J100">
        <v>694690</v>
      </c>
      <c r="K100" s="1">
        <v>44866</v>
      </c>
      <c r="L100" t="s">
        <v>160</v>
      </c>
      <c r="M100" t="e">
        <f t="shared" si="3"/>
        <v>#N/A</v>
      </c>
      <c r="N100" t="e">
        <f>VLOOKUP(H100,Sheet1!G:H,2,FALSE)</f>
        <v>#N/A</v>
      </c>
      <c r="R100" t="s">
        <v>2024</v>
      </c>
      <c r="S100">
        <v>24940</v>
      </c>
    </row>
    <row r="101" spans="1:19" x14ac:dyDescent="0.3">
      <c r="A101" t="s">
        <v>8</v>
      </c>
      <c r="B101">
        <f>VLOOKUP(A101,Sheet2!B:F,5,FALSE)</f>
        <v>928</v>
      </c>
      <c r="C101" t="s">
        <v>13</v>
      </c>
      <c r="D101">
        <f>VLOOKUP(C101,Sheet2!C:G,5,FALSE)</f>
        <v>1184</v>
      </c>
      <c r="E101" t="s">
        <v>115</v>
      </c>
      <c r="F101">
        <f>VLOOKUP(E101,Sheet2!D:E,2,FALSE)</f>
        <v>1548</v>
      </c>
      <c r="G101" t="s">
        <v>11</v>
      </c>
      <c r="H101" t="str">
        <f t="shared" si="2"/>
        <v>NAVERapixgaming</v>
      </c>
      <c r="I101" t="str">
        <f>"apixgaming"</f>
        <v>apixgaming</v>
      </c>
      <c r="J101">
        <v>6508340</v>
      </c>
      <c r="K101" s="1">
        <v>44866</v>
      </c>
      <c r="L101" t="s">
        <v>161</v>
      </c>
      <c r="M101">
        <f t="shared" si="3"/>
        <v>5508570</v>
      </c>
      <c r="N101" t="e">
        <f>VLOOKUP(H101,Sheet1!G:H,2,FALSE)</f>
        <v>#N/A</v>
      </c>
      <c r="R101" t="s">
        <v>2025</v>
      </c>
      <c r="S101">
        <v>481381</v>
      </c>
    </row>
    <row r="102" spans="1:19" x14ac:dyDescent="0.3">
      <c r="A102" t="s">
        <v>16</v>
      </c>
      <c r="B102">
        <f>VLOOKUP(A102,Sheet2!B:F,5,FALSE)</f>
        <v>927</v>
      </c>
      <c r="C102" t="s">
        <v>17</v>
      </c>
      <c r="D102">
        <f>VLOOKUP(C102,Sheet2!C:G,5,FALSE)</f>
        <v>1200</v>
      </c>
      <c r="E102" t="s">
        <v>66</v>
      </c>
      <c r="F102">
        <f>VLOOKUP(E102,Sheet2!D:E,2,FALSE)</f>
        <v>33</v>
      </c>
      <c r="G102" t="s">
        <v>11</v>
      </c>
      <c r="H102" t="str">
        <f t="shared" si="2"/>
        <v>NAVERapk</v>
      </c>
      <c r="I102" t="str">
        <f>"apk"</f>
        <v>apk</v>
      </c>
      <c r="J102">
        <v>900</v>
      </c>
      <c r="K102" s="1">
        <v>44866</v>
      </c>
      <c r="L102" t="s">
        <v>162</v>
      </c>
      <c r="M102">
        <f t="shared" si="3"/>
        <v>900</v>
      </c>
      <c r="N102" t="e">
        <f>VLOOKUP(H102,Sheet1!G:H,2,FALSE)</f>
        <v>#N/A</v>
      </c>
      <c r="R102" t="s">
        <v>2026</v>
      </c>
      <c r="S102">
        <v>929570</v>
      </c>
    </row>
    <row r="103" spans="1:19" x14ac:dyDescent="0.3">
      <c r="A103" t="s">
        <v>16</v>
      </c>
      <c r="B103">
        <f>VLOOKUP(A103,Sheet2!B:F,5,FALSE)</f>
        <v>927</v>
      </c>
      <c r="C103" t="s">
        <v>17</v>
      </c>
      <c r="D103">
        <f>VLOOKUP(C103,Sheet2!C:G,5,FALSE)</f>
        <v>1200</v>
      </c>
      <c r="E103" t="s">
        <v>78</v>
      </c>
      <c r="F103">
        <f>VLOOKUP(E103,Sheet2!D:E,2,FALSE)</f>
        <v>57</v>
      </c>
      <c r="G103" t="s">
        <v>11</v>
      </c>
      <c r="H103" t="str">
        <f t="shared" si="2"/>
        <v>NAVERappenz</v>
      </c>
      <c r="I103" t="str">
        <f>"appenz"</f>
        <v>appenz</v>
      </c>
      <c r="J103">
        <v>331140</v>
      </c>
      <c r="K103" s="1">
        <v>44866</v>
      </c>
      <c r="L103" t="s">
        <v>163</v>
      </c>
      <c r="M103">
        <f t="shared" si="3"/>
        <v>331140</v>
      </c>
      <c r="N103" t="e">
        <f>VLOOKUP(H103,Sheet1!G:H,2,FALSE)</f>
        <v>#N/A</v>
      </c>
      <c r="R103" t="s">
        <v>2027</v>
      </c>
      <c r="S103">
        <v>676430</v>
      </c>
    </row>
    <row r="104" spans="1:19" x14ac:dyDescent="0.3">
      <c r="A104" t="s">
        <v>16</v>
      </c>
      <c r="B104">
        <f>VLOOKUP(A104,Sheet2!B:F,5,FALSE)</f>
        <v>927</v>
      </c>
      <c r="C104" t="s">
        <v>17</v>
      </c>
      <c r="D104">
        <f>VLOOKUP(C104,Sheet2!C:G,5,FALSE)</f>
        <v>1200</v>
      </c>
      <c r="E104" t="s">
        <v>78</v>
      </c>
      <c r="F104">
        <f>VLOOKUP(E104,Sheet2!D:E,2,FALSE)</f>
        <v>57</v>
      </c>
      <c r="G104" t="s">
        <v>11</v>
      </c>
      <c r="H104" t="str">
        <f t="shared" si="2"/>
        <v>NAVERappenz_coffee:naver</v>
      </c>
      <c r="I104" t="str">
        <f>"appenz_coffee:naver"</f>
        <v>appenz_coffee:naver</v>
      </c>
      <c r="J104">
        <v>70858</v>
      </c>
      <c r="K104" s="1">
        <v>44866</v>
      </c>
      <c r="L104" t="s">
        <v>163</v>
      </c>
      <c r="M104">
        <f t="shared" si="3"/>
        <v>70890</v>
      </c>
      <c r="N104" t="e">
        <f>VLOOKUP(H104,Sheet1!G:H,2,FALSE)</f>
        <v>#N/A</v>
      </c>
      <c r="R104" t="s">
        <v>2028</v>
      </c>
      <c r="S104">
        <v>10462170</v>
      </c>
    </row>
    <row r="105" spans="1:19" x14ac:dyDescent="0.3">
      <c r="A105" t="s">
        <v>16</v>
      </c>
      <c r="B105">
        <f>VLOOKUP(A105,Sheet2!B:F,5,FALSE)</f>
        <v>927</v>
      </c>
      <c r="C105" t="s">
        <v>17</v>
      </c>
      <c r="D105">
        <f>VLOOKUP(C105,Sheet2!C:G,5,FALSE)</f>
        <v>1200</v>
      </c>
      <c r="E105" t="s">
        <v>137</v>
      </c>
      <c r="F105">
        <f>VLOOKUP(E105,Sheet2!D:E,2,FALSE)</f>
        <v>1012</v>
      </c>
      <c r="G105" t="s">
        <v>11</v>
      </c>
      <c r="H105" t="str">
        <f t="shared" si="2"/>
        <v>NAVERapproco</v>
      </c>
      <c r="I105" t="str">
        <f>"approco"</f>
        <v>approco</v>
      </c>
      <c r="J105">
        <v>78840</v>
      </c>
      <c r="K105" s="1">
        <v>44866</v>
      </c>
      <c r="L105" t="s">
        <v>164</v>
      </c>
      <c r="M105">
        <f t="shared" si="3"/>
        <v>71180</v>
      </c>
      <c r="N105" t="e">
        <f>VLOOKUP(H105,Sheet1!G:H,2,FALSE)</f>
        <v>#N/A</v>
      </c>
      <c r="R105" t="s">
        <v>2029</v>
      </c>
      <c r="S105">
        <v>474790</v>
      </c>
    </row>
    <row r="106" spans="1:19" x14ac:dyDescent="0.3">
      <c r="A106" t="s">
        <v>8</v>
      </c>
      <c r="B106">
        <f>VLOOKUP(A106,Sheet2!B:F,5,FALSE)</f>
        <v>928</v>
      </c>
      <c r="C106" t="s">
        <v>9</v>
      </c>
      <c r="D106">
        <f>VLOOKUP(C106,Sheet2!C:G,5,FALSE)</f>
        <v>1202</v>
      </c>
      <c r="E106" t="s">
        <v>20</v>
      </c>
      <c r="F106">
        <f>VLOOKUP(E106,Sheet2!D:E,2,FALSE)</f>
        <v>938</v>
      </c>
      <c r="G106" t="s">
        <v>11</v>
      </c>
      <c r="H106" t="str">
        <f t="shared" si="2"/>
        <v>NAVERaprosheet</v>
      </c>
      <c r="I106" t="str">
        <f>"aprosheet"</f>
        <v>aprosheet</v>
      </c>
      <c r="J106">
        <v>975960</v>
      </c>
      <c r="K106" s="1">
        <v>44866</v>
      </c>
      <c r="L106" t="s">
        <v>165</v>
      </c>
      <c r="M106">
        <f t="shared" si="3"/>
        <v>975960</v>
      </c>
      <c r="N106" t="e">
        <f>VLOOKUP(H106,Sheet1!G:H,2,FALSE)</f>
        <v>#N/A</v>
      </c>
      <c r="R106" t="s">
        <v>2030</v>
      </c>
      <c r="S106">
        <v>178910</v>
      </c>
    </row>
    <row r="107" spans="1:19" x14ac:dyDescent="0.3">
      <c r="A107" t="s">
        <v>8</v>
      </c>
      <c r="B107">
        <f>VLOOKUP(A107,Sheet2!B:F,5,FALSE)</f>
        <v>928</v>
      </c>
      <c r="C107" t="s">
        <v>9</v>
      </c>
      <c r="D107">
        <f>VLOOKUP(C107,Sheet2!C:G,5,FALSE)</f>
        <v>1202</v>
      </c>
      <c r="E107" t="s">
        <v>75</v>
      </c>
      <c r="F107">
        <f>VLOOKUP(E107,Sheet2!D:E,2,FALSE)</f>
        <v>50</v>
      </c>
      <c r="G107" t="s">
        <v>11</v>
      </c>
      <c r="H107" t="str">
        <f t="shared" si="2"/>
        <v>NAVERapt247</v>
      </c>
      <c r="I107" t="str">
        <f>"apt247"</f>
        <v>apt247</v>
      </c>
      <c r="J107">
        <v>17380930</v>
      </c>
      <c r="K107" s="1">
        <v>44866</v>
      </c>
      <c r="L107" t="s">
        <v>166</v>
      </c>
      <c r="M107">
        <f t="shared" si="3"/>
        <v>16180960</v>
      </c>
      <c r="N107" t="e">
        <f>VLOOKUP(H107,Sheet1!G:H,2,FALSE)</f>
        <v>#N/A</v>
      </c>
      <c r="R107" t="s">
        <v>2031</v>
      </c>
      <c r="S107">
        <v>66320</v>
      </c>
    </row>
    <row r="108" spans="1:19" x14ac:dyDescent="0.3">
      <c r="A108" t="s">
        <v>8</v>
      </c>
      <c r="B108">
        <f>VLOOKUP(A108,Sheet2!B:F,5,FALSE)</f>
        <v>928</v>
      </c>
      <c r="C108" t="s">
        <v>167</v>
      </c>
      <c r="D108">
        <f>VLOOKUP(C108,Sheet2!C:G,5,FALSE)</f>
        <v>935</v>
      </c>
      <c r="E108" t="s">
        <v>168</v>
      </c>
      <c r="F108">
        <f>VLOOKUP(E108,Sheet2!D:E,2,FALSE)</f>
        <v>2</v>
      </c>
      <c r="G108" t="s">
        <v>11</v>
      </c>
      <c r="H108" t="str">
        <f t="shared" si="2"/>
        <v>NAVERaptgin</v>
      </c>
      <c r="I108" t="str">
        <f>"aptgin"</f>
        <v>aptgin</v>
      </c>
      <c r="J108">
        <v>4456570</v>
      </c>
      <c r="K108" s="1">
        <v>44866</v>
      </c>
      <c r="L108" t="s">
        <v>169</v>
      </c>
      <c r="M108">
        <f t="shared" si="3"/>
        <v>4456570</v>
      </c>
      <c r="N108" t="e">
        <f>VLOOKUP(H108,Sheet1!G:H,2,FALSE)</f>
        <v>#N/A</v>
      </c>
      <c r="R108" t="s">
        <v>2032</v>
      </c>
      <c r="S108">
        <v>200310</v>
      </c>
    </row>
    <row r="109" spans="1:19" x14ac:dyDescent="0.3">
      <c r="A109" t="s">
        <v>16</v>
      </c>
      <c r="B109">
        <f>VLOOKUP(A109,Sheet2!B:F,5,FALSE)</f>
        <v>927</v>
      </c>
      <c r="C109" t="s">
        <v>17</v>
      </c>
      <c r="D109">
        <f>VLOOKUP(C109,Sheet2!C:G,5,FALSE)</f>
        <v>1200</v>
      </c>
      <c r="E109" t="s">
        <v>170</v>
      </c>
      <c r="F109">
        <f>VLOOKUP(E109,Sheet2!D:E,2,FALSE)</f>
        <v>1530</v>
      </c>
      <c r="G109" t="s">
        <v>11</v>
      </c>
      <c r="H109" t="str">
        <f t="shared" si="2"/>
        <v>NAVERaqua3725</v>
      </c>
      <c r="I109" t="str">
        <f>"aqua3725"</f>
        <v>aqua3725</v>
      </c>
      <c r="J109">
        <v>239910</v>
      </c>
      <c r="K109" s="1">
        <v>44866</v>
      </c>
      <c r="L109" t="s">
        <v>171</v>
      </c>
      <c r="M109">
        <f t="shared" si="3"/>
        <v>239910</v>
      </c>
      <c r="N109" t="e">
        <f>VLOOKUP(H109,Sheet1!G:H,2,FALSE)</f>
        <v>#N/A</v>
      </c>
      <c r="R109" t="s">
        <v>2033</v>
      </c>
      <c r="S109">
        <v>450</v>
      </c>
    </row>
    <row r="110" spans="1:19" x14ac:dyDescent="0.3">
      <c r="A110" t="s">
        <v>8</v>
      </c>
      <c r="B110">
        <f>VLOOKUP(A110,Sheet2!B:F,5,FALSE)</f>
        <v>928</v>
      </c>
      <c r="C110" t="s">
        <v>13</v>
      </c>
      <c r="D110">
        <f>VLOOKUP(C110,Sheet2!C:G,5,FALSE)</f>
        <v>1184</v>
      </c>
      <c r="E110" t="s">
        <v>102</v>
      </c>
      <c r="F110">
        <f>VLOOKUP(E110,Sheet2!D:E,2,FALSE)</f>
        <v>917</v>
      </c>
      <c r="G110" t="s">
        <v>11</v>
      </c>
      <c r="H110" t="str">
        <f t="shared" si="2"/>
        <v>NAVERaranhuez</v>
      </c>
      <c r="I110" t="str">
        <f>"aranhuez"</f>
        <v>aranhuez</v>
      </c>
      <c r="J110">
        <v>1060</v>
      </c>
      <c r="K110" s="1">
        <v>44866</v>
      </c>
      <c r="L110" t="s">
        <v>172</v>
      </c>
      <c r="M110">
        <f t="shared" si="3"/>
        <v>1060</v>
      </c>
      <c r="N110" t="e">
        <f>VLOOKUP(H110,Sheet1!G:H,2,FALSE)</f>
        <v>#N/A</v>
      </c>
      <c r="R110" t="s">
        <v>2034</v>
      </c>
      <c r="S110">
        <v>101630</v>
      </c>
    </row>
    <row r="111" spans="1:19" x14ac:dyDescent="0.3">
      <c r="A111" t="s">
        <v>8</v>
      </c>
      <c r="B111">
        <f>VLOOKUP(A111,Sheet2!B:F,5,FALSE)</f>
        <v>928</v>
      </c>
      <c r="C111" t="s">
        <v>9</v>
      </c>
      <c r="D111">
        <f>VLOOKUP(C111,Sheet2!C:G,5,FALSE)</f>
        <v>1202</v>
      </c>
      <c r="E111" t="s">
        <v>35</v>
      </c>
      <c r="F111">
        <f>VLOOKUP(E111,Sheet2!D:E,2,FALSE)</f>
        <v>51</v>
      </c>
      <c r="G111" t="s">
        <v>11</v>
      </c>
      <c r="H111" t="str">
        <f t="shared" si="2"/>
        <v>NAVERarborstudio</v>
      </c>
      <c r="I111" t="str">
        <f>"arborstudio"</f>
        <v>arborstudio</v>
      </c>
      <c r="J111">
        <v>184729</v>
      </c>
      <c r="K111" s="1">
        <v>44866</v>
      </c>
      <c r="L111" t="s">
        <v>173</v>
      </c>
      <c r="M111">
        <f t="shared" si="3"/>
        <v>184778</v>
      </c>
      <c r="N111" t="e">
        <f>VLOOKUP(H111,Sheet1!G:H,2,FALSE)</f>
        <v>#N/A</v>
      </c>
      <c r="R111" t="s">
        <v>2035</v>
      </c>
      <c r="S111">
        <v>1111030</v>
      </c>
    </row>
    <row r="112" spans="1:19" x14ac:dyDescent="0.3">
      <c r="A112" t="s">
        <v>22</v>
      </c>
      <c r="B112">
        <f>VLOOKUP(A112,Sheet2!B:F,5,FALSE)</f>
        <v>809</v>
      </c>
      <c r="C112" t="s">
        <v>23</v>
      </c>
      <c r="D112">
        <f>VLOOKUP(C112,Sheet2!C:G,5,FALSE)</f>
        <v>810</v>
      </c>
      <c r="E112" t="s">
        <v>106</v>
      </c>
      <c r="F112">
        <f>VLOOKUP(E112,Sheet2!D:E,2,FALSE)</f>
        <v>1349</v>
      </c>
      <c r="G112" t="s">
        <v>11</v>
      </c>
      <c r="H112" t="str">
        <f t="shared" si="2"/>
        <v>NAVERares_company:naver</v>
      </c>
      <c r="I112" t="str">
        <f>"ares_company:naver"</f>
        <v>ares_company:naver</v>
      </c>
      <c r="J112">
        <v>63740</v>
      </c>
      <c r="K112" s="1">
        <v>44866</v>
      </c>
      <c r="L112" t="s">
        <v>174</v>
      </c>
      <c r="M112">
        <f t="shared" si="3"/>
        <v>63740</v>
      </c>
      <c r="N112" t="e">
        <f>VLOOKUP(H112,Sheet1!G:H,2,FALSE)</f>
        <v>#N/A</v>
      </c>
      <c r="R112" t="s">
        <v>2036</v>
      </c>
      <c r="S112">
        <v>90</v>
      </c>
    </row>
    <row r="113" spans="1:19" x14ac:dyDescent="0.3">
      <c r="A113" t="s">
        <v>8</v>
      </c>
      <c r="B113">
        <f>VLOOKUP(A113,Sheet2!B:F,5,FALSE)</f>
        <v>928</v>
      </c>
      <c r="C113" t="s">
        <v>9</v>
      </c>
      <c r="D113">
        <f>VLOOKUP(C113,Sheet2!C:G,5,FALSE)</f>
        <v>1202</v>
      </c>
      <c r="E113" t="s">
        <v>10</v>
      </c>
      <c r="F113">
        <f>VLOOKUP(E113,Sheet2!D:E,2,FALSE)</f>
        <v>939</v>
      </c>
      <c r="G113" t="s">
        <v>11</v>
      </c>
      <c r="H113" t="str">
        <f t="shared" si="2"/>
        <v>NAVERaritech</v>
      </c>
      <c r="I113" t="str">
        <f>"aritech"</f>
        <v>aritech</v>
      </c>
      <c r="J113">
        <v>55940</v>
      </c>
      <c r="K113" s="1">
        <v>44866</v>
      </c>
      <c r="L113" t="s">
        <v>175</v>
      </c>
      <c r="M113">
        <f t="shared" si="3"/>
        <v>55940</v>
      </c>
      <c r="N113" t="e">
        <f>VLOOKUP(H113,Sheet1!G:H,2,FALSE)</f>
        <v>#N/A</v>
      </c>
      <c r="R113" t="s">
        <v>2037</v>
      </c>
      <c r="S113">
        <v>6240</v>
      </c>
    </row>
    <row r="114" spans="1:19" x14ac:dyDescent="0.3">
      <c r="A114" t="s">
        <v>176</v>
      </c>
      <c r="B114">
        <f>VLOOKUP(A114,Sheet2!B:F,5,FALSE)</f>
        <v>1204</v>
      </c>
      <c r="C114" t="s">
        <v>177</v>
      </c>
      <c r="D114">
        <f>VLOOKUP(C114,Sheet2!C:G,5,FALSE)</f>
        <v>1205</v>
      </c>
      <c r="E114" t="s">
        <v>178</v>
      </c>
      <c r="F114">
        <f>VLOOKUP(E114,Sheet2!D:E,2,FALSE)</f>
        <v>201073</v>
      </c>
      <c r="G114" t="s">
        <v>11</v>
      </c>
      <c r="H114" t="str">
        <f t="shared" si="2"/>
        <v>NAVERarogold4312</v>
      </c>
      <c r="I114" t="str">
        <f>"arogold4312"</f>
        <v>arogold4312</v>
      </c>
      <c r="J114">
        <v>999980</v>
      </c>
      <c r="K114" s="1">
        <v>44866</v>
      </c>
      <c r="L114" t="s">
        <v>179</v>
      </c>
      <c r="M114">
        <f t="shared" si="3"/>
        <v>0</v>
      </c>
      <c r="N114" t="e">
        <f>VLOOKUP(H114,Sheet1!G:H,2,FALSE)</f>
        <v>#N/A</v>
      </c>
      <c r="R114" t="s">
        <v>2038</v>
      </c>
      <c r="S114">
        <v>10640</v>
      </c>
    </row>
    <row r="115" spans="1:19" x14ac:dyDescent="0.3">
      <c r="A115" t="s">
        <v>8</v>
      </c>
      <c r="B115">
        <f>VLOOKUP(A115,Sheet2!B:F,5,FALSE)</f>
        <v>928</v>
      </c>
      <c r="C115" t="s">
        <v>9</v>
      </c>
      <c r="D115">
        <f>VLOOKUP(C115,Sheet2!C:G,5,FALSE)</f>
        <v>1202</v>
      </c>
      <c r="E115" t="s">
        <v>73</v>
      </c>
      <c r="F115">
        <f>VLOOKUP(E115,Sheet2!D:E,2,FALSE)</f>
        <v>895</v>
      </c>
      <c r="G115" t="s">
        <v>11</v>
      </c>
      <c r="H115" t="str">
        <f t="shared" si="2"/>
        <v>NAVERart10041004</v>
      </c>
      <c r="I115" t="str">
        <f>"art10041004"</f>
        <v>art10041004</v>
      </c>
      <c r="J115">
        <v>406450</v>
      </c>
      <c r="K115" s="1">
        <v>44866</v>
      </c>
      <c r="L115" t="s">
        <v>180</v>
      </c>
      <c r="M115">
        <f t="shared" si="3"/>
        <v>406450</v>
      </c>
      <c r="N115" t="e">
        <f>VLOOKUP(H115,Sheet1!G:H,2,FALSE)</f>
        <v>#N/A</v>
      </c>
      <c r="R115" t="s">
        <v>2039</v>
      </c>
      <c r="S115">
        <v>142920</v>
      </c>
    </row>
    <row r="116" spans="1:19" x14ac:dyDescent="0.3">
      <c r="A116" t="s">
        <v>8</v>
      </c>
      <c r="B116">
        <f>VLOOKUP(A116,Sheet2!B:F,5,FALSE)</f>
        <v>928</v>
      </c>
      <c r="C116" t="s">
        <v>9</v>
      </c>
      <c r="D116">
        <f>VLOOKUP(C116,Sheet2!C:G,5,FALSE)</f>
        <v>1202</v>
      </c>
      <c r="E116" t="s">
        <v>73</v>
      </c>
      <c r="F116">
        <f>VLOOKUP(E116,Sheet2!D:E,2,FALSE)</f>
        <v>895</v>
      </c>
      <c r="G116" t="s">
        <v>11</v>
      </c>
      <c r="H116" t="str">
        <f t="shared" si="2"/>
        <v>NAVERarteye73</v>
      </c>
      <c r="I116" t="str">
        <f>"arteye73"</f>
        <v>arteye73</v>
      </c>
      <c r="J116">
        <v>3120</v>
      </c>
      <c r="K116" s="1">
        <v>44866</v>
      </c>
      <c r="L116" t="s">
        <v>181</v>
      </c>
      <c r="M116">
        <f t="shared" si="3"/>
        <v>3120</v>
      </c>
      <c r="N116" t="e">
        <f>VLOOKUP(H116,Sheet1!G:H,2,FALSE)</f>
        <v>#N/A</v>
      </c>
      <c r="R116" t="s">
        <v>2040</v>
      </c>
      <c r="S116">
        <v>1070</v>
      </c>
    </row>
    <row r="117" spans="1:19" x14ac:dyDescent="0.3">
      <c r="A117" t="s">
        <v>41</v>
      </c>
      <c r="B117">
        <f>VLOOKUP(A117,Sheet2!B:F,5,FALSE)</f>
        <v>926</v>
      </c>
      <c r="C117" t="s">
        <v>56</v>
      </c>
      <c r="D117">
        <f>VLOOKUP(C117,Sheet2!C:G,5,FALSE)</f>
        <v>1207</v>
      </c>
      <c r="E117" t="s">
        <v>156</v>
      </c>
      <c r="F117">
        <f>VLOOKUP(E117,Sheet2!D:E,2,FALSE)</f>
        <v>201103</v>
      </c>
      <c r="G117" t="s">
        <v>11</v>
      </c>
      <c r="H117" t="str">
        <f t="shared" si="2"/>
        <v>NAVERartu4502</v>
      </c>
      <c r="I117" t="str">
        <f>"artu4502"</f>
        <v>artu4502</v>
      </c>
      <c r="J117">
        <v>1294990</v>
      </c>
      <c r="K117" s="1">
        <v>44866</v>
      </c>
      <c r="L117" t="s">
        <v>182</v>
      </c>
      <c r="M117">
        <f t="shared" si="3"/>
        <v>1299600</v>
      </c>
      <c r="N117" t="e">
        <f>VLOOKUP(H117,Sheet1!G:H,2,FALSE)</f>
        <v>#N/A</v>
      </c>
      <c r="R117" t="s">
        <v>2041</v>
      </c>
      <c r="S117">
        <v>226670</v>
      </c>
    </row>
    <row r="118" spans="1:19" x14ac:dyDescent="0.3">
      <c r="A118" t="s">
        <v>41</v>
      </c>
      <c r="B118">
        <f>VLOOKUP(A118,Sheet2!B:F,5,FALSE)</f>
        <v>926</v>
      </c>
      <c r="C118" t="s">
        <v>56</v>
      </c>
      <c r="D118">
        <f>VLOOKUP(C118,Sheet2!C:G,5,FALSE)</f>
        <v>1207</v>
      </c>
      <c r="E118" t="s">
        <v>57</v>
      </c>
      <c r="F118">
        <f>VLOOKUP(E118,Sheet2!D:E,2,FALSE)</f>
        <v>200982</v>
      </c>
      <c r="G118" t="s">
        <v>11</v>
      </c>
      <c r="H118" t="str">
        <f t="shared" si="2"/>
        <v>NAVERas7316</v>
      </c>
      <c r="I118" t="str">
        <f>"as7316"</f>
        <v>as7316</v>
      </c>
      <c r="J118">
        <v>45220</v>
      </c>
      <c r="K118" s="1">
        <v>44866</v>
      </c>
      <c r="L118" t="s">
        <v>183</v>
      </c>
      <c r="M118">
        <f t="shared" si="3"/>
        <v>45220</v>
      </c>
      <c r="N118" t="e">
        <f>VLOOKUP(H118,Sheet1!G:H,2,FALSE)</f>
        <v>#N/A</v>
      </c>
      <c r="R118" t="s">
        <v>2042</v>
      </c>
      <c r="S118">
        <v>246680</v>
      </c>
    </row>
    <row r="119" spans="1:19" x14ac:dyDescent="0.3">
      <c r="A119" t="s">
        <v>8</v>
      </c>
      <c r="B119">
        <f>VLOOKUP(A119,Sheet2!B:F,5,FALSE)</f>
        <v>928</v>
      </c>
      <c r="C119" t="s">
        <v>9</v>
      </c>
      <c r="D119">
        <f>VLOOKUP(C119,Sheet2!C:G,5,FALSE)</f>
        <v>1202</v>
      </c>
      <c r="E119" t="s">
        <v>45</v>
      </c>
      <c r="F119">
        <f>VLOOKUP(E119,Sheet2!D:E,2,FALSE)</f>
        <v>26</v>
      </c>
      <c r="G119" t="s">
        <v>11</v>
      </c>
      <c r="H119" t="str">
        <f t="shared" si="2"/>
        <v>NAVERasan_kopo:naver</v>
      </c>
      <c r="I119" t="str">
        <f>"asan_kopo:naver"</f>
        <v>asan_kopo:naver</v>
      </c>
      <c r="J119">
        <v>1493050</v>
      </c>
      <c r="K119" s="1">
        <v>44866</v>
      </c>
      <c r="L119" t="s">
        <v>184</v>
      </c>
      <c r="M119">
        <f t="shared" si="3"/>
        <v>1493050</v>
      </c>
      <c r="N119" t="e">
        <f>VLOOKUP(H119,Sheet1!G:H,2,FALSE)</f>
        <v>#N/A</v>
      </c>
      <c r="R119" t="s">
        <v>2043</v>
      </c>
      <c r="S119">
        <v>322670</v>
      </c>
    </row>
    <row r="120" spans="1:19" x14ac:dyDescent="0.3">
      <c r="A120" t="s">
        <v>8</v>
      </c>
      <c r="B120">
        <f>VLOOKUP(A120,Sheet2!B:F,5,FALSE)</f>
        <v>928</v>
      </c>
      <c r="C120" t="s">
        <v>13</v>
      </c>
      <c r="D120">
        <f>VLOOKUP(C120,Sheet2!C:G,5,FALSE)</f>
        <v>1184</v>
      </c>
      <c r="E120" t="s">
        <v>59</v>
      </c>
      <c r="F120">
        <f>VLOOKUP(E120,Sheet2!D:E,2,FALSE)</f>
        <v>9</v>
      </c>
      <c r="G120" t="s">
        <v>11</v>
      </c>
      <c r="H120" t="str">
        <f t="shared" si="2"/>
        <v>NAVERasbesto</v>
      </c>
      <c r="I120" t="str">
        <f>"asbesto"</f>
        <v>asbesto</v>
      </c>
      <c r="J120">
        <v>3280</v>
      </c>
      <c r="K120" s="1">
        <v>44866</v>
      </c>
      <c r="L120" t="s">
        <v>185</v>
      </c>
      <c r="M120">
        <f t="shared" si="3"/>
        <v>3280</v>
      </c>
      <c r="N120" t="e">
        <f>VLOOKUP(H120,Sheet1!G:H,2,FALSE)</f>
        <v>#N/A</v>
      </c>
      <c r="R120" t="s">
        <v>2044</v>
      </c>
      <c r="S120">
        <v>193130</v>
      </c>
    </row>
    <row r="121" spans="1:19" x14ac:dyDescent="0.3">
      <c r="A121" t="s">
        <v>8</v>
      </c>
      <c r="B121">
        <f>VLOOKUP(A121,Sheet2!B:F,5,FALSE)</f>
        <v>928</v>
      </c>
      <c r="C121" t="s">
        <v>13</v>
      </c>
      <c r="D121">
        <f>VLOOKUP(C121,Sheet2!C:G,5,FALSE)</f>
        <v>1184</v>
      </c>
      <c r="E121" t="s">
        <v>51</v>
      </c>
      <c r="F121">
        <f>VLOOKUP(E121,Sheet2!D:E,2,FALSE)</f>
        <v>1274</v>
      </c>
      <c r="G121" t="s">
        <v>11</v>
      </c>
      <c r="H121" t="str">
        <f t="shared" si="2"/>
        <v>NAVERasd83op</v>
      </c>
      <c r="I121" t="str">
        <f>"asd83op"</f>
        <v>asd83op</v>
      </c>
      <c r="J121">
        <v>75540</v>
      </c>
      <c r="K121" s="1">
        <v>44866</v>
      </c>
      <c r="L121" t="s">
        <v>186</v>
      </c>
      <c r="M121">
        <f t="shared" si="3"/>
        <v>75540</v>
      </c>
      <c r="N121" t="e">
        <f>VLOOKUP(H121,Sheet1!G:H,2,FALSE)</f>
        <v>#N/A</v>
      </c>
      <c r="R121" t="s">
        <v>2045</v>
      </c>
      <c r="S121">
        <v>1070</v>
      </c>
    </row>
    <row r="122" spans="1:19" x14ac:dyDescent="0.3">
      <c r="A122" t="s">
        <v>8</v>
      </c>
      <c r="B122">
        <f>VLOOKUP(A122,Sheet2!B:F,5,FALSE)</f>
        <v>928</v>
      </c>
      <c r="C122" t="s">
        <v>9</v>
      </c>
      <c r="D122">
        <f>VLOOKUP(C122,Sheet2!C:G,5,FALSE)</f>
        <v>1202</v>
      </c>
      <c r="E122" t="s">
        <v>20</v>
      </c>
      <c r="F122">
        <f>VLOOKUP(E122,Sheet2!D:E,2,FALSE)</f>
        <v>938</v>
      </c>
      <c r="G122" t="s">
        <v>11</v>
      </c>
      <c r="H122" t="str">
        <f t="shared" si="2"/>
        <v>NAVERasiatour</v>
      </c>
      <c r="I122" t="str">
        <f>"asiatour"</f>
        <v>asiatour</v>
      </c>
      <c r="J122">
        <v>294000</v>
      </c>
      <c r="K122" s="1">
        <v>44866</v>
      </c>
      <c r="L122" t="s">
        <v>187</v>
      </c>
      <c r="M122">
        <f t="shared" si="3"/>
        <v>294000</v>
      </c>
      <c r="N122" t="e">
        <f>VLOOKUP(H122,Sheet1!G:H,2,FALSE)</f>
        <v>#N/A</v>
      </c>
      <c r="R122" t="s">
        <v>2046</v>
      </c>
      <c r="S122">
        <v>11410</v>
      </c>
    </row>
    <row r="123" spans="1:19" x14ac:dyDescent="0.3">
      <c r="A123" t="s">
        <v>8</v>
      </c>
      <c r="B123">
        <f>VLOOKUP(A123,Sheet2!B:F,5,FALSE)</f>
        <v>928</v>
      </c>
      <c r="C123" t="s">
        <v>13</v>
      </c>
      <c r="D123">
        <f>VLOOKUP(C123,Sheet2!C:G,5,FALSE)</f>
        <v>1184</v>
      </c>
      <c r="E123" t="s">
        <v>102</v>
      </c>
      <c r="F123">
        <f>VLOOKUP(E123,Sheet2!D:E,2,FALSE)</f>
        <v>917</v>
      </c>
      <c r="G123" t="s">
        <v>11</v>
      </c>
      <c r="H123" t="str">
        <f t="shared" si="2"/>
        <v>NAVERasicb</v>
      </c>
      <c r="I123" t="str">
        <f>"asicb"</f>
        <v>asicb</v>
      </c>
      <c r="J123">
        <v>67350</v>
      </c>
      <c r="K123" s="1">
        <v>44866</v>
      </c>
      <c r="L123" t="s">
        <v>188</v>
      </c>
      <c r="M123">
        <f t="shared" si="3"/>
        <v>67350</v>
      </c>
      <c r="N123" t="e">
        <f>VLOOKUP(H123,Sheet1!G:H,2,FALSE)</f>
        <v>#N/A</v>
      </c>
      <c r="R123" t="s">
        <v>2047</v>
      </c>
      <c r="S123">
        <v>6502160</v>
      </c>
    </row>
    <row r="124" spans="1:19" x14ac:dyDescent="0.3">
      <c r="A124" t="s">
        <v>8</v>
      </c>
      <c r="B124">
        <f>VLOOKUP(A124,Sheet2!B:F,5,FALSE)</f>
        <v>928</v>
      </c>
      <c r="C124" t="s">
        <v>9</v>
      </c>
      <c r="D124">
        <f>VLOOKUP(C124,Sheet2!C:G,5,FALSE)</f>
        <v>1202</v>
      </c>
      <c r="E124" t="s">
        <v>20</v>
      </c>
      <c r="F124">
        <f>VLOOKUP(E124,Sheet2!D:E,2,FALSE)</f>
        <v>938</v>
      </c>
      <c r="G124" t="s">
        <v>11</v>
      </c>
      <c r="H124" t="str">
        <f t="shared" si="2"/>
        <v>NAVERassa_aran</v>
      </c>
      <c r="I124" t="str">
        <f>"assa_aran"</f>
        <v>assa_aran</v>
      </c>
      <c r="J124">
        <v>2950</v>
      </c>
      <c r="K124" s="1">
        <v>44866</v>
      </c>
      <c r="L124" t="s">
        <v>189</v>
      </c>
      <c r="M124">
        <f t="shared" si="3"/>
        <v>2950</v>
      </c>
      <c r="N124" t="e">
        <f>VLOOKUP(H124,Sheet1!G:H,2,FALSE)</f>
        <v>#N/A</v>
      </c>
      <c r="R124" t="s">
        <v>2048</v>
      </c>
      <c r="S124">
        <v>61030</v>
      </c>
    </row>
    <row r="125" spans="1:19" x14ac:dyDescent="0.3">
      <c r="A125" t="s">
        <v>8</v>
      </c>
      <c r="B125">
        <f>VLOOKUP(A125,Sheet2!B:F,5,FALSE)</f>
        <v>928</v>
      </c>
      <c r="C125" t="s">
        <v>9</v>
      </c>
      <c r="D125">
        <f>VLOOKUP(C125,Sheet2!C:G,5,FALSE)</f>
        <v>1202</v>
      </c>
      <c r="E125" t="s">
        <v>10</v>
      </c>
      <c r="F125">
        <f>VLOOKUP(E125,Sheet2!D:E,2,FALSE)</f>
        <v>939</v>
      </c>
      <c r="G125" t="s">
        <v>11</v>
      </c>
      <c r="H125" t="str">
        <f t="shared" si="2"/>
        <v>NAVERathene1</v>
      </c>
      <c r="I125" t="str">
        <f>"athene1"</f>
        <v>athene1</v>
      </c>
      <c r="J125">
        <v>70240</v>
      </c>
      <c r="K125" s="1">
        <v>44866</v>
      </c>
      <c r="L125" t="s">
        <v>190</v>
      </c>
      <c r="M125">
        <f t="shared" si="3"/>
        <v>70240</v>
      </c>
      <c r="N125" t="e">
        <f>VLOOKUP(H125,Sheet1!G:H,2,FALSE)</f>
        <v>#N/A</v>
      </c>
      <c r="R125" t="s">
        <v>2049</v>
      </c>
      <c r="S125">
        <v>11640</v>
      </c>
    </row>
    <row r="126" spans="1:19" x14ac:dyDescent="0.3">
      <c r="A126" t="s">
        <v>41</v>
      </c>
      <c r="B126">
        <f>VLOOKUP(A126,Sheet2!B:F,5,FALSE)</f>
        <v>926</v>
      </c>
      <c r="C126" t="s">
        <v>56</v>
      </c>
      <c r="D126">
        <f>VLOOKUP(C126,Sheet2!C:G,5,FALSE)</f>
        <v>1207</v>
      </c>
      <c r="E126" t="s">
        <v>62</v>
      </c>
      <c r="F126">
        <f>VLOOKUP(E126,Sheet2!D:E,2,FALSE)</f>
        <v>201037</v>
      </c>
      <c r="G126" t="s">
        <v>11</v>
      </c>
      <c r="H126" t="str">
        <f t="shared" si="2"/>
        <v>NAVERathomepasta</v>
      </c>
      <c r="I126" t="str">
        <f>"athomepasta"</f>
        <v>athomepasta</v>
      </c>
      <c r="J126">
        <v>127870</v>
      </c>
      <c r="K126" s="1">
        <v>44866</v>
      </c>
      <c r="L126" t="s">
        <v>191</v>
      </c>
      <c r="M126">
        <f t="shared" si="3"/>
        <v>127870</v>
      </c>
      <c r="N126" t="e">
        <f>VLOOKUP(H126,Sheet1!G:H,2,FALSE)</f>
        <v>#N/A</v>
      </c>
      <c r="R126" t="s">
        <v>2050</v>
      </c>
      <c r="S126">
        <v>32770</v>
      </c>
    </row>
    <row r="127" spans="1:19" x14ac:dyDescent="0.3">
      <c r="A127" t="s">
        <v>8</v>
      </c>
      <c r="B127">
        <f>VLOOKUP(A127,Sheet2!B:F,5,FALSE)</f>
        <v>928</v>
      </c>
      <c r="C127" t="s">
        <v>9</v>
      </c>
      <c r="D127">
        <f>VLOOKUP(C127,Sheet2!C:G,5,FALSE)</f>
        <v>1202</v>
      </c>
      <c r="E127" t="s">
        <v>20</v>
      </c>
      <c r="F127">
        <f>VLOOKUP(E127,Sheet2!D:E,2,FALSE)</f>
        <v>938</v>
      </c>
      <c r="G127" t="s">
        <v>11</v>
      </c>
      <c r="H127" t="str">
        <f t="shared" si="2"/>
        <v>NAVERatobath</v>
      </c>
      <c r="I127" t="str">
        <f>"atobath"</f>
        <v>atobath</v>
      </c>
      <c r="J127">
        <v>586050</v>
      </c>
      <c r="K127" s="1">
        <v>44866</v>
      </c>
      <c r="L127" t="s">
        <v>192</v>
      </c>
      <c r="M127">
        <f t="shared" si="3"/>
        <v>586050</v>
      </c>
      <c r="N127" t="e">
        <f>VLOOKUP(H127,Sheet1!G:H,2,FALSE)</f>
        <v>#N/A</v>
      </c>
      <c r="R127" t="s">
        <v>2051</v>
      </c>
      <c r="S127">
        <v>950</v>
      </c>
    </row>
    <row r="128" spans="1:19" x14ac:dyDescent="0.3">
      <c r="A128" t="s">
        <v>22</v>
      </c>
      <c r="B128">
        <f>VLOOKUP(A128,Sheet2!B:F,5,FALSE)</f>
        <v>809</v>
      </c>
      <c r="C128" t="s">
        <v>23</v>
      </c>
      <c r="D128">
        <f>VLOOKUP(C128,Sheet2!C:G,5,FALSE)</f>
        <v>810</v>
      </c>
      <c r="E128" t="s">
        <v>24</v>
      </c>
      <c r="F128">
        <f>VLOOKUP(E128,Sheet2!D:E,2,FALSE)</f>
        <v>201032</v>
      </c>
      <c r="G128" t="s">
        <v>11</v>
      </c>
      <c r="H128" t="str">
        <f t="shared" si="2"/>
        <v>NAVERatoz1826:naver</v>
      </c>
      <c r="I128" t="str">
        <f>"atoz1826:naver"</f>
        <v>atoz1826:naver</v>
      </c>
      <c r="J128">
        <v>50</v>
      </c>
      <c r="K128" s="1">
        <v>44866</v>
      </c>
      <c r="L128" t="s">
        <v>193</v>
      </c>
      <c r="M128">
        <f t="shared" si="3"/>
        <v>50</v>
      </c>
      <c r="N128" t="e">
        <f>VLOOKUP(H128,Sheet1!G:H,2,FALSE)</f>
        <v>#N/A</v>
      </c>
      <c r="R128" t="s">
        <v>2052</v>
      </c>
      <c r="S128">
        <v>690420</v>
      </c>
    </row>
    <row r="129" spans="1:19" x14ac:dyDescent="0.3">
      <c r="A129" t="s">
        <v>8</v>
      </c>
      <c r="B129">
        <f>VLOOKUP(A129,Sheet2!B:F,5,FALSE)</f>
        <v>928</v>
      </c>
      <c r="C129" t="s">
        <v>9</v>
      </c>
      <c r="D129">
        <f>VLOOKUP(C129,Sheet2!C:G,5,FALSE)</f>
        <v>1202</v>
      </c>
      <c r="E129" t="s">
        <v>31</v>
      </c>
      <c r="F129">
        <f>VLOOKUP(E129,Sheet2!D:E,2,FALSE)</f>
        <v>1040</v>
      </c>
      <c r="G129" t="s">
        <v>11</v>
      </c>
      <c r="H129" t="str">
        <f t="shared" si="2"/>
        <v>NAVERatoz3494</v>
      </c>
      <c r="I129" t="str">
        <f>"atoz3494"</f>
        <v>atoz3494</v>
      </c>
      <c r="J129">
        <v>130390</v>
      </c>
      <c r="K129" s="1">
        <v>44866</v>
      </c>
      <c r="L129" t="s">
        <v>194</v>
      </c>
      <c r="M129">
        <f t="shared" si="3"/>
        <v>130390</v>
      </c>
      <c r="N129" t="e">
        <f>VLOOKUP(H129,Sheet1!G:H,2,FALSE)</f>
        <v>#N/A</v>
      </c>
      <c r="R129" t="s">
        <v>2053</v>
      </c>
      <c r="S129">
        <v>257420</v>
      </c>
    </row>
    <row r="130" spans="1:19" x14ac:dyDescent="0.3">
      <c r="A130" t="s">
        <v>8</v>
      </c>
      <c r="B130">
        <f>VLOOKUP(A130,Sheet2!B:F,5,FALSE)</f>
        <v>928</v>
      </c>
      <c r="C130" t="s">
        <v>9</v>
      </c>
      <c r="D130">
        <f>VLOOKUP(C130,Sheet2!C:G,5,FALSE)</f>
        <v>1202</v>
      </c>
      <c r="E130" t="s">
        <v>73</v>
      </c>
      <c r="F130">
        <f>VLOOKUP(E130,Sheet2!D:E,2,FALSE)</f>
        <v>895</v>
      </c>
      <c r="G130" t="s">
        <v>11</v>
      </c>
      <c r="H130" t="str">
        <f t="shared" si="2"/>
        <v>NAVERautobot123</v>
      </c>
      <c r="I130" t="str">
        <f>"autobot123"</f>
        <v>autobot123</v>
      </c>
      <c r="J130">
        <v>4539950</v>
      </c>
      <c r="K130" s="1">
        <v>44866</v>
      </c>
      <c r="L130" t="s">
        <v>195</v>
      </c>
      <c r="M130">
        <f t="shared" si="3"/>
        <v>4539950</v>
      </c>
      <c r="N130" t="e">
        <f>VLOOKUP(H130,Sheet1!G:H,2,FALSE)</f>
        <v>#N/A</v>
      </c>
      <c r="R130" t="s">
        <v>2054</v>
      </c>
      <c r="S130">
        <v>2589760</v>
      </c>
    </row>
    <row r="131" spans="1:19" x14ac:dyDescent="0.3">
      <c r="A131" t="s">
        <v>8</v>
      </c>
      <c r="B131">
        <f>VLOOKUP(A131,Sheet2!B:F,5,FALSE)</f>
        <v>928</v>
      </c>
      <c r="C131" t="s">
        <v>9</v>
      </c>
      <c r="D131">
        <f>VLOOKUP(C131,Sheet2!C:G,5,FALSE)</f>
        <v>1202</v>
      </c>
      <c r="E131" t="s">
        <v>47</v>
      </c>
      <c r="F131">
        <f>VLOOKUP(E131,Sheet2!D:E,2,FALSE)</f>
        <v>898</v>
      </c>
      <c r="G131" t="s">
        <v>11</v>
      </c>
      <c r="H131" t="str">
        <f t="shared" ref="H131:H194" si="4">CONCATENATE(G131,I131)</f>
        <v>NAVERautodoor1</v>
      </c>
      <c r="I131" t="str">
        <f>"autodoor1"</f>
        <v>autodoor1</v>
      </c>
      <c r="J131">
        <v>4272210</v>
      </c>
      <c r="K131" s="1">
        <v>44866</v>
      </c>
      <c r="L131" t="s">
        <v>196</v>
      </c>
      <c r="M131">
        <f t="shared" ref="M131:M194" si="5">VLOOKUP(H131,R:S,2,FALSE)</f>
        <v>4272210</v>
      </c>
      <c r="N131" t="e">
        <f>VLOOKUP(H131,Sheet1!G:H,2,FALSE)</f>
        <v>#N/A</v>
      </c>
      <c r="R131" t="s">
        <v>2055</v>
      </c>
      <c r="S131">
        <v>3966280</v>
      </c>
    </row>
    <row r="132" spans="1:19" x14ac:dyDescent="0.3">
      <c r="A132" t="s">
        <v>41</v>
      </c>
      <c r="B132">
        <f>VLOOKUP(A132,Sheet2!B:F,5,FALSE)</f>
        <v>926</v>
      </c>
      <c r="C132" t="s">
        <v>42</v>
      </c>
      <c r="D132">
        <f>VLOOKUP(C132,Sheet2!C:G,5,FALSE)</f>
        <v>964</v>
      </c>
      <c r="E132" t="s">
        <v>43</v>
      </c>
      <c r="F132">
        <f>VLOOKUP(E132,Sheet2!D:E,2,FALSE)</f>
        <v>200998</v>
      </c>
      <c r="G132" t="s">
        <v>11</v>
      </c>
      <c r="H132" t="str">
        <f t="shared" si="4"/>
        <v>NAVERautoharp1004</v>
      </c>
      <c r="I132" t="str">
        <f>"autoharp1004"</f>
        <v>autoharp1004</v>
      </c>
      <c r="J132">
        <v>2560</v>
      </c>
      <c r="K132" s="1">
        <v>44866</v>
      </c>
      <c r="L132" t="s">
        <v>197</v>
      </c>
      <c r="M132">
        <f t="shared" si="5"/>
        <v>2560</v>
      </c>
      <c r="N132" t="e">
        <f>VLOOKUP(H132,Sheet1!G:H,2,FALSE)</f>
        <v>#N/A</v>
      </c>
      <c r="R132" t="s">
        <v>2056</v>
      </c>
      <c r="S132">
        <v>1690160</v>
      </c>
    </row>
    <row r="133" spans="1:19" x14ac:dyDescent="0.3">
      <c r="A133" t="s">
        <v>8</v>
      </c>
      <c r="B133">
        <f>VLOOKUP(A133,Sheet2!B:F,5,FALSE)</f>
        <v>928</v>
      </c>
      <c r="C133" t="s">
        <v>9</v>
      </c>
      <c r="D133">
        <f>VLOOKUP(C133,Sheet2!C:G,5,FALSE)</f>
        <v>1202</v>
      </c>
      <c r="E133" t="s">
        <v>110</v>
      </c>
      <c r="F133">
        <f>VLOOKUP(E133,Sheet2!D:E,2,FALSE)</f>
        <v>929</v>
      </c>
      <c r="G133" t="s">
        <v>11</v>
      </c>
      <c r="H133" t="str">
        <f t="shared" si="4"/>
        <v>NAVERavan8286</v>
      </c>
      <c r="I133" t="str">
        <f>"avan8286"</f>
        <v>avan8286</v>
      </c>
      <c r="J133">
        <v>275300</v>
      </c>
      <c r="K133" s="1">
        <v>44866</v>
      </c>
      <c r="L133" t="s">
        <v>198</v>
      </c>
      <c r="M133">
        <f t="shared" si="5"/>
        <v>275300</v>
      </c>
      <c r="N133" t="e">
        <f>VLOOKUP(H133,Sheet1!G:H,2,FALSE)</f>
        <v>#N/A</v>
      </c>
      <c r="R133" t="s">
        <v>2057</v>
      </c>
      <c r="S133">
        <v>401670</v>
      </c>
    </row>
    <row r="134" spans="1:19" x14ac:dyDescent="0.3">
      <c r="A134" t="s">
        <v>8</v>
      </c>
      <c r="B134">
        <f>VLOOKUP(A134,Sheet2!B:F,5,FALSE)</f>
        <v>928</v>
      </c>
      <c r="C134" t="s">
        <v>9</v>
      </c>
      <c r="D134">
        <f>VLOOKUP(C134,Sheet2!C:G,5,FALSE)</f>
        <v>1202</v>
      </c>
      <c r="E134" t="s">
        <v>47</v>
      </c>
      <c r="F134">
        <f>VLOOKUP(E134,Sheet2!D:E,2,FALSE)</f>
        <v>898</v>
      </c>
      <c r="G134" t="s">
        <v>11</v>
      </c>
      <c r="H134" t="str">
        <f t="shared" si="4"/>
        <v>NAVERavila3007</v>
      </c>
      <c r="I134" t="str">
        <f>"avila3007"</f>
        <v>avila3007</v>
      </c>
      <c r="J134">
        <v>70</v>
      </c>
      <c r="K134" s="1">
        <v>44866</v>
      </c>
      <c r="L134" t="s">
        <v>199</v>
      </c>
      <c r="M134">
        <f t="shared" si="5"/>
        <v>70</v>
      </c>
      <c r="N134" t="e">
        <f>VLOOKUP(H134,Sheet1!G:H,2,FALSE)</f>
        <v>#N/A</v>
      </c>
      <c r="R134" t="s">
        <v>2058</v>
      </c>
      <c r="S134">
        <v>1650</v>
      </c>
    </row>
    <row r="135" spans="1:19" x14ac:dyDescent="0.3">
      <c r="A135" t="s">
        <v>8</v>
      </c>
      <c r="B135">
        <f>VLOOKUP(A135,Sheet2!B:F,5,FALSE)</f>
        <v>928</v>
      </c>
      <c r="C135" t="s">
        <v>9</v>
      </c>
      <c r="D135">
        <f>VLOOKUP(C135,Sheet2!C:G,5,FALSE)</f>
        <v>1202</v>
      </c>
      <c r="E135" t="s">
        <v>75</v>
      </c>
      <c r="F135">
        <f>VLOOKUP(E135,Sheet2!D:E,2,FALSE)</f>
        <v>50</v>
      </c>
      <c r="G135" t="s">
        <v>11</v>
      </c>
      <c r="H135" t="str">
        <f t="shared" si="4"/>
        <v>NAVERavworld</v>
      </c>
      <c r="I135" t="str">
        <f>"avworld"</f>
        <v>avworld</v>
      </c>
      <c r="J135">
        <v>14044740</v>
      </c>
      <c r="K135" s="1">
        <v>44866</v>
      </c>
      <c r="L135" t="s">
        <v>200</v>
      </c>
      <c r="M135">
        <f t="shared" si="5"/>
        <v>14044740</v>
      </c>
      <c r="N135" t="e">
        <f>VLOOKUP(H135,Sheet1!G:H,2,FALSE)</f>
        <v>#N/A</v>
      </c>
      <c r="R135" t="s">
        <v>2059</v>
      </c>
      <c r="S135">
        <v>226600</v>
      </c>
    </row>
    <row r="136" spans="1:19" x14ac:dyDescent="0.3">
      <c r="A136" t="s">
        <v>16</v>
      </c>
      <c r="B136">
        <f>VLOOKUP(A136,Sheet2!B:F,5,FALSE)</f>
        <v>927</v>
      </c>
      <c r="C136" t="s">
        <v>17</v>
      </c>
      <c r="D136">
        <f>VLOOKUP(C136,Sheet2!C:G,5,FALSE)</f>
        <v>1200</v>
      </c>
      <c r="E136" t="s">
        <v>53</v>
      </c>
      <c r="F136">
        <f>VLOOKUP(E136,Sheet2!D:E,2,FALSE)</f>
        <v>201080</v>
      </c>
      <c r="G136" t="s">
        <v>11</v>
      </c>
      <c r="H136" t="str">
        <f t="shared" si="4"/>
        <v>NAVERaweekinc</v>
      </c>
      <c r="I136" t="str">
        <f>"aweekinc"</f>
        <v>aweekinc</v>
      </c>
      <c r="J136">
        <v>816190</v>
      </c>
      <c r="K136" s="1">
        <v>44866</v>
      </c>
      <c r="L136" t="s">
        <v>201</v>
      </c>
      <c r="M136">
        <f t="shared" si="5"/>
        <v>816190</v>
      </c>
      <c r="N136" t="e">
        <f>VLOOKUP(H136,Sheet1!G:H,2,FALSE)</f>
        <v>#N/A</v>
      </c>
      <c r="R136" t="s">
        <v>2060</v>
      </c>
      <c r="S136">
        <v>12720</v>
      </c>
    </row>
    <row r="137" spans="1:19" x14ac:dyDescent="0.3">
      <c r="A137" t="s">
        <v>41</v>
      </c>
      <c r="B137">
        <f>VLOOKUP(A137,Sheet2!B:F,5,FALSE)</f>
        <v>926</v>
      </c>
      <c r="C137" t="s">
        <v>42</v>
      </c>
      <c r="D137">
        <f>VLOOKUP(C137,Sheet2!C:G,5,FALSE)</f>
        <v>964</v>
      </c>
      <c r="E137" t="s">
        <v>43</v>
      </c>
      <c r="F137">
        <f>VLOOKUP(E137,Sheet2!D:E,2,FALSE)</f>
        <v>200998</v>
      </c>
      <c r="G137" t="s">
        <v>11</v>
      </c>
      <c r="H137" t="str">
        <f t="shared" si="4"/>
        <v>NAVERazrael0907</v>
      </c>
      <c r="I137" t="str">
        <f>"azrael0907"</f>
        <v>azrael0907</v>
      </c>
      <c r="J137">
        <v>480</v>
      </c>
      <c r="K137" s="1">
        <v>44866</v>
      </c>
      <c r="L137" t="s">
        <v>202</v>
      </c>
      <c r="M137">
        <f t="shared" si="5"/>
        <v>480</v>
      </c>
      <c r="N137" t="e">
        <f>VLOOKUP(H137,Sheet1!G:H,2,FALSE)</f>
        <v>#N/A</v>
      </c>
      <c r="R137" t="s">
        <v>2061</v>
      </c>
      <c r="S137">
        <v>304130</v>
      </c>
    </row>
    <row r="138" spans="1:19" x14ac:dyDescent="0.3">
      <c r="A138" t="s">
        <v>8</v>
      </c>
      <c r="B138">
        <f>VLOOKUP(A138,Sheet2!B:F,5,FALSE)</f>
        <v>928</v>
      </c>
      <c r="C138" t="s">
        <v>9</v>
      </c>
      <c r="D138">
        <f>VLOOKUP(C138,Sheet2!C:G,5,FALSE)</f>
        <v>1202</v>
      </c>
      <c r="E138" t="s">
        <v>27</v>
      </c>
      <c r="F138">
        <f>VLOOKUP(E138,Sheet2!D:E,2,FALSE)</f>
        <v>806</v>
      </c>
      <c r="G138" t="s">
        <v>11</v>
      </c>
      <c r="H138" t="str">
        <f t="shared" si="4"/>
        <v>NAVERb1326</v>
      </c>
      <c r="I138" t="str">
        <f>"b1326"</f>
        <v>b1326</v>
      </c>
      <c r="J138">
        <v>72700</v>
      </c>
      <c r="K138" s="1">
        <v>44866</v>
      </c>
      <c r="L138" t="s">
        <v>203</v>
      </c>
      <c r="M138">
        <f t="shared" si="5"/>
        <v>72700</v>
      </c>
      <c r="N138" t="e">
        <f>VLOOKUP(H138,Sheet1!G:H,2,FALSE)</f>
        <v>#N/A</v>
      </c>
      <c r="R138" t="s">
        <v>2062</v>
      </c>
      <c r="S138">
        <v>11580910</v>
      </c>
    </row>
    <row r="139" spans="1:19" x14ac:dyDescent="0.3">
      <c r="A139" t="s">
        <v>8</v>
      </c>
      <c r="B139">
        <f>VLOOKUP(A139,Sheet2!B:F,5,FALSE)</f>
        <v>928</v>
      </c>
      <c r="C139" t="s">
        <v>13</v>
      </c>
      <c r="D139">
        <f>VLOOKUP(C139,Sheet2!C:G,5,FALSE)</f>
        <v>1184</v>
      </c>
      <c r="E139" t="s">
        <v>51</v>
      </c>
      <c r="F139">
        <f>VLOOKUP(E139,Sheet2!D:E,2,FALSE)</f>
        <v>1274</v>
      </c>
      <c r="G139" t="s">
        <v>11</v>
      </c>
      <c r="H139" t="str">
        <f t="shared" si="4"/>
        <v>NAVERbaby1397</v>
      </c>
      <c r="I139" t="str">
        <f>"baby1397"</f>
        <v>baby1397</v>
      </c>
      <c r="J139">
        <v>1305440</v>
      </c>
      <c r="K139" s="1">
        <v>44866</v>
      </c>
      <c r="L139" t="s">
        <v>204</v>
      </c>
      <c r="M139">
        <f t="shared" si="5"/>
        <v>1307080</v>
      </c>
      <c r="N139" t="e">
        <f>VLOOKUP(H139,Sheet1!G:H,2,FALSE)</f>
        <v>#N/A</v>
      </c>
      <c r="R139" t="s">
        <v>2063</v>
      </c>
      <c r="S139">
        <v>70</v>
      </c>
    </row>
    <row r="140" spans="1:19" x14ac:dyDescent="0.3">
      <c r="A140" t="s">
        <v>41</v>
      </c>
      <c r="B140">
        <f>VLOOKUP(A140,Sheet2!B:F,5,FALSE)</f>
        <v>926</v>
      </c>
      <c r="C140" t="s">
        <v>56</v>
      </c>
      <c r="D140">
        <f>VLOOKUP(C140,Sheet2!C:G,5,FALSE)</f>
        <v>1207</v>
      </c>
      <c r="E140" t="s">
        <v>156</v>
      </c>
      <c r="F140">
        <f>VLOOKUP(E140,Sheet2!D:E,2,FALSE)</f>
        <v>201103</v>
      </c>
      <c r="G140" t="s">
        <v>11</v>
      </c>
      <c r="H140" t="str">
        <f t="shared" si="4"/>
        <v>NAVERbabyplusdt:naver</v>
      </c>
      <c r="I140" t="str">
        <f>"babyplusdt:naver"</f>
        <v>babyplusdt:naver</v>
      </c>
      <c r="J140">
        <v>423870</v>
      </c>
      <c r="K140" s="1">
        <v>44866</v>
      </c>
      <c r="L140" t="s">
        <v>205</v>
      </c>
      <c r="M140">
        <f t="shared" si="5"/>
        <v>423870</v>
      </c>
      <c r="N140" t="e">
        <f>VLOOKUP(H140,Sheet1!G:H,2,FALSE)</f>
        <v>#N/A</v>
      </c>
      <c r="R140" t="s">
        <v>2064</v>
      </c>
      <c r="S140">
        <v>969070</v>
      </c>
    </row>
    <row r="141" spans="1:19" x14ac:dyDescent="0.3">
      <c r="A141" t="s">
        <v>41</v>
      </c>
      <c r="B141">
        <f>VLOOKUP(A141,Sheet2!B:F,5,FALSE)</f>
        <v>926</v>
      </c>
      <c r="C141" t="s">
        <v>56</v>
      </c>
      <c r="D141">
        <f>VLOOKUP(C141,Sheet2!C:G,5,FALSE)</f>
        <v>1207</v>
      </c>
      <c r="E141" t="s">
        <v>62</v>
      </c>
      <c r="F141">
        <f>VLOOKUP(E141,Sheet2!D:E,2,FALSE)</f>
        <v>201037</v>
      </c>
      <c r="G141" t="s">
        <v>11</v>
      </c>
      <c r="H141" t="str">
        <f t="shared" si="4"/>
        <v>NAVERbadamolli:naver</v>
      </c>
      <c r="I141" t="str">
        <f>"badamolli:naver"</f>
        <v>badamolli:naver</v>
      </c>
      <c r="J141">
        <v>31500</v>
      </c>
      <c r="K141" s="1">
        <v>44866</v>
      </c>
      <c r="L141" t="s">
        <v>206</v>
      </c>
      <c r="M141">
        <f t="shared" si="5"/>
        <v>31500</v>
      </c>
      <c r="N141" t="e">
        <f>VLOOKUP(H141,Sheet1!G:H,2,FALSE)</f>
        <v>#N/A</v>
      </c>
      <c r="R141" t="s">
        <v>2065</v>
      </c>
      <c r="S141">
        <v>44780</v>
      </c>
    </row>
    <row r="142" spans="1:19" x14ac:dyDescent="0.3">
      <c r="A142" t="s">
        <v>8</v>
      </c>
      <c r="B142">
        <f>VLOOKUP(A142,Sheet2!B:F,5,FALSE)</f>
        <v>928</v>
      </c>
      <c r="C142" t="s">
        <v>9</v>
      </c>
      <c r="D142">
        <f>VLOOKUP(C142,Sheet2!C:G,5,FALSE)</f>
        <v>1202</v>
      </c>
      <c r="E142" t="s">
        <v>35</v>
      </c>
      <c r="F142">
        <f>VLOOKUP(E142,Sheet2!D:E,2,FALSE)</f>
        <v>51</v>
      </c>
      <c r="G142" t="s">
        <v>11</v>
      </c>
      <c r="H142" t="str">
        <f t="shared" si="4"/>
        <v>NAVERbaejjangin</v>
      </c>
      <c r="I142" t="str">
        <f>"baejjangin"</f>
        <v>baejjangin</v>
      </c>
      <c r="J142">
        <v>863010</v>
      </c>
      <c r="K142" s="1">
        <v>44866</v>
      </c>
      <c r="L142" t="s">
        <v>207</v>
      </c>
      <c r="M142">
        <f t="shared" si="5"/>
        <v>863010</v>
      </c>
      <c r="N142" t="e">
        <f>VLOOKUP(H142,Sheet1!G:H,2,FALSE)</f>
        <v>#N/A</v>
      </c>
      <c r="R142" t="s">
        <v>2066</v>
      </c>
      <c r="S142">
        <v>205030</v>
      </c>
    </row>
    <row r="143" spans="1:19" x14ac:dyDescent="0.3">
      <c r="A143" t="s">
        <v>41</v>
      </c>
      <c r="B143">
        <f>VLOOKUP(A143,Sheet2!B:F,5,FALSE)</f>
        <v>926</v>
      </c>
      <c r="C143" t="s">
        <v>42</v>
      </c>
      <c r="D143">
        <f>VLOOKUP(C143,Sheet2!C:G,5,FALSE)</f>
        <v>964</v>
      </c>
      <c r="E143" t="s">
        <v>43</v>
      </c>
      <c r="F143">
        <f>VLOOKUP(E143,Sheet2!D:E,2,FALSE)</f>
        <v>200998</v>
      </c>
      <c r="G143" t="s">
        <v>11</v>
      </c>
      <c r="H143" t="str">
        <f t="shared" si="4"/>
        <v>NAVERbaewo89</v>
      </c>
      <c r="I143" t="str">
        <f>"baewo89"</f>
        <v>baewo89</v>
      </c>
      <c r="J143">
        <v>90</v>
      </c>
      <c r="K143" s="1">
        <v>44866</v>
      </c>
      <c r="L143" t="s">
        <v>208</v>
      </c>
      <c r="M143">
        <f t="shared" si="5"/>
        <v>90</v>
      </c>
      <c r="N143" t="e">
        <f>VLOOKUP(H143,Sheet1!G:H,2,FALSE)</f>
        <v>#N/A</v>
      </c>
      <c r="R143" t="s">
        <v>2067</v>
      </c>
      <c r="S143">
        <v>3272110</v>
      </c>
    </row>
    <row r="144" spans="1:19" x14ac:dyDescent="0.3">
      <c r="A144" t="s">
        <v>8</v>
      </c>
      <c r="B144">
        <f>VLOOKUP(A144,Sheet2!B:F,5,FALSE)</f>
        <v>928</v>
      </c>
      <c r="C144" t="s">
        <v>9</v>
      </c>
      <c r="D144">
        <f>VLOOKUP(C144,Sheet2!C:G,5,FALSE)</f>
        <v>1202</v>
      </c>
      <c r="E144" t="s">
        <v>27</v>
      </c>
      <c r="F144">
        <f>VLOOKUP(E144,Sheet2!D:E,2,FALSE)</f>
        <v>806</v>
      </c>
      <c r="G144" t="s">
        <v>11</v>
      </c>
      <c r="H144" t="str">
        <f t="shared" si="4"/>
        <v>NAVERbak1583:naver</v>
      </c>
      <c r="I144" t="str">
        <f>"bak1583:naver"</f>
        <v>bak1583:naver</v>
      </c>
      <c r="J144">
        <v>74920</v>
      </c>
      <c r="K144" s="1">
        <v>44866</v>
      </c>
      <c r="L144" t="s">
        <v>209</v>
      </c>
      <c r="M144">
        <f t="shared" si="5"/>
        <v>74920</v>
      </c>
      <c r="N144" t="e">
        <f>VLOOKUP(H144,Sheet1!G:H,2,FALSE)</f>
        <v>#N/A</v>
      </c>
      <c r="R144" t="s">
        <v>2068</v>
      </c>
      <c r="S144">
        <v>118690</v>
      </c>
    </row>
    <row r="145" spans="1:19" x14ac:dyDescent="0.3">
      <c r="A145" t="s">
        <v>8</v>
      </c>
      <c r="B145">
        <f>VLOOKUP(A145,Sheet2!B:F,5,FALSE)</f>
        <v>928</v>
      </c>
      <c r="C145" t="s">
        <v>9</v>
      </c>
      <c r="D145">
        <f>VLOOKUP(C145,Sheet2!C:G,5,FALSE)</f>
        <v>1202</v>
      </c>
      <c r="E145" t="s">
        <v>10</v>
      </c>
      <c r="F145">
        <f>VLOOKUP(E145,Sheet2!D:E,2,FALSE)</f>
        <v>939</v>
      </c>
      <c r="G145" t="s">
        <v>11</v>
      </c>
      <c r="H145" t="str">
        <f t="shared" si="4"/>
        <v>NAVERbalancewheel</v>
      </c>
      <c r="I145" t="str">
        <f>"balancewheel"</f>
        <v>balancewheel</v>
      </c>
      <c r="J145">
        <v>28530</v>
      </c>
      <c r="K145" s="1">
        <v>44866</v>
      </c>
      <c r="L145" t="s">
        <v>210</v>
      </c>
      <c r="M145">
        <f t="shared" si="5"/>
        <v>28530</v>
      </c>
      <c r="N145" t="e">
        <f>VLOOKUP(H145,Sheet1!G:H,2,FALSE)</f>
        <v>#N/A</v>
      </c>
      <c r="R145" t="s">
        <v>2069</v>
      </c>
      <c r="S145">
        <v>463580</v>
      </c>
    </row>
    <row r="146" spans="1:19" x14ac:dyDescent="0.3">
      <c r="A146" t="s">
        <v>8</v>
      </c>
      <c r="B146">
        <f>VLOOKUP(A146,Sheet2!B:F,5,FALSE)</f>
        <v>928</v>
      </c>
      <c r="C146" t="s">
        <v>9</v>
      </c>
      <c r="D146">
        <f>VLOOKUP(C146,Sheet2!C:G,5,FALSE)</f>
        <v>1202</v>
      </c>
      <c r="E146" t="s">
        <v>20</v>
      </c>
      <c r="F146">
        <f>VLOOKUP(E146,Sheet2!D:E,2,FALSE)</f>
        <v>938</v>
      </c>
      <c r="G146" t="s">
        <v>11</v>
      </c>
      <c r="H146" t="str">
        <f t="shared" si="4"/>
        <v>NAVERbandichon</v>
      </c>
      <c r="I146" t="str">
        <f>"bandichon"</f>
        <v>bandichon</v>
      </c>
      <c r="J146">
        <v>2910</v>
      </c>
      <c r="K146" s="1">
        <v>44866</v>
      </c>
      <c r="L146" t="s">
        <v>211</v>
      </c>
      <c r="M146">
        <f t="shared" si="5"/>
        <v>2910</v>
      </c>
      <c r="N146" t="e">
        <f>VLOOKUP(H146,Sheet1!G:H,2,FALSE)</f>
        <v>#N/A</v>
      </c>
      <c r="R146" t="s">
        <v>2070</v>
      </c>
      <c r="S146">
        <v>183580</v>
      </c>
    </row>
    <row r="147" spans="1:19" x14ac:dyDescent="0.3">
      <c r="A147" t="s">
        <v>8</v>
      </c>
      <c r="B147">
        <f>VLOOKUP(A147,Sheet2!B:F,5,FALSE)</f>
        <v>928</v>
      </c>
      <c r="C147" t="s">
        <v>9</v>
      </c>
      <c r="D147">
        <f>VLOOKUP(C147,Sheet2!C:G,5,FALSE)</f>
        <v>1202</v>
      </c>
      <c r="E147" t="s">
        <v>27</v>
      </c>
      <c r="F147">
        <f>VLOOKUP(E147,Sheet2!D:E,2,FALSE)</f>
        <v>806</v>
      </c>
      <c r="G147" t="s">
        <v>11</v>
      </c>
      <c r="H147" t="str">
        <f t="shared" si="4"/>
        <v>NAVERbangjjayougi</v>
      </c>
      <c r="I147" t="str">
        <f>"bangjjayougi"</f>
        <v>bangjjayougi</v>
      </c>
      <c r="J147">
        <v>7310</v>
      </c>
      <c r="K147" s="1">
        <v>44866</v>
      </c>
      <c r="L147" t="s">
        <v>212</v>
      </c>
      <c r="M147">
        <f t="shared" si="5"/>
        <v>7310</v>
      </c>
      <c r="N147" t="e">
        <f>VLOOKUP(H147,Sheet1!G:H,2,FALSE)</f>
        <v>#N/A</v>
      </c>
      <c r="R147" t="s">
        <v>2071</v>
      </c>
      <c r="S147">
        <v>64850</v>
      </c>
    </row>
    <row r="148" spans="1:19" x14ac:dyDescent="0.3">
      <c r="A148" t="s">
        <v>41</v>
      </c>
      <c r="B148">
        <f>VLOOKUP(A148,Sheet2!B:F,5,FALSE)</f>
        <v>926</v>
      </c>
      <c r="C148" t="s">
        <v>42</v>
      </c>
      <c r="D148">
        <f>VLOOKUP(C148,Sheet2!C:G,5,FALSE)</f>
        <v>964</v>
      </c>
      <c r="E148" t="s">
        <v>43</v>
      </c>
      <c r="F148">
        <f>VLOOKUP(E148,Sheet2!D:E,2,FALSE)</f>
        <v>200998</v>
      </c>
      <c r="G148" t="s">
        <v>11</v>
      </c>
      <c r="H148" t="str">
        <f t="shared" si="4"/>
        <v>NAVERbaptongapp:naver</v>
      </c>
      <c r="I148" t="str">
        <f>"baptongapp:naver"</f>
        <v>baptongapp:naver</v>
      </c>
      <c r="J148">
        <v>630</v>
      </c>
      <c r="K148" s="1">
        <v>44866</v>
      </c>
      <c r="L148" t="s">
        <v>213</v>
      </c>
      <c r="M148">
        <f t="shared" si="5"/>
        <v>630</v>
      </c>
      <c r="N148" t="e">
        <f>VLOOKUP(H148,Sheet1!G:H,2,FALSE)</f>
        <v>#N/A</v>
      </c>
      <c r="R148" t="s">
        <v>2072</v>
      </c>
      <c r="S148">
        <v>627500</v>
      </c>
    </row>
    <row r="149" spans="1:19" x14ac:dyDescent="0.3">
      <c r="A149" t="s">
        <v>8</v>
      </c>
      <c r="B149">
        <f>VLOOKUP(A149,Sheet2!B:F,5,FALSE)</f>
        <v>928</v>
      </c>
      <c r="C149" t="s">
        <v>9</v>
      </c>
      <c r="D149">
        <f>VLOOKUP(C149,Sheet2!C:G,5,FALSE)</f>
        <v>1202</v>
      </c>
      <c r="E149" t="s">
        <v>31</v>
      </c>
      <c r="F149">
        <f>VLOOKUP(E149,Sheet2!D:E,2,FALSE)</f>
        <v>1040</v>
      </c>
      <c r="G149" t="s">
        <v>11</v>
      </c>
      <c r="H149" t="str">
        <f t="shared" si="4"/>
        <v>NAVERbaral8</v>
      </c>
      <c r="I149" t="str">
        <f>"baral8"</f>
        <v>baral8</v>
      </c>
      <c r="J149">
        <v>1713040</v>
      </c>
      <c r="K149" s="1">
        <v>44866</v>
      </c>
      <c r="L149" t="s">
        <v>214</v>
      </c>
      <c r="M149" t="e">
        <f t="shared" si="5"/>
        <v>#N/A</v>
      </c>
      <c r="N149" t="str">
        <f>VLOOKUP(H149,Sheet1!G:H,2,FALSE)</f>
        <v>광고주 마케터외 접근권한 거부</v>
      </c>
      <c r="R149" t="s">
        <v>2073</v>
      </c>
      <c r="S149">
        <v>183390</v>
      </c>
    </row>
    <row r="150" spans="1:19" x14ac:dyDescent="0.3">
      <c r="A150" t="s">
        <v>16</v>
      </c>
      <c r="B150">
        <f>VLOOKUP(A150,Sheet2!B:F,5,FALSE)</f>
        <v>927</v>
      </c>
      <c r="C150" t="s">
        <v>17</v>
      </c>
      <c r="D150">
        <f>VLOOKUP(C150,Sheet2!C:G,5,FALSE)</f>
        <v>1200</v>
      </c>
      <c r="E150" t="s">
        <v>66</v>
      </c>
      <c r="F150">
        <f>VLOOKUP(E150,Sheet2!D:E,2,FALSE)</f>
        <v>33</v>
      </c>
      <c r="G150" t="s">
        <v>11</v>
      </c>
      <c r="H150" t="str">
        <f t="shared" si="4"/>
        <v>NAVERbareunsafe</v>
      </c>
      <c r="I150" t="str">
        <f>"bareunsafe"</f>
        <v>bareunsafe</v>
      </c>
      <c r="J150">
        <v>1841870</v>
      </c>
      <c r="K150" s="1">
        <v>44866</v>
      </c>
      <c r="L150" t="s">
        <v>215</v>
      </c>
      <c r="M150">
        <f t="shared" si="5"/>
        <v>1841870</v>
      </c>
      <c r="N150" t="e">
        <f>VLOOKUP(H150,Sheet1!G:H,2,FALSE)</f>
        <v>#N/A</v>
      </c>
      <c r="R150" t="s">
        <v>2074</v>
      </c>
      <c r="S150">
        <v>28180</v>
      </c>
    </row>
    <row r="151" spans="1:19" x14ac:dyDescent="0.3">
      <c r="A151" t="s">
        <v>41</v>
      </c>
      <c r="B151">
        <f>VLOOKUP(A151,Sheet2!B:F,5,FALSE)</f>
        <v>926</v>
      </c>
      <c r="C151" t="s">
        <v>56</v>
      </c>
      <c r="D151">
        <f>VLOOKUP(C151,Sheet2!C:G,5,FALSE)</f>
        <v>1207</v>
      </c>
      <c r="E151" t="s">
        <v>57</v>
      </c>
      <c r="F151">
        <f>VLOOKUP(E151,Sheet2!D:E,2,FALSE)</f>
        <v>200982</v>
      </c>
      <c r="G151" t="s">
        <v>11</v>
      </c>
      <c r="H151" t="str">
        <f t="shared" si="4"/>
        <v>NAVERbarobuilt</v>
      </c>
      <c r="I151" t="str">
        <f>"barobuilt"</f>
        <v>barobuilt</v>
      </c>
      <c r="J151">
        <v>23400</v>
      </c>
      <c r="K151" s="1">
        <v>44866</v>
      </c>
      <c r="L151" t="s">
        <v>216</v>
      </c>
      <c r="M151">
        <f t="shared" si="5"/>
        <v>23400</v>
      </c>
      <c r="N151" t="e">
        <f>VLOOKUP(H151,Sheet1!G:H,2,FALSE)</f>
        <v>#N/A</v>
      </c>
      <c r="R151" t="s">
        <v>2075</v>
      </c>
      <c r="S151">
        <v>200450</v>
      </c>
    </row>
    <row r="152" spans="1:19" x14ac:dyDescent="0.3">
      <c r="A152" t="s">
        <v>8</v>
      </c>
      <c r="B152">
        <f>VLOOKUP(A152,Sheet2!B:F,5,FALSE)</f>
        <v>928</v>
      </c>
      <c r="C152" t="s">
        <v>13</v>
      </c>
      <c r="D152">
        <f>VLOOKUP(C152,Sheet2!C:G,5,FALSE)</f>
        <v>1184</v>
      </c>
      <c r="E152" t="s">
        <v>217</v>
      </c>
      <c r="F152">
        <f>VLOOKUP(E152,Sheet2!D:E,2,FALSE)</f>
        <v>201027</v>
      </c>
      <c r="G152" t="s">
        <v>11</v>
      </c>
      <c r="H152" t="str">
        <f t="shared" si="4"/>
        <v>NAVERbb6005</v>
      </c>
      <c r="I152" t="str">
        <f>"bb6005"</f>
        <v>bb6005</v>
      </c>
      <c r="J152">
        <v>195780</v>
      </c>
      <c r="K152" s="1">
        <v>44866</v>
      </c>
      <c r="L152" t="s">
        <v>218</v>
      </c>
      <c r="M152">
        <f t="shared" si="5"/>
        <v>195780</v>
      </c>
      <c r="N152" t="e">
        <f>VLOOKUP(H152,Sheet1!G:H,2,FALSE)</f>
        <v>#N/A</v>
      </c>
      <c r="R152" t="s">
        <v>2076</v>
      </c>
      <c r="S152">
        <v>921230</v>
      </c>
    </row>
    <row r="153" spans="1:19" x14ac:dyDescent="0.3">
      <c r="A153" t="s">
        <v>8</v>
      </c>
      <c r="B153">
        <f>VLOOKUP(A153,Sheet2!B:F,5,FALSE)</f>
        <v>928</v>
      </c>
      <c r="C153" t="s">
        <v>9</v>
      </c>
      <c r="D153">
        <f>VLOOKUP(C153,Sheet2!C:G,5,FALSE)</f>
        <v>1202</v>
      </c>
      <c r="E153" t="s">
        <v>10</v>
      </c>
      <c r="F153">
        <f>VLOOKUP(E153,Sheet2!D:E,2,FALSE)</f>
        <v>939</v>
      </c>
      <c r="G153" t="s">
        <v>11</v>
      </c>
      <c r="H153" t="str">
        <f t="shared" si="4"/>
        <v>NAVERbbodae2</v>
      </c>
      <c r="I153" t="str">
        <f>"bbodae2"</f>
        <v>bbodae2</v>
      </c>
      <c r="J153">
        <v>8500</v>
      </c>
      <c r="K153" s="1">
        <v>44866</v>
      </c>
      <c r="L153" t="s">
        <v>219</v>
      </c>
      <c r="M153">
        <f t="shared" si="5"/>
        <v>8500</v>
      </c>
      <c r="N153" t="e">
        <f>VLOOKUP(H153,Sheet1!G:H,2,FALSE)</f>
        <v>#N/A</v>
      </c>
      <c r="R153" t="s">
        <v>2077</v>
      </c>
      <c r="S153">
        <v>837040</v>
      </c>
    </row>
    <row r="154" spans="1:19" x14ac:dyDescent="0.3">
      <c r="A154" t="s">
        <v>8</v>
      </c>
      <c r="B154">
        <f>VLOOKUP(A154,Sheet2!B:F,5,FALSE)</f>
        <v>928</v>
      </c>
      <c r="C154" t="s">
        <v>9</v>
      </c>
      <c r="D154">
        <f>VLOOKUP(C154,Sheet2!C:G,5,FALSE)</f>
        <v>1202</v>
      </c>
      <c r="E154" t="s">
        <v>220</v>
      </c>
      <c r="F154">
        <f>VLOOKUP(E154,Sheet2!D:E,2,FALSE)</f>
        <v>1211</v>
      </c>
      <c r="G154" t="s">
        <v>11</v>
      </c>
      <c r="H154" t="str">
        <f t="shared" si="4"/>
        <v>NAVERbbok80</v>
      </c>
      <c r="I154" t="str">
        <f>"bbok80"</f>
        <v>bbok80</v>
      </c>
      <c r="J154">
        <v>217430</v>
      </c>
      <c r="K154" s="1">
        <v>44866</v>
      </c>
      <c r="L154" t="s">
        <v>221</v>
      </c>
      <c r="M154">
        <f t="shared" si="5"/>
        <v>217430</v>
      </c>
      <c r="N154" t="e">
        <f>VLOOKUP(H154,Sheet1!G:H,2,FALSE)</f>
        <v>#N/A</v>
      </c>
      <c r="R154" t="s">
        <v>2078</v>
      </c>
      <c r="S154">
        <v>8816750</v>
      </c>
    </row>
    <row r="155" spans="1:19" x14ac:dyDescent="0.3">
      <c r="A155" t="s">
        <v>8</v>
      </c>
      <c r="B155">
        <f>VLOOKUP(A155,Sheet2!B:F,5,FALSE)</f>
        <v>928</v>
      </c>
      <c r="C155" t="s">
        <v>9</v>
      </c>
      <c r="D155">
        <f>VLOOKUP(C155,Sheet2!C:G,5,FALSE)</f>
        <v>1202</v>
      </c>
      <c r="E155" t="s">
        <v>45</v>
      </c>
      <c r="F155">
        <f>VLOOKUP(E155,Sheet2!D:E,2,FALSE)</f>
        <v>26</v>
      </c>
      <c r="G155" t="s">
        <v>11</v>
      </c>
      <c r="H155" t="str">
        <f t="shared" si="4"/>
        <v>NAVERbcbcbc360:naver</v>
      </c>
      <c r="I155" t="str">
        <f>"bcbcbc360:naver"</f>
        <v>bcbcbc360:naver</v>
      </c>
      <c r="J155">
        <v>61240</v>
      </c>
      <c r="K155" s="1">
        <v>44866</v>
      </c>
      <c r="L155" t="s">
        <v>222</v>
      </c>
      <c r="M155">
        <f t="shared" si="5"/>
        <v>61240</v>
      </c>
      <c r="N155" t="e">
        <f>VLOOKUP(H155,Sheet1!G:H,2,FALSE)</f>
        <v>#N/A</v>
      </c>
      <c r="R155" t="s">
        <v>2079</v>
      </c>
      <c r="S155">
        <v>344000</v>
      </c>
    </row>
    <row r="156" spans="1:19" x14ac:dyDescent="0.3">
      <c r="A156" t="s">
        <v>8</v>
      </c>
      <c r="B156">
        <f>VLOOKUP(A156,Sheet2!B:F,5,FALSE)</f>
        <v>928</v>
      </c>
      <c r="C156" t="s">
        <v>223</v>
      </c>
      <c r="D156">
        <f>VLOOKUP(C156,Sheet2!C:G,5,FALSE)</f>
        <v>966</v>
      </c>
      <c r="E156" t="s">
        <v>224</v>
      </c>
      <c r="F156">
        <f>VLOOKUP(E156,Sheet2!D:E,2,FALSE)</f>
        <v>201008</v>
      </c>
      <c r="G156" t="s">
        <v>11</v>
      </c>
      <c r="H156" t="str">
        <f t="shared" si="4"/>
        <v>NAVERbccheong</v>
      </c>
      <c r="I156" t="str">
        <f>"bccheong"</f>
        <v>bccheong</v>
      </c>
      <c r="J156">
        <v>1144560</v>
      </c>
      <c r="K156" s="1">
        <v>44866</v>
      </c>
      <c r="L156" t="s">
        <v>225</v>
      </c>
      <c r="M156">
        <f t="shared" si="5"/>
        <v>1144560</v>
      </c>
      <c r="N156" t="e">
        <f>VLOOKUP(H156,Sheet1!G:H,2,FALSE)</f>
        <v>#N/A</v>
      </c>
      <c r="R156" t="s">
        <v>2080</v>
      </c>
      <c r="S156">
        <v>4380</v>
      </c>
    </row>
    <row r="157" spans="1:19" x14ac:dyDescent="0.3">
      <c r="A157" t="s">
        <v>8</v>
      </c>
      <c r="B157">
        <f>VLOOKUP(A157,Sheet2!B:F,5,FALSE)</f>
        <v>928</v>
      </c>
      <c r="C157" t="s">
        <v>9</v>
      </c>
      <c r="D157">
        <f>VLOOKUP(C157,Sheet2!C:G,5,FALSE)</f>
        <v>1202</v>
      </c>
      <c r="E157" t="s">
        <v>33</v>
      </c>
      <c r="F157">
        <f>VLOOKUP(E157,Sheet2!D:E,2,FALSE)</f>
        <v>933</v>
      </c>
      <c r="G157" t="s">
        <v>11</v>
      </c>
      <c r="H157" t="str">
        <f t="shared" si="4"/>
        <v>NAVERbcwaterjet</v>
      </c>
      <c r="I157" t="str">
        <f>"bcwaterjet"</f>
        <v>bcwaterjet</v>
      </c>
      <c r="J157">
        <v>621440</v>
      </c>
      <c r="K157" s="1">
        <v>44866</v>
      </c>
      <c r="L157" t="s">
        <v>226</v>
      </c>
      <c r="M157">
        <f t="shared" si="5"/>
        <v>621440</v>
      </c>
      <c r="N157" t="e">
        <f>VLOOKUP(H157,Sheet1!G:H,2,FALSE)</f>
        <v>#N/A</v>
      </c>
      <c r="R157" t="s">
        <v>2081</v>
      </c>
      <c r="S157">
        <v>2650</v>
      </c>
    </row>
    <row r="158" spans="1:19" x14ac:dyDescent="0.3">
      <c r="A158" t="s">
        <v>8</v>
      </c>
      <c r="B158">
        <f>VLOOKUP(A158,Sheet2!B:F,5,FALSE)</f>
        <v>928</v>
      </c>
      <c r="C158" t="s">
        <v>223</v>
      </c>
      <c r="D158">
        <f>VLOOKUP(C158,Sheet2!C:G,5,FALSE)</f>
        <v>966</v>
      </c>
      <c r="E158" t="s">
        <v>224</v>
      </c>
      <c r="F158">
        <f>VLOOKUP(E158,Sheet2!D:E,2,FALSE)</f>
        <v>201008</v>
      </c>
      <c r="G158" t="s">
        <v>11</v>
      </c>
      <c r="H158" t="str">
        <f t="shared" si="4"/>
        <v>NAVERbdcsbdcs</v>
      </c>
      <c r="I158" t="str">
        <f>"bdcsbdcs"</f>
        <v>bdcsbdcs</v>
      </c>
      <c r="J158">
        <v>1613900</v>
      </c>
      <c r="K158" s="1">
        <v>44866</v>
      </c>
      <c r="L158" t="s">
        <v>225</v>
      </c>
      <c r="M158">
        <f t="shared" si="5"/>
        <v>1613900</v>
      </c>
      <c r="N158" t="e">
        <f>VLOOKUP(H158,Sheet1!G:H,2,FALSE)</f>
        <v>#N/A</v>
      </c>
      <c r="R158" t="s">
        <v>2082</v>
      </c>
      <c r="S158">
        <v>1065700</v>
      </c>
    </row>
    <row r="159" spans="1:19" x14ac:dyDescent="0.3">
      <c r="A159" t="s">
        <v>22</v>
      </c>
      <c r="B159">
        <f>VLOOKUP(A159,Sheet2!B:F,5,FALSE)</f>
        <v>809</v>
      </c>
      <c r="C159" t="s">
        <v>23</v>
      </c>
      <c r="D159">
        <f>VLOOKUP(C159,Sheet2!C:G,5,FALSE)</f>
        <v>810</v>
      </c>
      <c r="E159" t="s">
        <v>106</v>
      </c>
      <c r="F159">
        <f>VLOOKUP(E159,Sheet2!D:E,2,FALSE)</f>
        <v>1349</v>
      </c>
      <c r="G159" t="s">
        <v>11</v>
      </c>
      <c r="H159" t="str">
        <f t="shared" si="4"/>
        <v>NAVERbdjkorea:naver</v>
      </c>
      <c r="I159" t="str">
        <f>"bdjkorea:naver"</f>
        <v>bdjkorea:naver</v>
      </c>
      <c r="J159">
        <v>983740</v>
      </c>
      <c r="K159" s="1">
        <v>44866</v>
      </c>
      <c r="L159" t="s">
        <v>227</v>
      </c>
      <c r="M159">
        <f t="shared" si="5"/>
        <v>983740</v>
      </c>
      <c r="N159" t="e">
        <f>VLOOKUP(H159,Sheet1!G:H,2,FALSE)</f>
        <v>#N/A</v>
      </c>
      <c r="R159" t="s">
        <v>2083</v>
      </c>
      <c r="S159">
        <v>7360</v>
      </c>
    </row>
    <row r="160" spans="1:19" x14ac:dyDescent="0.3">
      <c r="A160" t="s">
        <v>8</v>
      </c>
      <c r="B160">
        <f>VLOOKUP(A160,Sheet2!B:F,5,FALSE)</f>
        <v>928</v>
      </c>
      <c r="C160" t="s">
        <v>9</v>
      </c>
      <c r="D160">
        <f>VLOOKUP(C160,Sheet2!C:G,5,FALSE)</f>
        <v>1202</v>
      </c>
      <c r="E160" t="s">
        <v>31</v>
      </c>
      <c r="F160">
        <f>VLOOKUP(E160,Sheet2!D:E,2,FALSE)</f>
        <v>1040</v>
      </c>
      <c r="G160" t="s">
        <v>11</v>
      </c>
      <c r="H160" t="str">
        <f t="shared" si="4"/>
        <v>NAVERbeautieter</v>
      </c>
      <c r="I160" t="str">
        <f>"beautieter"</f>
        <v>beautieter</v>
      </c>
      <c r="J160">
        <v>59430</v>
      </c>
      <c r="K160" s="1">
        <v>44866</v>
      </c>
      <c r="L160" t="s">
        <v>228</v>
      </c>
      <c r="M160">
        <f t="shared" si="5"/>
        <v>59430</v>
      </c>
      <c r="N160" t="e">
        <f>VLOOKUP(H160,Sheet1!G:H,2,FALSE)</f>
        <v>#N/A</v>
      </c>
      <c r="R160" t="s">
        <v>2084</v>
      </c>
      <c r="S160">
        <v>420</v>
      </c>
    </row>
    <row r="161" spans="1:19" x14ac:dyDescent="0.3">
      <c r="A161" t="s">
        <v>8</v>
      </c>
      <c r="B161">
        <f>VLOOKUP(A161,Sheet2!B:F,5,FALSE)</f>
        <v>928</v>
      </c>
      <c r="C161" t="s">
        <v>9</v>
      </c>
      <c r="D161">
        <f>VLOOKUP(C161,Sheet2!C:G,5,FALSE)</f>
        <v>1202</v>
      </c>
      <c r="E161" t="s">
        <v>31</v>
      </c>
      <c r="F161">
        <f>VLOOKUP(E161,Sheet2!D:E,2,FALSE)</f>
        <v>1040</v>
      </c>
      <c r="G161" t="s">
        <v>11</v>
      </c>
      <c r="H161" t="str">
        <f t="shared" si="4"/>
        <v>NAVERbebenuvo</v>
      </c>
      <c r="I161" t="str">
        <f>"bebenuvo"</f>
        <v>bebenuvo</v>
      </c>
      <c r="J161">
        <v>9031710</v>
      </c>
      <c r="K161" s="1">
        <v>44866</v>
      </c>
      <c r="L161" t="s">
        <v>228</v>
      </c>
      <c r="M161">
        <f t="shared" si="5"/>
        <v>7144310</v>
      </c>
      <c r="N161" t="e">
        <f>VLOOKUP(H161,Sheet1!G:H,2,FALSE)</f>
        <v>#N/A</v>
      </c>
      <c r="R161" t="s">
        <v>2085</v>
      </c>
      <c r="S161">
        <v>20020</v>
      </c>
    </row>
    <row r="162" spans="1:19" x14ac:dyDescent="0.3">
      <c r="A162" t="s">
        <v>16</v>
      </c>
      <c r="B162">
        <f>VLOOKUP(A162,Sheet2!B:F,5,FALSE)</f>
        <v>927</v>
      </c>
      <c r="C162" t="s">
        <v>17</v>
      </c>
      <c r="D162">
        <f>VLOOKUP(C162,Sheet2!C:G,5,FALSE)</f>
        <v>1200</v>
      </c>
      <c r="E162" t="s">
        <v>229</v>
      </c>
      <c r="F162">
        <f>VLOOKUP(E162,Sheet2!D:E,2,FALSE)</f>
        <v>560</v>
      </c>
      <c r="G162" t="s">
        <v>11</v>
      </c>
      <c r="H162" t="str">
        <f t="shared" si="4"/>
        <v>NAVERbellshop</v>
      </c>
      <c r="I162" t="str">
        <f>"bellshop"</f>
        <v>bellshop</v>
      </c>
      <c r="J162">
        <v>455630</v>
      </c>
      <c r="K162" s="1">
        <v>44866</v>
      </c>
      <c r="L162" t="s">
        <v>230</v>
      </c>
      <c r="M162">
        <f t="shared" si="5"/>
        <v>455630</v>
      </c>
      <c r="N162" t="e">
        <f>VLOOKUP(H162,Sheet1!G:H,2,FALSE)</f>
        <v>#N/A</v>
      </c>
      <c r="R162" t="s">
        <v>2086</v>
      </c>
      <c r="S162">
        <v>328830</v>
      </c>
    </row>
    <row r="163" spans="1:19" x14ac:dyDescent="0.3">
      <c r="A163" t="s">
        <v>22</v>
      </c>
      <c r="B163">
        <f>VLOOKUP(A163,Sheet2!B:F,5,FALSE)</f>
        <v>809</v>
      </c>
      <c r="C163" t="s">
        <v>23</v>
      </c>
      <c r="D163">
        <f>VLOOKUP(C163,Sheet2!C:G,5,FALSE)</f>
        <v>810</v>
      </c>
      <c r="E163" t="s">
        <v>24</v>
      </c>
      <c r="F163">
        <f>VLOOKUP(E163,Sheet2!D:E,2,FALSE)</f>
        <v>201032</v>
      </c>
      <c r="G163" t="s">
        <v>11</v>
      </c>
      <c r="H163" t="str">
        <f t="shared" si="4"/>
        <v>NAVERben_kim91:naver</v>
      </c>
      <c r="I163" t="str">
        <f>"ben_kim91:naver"</f>
        <v>ben_kim91:naver</v>
      </c>
      <c r="J163">
        <v>136220</v>
      </c>
      <c r="K163" s="1">
        <v>44866</v>
      </c>
      <c r="L163" t="s">
        <v>231</v>
      </c>
      <c r="M163">
        <f t="shared" si="5"/>
        <v>136220</v>
      </c>
      <c r="N163" t="e">
        <f>VLOOKUP(H163,Sheet1!G:H,2,FALSE)</f>
        <v>#N/A</v>
      </c>
      <c r="R163" t="s">
        <v>2087</v>
      </c>
      <c r="S163">
        <v>540120</v>
      </c>
    </row>
    <row r="164" spans="1:19" x14ac:dyDescent="0.3">
      <c r="A164" t="s">
        <v>8</v>
      </c>
      <c r="B164">
        <f>VLOOKUP(A164,Sheet2!B:F,5,FALSE)</f>
        <v>928</v>
      </c>
      <c r="C164" t="s">
        <v>13</v>
      </c>
      <c r="D164">
        <f>VLOOKUP(C164,Sheet2!C:G,5,FALSE)</f>
        <v>1184</v>
      </c>
      <c r="E164" t="s">
        <v>51</v>
      </c>
      <c r="F164">
        <f>VLOOKUP(E164,Sheet2!D:E,2,FALSE)</f>
        <v>1274</v>
      </c>
      <c r="G164" t="s">
        <v>11</v>
      </c>
      <c r="H164" t="str">
        <f t="shared" si="4"/>
        <v>NAVERbenia</v>
      </c>
      <c r="I164" t="str">
        <f>"benia"</f>
        <v>benia</v>
      </c>
      <c r="J164">
        <v>3290</v>
      </c>
      <c r="K164" s="1">
        <v>44866</v>
      </c>
      <c r="L164" t="s">
        <v>232</v>
      </c>
      <c r="M164">
        <f t="shared" si="5"/>
        <v>3290</v>
      </c>
      <c r="N164" t="e">
        <f>VLOOKUP(H164,Sheet1!G:H,2,FALSE)</f>
        <v>#N/A</v>
      </c>
      <c r="R164" t="s">
        <v>2088</v>
      </c>
      <c r="S164">
        <v>3050</v>
      </c>
    </row>
    <row r="165" spans="1:19" x14ac:dyDescent="0.3">
      <c r="A165" t="s">
        <v>41</v>
      </c>
      <c r="B165">
        <f>VLOOKUP(A165,Sheet2!B:F,5,FALSE)</f>
        <v>926</v>
      </c>
      <c r="C165" t="s">
        <v>56</v>
      </c>
      <c r="D165">
        <f>VLOOKUP(C165,Sheet2!C:G,5,FALSE)</f>
        <v>1207</v>
      </c>
      <c r="E165" t="s">
        <v>62</v>
      </c>
      <c r="F165">
        <f>VLOOKUP(E165,Sheet2!D:E,2,FALSE)</f>
        <v>201037</v>
      </c>
      <c r="G165" t="s">
        <v>11</v>
      </c>
      <c r="H165" t="str">
        <f t="shared" si="4"/>
        <v>NAVERbestamc</v>
      </c>
      <c r="I165" t="str">
        <f>"bestamc"</f>
        <v>bestamc</v>
      </c>
      <c r="J165">
        <v>782420</v>
      </c>
      <c r="K165" s="1">
        <v>44866</v>
      </c>
      <c r="L165" t="s">
        <v>233</v>
      </c>
      <c r="M165">
        <f t="shared" si="5"/>
        <v>782420</v>
      </c>
      <c r="N165" t="e">
        <f>VLOOKUP(H165,Sheet1!G:H,2,FALSE)</f>
        <v>#N/A</v>
      </c>
      <c r="R165" t="s">
        <v>2089</v>
      </c>
      <c r="S165">
        <v>91570</v>
      </c>
    </row>
    <row r="166" spans="1:19" x14ac:dyDescent="0.3">
      <c r="A166" t="s">
        <v>16</v>
      </c>
      <c r="B166">
        <f>VLOOKUP(A166,Sheet2!B:F,5,FALSE)</f>
        <v>927</v>
      </c>
      <c r="C166" t="s">
        <v>17</v>
      </c>
      <c r="D166">
        <f>VLOOKUP(C166,Sheet2!C:G,5,FALSE)</f>
        <v>1200</v>
      </c>
      <c r="E166" t="s">
        <v>66</v>
      </c>
      <c r="F166">
        <f>VLOOKUP(E166,Sheet2!D:E,2,FALSE)</f>
        <v>33</v>
      </c>
      <c r="G166" t="s">
        <v>11</v>
      </c>
      <c r="H166" t="str">
        <f t="shared" si="4"/>
        <v>NAVERbestart7</v>
      </c>
      <c r="I166" t="str">
        <f>"bestart7"</f>
        <v>bestart7</v>
      </c>
      <c r="J166">
        <v>1110</v>
      </c>
      <c r="K166" s="1">
        <v>44866</v>
      </c>
      <c r="L166" t="s">
        <v>234</v>
      </c>
      <c r="M166">
        <f t="shared" si="5"/>
        <v>1110</v>
      </c>
      <c r="N166" t="e">
        <f>VLOOKUP(H166,Sheet1!G:H,2,FALSE)</f>
        <v>#N/A</v>
      </c>
      <c r="R166" t="s">
        <v>2090</v>
      </c>
      <c r="S166">
        <v>40700</v>
      </c>
    </row>
    <row r="167" spans="1:19" x14ac:dyDescent="0.3">
      <c r="A167" t="s">
        <v>8</v>
      </c>
      <c r="B167">
        <f>VLOOKUP(A167,Sheet2!B:F,5,FALSE)</f>
        <v>928</v>
      </c>
      <c r="C167" t="s">
        <v>9</v>
      </c>
      <c r="D167">
        <f>VLOOKUP(C167,Sheet2!C:G,5,FALSE)</f>
        <v>1202</v>
      </c>
      <c r="E167" t="s">
        <v>27</v>
      </c>
      <c r="F167">
        <f>VLOOKUP(E167,Sheet2!D:E,2,FALSE)</f>
        <v>806</v>
      </c>
      <c r="G167" t="s">
        <v>11</v>
      </c>
      <c r="H167" t="str">
        <f t="shared" si="4"/>
        <v>NAVERbestguycho</v>
      </c>
      <c r="I167" t="str">
        <f>"bestguycho"</f>
        <v>bestguycho</v>
      </c>
      <c r="J167">
        <v>70</v>
      </c>
      <c r="K167" s="1">
        <v>44866</v>
      </c>
      <c r="L167" t="s">
        <v>235</v>
      </c>
      <c r="M167">
        <f t="shared" si="5"/>
        <v>70</v>
      </c>
      <c r="N167" t="e">
        <f>VLOOKUP(H167,Sheet1!G:H,2,FALSE)</f>
        <v>#N/A</v>
      </c>
      <c r="R167" t="s">
        <v>2091</v>
      </c>
      <c r="S167">
        <v>980220</v>
      </c>
    </row>
    <row r="168" spans="1:19" x14ac:dyDescent="0.3">
      <c r="A168" t="s">
        <v>22</v>
      </c>
      <c r="B168">
        <f>VLOOKUP(A168,Sheet2!B:F,5,FALSE)</f>
        <v>809</v>
      </c>
      <c r="C168" t="s">
        <v>23</v>
      </c>
      <c r="D168">
        <f>VLOOKUP(C168,Sheet2!C:G,5,FALSE)</f>
        <v>810</v>
      </c>
      <c r="E168" t="s">
        <v>236</v>
      </c>
      <c r="F168">
        <f>VLOOKUP(E168,Sheet2!D:E,2,FALSE)</f>
        <v>201052</v>
      </c>
      <c r="G168" t="s">
        <v>11</v>
      </c>
      <c r="H168" t="str">
        <f t="shared" si="4"/>
        <v>NAVERbetter-u:naver</v>
      </c>
      <c r="I168" t="str">
        <f>"better-u:naver"</f>
        <v>better-u:naver</v>
      </c>
      <c r="J168">
        <v>24930</v>
      </c>
      <c r="K168" s="1">
        <v>44866</v>
      </c>
      <c r="L168" t="s">
        <v>237</v>
      </c>
      <c r="M168">
        <f t="shared" si="5"/>
        <v>24930</v>
      </c>
      <c r="N168" t="e">
        <f>VLOOKUP(H168,Sheet1!G:H,2,FALSE)</f>
        <v>#N/A</v>
      </c>
      <c r="R168" t="s">
        <v>2092</v>
      </c>
      <c r="S168">
        <v>0</v>
      </c>
    </row>
    <row r="169" spans="1:19" x14ac:dyDescent="0.3">
      <c r="A169" t="s">
        <v>8</v>
      </c>
      <c r="B169">
        <f>VLOOKUP(A169,Sheet2!B:F,5,FALSE)</f>
        <v>928</v>
      </c>
      <c r="C169" t="s">
        <v>13</v>
      </c>
      <c r="D169">
        <f>VLOOKUP(C169,Sheet2!C:G,5,FALSE)</f>
        <v>1184</v>
      </c>
      <c r="E169" t="s">
        <v>14</v>
      </c>
      <c r="F169">
        <f>VLOOKUP(E169,Sheet2!D:E,2,FALSE)</f>
        <v>914</v>
      </c>
      <c r="G169" t="s">
        <v>11</v>
      </c>
      <c r="H169" t="str">
        <f t="shared" si="4"/>
        <v>NAVERbetterday</v>
      </c>
      <c r="I169" t="str">
        <f>"betterday"</f>
        <v>betterday</v>
      </c>
      <c r="J169">
        <v>656030</v>
      </c>
      <c r="K169" s="1">
        <v>44866</v>
      </c>
      <c r="L169" t="s">
        <v>238</v>
      </c>
      <c r="M169">
        <f t="shared" si="5"/>
        <v>656030</v>
      </c>
      <c r="N169" t="e">
        <f>VLOOKUP(H169,Sheet1!G:H,2,FALSE)</f>
        <v>#N/A</v>
      </c>
      <c r="R169" t="s">
        <v>2093</v>
      </c>
      <c r="S169">
        <v>1542100</v>
      </c>
    </row>
    <row r="170" spans="1:19" x14ac:dyDescent="0.3">
      <c r="A170" t="s">
        <v>41</v>
      </c>
      <c r="B170">
        <f>VLOOKUP(A170,Sheet2!B:F,5,FALSE)</f>
        <v>926</v>
      </c>
      <c r="C170" t="s">
        <v>56</v>
      </c>
      <c r="D170">
        <f>VLOOKUP(C170,Sheet2!C:G,5,FALSE)</f>
        <v>1207</v>
      </c>
      <c r="E170" t="s">
        <v>57</v>
      </c>
      <c r="F170">
        <f>VLOOKUP(E170,Sheet2!D:E,2,FALSE)</f>
        <v>200982</v>
      </c>
      <c r="G170" t="s">
        <v>11</v>
      </c>
      <c r="H170" t="str">
        <f t="shared" si="4"/>
        <v>NAVERbettersound</v>
      </c>
      <c r="I170" t="str">
        <f>"bettersound"</f>
        <v>bettersound</v>
      </c>
      <c r="J170">
        <v>67370</v>
      </c>
      <c r="K170" s="1">
        <v>44866</v>
      </c>
      <c r="L170" t="s">
        <v>239</v>
      </c>
      <c r="M170">
        <f t="shared" si="5"/>
        <v>67370</v>
      </c>
      <c r="N170" t="e">
        <f>VLOOKUP(H170,Sheet1!G:H,2,FALSE)</f>
        <v>#N/A</v>
      </c>
      <c r="R170" t="s">
        <v>2094</v>
      </c>
      <c r="S170">
        <v>0</v>
      </c>
    </row>
    <row r="171" spans="1:19" x14ac:dyDescent="0.3">
      <c r="A171" t="s">
        <v>41</v>
      </c>
      <c r="B171">
        <f>VLOOKUP(A171,Sheet2!B:F,5,FALSE)</f>
        <v>926</v>
      </c>
      <c r="C171" t="s">
        <v>56</v>
      </c>
      <c r="D171">
        <f>VLOOKUP(C171,Sheet2!C:G,5,FALSE)</f>
        <v>1207</v>
      </c>
      <c r="E171" t="s">
        <v>57</v>
      </c>
      <c r="F171">
        <f>VLOOKUP(E171,Sheet2!D:E,2,FALSE)</f>
        <v>200982</v>
      </c>
      <c r="G171" t="s">
        <v>11</v>
      </c>
      <c r="H171" t="str">
        <f t="shared" si="4"/>
        <v>NAVERbfline</v>
      </c>
      <c r="I171" t="str">
        <f>"bfline"</f>
        <v>bfline</v>
      </c>
      <c r="J171">
        <v>36390</v>
      </c>
      <c r="K171" s="1">
        <v>44866</v>
      </c>
      <c r="L171" t="s">
        <v>240</v>
      </c>
      <c r="M171">
        <f t="shared" si="5"/>
        <v>36390</v>
      </c>
      <c r="N171" t="e">
        <f>VLOOKUP(H171,Sheet1!G:H,2,FALSE)</f>
        <v>#N/A</v>
      </c>
      <c r="R171" t="s">
        <v>2095</v>
      </c>
      <c r="S171">
        <v>170000</v>
      </c>
    </row>
    <row r="172" spans="1:19" x14ac:dyDescent="0.3">
      <c r="A172" t="s">
        <v>8</v>
      </c>
      <c r="B172">
        <f>VLOOKUP(A172,Sheet2!B:F,5,FALSE)</f>
        <v>928</v>
      </c>
      <c r="C172" t="s">
        <v>9</v>
      </c>
      <c r="D172">
        <f>VLOOKUP(C172,Sheet2!C:G,5,FALSE)</f>
        <v>1202</v>
      </c>
      <c r="E172" t="s">
        <v>39</v>
      </c>
      <c r="F172">
        <f>VLOOKUP(E172,Sheet2!D:E,2,FALSE)</f>
        <v>25</v>
      </c>
      <c r="G172" t="s">
        <v>11</v>
      </c>
      <c r="H172" t="str">
        <f t="shared" si="4"/>
        <v>NAVERbg_angel</v>
      </c>
      <c r="I172" t="str">
        <f>"bg_angel"</f>
        <v>bg_angel</v>
      </c>
      <c r="J172">
        <v>152130</v>
      </c>
      <c r="K172" s="1">
        <v>44866</v>
      </c>
      <c r="L172" t="s">
        <v>241</v>
      </c>
      <c r="M172">
        <f t="shared" si="5"/>
        <v>152130</v>
      </c>
      <c r="N172" t="e">
        <f>VLOOKUP(H172,Sheet1!G:H,2,FALSE)</f>
        <v>#N/A</v>
      </c>
      <c r="R172" t="s">
        <v>2096</v>
      </c>
      <c r="S172">
        <v>460570</v>
      </c>
    </row>
    <row r="173" spans="1:19" x14ac:dyDescent="0.3">
      <c r="A173" t="s">
        <v>41</v>
      </c>
      <c r="B173">
        <f>VLOOKUP(A173,Sheet2!B:F,5,FALSE)</f>
        <v>926</v>
      </c>
      <c r="C173" t="s">
        <v>42</v>
      </c>
      <c r="D173">
        <f>VLOOKUP(C173,Sheet2!C:G,5,FALSE)</f>
        <v>964</v>
      </c>
      <c r="E173" t="s">
        <v>43</v>
      </c>
      <c r="F173">
        <f>VLOOKUP(E173,Sheet2!D:E,2,FALSE)</f>
        <v>200998</v>
      </c>
      <c r="G173" t="s">
        <v>11</v>
      </c>
      <c r="H173" t="str">
        <f t="shared" si="4"/>
        <v>NAVERbh1472</v>
      </c>
      <c r="I173" t="str">
        <f>"bh1472"</f>
        <v>bh1472</v>
      </c>
      <c r="J173">
        <v>1870</v>
      </c>
      <c r="K173" s="1">
        <v>44866</v>
      </c>
      <c r="L173" t="s">
        <v>242</v>
      </c>
      <c r="M173">
        <f t="shared" si="5"/>
        <v>1870</v>
      </c>
      <c r="N173" t="e">
        <f>VLOOKUP(H173,Sheet1!G:H,2,FALSE)</f>
        <v>#N/A</v>
      </c>
      <c r="R173" t="s">
        <v>2097</v>
      </c>
      <c r="S173">
        <v>26750</v>
      </c>
    </row>
    <row r="174" spans="1:19" x14ac:dyDescent="0.3">
      <c r="A174" t="s">
        <v>8</v>
      </c>
      <c r="B174">
        <f>VLOOKUP(A174,Sheet2!B:F,5,FALSE)</f>
        <v>928</v>
      </c>
      <c r="C174" t="s">
        <v>9</v>
      </c>
      <c r="D174">
        <f>VLOOKUP(C174,Sheet2!C:G,5,FALSE)</f>
        <v>1202</v>
      </c>
      <c r="E174" t="s">
        <v>31</v>
      </c>
      <c r="F174">
        <f>VLOOKUP(E174,Sheet2!D:E,2,FALSE)</f>
        <v>1040</v>
      </c>
      <c r="G174" t="s">
        <v>11</v>
      </c>
      <c r="H174" t="str">
        <f t="shared" si="4"/>
        <v>NAVERbi9000</v>
      </c>
      <c r="I174" t="str">
        <f>"bi9000"</f>
        <v>bi9000</v>
      </c>
      <c r="J174">
        <v>191140</v>
      </c>
      <c r="K174" s="1">
        <v>44866</v>
      </c>
      <c r="L174" t="s">
        <v>243</v>
      </c>
      <c r="M174">
        <f t="shared" si="5"/>
        <v>191300</v>
      </c>
      <c r="N174" t="e">
        <f>VLOOKUP(H174,Sheet1!G:H,2,FALSE)</f>
        <v>#N/A</v>
      </c>
      <c r="R174" t="s">
        <v>2098</v>
      </c>
      <c r="S174">
        <v>13500</v>
      </c>
    </row>
    <row r="175" spans="1:19" x14ac:dyDescent="0.3">
      <c r="A175" t="s">
        <v>16</v>
      </c>
      <c r="B175">
        <f>VLOOKUP(A175,Sheet2!B:F,5,FALSE)</f>
        <v>927</v>
      </c>
      <c r="C175" t="s">
        <v>17</v>
      </c>
      <c r="D175">
        <f>VLOOKUP(C175,Sheet2!C:G,5,FALSE)</f>
        <v>1200</v>
      </c>
      <c r="E175" t="s">
        <v>244</v>
      </c>
      <c r="F175">
        <f>VLOOKUP(E175,Sheet2!D:E,2,FALSE)</f>
        <v>817</v>
      </c>
      <c r="G175" t="s">
        <v>11</v>
      </c>
      <c r="H175" t="str">
        <f t="shared" si="4"/>
        <v>NAVERbidet100:naver</v>
      </c>
      <c r="I175" t="str">
        <f>"bidet100:naver"</f>
        <v>bidet100:naver</v>
      </c>
      <c r="J175">
        <v>122990</v>
      </c>
      <c r="K175" s="1">
        <v>44866</v>
      </c>
      <c r="L175" t="s">
        <v>245</v>
      </c>
      <c r="M175">
        <f t="shared" si="5"/>
        <v>122990</v>
      </c>
      <c r="N175" t="e">
        <f>VLOOKUP(H175,Sheet1!G:H,2,FALSE)</f>
        <v>#N/A</v>
      </c>
      <c r="R175" t="s">
        <v>2099</v>
      </c>
      <c r="S175">
        <v>1152050</v>
      </c>
    </row>
    <row r="176" spans="1:19" x14ac:dyDescent="0.3">
      <c r="A176" t="s">
        <v>16</v>
      </c>
      <c r="B176">
        <f>VLOOKUP(A176,Sheet2!B:F,5,FALSE)</f>
        <v>927</v>
      </c>
      <c r="C176" t="s">
        <v>17</v>
      </c>
      <c r="D176">
        <f>VLOOKUP(C176,Sheet2!C:G,5,FALSE)</f>
        <v>1200</v>
      </c>
      <c r="E176" t="s">
        <v>78</v>
      </c>
      <c r="F176">
        <f>VLOOKUP(E176,Sheet2!D:E,2,FALSE)</f>
        <v>57</v>
      </c>
      <c r="G176" t="s">
        <v>11</v>
      </c>
      <c r="H176" t="str">
        <f t="shared" si="4"/>
        <v>NAVERbigact:naver</v>
      </c>
      <c r="I176" t="str">
        <f>"bigact:naver"</f>
        <v>bigact:naver</v>
      </c>
      <c r="J176">
        <v>27440</v>
      </c>
      <c r="K176" s="1">
        <v>44866</v>
      </c>
      <c r="L176" t="s">
        <v>246</v>
      </c>
      <c r="M176">
        <f t="shared" si="5"/>
        <v>27440</v>
      </c>
      <c r="N176" t="e">
        <f>VLOOKUP(H176,Sheet1!G:H,2,FALSE)</f>
        <v>#N/A</v>
      </c>
      <c r="R176" t="s">
        <v>2100</v>
      </c>
      <c r="S176">
        <v>455920</v>
      </c>
    </row>
    <row r="177" spans="1:19" x14ac:dyDescent="0.3">
      <c r="A177" t="s">
        <v>8</v>
      </c>
      <c r="B177">
        <f>VLOOKUP(A177,Sheet2!B:F,5,FALSE)</f>
        <v>928</v>
      </c>
      <c r="C177" t="s">
        <v>13</v>
      </c>
      <c r="D177">
        <f>VLOOKUP(C177,Sheet2!C:G,5,FALSE)</f>
        <v>1184</v>
      </c>
      <c r="E177" t="s">
        <v>51</v>
      </c>
      <c r="F177">
        <f>VLOOKUP(E177,Sheet2!D:E,2,FALSE)</f>
        <v>1274</v>
      </c>
      <c r="G177" t="s">
        <v>11</v>
      </c>
      <c r="H177" t="str">
        <f t="shared" si="4"/>
        <v>NAVERbisdda</v>
      </c>
      <c r="I177" t="str">
        <f>"bisdda"</f>
        <v>bisdda</v>
      </c>
      <c r="J177">
        <v>6960</v>
      </c>
      <c r="K177" s="1">
        <v>44866</v>
      </c>
      <c r="L177" t="s">
        <v>247</v>
      </c>
      <c r="M177">
        <f t="shared" si="5"/>
        <v>6960</v>
      </c>
      <c r="N177" t="e">
        <f>VLOOKUP(H177,Sheet1!G:H,2,FALSE)</f>
        <v>#N/A</v>
      </c>
      <c r="R177" t="s">
        <v>2101</v>
      </c>
      <c r="S177">
        <v>127920</v>
      </c>
    </row>
    <row r="178" spans="1:19" x14ac:dyDescent="0.3">
      <c r="A178" t="s">
        <v>8</v>
      </c>
      <c r="B178">
        <f>VLOOKUP(A178,Sheet2!B:F,5,FALSE)</f>
        <v>928</v>
      </c>
      <c r="C178" t="s">
        <v>9</v>
      </c>
      <c r="D178">
        <f>VLOOKUP(C178,Sheet2!C:G,5,FALSE)</f>
        <v>1202</v>
      </c>
      <c r="E178" t="s">
        <v>45</v>
      </c>
      <c r="F178">
        <f>VLOOKUP(E178,Sheet2!D:E,2,FALSE)</f>
        <v>26</v>
      </c>
      <c r="G178" t="s">
        <v>11</v>
      </c>
      <c r="H178" t="str">
        <f t="shared" si="4"/>
        <v>NAVERbkt9930</v>
      </c>
      <c r="I178" t="str">
        <f>"bkt9930"</f>
        <v>bkt9930</v>
      </c>
      <c r="J178">
        <v>311010</v>
      </c>
      <c r="K178" s="1">
        <v>44866</v>
      </c>
      <c r="L178" t="s">
        <v>248</v>
      </c>
      <c r="M178">
        <f t="shared" si="5"/>
        <v>311010</v>
      </c>
      <c r="N178" t="e">
        <f>VLOOKUP(H178,Sheet1!G:H,2,FALSE)</f>
        <v>#N/A</v>
      </c>
      <c r="R178" t="s">
        <v>2102</v>
      </c>
      <c r="S178">
        <v>725150</v>
      </c>
    </row>
    <row r="179" spans="1:19" x14ac:dyDescent="0.3">
      <c r="A179" t="s">
        <v>8</v>
      </c>
      <c r="B179">
        <f>VLOOKUP(A179,Sheet2!B:F,5,FALSE)</f>
        <v>928</v>
      </c>
      <c r="C179" t="s">
        <v>9</v>
      </c>
      <c r="D179">
        <f>VLOOKUP(C179,Sheet2!C:G,5,FALSE)</f>
        <v>1202</v>
      </c>
      <c r="E179" t="s">
        <v>27</v>
      </c>
      <c r="F179">
        <f>VLOOKUP(E179,Sheet2!D:E,2,FALSE)</f>
        <v>806</v>
      </c>
      <c r="G179" t="s">
        <v>11</v>
      </c>
      <c r="H179" t="str">
        <f t="shared" si="4"/>
        <v>NAVERblingblingphone:naver</v>
      </c>
      <c r="I179" t="str">
        <f>"blingblingphone:naver"</f>
        <v>blingblingphone:naver</v>
      </c>
      <c r="J179">
        <v>119480</v>
      </c>
      <c r="K179" s="1">
        <v>44866</v>
      </c>
      <c r="L179" t="s">
        <v>249</v>
      </c>
      <c r="M179">
        <f t="shared" si="5"/>
        <v>194520</v>
      </c>
      <c r="N179" t="e">
        <f>VLOOKUP(H179,Sheet1!G:H,2,FALSE)</f>
        <v>#N/A</v>
      </c>
      <c r="R179" t="s">
        <v>2103</v>
      </c>
      <c r="S179">
        <v>5265710</v>
      </c>
    </row>
    <row r="180" spans="1:19" x14ac:dyDescent="0.3">
      <c r="A180" t="s">
        <v>8</v>
      </c>
      <c r="B180">
        <f>VLOOKUP(A180,Sheet2!B:F,5,FALSE)</f>
        <v>928</v>
      </c>
      <c r="C180" t="s">
        <v>13</v>
      </c>
      <c r="D180">
        <f>VLOOKUP(C180,Sheet2!C:G,5,FALSE)</f>
        <v>1184</v>
      </c>
      <c r="E180" t="s">
        <v>14</v>
      </c>
      <c r="F180">
        <f>VLOOKUP(E180,Sheet2!D:E,2,FALSE)</f>
        <v>914</v>
      </c>
      <c r="G180" t="s">
        <v>11</v>
      </c>
      <c r="H180" t="str">
        <f t="shared" si="4"/>
        <v>NAVERblisscoffee</v>
      </c>
      <c r="I180" t="str">
        <f>"blisscoffee"</f>
        <v>blisscoffee</v>
      </c>
      <c r="J180">
        <v>785600</v>
      </c>
      <c r="K180" s="1">
        <v>44866</v>
      </c>
      <c r="L180" t="s">
        <v>250</v>
      </c>
      <c r="M180">
        <f t="shared" si="5"/>
        <v>785600</v>
      </c>
      <c r="N180" t="e">
        <f>VLOOKUP(H180,Sheet1!G:H,2,FALSE)</f>
        <v>#N/A</v>
      </c>
      <c r="R180" t="s">
        <v>2104</v>
      </c>
      <c r="S180">
        <v>10560</v>
      </c>
    </row>
    <row r="181" spans="1:19" x14ac:dyDescent="0.3">
      <c r="A181" t="s">
        <v>16</v>
      </c>
      <c r="B181">
        <f>VLOOKUP(A181,Sheet2!B:F,5,FALSE)</f>
        <v>927</v>
      </c>
      <c r="C181" t="s">
        <v>17</v>
      </c>
      <c r="D181">
        <f>VLOOKUP(C181,Sheet2!C:G,5,FALSE)</f>
        <v>1200</v>
      </c>
      <c r="E181" t="s">
        <v>66</v>
      </c>
      <c r="F181">
        <f>VLOOKUP(E181,Sheet2!D:E,2,FALSE)</f>
        <v>33</v>
      </c>
      <c r="G181" t="s">
        <v>11</v>
      </c>
      <c r="H181" t="str">
        <f t="shared" si="4"/>
        <v>NAVERblleiad:naver</v>
      </c>
      <c r="I181" t="str">
        <f>"blleiad:naver"</f>
        <v>blleiad:naver</v>
      </c>
      <c r="J181">
        <v>412720</v>
      </c>
      <c r="K181" s="1">
        <v>44866</v>
      </c>
      <c r="L181" t="s">
        <v>251</v>
      </c>
      <c r="M181">
        <f t="shared" si="5"/>
        <v>412720</v>
      </c>
      <c r="N181" t="e">
        <f>VLOOKUP(H181,Sheet1!G:H,2,FALSE)</f>
        <v>#N/A</v>
      </c>
      <c r="R181" t="s">
        <v>2105</v>
      </c>
      <c r="S181">
        <v>6125200</v>
      </c>
    </row>
    <row r="182" spans="1:19" x14ac:dyDescent="0.3">
      <c r="A182" t="s">
        <v>16</v>
      </c>
      <c r="B182">
        <f>VLOOKUP(A182,Sheet2!B:F,5,FALSE)</f>
        <v>927</v>
      </c>
      <c r="C182" t="s">
        <v>17</v>
      </c>
      <c r="D182">
        <f>VLOOKUP(C182,Sheet2!C:G,5,FALSE)</f>
        <v>1200</v>
      </c>
      <c r="E182" t="s">
        <v>78</v>
      </c>
      <c r="F182">
        <f>VLOOKUP(E182,Sheet2!D:E,2,FALSE)</f>
        <v>57</v>
      </c>
      <c r="G182" t="s">
        <v>11</v>
      </c>
      <c r="H182" t="str">
        <f t="shared" si="4"/>
        <v>NAVERbloster</v>
      </c>
      <c r="I182" t="str">
        <f>"bloster"</f>
        <v>bloster</v>
      </c>
      <c r="J182">
        <v>7153940</v>
      </c>
      <c r="K182" s="1">
        <v>44866</v>
      </c>
      <c r="L182" t="s">
        <v>252</v>
      </c>
      <c r="M182">
        <f t="shared" si="5"/>
        <v>7147200</v>
      </c>
      <c r="N182" t="e">
        <f>VLOOKUP(H182,Sheet1!G:H,2,FALSE)</f>
        <v>#N/A</v>
      </c>
      <c r="R182" t="s">
        <v>2106</v>
      </c>
      <c r="S182">
        <v>127580</v>
      </c>
    </row>
    <row r="183" spans="1:19" x14ac:dyDescent="0.3">
      <c r="A183" t="s">
        <v>41</v>
      </c>
      <c r="B183">
        <f>VLOOKUP(A183,Sheet2!B:F,5,FALSE)</f>
        <v>926</v>
      </c>
      <c r="C183" t="s">
        <v>56</v>
      </c>
      <c r="D183">
        <f>VLOOKUP(C183,Sheet2!C:G,5,FALSE)</f>
        <v>1207</v>
      </c>
      <c r="E183" t="s">
        <v>253</v>
      </c>
      <c r="F183">
        <f>VLOOKUP(E183,Sheet2!D:E,2,FALSE)</f>
        <v>1328</v>
      </c>
      <c r="G183" t="s">
        <v>11</v>
      </c>
      <c r="H183" t="str">
        <f t="shared" si="4"/>
        <v>NAVERbluein</v>
      </c>
      <c r="I183" t="str">
        <f>"bluein"</f>
        <v>bluein</v>
      </c>
      <c r="J183">
        <v>1520600</v>
      </c>
      <c r="K183" s="1">
        <v>44866</v>
      </c>
      <c r="L183" t="s">
        <v>254</v>
      </c>
      <c r="M183">
        <f t="shared" si="5"/>
        <v>1520600</v>
      </c>
      <c r="N183" t="e">
        <f>VLOOKUP(H183,Sheet1!G:H,2,FALSE)</f>
        <v>#N/A</v>
      </c>
      <c r="R183" t="s">
        <v>2107</v>
      </c>
      <c r="S183">
        <v>17520</v>
      </c>
    </row>
    <row r="184" spans="1:19" x14ac:dyDescent="0.3">
      <c r="A184" t="s">
        <v>16</v>
      </c>
      <c r="B184">
        <f>VLOOKUP(A184,Sheet2!B:F,5,FALSE)</f>
        <v>927</v>
      </c>
      <c r="C184" t="s">
        <v>17</v>
      </c>
      <c r="D184">
        <f>VLOOKUP(C184,Sheet2!C:G,5,FALSE)</f>
        <v>1200</v>
      </c>
      <c r="E184" t="s">
        <v>66</v>
      </c>
      <c r="F184">
        <f>VLOOKUP(E184,Sheet2!D:E,2,FALSE)</f>
        <v>33</v>
      </c>
      <c r="G184" t="s">
        <v>11</v>
      </c>
      <c r="H184" t="str">
        <f t="shared" si="4"/>
        <v>NAVERbluetium:naver</v>
      </c>
      <c r="I184" t="str">
        <f>"bluetium:naver"</f>
        <v>bluetium:naver</v>
      </c>
      <c r="J184">
        <v>273790</v>
      </c>
      <c r="K184" s="1">
        <v>44866</v>
      </c>
      <c r="L184" t="s">
        <v>255</v>
      </c>
      <c r="M184">
        <f t="shared" si="5"/>
        <v>273790</v>
      </c>
      <c r="N184" t="e">
        <f>VLOOKUP(H184,Sheet1!G:H,2,FALSE)</f>
        <v>#N/A</v>
      </c>
      <c r="R184" t="s">
        <v>2108</v>
      </c>
      <c r="S184">
        <v>229090</v>
      </c>
    </row>
    <row r="185" spans="1:19" x14ac:dyDescent="0.3">
      <c r="A185" t="s">
        <v>16</v>
      </c>
      <c r="B185">
        <f>VLOOKUP(A185,Sheet2!B:F,5,FALSE)</f>
        <v>927</v>
      </c>
      <c r="C185" t="s">
        <v>17</v>
      </c>
      <c r="D185">
        <f>VLOOKUP(C185,Sheet2!C:G,5,FALSE)</f>
        <v>1200</v>
      </c>
      <c r="E185" t="s">
        <v>244</v>
      </c>
      <c r="F185">
        <f>VLOOKUP(E185,Sheet2!D:E,2,FALSE)</f>
        <v>817</v>
      </c>
      <c r="G185" t="s">
        <v>11</v>
      </c>
      <c r="H185" t="str">
        <f t="shared" si="4"/>
        <v>NAVERbluewing3418</v>
      </c>
      <c r="I185" t="str">
        <f>"bluewing3418"</f>
        <v>bluewing3418</v>
      </c>
      <c r="J185">
        <v>3660</v>
      </c>
      <c r="K185" s="1">
        <v>44866</v>
      </c>
      <c r="L185" t="s">
        <v>256</v>
      </c>
      <c r="M185">
        <f t="shared" si="5"/>
        <v>3660</v>
      </c>
      <c r="N185" t="e">
        <f>VLOOKUP(H185,Sheet1!G:H,2,FALSE)</f>
        <v>#N/A</v>
      </c>
      <c r="R185" t="s">
        <v>2109</v>
      </c>
      <c r="S185">
        <v>5750</v>
      </c>
    </row>
    <row r="186" spans="1:19" x14ac:dyDescent="0.3">
      <c r="A186" t="s">
        <v>8</v>
      </c>
      <c r="B186">
        <f>VLOOKUP(A186,Sheet2!B:F,5,FALSE)</f>
        <v>928</v>
      </c>
      <c r="C186" t="s">
        <v>9</v>
      </c>
      <c r="D186">
        <f>VLOOKUP(C186,Sheet2!C:G,5,FALSE)</f>
        <v>1202</v>
      </c>
      <c r="E186" t="s">
        <v>20</v>
      </c>
      <c r="F186">
        <f>VLOOKUP(E186,Sheet2!D:E,2,FALSE)</f>
        <v>938</v>
      </c>
      <c r="G186" t="s">
        <v>11</v>
      </c>
      <c r="H186" t="str">
        <f t="shared" si="4"/>
        <v>NAVERbm2883</v>
      </c>
      <c r="I186" t="str">
        <f>"bm2883"</f>
        <v>bm2883</v>
      </c>
      <c r="J186">
        <v>2005500</v>
      </c>
      <c r="K186" s="1">
        <v>44866</v>
      </c>
      <c r="L186" t="s">
        <v>257</v>
      </c>
      <c r="M186">
        <f t="shared" si="5"/>
        <v>2005500</v>
      </c>
      <c r="N186" t="e">
        <f>VLOOKUP(H186,Sheet1!G:H,2,FALSE)</f>
        <v>#N/A</v>
      </c>
      <c r="R186" t="s">
        <v>2110</v>
      </c>
      <c r="S186">
        <v>2340690</v>
      </c>
    </row>
    <row r="187" spans="1:19" x14ac:dyDescent="0.3">
      <c r="A187" t="s">
        <v>8</v>
      </c>
      <c r="B187">
        <f>VLOOKUP(A187,Sheet2!B:F,5,FALSE)</f>
        <v>928</v>
      </c>
      <c r="C187" t="s">
        <v>9</v>
      </c>
      <c r="D187">
        <f>VLOOKUP(C187,Sheet2!C:G,5,FALSE)</f>
        <v>1202</v>
      </c>
      <c r="E187" t="s">
        <v>35</v>
      </c>
      <c r="F187">
        <f>VLOOKUP(E187,Sheet2!D:E,2,FALSE)</f>
        <v>51</v>
      </c>
      <c r="G187" t="s">
        <v>11</v>
      </c>
      <c r="H187" t="str">
        <f t="shared" si="4"/>
        <v>NAVERbnbpop</v>
      </c>
      <c r="I187" t="str">
        <f>"bnbpop"</f>
        <v>bnbpop</v>
      </c>
      <c r="J187">
        <v>260640</v>
      </c>
      <c r="K187" s="1">
        <v>44866</v>
      </c>
      <c r="L187" t="s">
        <v>258</v>
      </c>
      <c r="M187">
        <f t="shared" si="5"/>
        <v>260640</v>
      </c>
      <c r="N187" t="e">
        <f>VLOOKUP(H187,Sheet1!G:H,2,FALSE)</f>
        <v>#N/A</v>
      </c>
      <c r="R187" t="s">
        <v>2111</v>
      </c>
      <c r="S187">
        <v>853000</v>
      </c>
    </row>
    <row r="188" spans="1:19" x14ac:dyDescent="0.3">
      <c r="A188" t="s">
        <v>8</v>
      </c>
      <c r="B188">
        <f>VLOOKUP(A188,Sheet2!B:F,5,FALSE)</f>
        <v>928</v>
      </c>
      <c r="C188" t="s">
        <v>9</v>
      </c>
      <c r="D188">
        <f>VLOOKUP(C188,Sheet2!C:G,5,FALSE)</f>
        <v>1202</v>
      </c>
      <c r="E188" t="s">
        <v>142</v>
      </c>
      <c r="F188">
        <f>VLOOKUP(E188,Sheet2!D:E,2,FALSE)</f>
        <v>652</v>
      </c>
      <c r="G188" t="s">
        <v>11</v>
      </c>
      <c r="H188" t="str">
        <f t="shared" si="4"/>
        <v>NAVERbns0506</v>
      </c>
      <c r="I188" t="str">
        <f>"bns0506"</f>
        <v>bns0506</v>
      </c>
      <c r="J188">
        <v>420</v>
      </c>
      <c r="K188" s="1">
        <v>44866</v>
      </c>
      <c r="L188" t="s">
        <v>259</v>
      </c>
      <c r="M188">
        <f t="shared" si="5"/>
        <v>420</v>
      </c>
      <c r="N188" t="e">
        <f>VLOOKUP(H188,Sheet1!G:H,2,FALSE)</f>
        <v>#N/A</v>
      </c>
      <c r="R188" t="s">
        <v>2112</v>
      </c>
      <c r="S188">
        <v>288720</v>
      </c>
    </row>
    <row r="189" spans="1:19" x14ac:dyDescent="0.3">
      <c r="A189" t="s">
        <v>16</v>
      </c>
      <c r="B189">
        <f>VLOOKUP(A189,Sheet2!B:F,5,FALSE)</f>
        <v>927</v>
      </c>
      <c r="C189" t="s">
        <v>17</v>
      </c>
      <c r="D189">
        <f>VLOOKUP(C189,Sheet2!C:G,5,FALSE)</f>
        <v>1200</v>
      </c>
      <c r="E189" t="s">
        <v>78</v>
      </c>
      <c r="F189">
        <f>VLOOKUP(E189,Sheet2!D:E,2,FALSE)</f>
        <v>57</v>
      </c>
      <c r="G189" t="s">
        <v>11</v>
      </c>
      <c r="H189" t="str">
        <f t="shared" si="4"/>
        <v>NAVERboasmall</v>
      </c>
      <c r="I189" t="str">
        <f>"boasmall"</f>
        <v>boasmall</v>
      </c>
      <c r="J189">
        <v>243860</v>
      </c>
      <c r="K189" s="1">
        <v>44866</v>
      </c>
      <c r="L189" t="s">
        <v>260</v>
      </c>
      <c r="M189">
        <f t="shared" si="5"/>
        <v>243860</v>
      </c>
      <c r="N189" t="e">
        <f>VLOOKUP(H189,Sheet1!G:H,2,FALSE)</f>
        <v>#N/A</v>
      </c>
      <c r="R189" t="s">
        <v>2113</v>
      </c>
      <c r="S189">
        <v>758240</v>
      </c>
    </row>
    <row r="190" spans="1:19" x14ac:dyDescent="0.3">
      <c r="A190" t="s">
        <v>41</v>
      </c>
      <c r="B190">
        <f>VLOOKUP(A190,Sheet2!B:F,5,FALSE)</f>
        <v>926</v>
      </c>
      <c r="C190" t="s">
        <v>56</v>
      </c>
      <c r="D190">
        <f>VLOOKUP(C190,Sheet2!C:G,5,FALSE)</f>
        <v>1207</v>
      </c>
      <c r="E190" t="s">
        <v>64</v>
      </c>
      <c r="F190">
        <f>VLOOKUP(E190,Sheet2!D:E,2,FALSE)</f>
        <v>201011</v>
      </c>
      <c r="G190" t="s">
        <v>11</v>
      </c>
      <c r="H190" t="str">
        <f t="shared" si="4"/>
        <v>NAVERbobox88</v>
      </c>
      <c r="I190" t="str">
        <f>"bobox88"</f>
        <v>bobox88</v>
      </c>
      <c r="J190">
        <v>249420</v>
      </c>
      <c r="K190" s="1">
        <v>44866</v>
      </c>
      <c r="L190" t="s">
        <v>261</v>
      </c>
      <c r="M190">
        <f t="shared" si="5"/>
        <v>249420</v>
      </c>
      <c r="N190" t="str">
        <f>VLOOKUP(H190,Sheet1!G:H,2,FALSE)</f>
        <v>80살 되신 어르신이라 혼자서 불가능함 , 아들이 가끔 관리해주었는데 아들이 외국가서 현재 아예 연락두절</v>
      </c>
      <c r="R190" t="s">
        <v>2114</v>
      </c>
      <c r="S190">
        <v>181290</v>
      </c>
    </row>
    <row r="191" spans="1:19" x14ac:dyDescent="0.3">
      <c r="A191" t="s">
        <v>16</v>
      </c>
      <c r="B191">
        <f>VLOOKUP(A191,Sheet2!B:F,5,FALSE)</f>
        <v>927</v>
      </c>
      <c r="C191" t="s">
        <v>17</v>
      </c>
      <c r="D191">
        <f>VLOOKUP(C191,Sheet2!C:G,5,FALSE)</f>
        <v>1200</v>
      </c>
      <c r="E191" t="s">
        <v>262</v>
      </c>
      <c r="F191">
        <f>VLOOKUP(E191,Sheet2!D:E,2,FALSE)</f>
        <v>1594</v>
      </c>
      <c r="G191" t="s">
        <v>11</v>
      </c>
      <c r="H191" t="str">
        <f t="shared" si="4"/>
        <v>NAVERbodeumshop:naver</v>
      </c>
      <c r="I191" t="str">
        <f>"bodeumshop:naver"</f>
        <v>bodeumshop:naver</v>
      </c>
      <c r="J191">
        <v>10275310</v>
      </c>
      <c r="K191" s="1">
        <v>44866</v>
      </c>
      <c r="L191" t="s">
        <v>263</v>
      </c>
      <c r="M191">
        <f t="shared" si="5"/>
        <v>10275310</v>
      </c>
      <c r="N191" t="e">
        <f>VLOOKUP(H191,Sheet1!G:H,2,FALSE)</f>
        <v>#N/A</v>
      </c>
      <c r="R191" t="s">
        <v>2115</v>
      </c>
      <c r="S191">
        <v>954070</v>
      </c>
    </row>
    <row r="192" spans="1:19" x14ac:dyDescent="0.3">
      <c r="A192" t="s">
        <v>22</v>
      </c>
      <c r="B192">
        <f>VLOOKUP(A192,Sheet2!B:F,5,FALSE)</f>
        <v>809</v>
      </c>
      <c r="C192" t="s">
        <v>23</v>
      </c>
      <c r="D192">
        <f>VLOOKUP(C192,Sheet2!C:G,5,FALSE)</f>
        <v>810</v>
      </c>
      <c r="E192" t="s">
        <v>106</v>
      </c>
      <c r="F192">
        <f>VLOOKUP(E192,Sheet2!D:E,2,FALSE)</f>
        <v>1349</v>
      </c>
      <c r="G192" t="s">
        <v>11</v>
      </c>
      <c r="H192" t="str">
        <f t="shared" si="4"/>
        <v>NAVERboggo84</v>
      </c>
      <c r="I192" t="str">
        <f>"boggo84"</f>
        <v>boggo84</v>
      </c>
      <c r="J192">
        <v>980300</v>
      </c>
      <c r="K192" s="1">
        <v>44866</v>
      </c>
      <c r="L192" t="s">
        <v>264</v>
      </c>
      <c r="M192">
        <f t="shared" si="5"/>
        <v>980300</v>
      </c>
      <c r="N192" t="e">
        <f>VLOOKUP(H192,Sheet1!G:H,2,FALSE)</f>
        <v>#N/A</v>
      </c>
      <c r="R192" t="s">
        <v>2116</v>
      </c>
      <c r="S192">
        <v>5338610</v>
      </c>
    </row>
    <row r="193" spans="1:19" x14ac:dyDescent="0.3">
      <c r="A193" t="s">
        <v>8</v>
      </c>
      <c r="B193">
        <f>VLOOKUP(A193,Sheet2!B:F,5,FALSE)</f>
        <v>928</v>
      </c>
      <c r="C193" t="s">
        <v>13</v>
      </c>
      <c r="D193">
        <f>VLOOKUP(C193,Sheet2!C:G,5,FALSE)</f>
        <v>1184</v>
      </c>
      <c r="E193" t="s">
        <v>14</v>
      </c>
      <c r="F193">
        <f>VLOOKUP(E193,Sheet2!D:E,2,FALSE)</f>
        <v>914</v>
      </c>
      <c r="G193" t="s">
        <v>11</v>
      </c>
      <c r="H193" t="str">
        <f t="shared" si="4"/>
        <v>NAVERbogoimage</v>
      </c>
      <c r="I193" t="str">
        <f>"bogoimage"</f>
        <v>bogoimage</v>
      </c>
      <c r="J193">
        <v>78810</v>
      </c>
      <c r="K193" s="1">
        <v>44866</v>
      </c>
      <c r="L193" t="s">
        <v>265</v>
      </c>
      <c r="M193">
        <f t="shared" si="5"/>
        <v>78810</v>
      </c>
      <c r="N193" t="e">
        <f>VLOOKUP(H193,Sheet1!G:H,2,FALSE)</f>
        <v>#N/A</v>
      </c>
      <c r="R193" t="s">
        <v>2117</v>
      </c>
      <c r="S193">
        <v>98580</v>
      </c>
    </row>
    <row r="194" spans="1:19" x14ac:dyDescent="0.3">
      <c r="A194" t="s">
        <v>41</v>
      </c>
      <c r="B194">
        <f>VLOOKUP(A194,Sheet2!B:F,5,FALSE)</f>
        <v>926</v>
      </c>
      <c r="C194" t="s">
        <v>56</v>
      </c>
      <c r="D194">
        <f>VLOOKUP(C194,Sheet2!C:G,5,FALSE)</f>
        <v>1207</v>
      </c>
      <c r="E194" t="s">
        <v>253</v>
      </c>
      <c r="F194">
        <f>VLOOKUP(E194,Sheet2!D:E,2,FALSE)</f>
        <v>1328</v>
      </c>
      <c r="G194" t="s">
        <v>11</v>
      </c>
      <c r="H194" t="str">
        <f t="shared" si="4"/>
        <v>NAVERbohyun2955</v>
      </c>
      <c r="I194" t="str">
        <f>"bohyun2955"</f>
        <v>bohyun2955</v>
      </c>
      <c r="J194">
        <v>13726780</v>
      </c>
      <c r="K194" s="1">
        <v>44866</v>
      </c>
      <c r="L194" t="s">
        <v>266</v>
      </c>
      <c r="M194">
        <f t="shared" si="5"/>
        <v>13726780</v>
      </c>
      <c r="N194" t="e">
        <f>VLOOKUP(H194,Sheet1!G:H,2,FALSE)</f>
        <v>#N/A</v>
      </c>
      <c r="R194" t="s">
        <v>2118</v>
      </c>
      <c r="S194">
        <v>362670</v>
      </c>
    </row>
    <row r="195" spans="1:19" x14ac:dyDescent="0.3">
      <c r="A195" t="s">
        <v>8</v>
      </c>
      <c r="B195">
        <f>VLOOKUP(A195,Sheet2!B:F,5,FALSE)</f>
        <v>928</v>
      </c>
      <c r="C195" t="s">
        <v>9</v>
      </c>
      <c r="D195">
        <f>VLOOKUP(C195,Sheet2!C:G,5,FALSE)</f>
        <v>1202</v>
      </c>
      <c r="E195" t="s">
        <v>110</v>
      </c>
      <c r="F195">
        <f>VLOOKUP(E195,Sheet2!D:E,2,FALSE)</f>
        <v>929</v>
      </c>
      <c r="G195" t="s">
        <v>11</v>
      </c>
      <c r="H195" t="str">
        <f t="shared" ref="H195:H258" si="6">CONCATENATE(G195,I195)</f>
        <v>NAVERbomgagejang</v>
      </c>
      <c r="I195" t="str">
        <f>"bomgagejang"</f>
        <v>bomgagejang</v>
      </c>
      <c r="J195">
        <v>140467</v>
      </c>
      <c r="K195" s="1">
        <v>44866</v>
      </c>
      <c r="L195" t="s">
        <v>267</v>
      </c>
      <c r="M195">
        <f t="shared" ref="M195:M258" si="7">VLOOKUP(H195,R:S,2,FALSE)</f>
        <v>211370</v>
      </c>
      <c r="N195" t="e">
        <f>VLOOKUP(H195,Sheet1!G:H,2,FALSE)</f>
        <v>#N/A</v>
      </c>
      <c r="R195" t="s">
        <v>2119</v>
      </c>
      <c r="S195">
        <v>29290</v>
      </c>
    </row>
    <row r="196" spans="1:19" x14ac:dyDescent="0.3">
      <c r="A196" t="s">
        <v>8</v>
      </c>
      <c r="B196">
        <f>VLOOKUP(A196,Sheet2!B:F,5,FALSE)</f>
        <v>928</v>
      </c>
      <c r="C196" t="s">
        <v>9</v>
      </c>
      <c r="D196">
        <f>VLOOKUP(C196,Sheet2!C:G,5,FALSE)</f>
        <v>1202</v>
      </c>
      <c r="E196" t="s">
        <v>73</v>
      </c>
      <c r="F196">
        <f>VLOOKUP(E196,Sheet2!D:E,2,FALSE)</f>
        <v>895</v>
      </c>
      <c r="G196" t="s">
        <v>11</v>
      </c>
      <c r="H196" t="str">
        <f t="shared" si="6"/>
        <v>NAVERbong9381</v>
      </c>
      <c r="I196" t="str">
        <f>"bong9381"</f>
        <v>bong9381</v>
      </c>
      <c r="J196">
        <v>31550</v>
      </c>
      <c r="K196" s="1">
        <v>44866</v>
      </c>
      <c r="L196" t="s">
        <v>268</v>
      </c>
      <c r="M196">
        <f t="shared" si="7"/>
        <v>31550</v>
      </c>
      <c r="N196" t="e">
        <f>VLOOKUP(H196,Sheet1!G:H,2,FALSE)</f>
        <v>#N/A</v>
      </c>
      <c r="R196" t="s">
        <v>2120</v>
      </c>
      <c r="S196">
        <v>503620</v>
      </c>
    </row>
    <row r="197" spans="1:19" x14ac:dyDescent="0.3">
      <c r="A197" t="s">
        <v>8</v>
      </c>
      <c r="B197">
        <f>VLOOKUP(A197,Sheet2!B:F,5,FALSE)</f>
        <v>928</v>
      </c>
      <c r="C197" t="s">
        <v>223</v>
      </c>
      <c r="D197">
        <f>VLOOKUP(C197,Sheet2!C:G,5,FALSE)</f>
        <v>966</v>
      </c>
      <c r="E197" t="s">
        <v>269</v>
      </c>
      <c r="F197">
        <f>VLOOKUP(E197,Sheet2!D:E,2,FALSE)</f>
        <v>201031</v>
      </c>
      <c r="G197" t="s">
        <v>11</v>
      </c>
      <c r="H197" t="str">
        <f t="shared" si="6"/>
        <v>NAVERboohgle</v>
      </c>
      <c r="I197" t="str">
        <f>"boohgle"</f>
        <v>boohgle</v>
      </c>
      <c r="J197">
        <v>15973269</v>
      </c>
      <c r="K197" s="1">
        <v>44866</v>
      </c>
      <c r="L197" t="s">
        <v>270</v>
      </c>
      <c r="M197">
        <f t="shared" si="7"/>
        <v>14199950</v>
      </c>
      <c r="N197" t="e">
        <f>VLOOKUP(H197,Sheet1!G:H,2,FALSE)</f>
        <v>#N/A</v>
      </c>
      <c r="R197" t="s">
        <v>2121</v>
      </c>
      <c r="S197">
        <v>49910</v>
      </c>
    </row>
    <row r="198" spans="1:19" x14ac:dyDescent="0.3">
      <c r="A198" t="s">
        <v>8</v>
      </c>
      <c r="B198">
        <f>VLOOKUP(A198,Sheet2!B:F,5,FALSE)</f>
        <v>928</v>
      </c>
      <c r="C198" t="s">
        <v>9</v>
      </c>
      <c r="D198">
        <f>VLOOKUP(C198,Sheet2!C:G,5,FALSE)</f>
        <v>1202</v>
      </c>
      <c r="E198" t="s">
        <v>31</v>
      </c>
      <c r="F198">
        <f>VLOOKUP(E198,Sheet2!D:E,2,FALSE)</f>
        <v>1040</v>
      </c>
      <c r="G198" t="s">
        <v>11</v>
      </c>
      <c r="H198" t="str">
        <f t="shared" si="6"/>
        <v>NAVERboompsh2</v>
      </c>
      <c r="I198" t="str">
        <f>"boompsh2"</f>
        <v>boompsh2</v>
      </c>
      <c r="J198">
        <v>1350130</v>
      </c>
      <c r="K198" s="1">
        <v>44866</v>
      </c>
      <c r="L198" t="s">
        <v>271</v>
      </c>
      <c r="M198">
        <f t="shared" si="7"/>
        <v>1350130</v>
      </c>
      <c r="N198" t="e">
        <f>VLOOKUP(H198,Sheet1!G:H,2,FALSE)</f>
        <v>#N/A</v>
      </c>
      <c r="R198" t="s">
        <v>2122</v>
      </c>
      <c r="S198">
        <v>24782530</v>
      </c>
    </row>
    <row r="199" spans="1:19" x14ac:dyDescent="0.3">
      <c r="A199" t="s">
        <v>16</v>
      </c>
      <c r="B199">
        <f>VLOOKUP(A199,Sheet2!B:F,5,FALSE)</f>
        <v>927</v>
      </c>
      <c r="C199" t="s">
        <v>17</v>
      </c>
      <c r="D199">
        <f>VLOOKUP(C199,Sheet2!C:G,5,FALSE)</f>
        <v>1200</v>
      </c>
      <c r="E199" t="s">
        <v>96</v>
      </c>
      <c r="F199">
        <f>VLOOKUP(E199,Sheet2!D:E,2,FALSE)</f>
        <v>1271</v>
      </c>
      <c r="G199" t="s">
        <v>11</v>
      </c>
      <c r="H199" t="str">
        <f t="shared" si="6"/>
        <v>NAVERboostup19:naver</v>
      </c>
      <c r="I199" t="str">
        <f>"boostup19:naver"</f>
        <v>boostup19:naver</v>
      </c>
      <c r="J199">
        <v>909590</v>
      </c>
      <c r="K199" s="1">
        <v>44866</v>
      </c>
      <c r="L199" t="s">
        <v>272</v>
      </c>
      <c r="M199">
        <f t="shared" si="7"/>
        <v>913250</v>
      </c>
      <c r="N199" t="e">
        <f>VLOOKUP(H199,Sheet1!G:H,2,FALSE)</f>
        <v>#N/A</v>
      </c>
      <c r="R199" t="s">
        <v>2123</v>
      </c>
      <c r="S199">
        <v>8220</v>
      </c>
    </row>
    <row r="200" spans="1:19" x14ac:dyDescent="0.3">
      <c r="A200" t="s">
        <v>8</v>
      </c>
      <c r="B200">
        <f>VLOOKUP(A200,Sheet2!B:F,5,FALSE)</f>
        <v>928</v>
      </c>
      <c r="C200" t="s">
        <v>13</v>
      </c>
      <c r="D200">
        <f>VLOOKUP(C200,Sheet2!C:G,5,FALSE)</f>
        <v>1184</v>
      </c>
      <c r="E200" t="s">
        <v>51</v>
      </c>
      <c r="F200">
        <f>VLOOKUP(E200,Sheet2!D:E,2,FALSE)</f>
        <v>1274</v>
      </c>
      <c r="G200" t="s">
        <v>11</v>
      </c>
      <c r="H200" t="str">
        <f t="shared" si="6"/>
        <v>NAVERbopulcokr</v>
      </c>
      <c r="I200" t="str">
        <f>"bopulcokr"</f>
        <v>bopulcokr</v>
      </c>
      <c r="J200">
        <v>70</v>
      </c>
      <c r="K200" s="1">
        <v>44866</v>
      </c>
      <c r="L200" t="s">
        <v>273</v>
      </c>
      <c r="M200">
        <f t="shared" si="7"/>
        <v>70</v>
      </c>
      <c r="N200" t="e">
        <f>VLOOKUP(H200,Sheet1!G:H,2,FALSE)</f>
        <v>#N/A</v>
      </c>
      <c r="R200" t="s">
        <v>2124</v>
      </c>
      <c r="S200">
        <v>23110</v>
      </c>
    </row>
    <row r="201" spans="1:19" x14ac:dyDescent="0.3">
      <c r="A201" t="s">
        <v>8</v>
      </c>
      <c r="B201">
        <f>VLOOKUP(A201,Sheet2!B:F,5,FALSE)</f>
        <v>928</v>
      </c>
      <c r="C201" t="s">
        <v>9</v>
      </c>
      <c r="D201">
        <f>VLOOKUP(C201,Sheet2!C:G,5,FALSE)</f>
        <v>1202</v>
      </c>
      <c r="E201" t="s">
        <v>110</v>
      </c>
      <c r="F201">
        <f>VLOOKUP(E201,Sheet2!D:E,2,FALSE)</f>
        <v>929</v>
      </c>
      <c r="G201" t="s">
        <v>11</v>
      </c>
      <c r="H201" t="str">
        <f t="shared" si="6"/>
        <v>NAVERboram1577</v>
      </c>
      <c r="I201" t="str">
        <f>"boram1577"</f>
        <v>boram1577</v>
      </c>
      <c r="J201">
        <v>6420</v>
      </c>
      <c r="K201" s="1">
        <v>44866</v>
      </c>
      <c r="L201" t="s">
        <v>274</v>
      </c>
      <c r="M201">
        <f t="shared" si="7"/>
        <v>6420</v>
      </c>
      <c r="N201" t="e">
        <f>VLOOKUP(H201,Sheet1!G:H,2,FALSE)</f>
        <v>#N/A</v>
      </c>
      <c r="R201" t="s">
        <v>2125</v>
      </c>
      <c r="S201">
        <v>0</v>
      </c>
    </row>
    <row r="202" spans="1:19" x14ac:dyDescent="0.3">
      <c r="A202" t="s">
        <v>41</v>
      </c>
      <c r="B202">
        <f>VLOOKUP(A202,Sheet2!B:F,5,FALSE)</f>
        <v>926</v>
      </c>
      <c r="C202" t="s">
        <v>56</v>
      </c>
      <c r="D202">
        <f>VLOOKUP(C202,Sheet2!C:G,5,FALSE)</f>
        <v>1207</v>
      </c>
      <c r="E202" t="s">
        <v>57</v>
      </c>
      <c r="F202">
        <f>VLOOKUP(E202,Sheet2!D:E,2,FALSE)</f>
        <v>200982</v>
      </c>
      <c r="G202" t="s">
        <v>11</v>
      </c>
      <c r="H202" t="str">
        <f t="shared" si="6"/>
        <v>NAVERbotzim</v>
      </c>
      <c r="I202" t="str">
        <f>"botzim"</f>
        <v>botzim</v>
      </c>
      <c r="J202">
        <v>215530</v>
      </c>
      <c r="K202" s="1">
        <v>44866</v>
      </c>
      <c r="L202" t="s">
        <v>275</v>
      </c>
      <c r="M202">
        <f t="shared" si="7"/>
        <v>215530</v>
      </c>
      <c r="N202" t="e">
        <f>VLOOKUP(H202,Sheet1!G:H,2,FALSE)</f>
        <v>#N/A</v>
      </c>
      <c r="R202" t="s">
        <v>2126</v>
      </c>
      <c r="S202">
        <v>245840</v>
      </c>
    </row>
    <row r="203" spans="1:19" x14ac:dyDescent="0.3">
      <c r="A203" t="s">
        <v>8</v>
      </c>
      <c r="B203">
        <f>VLOOKUP(A203,Sheet2!B:F,5,FALSE)</f>
        <v>928</v>
      </c>
      <c r="C203" t="s">
        <v>9</v>
      </c>
      <c r="D203">
        <f>VLOOKUP(C203,Sheet2!C:G,5,FALSE)</f>
        <v>1202</v>
      </c>
      <c r="E203" t="s">
        <v>73</v>
      </c>
      <c r="F203">
        <f>VLOOKUP(E203,Sheet2!D:E,2,FALSE)</f>
        <v>895</v>
      </c>
      <c r="G203" t="s">
        <v>11</v>
      </c>
      <c r="H203" t="str">
        <f t="shared" si="6"/>
        <v>NAVERbow2005</v>
      </c>
      <c r="I203" t="str">
        <f>"bow2005"</f>
        <v>bow2005</v>
      </c>
      <c r="J203">
        <v>79950</v>
      </c>
      <c r="K203" s="1">
        <v>44866</v>
      </c>
      <c r="L203" t="s">
        <v>276</v>
      </c>
      <c r="M203">
        <f t="shared" si="7"/>
        <v>79950</v>
      </c>
      <c r="N203" t="e">
        <f>VLOOKUP(H203,Sheet1!G:H,2,FALSE)</f>
        <v>#N/A</v>
      </c>
      <c r="R203" t="s">
        <v>2127</v>
      </c>
      <c r="S203">
        <v>1276130</v>
      </c>
    </row>
    <row r="204" spans="1:19" x14ac:dyDescent="0.3">
      <c r="A204" t="s">
        <v>8</v>
      </c>
      <c r="B204">
        <f>VLOOKUP(A204,Sheet2!B:F,5,FALSE)</f>
        <v>928</v>
      </c>
      <c r="C204" t="s">
        <v>13</v>
      </c>
      <c r="D204">
        <f>VLOOKUP(C204,Sheet2!C:G,5,FALSE)</f>
        <v>1184</v>
      </c>
      <c r="E204" t="s">
        <v>51</v>
      </c>
      <c r="F204">
        <f>VLOOKUP(E204,Sheet2!D:E,2,FALSE)</f>
        <v>1274</v>
      </c>
      <c r="G204" t="s">
        <v>11</v>
      </c>
      <c r="H204" t="str">
        <f t="shared" si="6"/>
        <v>NAVERbox77</v>
      </c>
      <c r="I204" t="str">
        <f>"box77"</f>
        <v>box77</v>
      </c>
      <c r="J204">
        <v>840</v>
      </c>
      <c r="K204" s="1">
        <v>44866</v>
      </c>
      <c r="L204" t="s">
        <v>277</v>
      </c>
      <c r="M204">
        <f t="shared" si="7"/>
        <v>840</v>
      </c>
      <c r="N204" t="e">
        <f>VLOOKUP(H204,Sheet1!G:H,2,FALSE)</f>
        <v>#N/A</v>
      </c>
      <c r="R204" t="s">
        <v>2128</v>
      </c>
      <c r="S204">
        <v>474750</v>
      </c>
    </row>
    <row r="205" spans="1:19" x14ac:dyDescent="0.3">
      <c r="A205" t="s">
        <v>16</v>
      </c>
      <c r="B205">
        <f>VLOOKUP(A205,Sheet2!B:F,5,FALSE)</f>
        <v>927</v>
      </c>
      <c r="C205" t="s">
        <v>17</v>
      </c>
      <c r="D205">
        <f>VLOOKUP(C205,Sheet2!C:G,5,FALSE)</f>
        <v>1200</v>
      </c>
      <c r="E205" t="s">
        <v>262</v>
      </c>
      <c r="F205">
        <f>VLOOKUP(E205,Sheet2!D:E,2,FALSE)</f>
        <v>1594</v>
      </c>
      <c r="G205" t="s">
        <v>11</v>
      </c>
      <c r="H205" t="str">
        <f t="shared" si="6"/>
        <v>NAVERboygyo2:naver</v>
      </c>
      <c r="I205" t="str">
        <f>"boygyo2:naver"</f>
        <v>boygyo2:naver</v>
      </c>
      <c r="J205">
        <v>5759250</v>
      </c>
      <c r="K205" s="1">
        <v>44866</v>
      </c>
      <c r="L205" t="s">
        <v>278</v>
      </c>
      <c r="M205">
        <f t="shared" si="7"/>
        <v>5766400</v>
      </c>
      <c r="N205" t="e">
        <f>VLOOKUP(H205,Sheet1!G:H,2,FALSE)</f>
        <v>#N/A</v>
      </c>
      <c r="R205" t="s">
        <v>2129</v>
      </c>
      <c r="S205">
        <v>43030</v>
      </c>
    </row>
    <row r="206" spans="1:19" x14ac:dyDescent="0.3">
      <c r="A206" t="s">
        <v>8</v>
      </c>
      <c r="B206">
        <f>VLOOKUP(A206,Sheet2!B:F,5,FALSE)</f>
        <v>928</v>
      </c>
      <c r="C206" t="s">
        <v>9</v>
      </c>
      <c r="D206">
        <f>VLOOKUP(C206,Sheet2!C:G,5,FALSE)</f>
        <v>1202</v>
      </c>
      <c r="E206" t="s">
        <v>35</v>
      </c>
      <c r="F206">
        <f>VLOOKUP(E206,Sheet2!D:E,2,FALSE)</f>
        <v>51</v>
      </c>
      <c r="G206" t="s">
        <v>11</v>
      </c>
      <c r="H206" t="str">
        <f t="shared" si="6"/>
        <v>NAVERbrain15:naver</v>
      </c>
      <c r="I206" t="str">
        <f>"brain15:naver"</f>
        <v>brain15:naver</v>
      </c>
      <c r="J206">
        <v>1690</v>
      </c>
      <c r="K206" s="1">
        <v>44866</v>
      </c>
      <c r="L206" t="s">
        <v>279</v>
      </c>
      <c r="M206">
        <f t="shared" si="7"/>
        <v>1690</v>
      </c>
      <c r="N206" t="e">
        <f>VLOOKUP(H206,Sheet1!G:H,2,FALSE)</f>
        <v>#N/A</v>
      </c>
      <c r="R206" t="s">
        <v>2130</v>
      </c>
      <c r="S206">
        <v>627280</v>
      </c>
    </row>
    <row r="207" spans="1:19" x14ac:dyDescent="0.3">
      <c r="A207" t="s">
        <v>176</v>
      </c>
      <c r="B207">
        <f>VLOOKUP(A207,Sheet2!B:F,5,FALSE)</f>
        <v>1204</v>
      </c>
      <c r="C207" t="s">
        <v>177</v>
      </c>
      <c r="D207">
        <f>VLOOKUP(C207,Sheet2!C:G,5,FALSE)</f>
        <v>1205</v>
      </c>
      <c r="E207" t="s">
        <v>178</v>
      </c>
      <c r="F207">
        <f>VLOOKUP(E207,Sheet2!D:E,2,FALSE)</f>
        <v>201073</v>
      </c>
      <c r="G207" t="s">
        <v>11</v>
      </c>
      <c r="H207" t="str">
        <f t="shared" si="6"/>
        <v>NAVERbravado</v>
      </c>
      <c r="I207" t="str">
        <f>"bravado"</f>
        <v>bravado</v>
      </c>
      <c r="J207">
        <v>1786020</v>
      </c>
      <c r="K207" s="1">
        <v>44866</v>
      </c>
      <c r="L207" t="s">
        <v>280</v>
      </c>
      <c r="M207">
        <f t="shared" si="7"/>
        <v>586050</v>
      </c>
      <c r="N207" t="e">
        <f>VLOOKUP(H207,Sheet1!G:H,2,FALSE)</f>
        <v>#N/A</v>
      </c>
      <c r="R207" t="s">
        <v>2131</v>
      </c>
      <c r="S207">
        <v>271060</v>
      </c>
    </row>
    <row r="208" spans="1:19" x14ac:dyDescent="0.3">
      <c r="A208" t="s">
        <v>8</v>
      </c>
      <c r="B208">
        <f>VLOOKUP(A208,Sheet2!B:F,5,FALSE)</f>
        <v>928</v>
      </c>
      <c r="C208" t="s">
        <v>13</v>
      </c>
      <c r="D208">
        <f>VLOOKUP(C208,Sheet2!C:G,5,FALSE)</f>
        <v>1184</v>
      </c>
      <c r="E208" t="s">
        <v>59</v>
      </c>
      <c r="F208">
        <f>VLOOKUP(E208,Sheet2!D:E,2,FALSE)</f>
        <v>9</v>
      </c>
      <c r="G208" t="s">
        <v>11</v>
      </c>
      <c r="H208" t="str">
        <f t="shared" si="6"/>
        <v>NAVERbrmbs</v>
      </c>
      <c r="I208" t="str">
        <f>"brmbs"</f>
        <v>brmbs</v>
      </c>
      <c r="J208">
        <v>12240</v>
      </c>
      <c r="K208" s="1">
        <v>44866</v>
      </c>
      <c r="L208" t="s">
        <v>281</v>
      </c>
      <c r="M208">
        <f t="shared" si="7"/>
        <v>12240</v>
      </c>
      <c r="N208" t="e">
        <f>VLOOKUP(H208,Sheet1!G:H,2,FALSE)</f>
        <v>#N/A</v>
      </c>
      <c r="R208" t="s">
        <v>2132</v>
      </c>
      <c r="S208">
        <v>75542</v>
      </c>
    </row>
    <row r="209" spans="1:19" x14ac:dyDescent="0.3">
      <c r="A209" t="s">
        <v>8</v>
      </c>
      <c r="B209">
        <f>VLOOKUP(A209,Sheet2!B:F,5,FALSE)</f>
        <v>928</v>
      </c>
      <c r="C209" t="s">
        <v>13</v>
      </c>
      <c r="D209">
        <f>VLOOKUP(C209,Sheet2!C:G,5,FALSE)</f>
        <v>1184</v>
      </c>
      <c r="E209" t="s">
        <v>59</v>
      </c>
      <c r="F209">
        <f>VLOOKUP(E209,Sheet2!D:E,2,FALSE)</f>
        <v>9</v>
      </c>
      <c r="G209" t="s">
        <v>11</v>
      </c>
      <c r="H209" t="str">
        <f t="shared" si="6"/>
        <v>NAVERbrmmk</v>
      </c>
      <c r="I209" t="str">
        <f>"brmmk"</f>
        <v>brmmk</v>
      </c>
      <c r="J209">
        <v>1510</v>
      </c>
      <c r="K209" s="1">
        <v>44866</v>
      </c>
      <c r="L209" t="s">
        <v>282</v>
      </c>
      <c r="M209">
        <f t="shared" si="7"/>
        <v>1510</v>
      </c>
      <c r="N209" t="e">
        <f>VLOOKUP(H209,Sheet1!G:H,2,FALSE)</f>
        <v>#N/A</v>
      </c>
      <c r="R209" t="s">
        <v>2133</v>
      </c>
      <c r="S209">
        <v>166590</v>
      </c>
    </row>
    <row r="210" spans="1:19" x14ac:dyDescent="0.3">
      <c r="A210" t="s">
        <v>8</v>
      </c>
      <c r="B210">
        <f>VLOOKUP(A210,Sheet2!B:F,5,FALSE)</f>
        <v>928</v>
      </c>
      <c r="C210" t="s">
        <v>83</v>
      </c>
      <c r="D210">
        <f>VLOOKUP(C210,Sheet2!C:G,5,FALSE)</f>
        <v>960</v>
      </c>
      <c r="E210" t="s">
        <v>84</v>
      </c>
      <c r="F210">
        <f>VLOOKUP(E210,Sheet2!D:E,2,FALSE)</f>
        <v>1632</v>
      </c>
      <c r="G210" t="s">
        <v>11</v>
      </c>
      <c r="H210" t="str">
        <f t="shared" si="6"/>
        <v>NAVERbrucewol:naver</v>
      </c>
      <c r="I210" t="str">
        <f>"brucewol:naver"</f>
        <v>brucewol:naver</v>
      </c>
      <c r="J210">
        <v>657330</v>
      </c>
      <c r="K210" s="1">
        <v>44866</v>
      </c>
      <c r="L210" t="s">
        <v>283</v>
      </c>
      <c r="M210">
        <f t="shared" si="7"/>
        <v>657330</v>
      </c>
      <c r="N210" t="str">
        <f>VLOOKUP(H210,Sheet1!G:H,2,FALSE)</f>
        <v>광고종료되어 추후 광고계획 없음</v>
      </c>
      <c r="R210" t="s">
        <v>2134</v>
      </c>
      <c r="S210">
        <v>683500</v>
      </c>
    </row>
    <row r="211" spans="1:19" x14ac:dyDescent="0.3">
      <c r="A211" t="s">
        <v>8</v>
      </c>
      <c r="B211">
        <f>VLOOKUP(A211,Sheet2!B:F,5,FALSE)</f>
        <v>928</v>
      </c>
      <c r="C211" t="s">
        <v>9</v>
      </c>
      <c r="D211">
        <f>VLOOKUP(C211,Sheet2!C:G,5,FALSE)</f>
        <v>1202</v>
      </c>
      <c r="E211" t="s">
        <v>35</v>
      </c>
      <c r="F211">
        <f>VLOOKUP(E211,Sheet2!D:E,2,FALSE)</f>
        <v>51</v>
      </c>
      <c r="G211" t="s">
        <v>11</v>
      </c>
      <c r="H211" t="str">
        <f t="shared" si="6"/>
        <v>NAVERbrush114</v>
      </c>
      <c r="I211" t="str">
        <f>"brush114"</f>
        <v>brush114</v>
      </c>
      <c r="J211">
        <v>3235810</v>
      </c>
      <c r="K211" s="1">
        <v>44866</v>
      </c>
      <c r="L211" t="s">
        <v>284</v>
      </c>
      <c r="M211">
        <f t="shared" si="7"/>
        <v>3235810</v>
      </c>
      <c r="N211" t="e">
        <f>VLOOKUP(H211,Sheet1!G:H,2,FALSE)</f>
        <v>#N/A</v>
      </c>
      <c r="R211" t="s">
        <v>2135</v>
      </c>
      <c r="S211">
        <v>1311560</v>
      </c>
    </row>
    <row r="212" spans="1:19" x14ac:dyDescent="0.3">
      <c r="A212" t="s">
        <v>8</v>
      </c>
      <c r="B212">
        <f>VLOOKUP(A212,Sheet2!B:F,5,FALSE)</f>
        <v>928</v>
      </c>
      <c r="C212" t="s">
        <v>9</v>
      </c>
      <c r="D212">
        <f>VLOOKUP(C212,Sheet2!C:G,5,FALSE)</f>
        <v>1202</v>
      </c>
      <c r="E212" t="s">
        <v>10</v>
      </c>
      <c r="F212">
        <f>VLOOKUP(E212,Sheet2!D:E,2,FALSE)</f>
        <v>939</v>
      </c>
      <c r="G212" t="s">
        <v>11</v>
      </c>
      <c r="H212" t="str">
        <f t="shared" si="6"/>
        <v>NAVERbs_sky</v>
      </c>
      <c r="I212" t="str">
        <f>"bs_sky"</f>
        <v>bs_sky</v>
      </c>
      <c r="J212">
        <v>872480</v>
      </c>
      <c r="K212" s="1">
        <v>44866</v>
      </c>
      <c r="L212" t="s">
        <v>285</v>
      </c>
      <c r="M212">
        <f t="shared" si="7"/>
        <v>872480</v>
      </c>
      <c r="N212" t="e">
        <f>VLOOKUP(H212,Sheet1!G:H,2,FALSE)</f>
        <v>#N/A</v>
      </c>
      <c r="R212" t="s">
        <v>2136</v>
      </c>
      <c r="S212">
        <v>2150</v>
      </c>
    </row>
    <row r="213" spans="1:19" x14ac:dyDescent="0.3">
      <c r="A213" t="s">
        <v>8</v>
      </c>
      <c r="B213">
        <f>VLOOKUP(A213,Sheet2!B:F,5,FALSE)</f>
        <v>928</v>
      </c>
      <c r="C213" t="s">
        <v>9</v>
      </c>
      <c r="D213">
        <f>VLOOKUP(C213,Sheet2!C:G,5,FALSE)</f>
        <v>1202</v>
      </c>
      <c r="E213" t="s">
        <v>45</v>
      </c>
      <c r="F213">
        <f>VLOOKUP(E213,Sheet2!D:E,2,FALSE)</f>
        <v>26</v>
      </c>
      <c r="G213" t="s">
        <v>11</v>
      </c>
      <c r="H213" t="str">
        <f t="shared" si="6"/>
        <v>NAVERbs11170317:naver</v>
      </c>
      <c r="I213" t="str">
        <f>"bs11170317:naver"</f>
        <v>bs11170317:naver</v>
      </c>
      <c r="J213">
        <v>244980</v>
      </c>
      <c r="K213" s="1">
        <v>44866</v>
      </c>
      <c r="L213" t="s">
        <v>286</v>
      </c>
      <c r="M213">
        <f t="shared" si="7"/>
        <v>244980</v>
      </c>
      <c r="N213" t="e">
        <f>VLOOKUP(H213,Sheet1!G:H,2,FALSE)</f>
        <v>#N/A</v>
      </c>
      <c r="R213" t="s">
        <v>2137</v>
      </c>
      <c r="S213">
        <v>350870</v>
      </c>
    </row>
    <row r="214" spans="1:19" x14ac:dyDescent="0.3">
      <c r="A214" t="s">
        <v>8</v>
      </c>
      <c r="B214">
        <f>VLOOKUP(A214,Sheet2!B:F,5,FALSE)</f>
        <v>928</v>
      </c>
      <c r="C214" t="s">
        <v>13</v>
      </c>
      <c r="D214">
        <f>VLOOKUP(C214,Sheet2!C:G,5,FALSE)</f>
        <v>1184</v>
      </c>
      <c r="E214" t="s">
        <v>59</v>
      </c>
      <c r="F214">
        <f>VLOOKUP(E214,Sheet2!D:E,2,FALSE)</f>
        <v>9</v>
      </c>
      <c r="G214" t="s">
        <v>11</v>
      </c>
      <c r="H214" t="str">
        <f t="shared" si="6"/>
        <v>NAVERbssound</v>
      </c>
      <c r="I214" t="str">
        <f>"bssound"</f>
        <v>bssound</v>
      </c>
      <c r="J214">
        <v>14460</v>
      </c>
      <c r="K214" s="1">
        <v>44866</v>
      </c>
      <c r="L214" t="s">
        <v>287</v>
      </c>
      <c r="M214">
        <f t="shared" si="7"/>
        <v>14460</v>
      </c>
      <c r="N214" t="e">
        <f>VLOOKUP(H214,Sheet1!G:H,2,FALSE)</f>
        <v>#N/A</v>
      </c>
      <c r="R214" t="s">
        <v>2138</v>
      </c>
      <c r="S214">
        <v>1286320</v>
      </c>
    </row>
    <row r="215" spans="1:19" x14ac:dyDescent="0.3">
      <c r="A215" t="s">
        <v>41</v>
      </c>
      <c r="B215">
        <f>VLOOKUP(A215,Sheet2!B:F,5,FALSE)</f>
        <v>926</v>
      </c>
      <c r="C215" t="s">
        <v>56</v>
      </c>
      <c r="D215">
        <f>VLOOKUP(C215,Sheet2!C:G,5,FALSE)</f>
        <v>1207</v>
      </c>
      <c r="E215" t="s">
        <v>57</v>
      </c>
      <c r="F215">
        <f>VLOOKUP(E215,Sheet2!D:E,2,FALSE)</f>
        <v>200982</v>
      </c>
      <c r="G215" t="s">
        <v>11</v>
      </c>
      <c r="H215" t="str">
        <f t="shared" si="6"/>
        <v>NAVERbstogether</v>
      </c>
      <c r="I215" t="str">
        <f>"bstogether"</f>
        <v>bstogether</v>
      </c>
      <c r="J215">
        <v>63010</v>
      </c>
      <c r="K215" s="1">
        <v>44866</v>
      </c>
      <c r="L215" t="s">
        <v>288</v>
      </c>
      <c r="M215">
        <f t="shared" si="7"/>
        <v>63010</v>
      </c>
      <c r="N215" t="e">
        <f>VLOOKUP(H215,Sheet1!G:H,2,FALSE)</f>
        <v>#N/A</v>
      </c>
      <c r="R215" t="s">
        <v>2139</v>
      </c>
      <c r="S215">
        <v>662640</v>
      </c>
    </row>
    <row r="216" spans="1:19" x14ac:dyDescent="0.3">
      <c r="A216" t="s">
        <v>16</v>
      </c>
      <c r="B216">
        <f>VLOOKUP(A216,Sheet2!B:F,5,FALSE)</f>
        <v>927</v>
      </c>
      <c r="C216" t="s">
        <v>17</v>
      </c>
      <c r="D216">
        <f>VLOOKUP(C216,Sheet2!C:G,5,FALSE)</f>
        <v>1200</v>
      </c>
      <c r="E216" t="s">
        <v>100</v>
      </c>
      <c r="F216">
        <f>VLOOKUP(E216,Sheet2!D:E,2,FALSE)</f>
        <v>201038</v>
      </c>
      <c r="G216" t="s">
        <v>11</v>
      </c>
      <c r="H216" t="str">
        <f t="shared" si="6"/>
        <v>NAVERbulsapa1</v>
      </c>
      <c r="I216" t="str">
        <f>"bulsapa1"</f>
        <v>bulsapa1</v>
      </c>
      <c r="J216">
        <v>82310</v>
      </c>
      <c r="K216" s="1">
        <v>44866</v>
      </c>
      <c r="L216" t="s">
        <v>289</v>
      </c>
      <c r="M216">
        <f t="shared" si="7"/>
        <v>82310</v>
      </c>
      <c r="N216" t="str">
        <f>VLOOKUP(H216,Sheet1!G:H,2,FALSE)</f>
        <v>연락두절</v>
      </c>
      <c r="R216" t="s">
        <v>2140</v>
      </c>
      <c r="S216">
        <v>309930</v>
      </c>
    </row>
    <row r="217" spans="1:19" x14ac:dyDescent="0.3">
      <c r="A217" t="s">
        <v>16</v>
      </c>
      <c r="B217">
        <f>VLOOKUP(A217,Sheet2!B:F,5,FALSE)</f>
        <v>927</v>
      </c>
      <c r="C217" t="s">
        <v>17</v>
      </c>
      <c r="D217">
        <f>VLOOKUP(C217,Sheet2!C:G,5,FALSE)</f>
        <v>1200</v>
      </c>
      <c r="E217" t="s">
        <v>290</v>
      </c>
      <c r="F217">
        <f>VLOOKUP(E217,Sheet2!D:E,2,FALSE)</f>
        <v>556</v>
      </c>
      <c r="G217" t="s">
        <v>11</v>
      </c>
      <c r="H217" t="str">
        <f t="shared" si="6"/>
        <v>NAVERbunnyworld</v>
      </c>
      <c r="I217" t="str">
        <f>"bunnyworld"</f>
        <v>bunnyworld</v>
      </c>
      <c r="J217">
        <v>9061590</v>
      </c>
      <c r="K217" s="1">
        <v>44866</v>
      </c>
      <c r="L217" t="s">
        <v>291</v>
      </c>
      <c r="M217">
        <f t="shared" si="7"/>
        <v>9061590</v>
      </c>
      <c r="N217" t="e">
        <f>VLOOKUP(H217,Sheet1!G:H,2,FALSE)</f>
        <v>#N/A</v>
      </c>
      <c r="R217" t="s">
        <v>2141</v>
      </c>
      <c r="S217">
        <v>2395030</v>
      </c>
    </row>
    <row r="218" spans="1:19" x14ac:dyDescent="0.3">
      <c r="A218" t="s">
        <v>8</v>
      </c>
      <c r="B218">
        <f>VLOOKUP(A218,Sheet2!B:F,5,FALSE)</f>
        <v>928</v>
      </c>
      <c r="C218" t="s">
        <v>9</v>
      </c>
      <c r="D218">
        <f>VLOOKUP(C218,Sheet2!C:G,5,FALSE)</f>
        <v>1202</v>
      </c>
      <c r="E218" t="s">
        <v>142</v>
      </c>
      <c r="F218">
        <f>VLOOKUP(E218,Sheet2!D:E,2,FALSE)</f>
        <v>652</v>
      </c>
      <c r="G218" t="s">
        <v>11</v>
      </c>
      <c r="H218" t="str">
        <f t="shared" si="6"/>
        <v>NAVERbutinastocking:naver</v>
      </c>
      <c r="I218" t="str">
        <f>"butinastocking:naver"</f>
        <v>butinastocking:naver</v>
      </c>
      <c r="J218">
        <v>133420</v>
      </c>
      <c r="K218" s="1">
        <v>44866</v>
      </c>
      <c r="L218" t="s">
        <v>292</v>
      </c>
      <c r="M218">
        <f t="shared" si="7"/>
        <v>133420</v>
      </c>
      <c r="N218" t="e">
        <f>VLOOKUP(H218,Sheet1!G:H,2,FALSE)</f>
        <v>#N/A</v>
      </c>
      <c r="R218" t="s">
        <v>2142</v>
      </c>
      <c r="S218">
        <v>33010</v>
      </c>
    </row>
    <row r="219" spans="1:19" x14ac:dyDescent="0.3">
      <c r="A219" t="s">
        <v>8</v>
      </c>
      <c r="B219">
        <f>VLOOKUP(A219,Sheet2!B:F,5,FALSE)</f>
        <v>928</v>
      </c>
      <c r="C219" t="s">
        <v>9</v>
      </c>
      <c r="D219">
        <f>VLOOKUP(C219,Sheet2!C:G,5,FALSE)</f>
        <v>1202</v>
      </c>
      <c r="E219" t="s">
        <v>33</v>
      </c>
      <c r="F219">
        <f>VLOOKUP(E219,Sheet2!D:E,2,FALSE)</f>
        <v>933</v>
      </c>
      <c r="G219" t="s">
        <v>11</v>
      </c>
      <c r="H219" t="str">
        <f t="shared" si="6"/>
        <v>NAVERbwist</v>
      </c>
      <c r="I219" t="str">
        <f>"bwist"</f>
        <v>bwist</v>
      </c>
      <c r="J219">
        <v>202720</v>
      </c>
      <c r="K219" s="1">
        <v>44866</v>
      </c>
      <c r="L219" t="s">
        <v>293</v>
      </c>
      <c r="M219">
        <f t="shared" si="7"/>
        <v>202720</v>
      </c>
      <c r="N219" t="e">
        <f>VLOOKUP(H219,Sheet1!G:H,2,FALSE)</f>
        <v>#N/A</v>
      </c>
      <c r="R219" t="s">
        <v>2143</v>
      </c>
      <c r="S219">
        <v>22024770</v>
      </c>
    </row>
    <row r="220" spans="1:19" x14ac:dyDescent="0.3">
      <c r="A220" t="s">
        <v>8</v>
      </c>
      <c r="B220">
        <f>VLOOKUP(A220,Sheet2!B:F,5,FALSE)</f>
        <v>928</v>
      </c>
      <c r="C220" t="s">
        <v>9</v>
      </c>
      <c r="D220">
        <f>VLOOKUP(C220,Sheet2!C:G,5,FALSE)</f>
        <v>1202</v>
      </c>
      <c r="E220" t="s">
        <v>10</v>
      </c>
      <c r="F220">
        <f>VLOOKUP(E220,Sheet2!D:E,2,FALSE)</f>
        <v>939</v>
      </c>
      <c r="G220" t="s">
        <v>11</v>
      </c>
      <c r="H220" t="str">
        <f t="shared" si="6"/>
        <v>NAVERby_sieunso:naver</v>
      </c>
      <c r="I220" t="str">
        <f>"by_sieunso:naver"</f>
        <v>by_sieunso:naver</v>
      </c>
      <c r="J220">
        <v>40820</v>
      </c>
      <c r="K220" s="1">
        <v>44866</v>
      </c>
      <c r="L220" t="s">
        <v>294</v>
      </c>
      <c r="M220">
        <f t="shared" si="7"/>
        <v>40820</v>
      </c>
      <c r="N220" t="e">
        <f>VLOOKUP(H220,Sheet1!G:H,2,FALSE)</f>
        <v>#N/A</v>
      </c>
      <c r="R220" t="s">
        <v>2144</v>
      </c>
      <c r="S220">
        <v>10130</v>
      </c>
    </row>
    <row r="221" spans="1:19" x14ac:dyDescent="0.3">
      <c r="A221" t="s">
        <v>8</v>
      </c>
      <c r="B221">
        <f>VLOOKUP(A221,Sheet2!B:F,5,FALSE)</f>
        <v>928</v>
      </c>
      <c r="C221" t="s">
        <v>9</v>
      </c>
      <c r="D221">
        <f>VLOOKUP(C221,Sheet2!C:G,5,FALSE)</f>
        <v>1202</v>
      </c>
      <c r="E221" t="s">
        <v>47</v>
      </c>
      <c r="F221">
        <f>VLOOKUP(E221,Sheet2!D:E,2,FALSE)</f>
        <v>898</v>
      </c>
      <c r="G221" t="s">
        <v>11</v>
      </c>
      <c r="H221" t="str">
        <f t="shared" si="6"/>
        <v>NAVERbygami_busan</v>
      </c>
      <c r="I221" t="str">
        <f>"bygami_busan"</f>
        <v>bygami_busan</v>
      </c>
      <c r="J221">
        <v>3133380</v>
      </c>
      <c r="K221" s="1">
        <v>44866</v>
      </c>
      <c r="L221" t="s">
        <v>295</v>
      </c>
      <c r="M221">
        <f t="shared" si="7"/>
        <v>3133380</v>
      </c>
      <c r="N221" t="e">
        <f>VLOOKUP(H221,Sheet1!G:H,2,FALSE)</f>
        <v>#N/A</v>
      </c>
      <c r="R221" t="s">
        <v>2145</v>
      </c>
      <c r="S221">
        <v>1669360</v>
      </c>
    </row>
    <row r="222" spans="1:19" x14ac:dyDescent="0.3">
      <c r="A222" t="s">
        <v>8</v>
      </c>
      <c r="B222">
        <f>VLOOKUP(A222,Sheet2!B:F,5,FALSE)</f>
        <v>928</v>
      </c>
      <c r="C222" t="s">
        <v>9</v>
      </c>
      <c r="D222">
        <f>VLOOKUP(C222,Sheet2!C:G,5,FALSE)</f>
        <v>1202</v>
      </c>
      <c r="E222" t="s">
        <v>35</v>
      </c>
      <c r="F222">
        <f>VLOOKUP(E222,Sheet2!D:E,2,FALSE)</f>
        <v>51</v>
      </c>
      <c r="G222" t="s">
        <v>11</v>
      </c>
      <c r="H222" t="str">
        <f t="shared" si="6"/>
        <v>NAVERbyungpung</v>
      </c>
      <c r="I222" t="str">
        <f>"byungpung"</f>
        <v>byungpung</v>
      </c>
      <c r="J222">
        <v>351040</v>
      </c>
      <c r="K222" s="1">
        <v>44866</v>
      </c>
      <c r="L222" t="s">
        <v>296</v>
      </c>
      <c r="M222">
        <f t="shared" si="7"/>
        <v>351040</v>
      </c>
      <c r="N222" t="e">
        <f>VLOOKUP(H222,Sheet1!G:H,2,FALSE)</f>
        <v>#N/A</v>
      </c>
      <c r="R222" t="s">
        <v>2146</v>
      </c>
      <c r="S222">
        <v>234950</v>
      </c>
    </row>
    <row r="223" spans="1:19" x14ac:dyDescent="0.3">
      <c r="A223" t="s">
        <v>8</v>
      </c>
      <c r="B223">
        <f>VLOOKUP(A223,Sheet2!B:F,5,FALSE)</f>
        <v>928</v>
      </c>
      <c r="C223" t="s">
        <v>9</v>
      </c>
      <c r="D223">
        <f>VLOOKUP(C223,Sheet2!C:G,5,FALSE)</f>
        <v>1202</v>
      </c>
      <c r="E223" t="s">
        <v>27</v>
      </c>
      <c r="F223">
        <f>VLOOKUP(E223,Sheet2!D:E,2,FALSE)</f>
        <v>806</v>
      </c>
      <c r="G223" t="s">
        <v>11</v>
      </c>
      <c r="H223" t="str">
        <f t="shared" si="6"/>
        <v>NAVERbyunsuk07</v>
      </c>
      <c r="I223" t="str">
        <f>"byunsuk07"</f>
        <v>byunsuk07</v>
      </c>
      <c r="J223">
        <v>1525980</v>
      </c>
      <c r="K223" s="1">
        <v>44866</v>
      </c>
      <c r="L223" t="s">
        <v>297</v>
      </c>
      <c r="M223">
        <f t="shared" si="7"/>
        <v>1525980</v>
      </c>
      <c r="N223" t="e">
        <f>VLOOKUP(H223,Sheet1!G:H,2,FALSE)</f>
        <v>#N/A</v>
      </c>
      <c r="R223" t="s">
        <v>2147</v>
      </c>
      <c r="S223">
        <v>8850</v>
      </c>
    </row>
    <row r="224" spans="1:19" x14ac:dyDescent="0.3">
      <c r="A224" t="s">
        <v>8</v>
      </c>
      <c r="B224">
        <f>VLOOKUP(A224,Sheet2!B:F,5,FALSE)</f>
        <v>928</v>
      </c>
      <c r="C224" t="s">
        <v>9</v>
      </c>
      <c r="D224">
        <f>VLOOKUP(C224,Sheet2!C:G,5,FALSE)</f>
        <v>1202</v>
      </c>
      <c r="E224" t="s">
        <v>20</v>
      </c>
      <c r="F224">
        <f>VLOOKUP(E224,Sheet2!D:E,2,FALSE)</f>
        <v>938</v>
      </c>
      <c r="G224" t="s">
        <v>11</v>
      </c>
      <c r="H224" t="str">
        <f t="shared" si="6"/>
        <v>NAVERcables</v>
      </c>
      <c r="I224" t="str">
        <f>"cables"</f>
        <v>cables</v>
      </c>
      <c r="J224">
        <v>54370</v>
      </c>
      <c r="K224" s="1">
        <v>44866</v>
      </c>
      <c r="L224" t="s">
        <v>298</v>
      </c>
      <c r="M224">
        <f t="shared" si="7"/>
        <v>54370</v>
      </c>
      <c r="N224" t="e">
        <f>VLOOKUP(H224,Sheet1!G:H,2,FALSE)</f>
        <v>#N/A</v>
      </c>
      <c r="R224" t="s">
        <v>2148</v>
      </c>
      <c r="S224">
        <v>1303070</v>
      </c>
    </row>
    <row r="225" spans="1:19" x14ac:dyDescent="0.3">
      <c r="A225" t="s">
        <v>8</v>
      </c>
      <c r="B225">
        <f>VLOOKUP(A225,Sheet2!B:F,5,FALSE)</f>
        <v>928</v>
      </c>
      <c r="C225" t="s">
        <v>13</v>
      </c>
      <c r="D225">
        <f>VLOOKUP(C225,Sheet2!C:G,5,FALSE)</f>
        <v>1184</v>
      </c>
      <c r="E225" t="s">
        <v>14</v>
      </c>
      <c r="F225">
        <f>VLOOKUP(E225,Sheet2!D:E,2,FALSE)</f>
        <v>914</v>
      </c>
      <c r="G225" t="s">
        <v>11</v>
      </c>
      <c r="H225" t="str">
        <f t="shared" si="6"/>
        <v>NAVERcabletec</v>
      </c>
      <c r="I225" t="str">
        <f>"cabletec"</f>
        <v>cabletec</v>
      </c>
      <c r="J225">
        <v>1050</v>
      </c>
      <c r="K225" s="1">
        <v>44866</v>
      </c>
      <c r="L225" t="s">
        <v>299</v>
      </c>
      <c r="M225">
        <f t="shared" si="7"/>
        <v>1050</v>
      </c>
      <c r="N225" t="e">
        <f>VLOOKUP(H225,Sheet1!G:H,2,FALSE)</f>
        <v>#N/A</v>
      </c>
      <c r="R225" t="s">
        <v>2149</v>
      </c>
      <c r="S225">
        <v>259010</v>
      </c>
    </row>
    <row r="226" spans="1:19" x14ac:dyDescent="0.3">
      <c r="A226" t="s">
        <v>41</v>
      </c>
      <c r="B226">
        <f>VLOOKUP(A226,Sheet2!B:F,5,FALSE)</f>
        <v>926</v>
      </c>
      <c r="C226" t="s">
        <v>56</v>
      </c>
      <c r="D226">
        <f>VLOOKUP(C226,Sheet2!C:G,5,FALSE)</f>
        <v>1207</v>
      </c>
      <c r="E226" t="s">
        <v>91</v>
      </c>
      <c r="F226">
        <f>VLOOKUP(E226,Sheet2!D:E,2,FALSE)</f>
        <v>201104</v>
      </c>
      <c r="G226" t="s">
        <v>11</v>
      </c>
      <c r="H226" t="str">
        <f t="shared" si="6"/>
        <v>NAVERcafeeseo</v>
      </c>
      <c r="I226" t="str">
        <f>"cafeeseo"</f>
        <v>cafeeseo</v>
      </c>
      <c r="J226">
        <v>166241</v>
      </c>
      <c r="K226" s="1">
        <v>44866</v>
      </c>
      <c r="L226" t="s">
        <v>300</v>
      </c>
      <c r="M226" t="e">
        <f t="shared" si="7"/>
        <v>#N/A</v>
      </c>
      <c r="N226" t="e">
        <f>VLOOKUP(H226,Sheet1!G:H,2,FALSE)</f>
        <v>#N/A</v>
      </c>
      <c r="R226" t="s">
        <v>2150</v>
      </c>
      <c r="S226">
        <v>150920</v>
      </c>
    </row>
    <row r="227" spans="1:19" x14ac:dyDescent="0.3">
      <c r="A227" t="s">
        <v>41</v>
      </c>
      <c r="B227">
        <f>VLOOKUP(A227,Sheet2!B:F,5,FALSE)</f>
        <v>926</v>
      </c>
      <c r="C227" t="s">
        <v>56</v>
      </c>
      <c r="D227">
        <f>VLOOKUP(C227,Sheet2!C:G,5,FALSE)</f>
        <v>1207</v>
      </c>
      <c r="E227" t="s">
        <v>91</v>
      </c>
      <c r="F227">
        <f>VLOOKUP(E227,Sheet2!D:E,2,FALSE)</f>
        <v>201104</v>
      </c>
      <c r="G227" t="s">
        <v>11</v>
      </c>
      <c r="H227" t="str">
        <f t="shared" si="6"/>
        <v>NAVERcafeeseo1</v>
      </c>
      <c r="I227" t="str">
        <f>"cafeeseo1"</f>
        <v>cafeeseo1</v>
      </c>
      <c r="J227">
        <v>98170</v>
      </c>
      <c r="K227" s="1">
        <v>44866</v>
      </c>
      <c r="L227" t="s">
        <v>301</v>
      </c>
      <c r="M227">
        <f t="shared" si="7"/>
        <v>98170</v>
      </c>
      <c r="N227" t="e">
        <f>VLOOKUP(H227,Sheet1!G:H,2,FALSE)</f>
        <v>#N/A</v>
      </c>
      <c r="R227" t="s">
        <v>2151</v>
      </c>
      <c r="S227">
        <v>88390</v>
      </c>
    </row>
    <row r="228" spans="1:19" x14ac:dyDescent="0.3">
      <c r="A228" t="s">
        <v>8</v>
      </c>
      <c r="B228">
        <f>VLOOKUP(A228,Sheet2!B:F,5,FALSE)</f>
        <v>928</v>
      </c>
      <c r="C228" t="s">
        <v>13</v>
      </c>
      <c r="D228">
        <f>VLOOKUP(C228,Sheet2!C:G,5,FALSE)</f>
        <v>1184</v>
      </c>
      <c r="E228" t="s">
        <v>102</v>
      </c>
      <c r="F228">
        <f>VLOOKUP(E228,Sheet2!D:E,2,FALSE)</f>
        <v>917</v>
      </c>
      <c r="G228" t="s">
        <v>11</v>
      </c>
      <c r="H228" t="str">
        <f t="shared" si="6"/>
        <v>NAVERcallvan13</v>
      </c>
      <c r="I228" t="str">
        <f>"callvan13"</f>
        <v>callvan13</v>
      </c>
      <c r="J228">
        <v>101590</v>
      </c>
      <c r="K228" s="1">
        <v>44866</v>
      </c>
      <c r="L228" t="s">
        <v>302</v>
      </c>
      <c r="M228">
        <f t="shared" si="7"/>
        <v>101590</v>
      </c>
      <c r="N228" t="e">
        <f>VLOOKUP(H228,Sheet1!G:H,2,FALSE)</f>
        <v>#N/A</v>
      </c>
      <c r="R228" t="s">
        <v>2152</v>
      </c>
      <c r="S228">
        <v>2150230</v>
      </c>
    </row>
    <row r="229" spans="1:19" x14ac:dyDescent="0.3">
      <c r="A229" t="s">
        <v>8</v>
      </c>
      <c r="B229">
        <f>VLOOKUP(A229,Sheet2!B:F,5,FALSE)</f>
        <v>928</v>
      </c>
      <c r="C229" t="s">
        <v>13</v>
      </c>
      <c r="D229">
        <f>VLOOKUP(C229,Sheet2!C:G,5,FALSE)</f>
        <v>1184</v>
      </c>
      <c r="E229" t="s">
        <v>102</v>
      </c>
      <c r="F229">
        <f>VLOOKUP(E229,Sheet2!D:E,2,FALSE)</f>
        <v>917</v>
      </c>
      <c r="G229" t="s">
        <v>11</v>
      </c>
      <c r="H229" t="str">
        <f t="shared" si="6"/>
        <v>NAVERcallvanfairy</v>
      </c>
      <c r="I229" t="str">
        <f>"callvanfairy"</f>
        <v>callvanfairy</v>
      </c>
      <c r="J229">
        <v>1118220</v>
      </c>
      <c r="K229" s="1">
        <v>44866</v>
      </c>
      <c r="L229" t="s">
        <v>302</v>
      </c>
      <c r="M229">
        <f t="shared" si="7"/>
        <v>1118220</v>
      </c>
      <c r="N229" t="e">
        <f>VLOOKUP(H229,Sheet1!G:H,2,FALSE)</f>
        <v>#N/A</v>
      </c>
      <c r="R229" t="s">
        <v>2153</v>
      </c>
      <c r="S229">
        <v>257930</v>
      </c>
    </row>
    <row r="230" spans="1:19" x14ac:dyDescent="0.3">
      <c r="A230" t="s">
        <v>8</v>
      </c>
      <c r="B230">
        <f>VLOOKUP(A230,Sheet2!B:F,5,FALSE)</f>
        <v>928</v>
      </c>
      <c r="C230" t="s">
        <v>9</v>
      </c>
      <c r="D230">
        <f>VLOOKUP(C230,Sheet2!C:G,5,FALSE)</f>
        <v>1202</v>
      </c>
      <c r="E230" t="s">
        <v>27</v>
      </c>
      <c r="F230">
        <f>VLOOKUP(E230,Sheet2!D:E,2,FALSE)</f>
        <v>806</v>
      </c>
      <c r="G230" t="s">
        <v>11</v>
      </c>
      <c r="H230" t="str">
        <f t="shared" si="6"/>
        <v>NAVERcalos1</v>
      </c>
      <c r="I230" t="str">
        <f>"calos1"</f>
        <v>calos1</v>
      </c>
      <c r="J230">
        <v>283810</v>
      </c>
      <c r="K230" s="1">
        <v>44866</v>
      </c>
      <c r="L230" t="s">
        <v>303</v>
      </c>
      <c r="M230">
        <f t="shared" si="7"/>
        <v>283810</v>
      </c>
      <c r="N230" t="e">
        <f>VLOOKUP(H230,Sheet1!G:H,2,FALSE)</f>
        <v>#N/A</v>
      </c>
      <c r="R230" t="s">
        <v>2154</v>
      </c>
      <c r="S230">
        <v>20750</v>
      </c>
    </row>
    <row r="231" spans="1:19" x14ac:dyDescent="0.3">
      <c r="A231" t="s">
        <v>16</v>
      </c>
      <c r="B231">
        <f>VLOOKUP(A231,Sheet2!B:F,5,FALSE)</f>
        <v>927</v>
      </c>
      <c r="C231" t="s">
        <v>17</v>
      </c>
      <c r="D231">
        <f>VLOOKUP(C231,Sheet2!C:G,5,FALSE)</f>
        <v>1200</v>
      </c>
      <c r="E231" t="s">
        <v>96</v>
      </c>
      <c r="F231">
        <f>VLOOKUP(E231,Sheet2!D:E,2,FALSE)</f>
        <v>1271</v>
      </c>
      <c r="G231" t="s">
        <v>11</v>
      </c>
      <c r="H231" t="str">
        <f t="shared" si="6"/>
        <v>NAVERcapiolani</v>
      </c>
      <c r="I231" t="str">
        <f>"capiolani"</f>
        <v>capiolani</v>
      </c>
      <c r="J231">
        <v>208180</v>
      </c>
      <c r="K231" s="1">
        <v>44866</v>
      </c>
      <c r="L231" t="s">
        <v>304</v>
      </c>
      <c r="M231">
        <f t="shared" si="7"/>
        <v>208180</v>
      </c>
      <c r="N231" t="e">
        <f>VLOOKUP(H231,Sheet1!G:H,2,FALSE)</f>
        <v>#N/A</v>
      </c>
      <c r="R231" t="s">
        <v>2155</v>
      </c>
      <c r="S231">
        <v>61100</v>
      </c>
    </row>
    <row r="232" spans="1:19" x14ac:dyDescent="0.3">
      <c r="A232" t="s">
        <v>8</v>
      </c>
      <c r="B232">
        <f>VLOOKUP(A232,Sheet2!B:F,5,FALSE)</f>
        <v>928</v>
      </c>
      <c r="C232" t="s">
        <v>13</v>
      </c>
      <c r="D232">
        <f>VLOOKUP(C232,Sheet2!C:G,5,FALSE)</f>
        <v>1184</v>
      </c>
      <c r="E232" t="s">
        <v>217</v>
      </c>
      <c r="F232">
        <f>VLOOKUP(E232,Sheet2!D:E,2,FALSE)</f>
        <v>201027</v>
      </c>
      <c r="G232" t="s">
        <v>11</v>
      </c>
      <c r="H232" t="str">
        <f t="shared" si="6"/>
        <v>NAVERcareermaking</v>
      </c>
      <c r="I232" t="str">
        <f>"careermaking"</f>
        <v>careermaking</v>
      </c>
      <c r="J232">
        <v>12910</v>
      </c>
      <c r="K232" s="1">
        <v>44866</v>
      </c>
      <c r="L232" t="s">
        <v>305</v>
      </c>
      <c r="M232">
        <f t="shared" si="7"/>
        <v>12910</v>
      </c>
      <c r="N232" t="e">
        <f>VLOOKUP(H232,Sheet1!G:H,2,FALSE)</f>
        <v>#N/A</v>
      </c>
      <c r="R232" t="s">
        <v>2156</v>
      </c>
      <c r="S232">
        <v>339480</v>
      </c>
    </row>
    <row r="233" spans="1:19" x14ac:dyDescent="0.3">
      <c r="A233" t="s">
        <v>8</v>
      </c>
      <c r="B233">
        <f>VLOOKUP(A233,Sheet2!B:F,5,FALSE)</f>
        <v>928</v>
      </c>
      <c r="C233" t="s">
        <v>9</v>
      </c>
      <c r="D233">
        <f>VLOOKUP(C233,Sheet2!C:G,5,FALSE)</f>
        <v>1202</v>
      </c>
      <c r="E233" t="s">
        <v>20</v>
      </c>
      <c r="F233">
        <f>VLOOKUP(E233,Sheet2!D:E,2,FALSE)</f>
        <v>938</v>
      </c>
      <c r="G233" t="s">
        <v>11</v>
      </c>
      <c r="H233" t="str">
        <f t="shared" si="6"/>
        <v>NAVERcarelabgn:naver</v>
      </c>
      <c r="I233" t="str">
        <f>"carelabgn:naver"</f>
        <v>carelabgn:naver</v>
      </c>
      <c r="J233">
        <v>49157</v>
      </c>
      <c r="K233" s="1">
        <v>44866</v>
      </c>
      <c r="L233" t="s">
        <v>306</v>
      </c>
      <c r="M233">
        <f t="shared" si="7"/>
        <v>49183</v>
      </c>
      <c r="N233" t="e">
        <f>VLOOKUP(H233,Sheet1!G:H,2,FALSE)</f>
        <v>#N/A</v>
      </c>
      <c r="R233" t="s">
        <v>2157</v>
      </c>
      <c r="S233">
        <v>8910</v>
      </c>
    </row>
    <row r="234" spans="1:19" x14ac:dyDescent="0.3">
      <c r="A234" t="s">
        <v>8</v>
      </c>
      <c r="B234">
        <f>VLOOKUP(A234,Sheet2!B:F,5,FALSE)</f>
        <v>928</v>
      </c>
      <c r="C234" t="s">
        <v>223</v>
      </c>
      <c r="D234">
        <f>VLOOKUP(C234,Sheet2!C:G,5,FALSE)</f>
        <v>966</v>
      </c>
      <c r="E234" t="s">
        <v>269</v>
      </c>
      <c r="F234">
        <f>VLOOKUP(E234,Sheet2!D:E,2,FALSE)</f>
        <v>201031</v>
      </c>
      <c r="G234" t="s">
        <v>11</v>
      </c>
      <c r="H234" t="str">
        <f t="shared" si="6"/>
        <v>NAVERcareness</v>
      </c>
      <c r="I234" t="str">
        <f>"careness"</f>
        <v>careness</v>
      </c>
      <c r="J234">
        <v>14663970</v>
      </c>
      <c r="K234" s="1">
        <v>44866</v>
      </c>
      <c r="L234" t="s">
        <v>270</v>
      </c>
      <c r="M234">
        <f t="shared" si="7"/>
        <v>13959040</v>
      </c>
      <c r="N234" t="e">
        <f>VLOOKUP(H234,Sheet1!G:H,2,FALSE)</f>
        <v>#N/A</v>
      </c>
      <c r="R234" t="s">
        <v>2158</v>
      </c>
      <c r="S234">
        <v>386530</v>
      </c>
    </row>
    <row r="235" spans="1:19" x14ac:dyDescent="0.3">
      <c r="A235" t="s">
        <v>41</v>
      </c>
      <c r="B235">
        <f>VLOOKUP(A235,Sheet2!B:F,5,FALSE)</f>
        <v>926</v>
      </c>
      <c r="C235" t="s">
        <v>56</v>
      </c>
      <c r="D235">
        <f>VLOOKUP(C235,Sheet2!C:G,5,FALSE)</f>
        <v>1207</v>
      </c>
      <c r="E235" t="s">
        <v>57</v>
      </c>
      <c r="F235">
        <f>VLOOKUP(E235,Sheet2!D:E,2,FALSE)</f>
        <v>200982</v>
      </c>
      <c r="G235" t="s">
        <v>11</v>
      </c>
      <c r="H235" t="str">
        <f t="shared" si="6"/>
        <v>NAVERcargo5959</v>
      </c>
      <c r="I235" t="str">
        <f>"cargo5959"</f>
        <v>cargo5959</v>
      </c>
      <c r="J235">
        <v>42320</v>
      </c>
      <c r="K235" s="1">
        <v>44866</v>
      </c>
      <c r="L235" t="s">
        <v>307</v>
      </c>
      <c r="M235">
        <f t="shared" si="7"/>
        <v>42320</v>
      </c>
      <c r="N235" t="e">
        <f>VLOOKUP(H235,Sheet1!G:H,2,FALSE)</f>
        <v>#N/A</v>
      </c>
      <c r="R235" t="s">
        <v>2159</v>
      </c>
      <c r="S235">
        <v>1071770</v>
      </c>
    </row>
    <row r="236" spans="1:19" x14ac:dyDescent="0.3">
      <c r="A236" t="s">
        <v>8</v>
      </c>
      <c r="B236">
        <f>VLOOKUP(A236,Sheet2!B:F,5,FALSE)</f>
        <v>928</v>
      </c>
      <c r="C236" t="s">
        <v>9</v>
      </c>
      <c r="D236">
        <f>VLOOKUP(C236,Sheet2!C:G,5,FALSE)</f>
        <v>1202</v>
      </c>
      <c r="E236" t="s">
        <v>10</v>
      </c>
      <c r="F236">
        <f>VLOOKUP(E236,Sheet2!D:E,2,FALSE)</f>
        <v>939</v>
      </c>
      <c r="G236" t="s">
        <v>11</v>
      </c>
      <c r="H236" t="str">
        <f t="shared" si="6"/>
        <v>NAVERcarone68</v>
      </c>
      <c r="I236" t="str">
        <f>"carone68"</f>
        <v>carone68</v>
      </c>
      <c r="J236">
        <v>371590</v>
      </c>
      <c r="K236" s="1">
        <v>44866</v>
      </c>
      <c r="L236" t="s">
        <v>308</v>
      </c>
      <c r="M236">
        <f t="shared" si="7"/>
        <v>371590</v>
      </c>
      <c r="N236" t="e">
        <f>VLOOKUP(H236,Sheet1!G:H,2,FALSE)</f>
        <v>#N/A</v>
      </c>
      <c r="R236" t="s">
        <v>2160</v>
      </c>
      <c r="S236">
        <v>660780</v>
      </c>
    </row>
    <row r="237" spans="1:19" x14ac:dyDescent="0.3">
      <c r="A237" t="s">
        <v>8</v>
      </c>
      <c r="B237">
        <f>VLOOKUP(A237,Sheet2!B:F,5,FALSE)</f>
        <v>928</v>
      </c>
      <c r="C237" t="s">
        <v>9</v>
      </c>
      <c r="D237">
        <f>VLOOKUP(C237,Sheet2!C:G,5,FALSE)</f>
        <v>1202</v>
      </c>
      <c r="E237" t="s">
        <v>33</v>
      </c>
      <c r="F237">
        <f>VLOOKUP(E237,Sheet2!D:E,2,FALSE)</f>
        <v>933</v>
      </c>
      <c r="G237" t="s">
        <v>11</v>
      </c>
      <c r="H237" t="str">
        <f t="shared" si="6"/>
        <v>NAVERcas</v>
      </c>
      <c r="I237" t="str">
        <f>"cas"</f>
        <v>cas</v>
      </c>
      <c r="J237">
        <v>4423010</v>
      </c>
      <c r="K237" s="1">
        <v>44866</v>
      </c>
      <c r="L237" t="s">
        <v>309</v>
      </c>
      <c r="M237">
        <f t="shared" si="7"/>
        <v>3923020</v>
      </c>
      <c r="N237" t="e">
        <f>VLOOKUP(H237,Sheet1!G:H,2,FALSE)</f>
        <v>#N/A</v>
      </c>
      <c r="R237" t="s">
        <v>2161</v>
      </c>
      <c r="S237">
        <v>2027890</v>
      </c>
    </row>
    <row r="238" spans="1:19" x14ac:dyDescent="0.3">
      <c r="A238" t="s">
        <v>8</v>
      </c>
      <c r="B238">
        <f>VLOOKUP(A238,Sheet2!B:F,5,FALSE)</f>
        <v>928</v>
      </c>
      <c r="C238" t="s">
        <v>9</v>
      </c>
      <c r="D238">
        <f>VLOOKUP(C238,Sheet2!C:G,5,FALSE)</f>
        <v>1202</v>
      </c>
      <c r="E238" t="s">
        <v>310</v>
      </c>
      <c r="F238">
        <f>VLOOKUP(E238,Sheet2!D:E,2,FALSE)</f>
        <v>201113</v>
      </c>
      <c r="G238" t="s">
        <v>11</v>
      </c>
      <c r="H238" t="str">
        <f t="shared" si="6"/>
        <v>NAVERcas5544</v>
      </c>
      <c r="I238" t="str">
        <f>"cas5544"</f>
        <v>cas5544</v>
      </c>
      <c r="J238">
        <v>159100</v>
      </c>
      <c r="K238" s="1">
        <v>44866</v>
      </c>
      <c r="L238" t="s">
        <v>311</v>
      </c>
      <c r="M238">
        <f t="shared" si="7"/>
        <v>159100</v>
      </c>
      <c r="N238" t="e">
        <f>VLOOKUP(H238,Sheet1!G:H,2,FALSE)</f>
        <v>#N/A</v>
      </c>
      <c r="R238" t="s">
        <v>2162</v>
      </c>
      <c r="S238">
        <v>113220</v>
      </c>
    </row>
    <row r="239" spans="1:19" x14ac:dyDescent="0.3">
      <c r="A239" t="s">
        <v>8</v>
      </c>
      <c r="B239">
        <f>VLOOKUP(A239,Sheet2!B:F,5,FALSE)</f>
        <v>928</v>
      </c>
      <c r="C239" t="s">
        <v>13</v>
      </c>
      <c r="D239">
        <f>VLOOKUP(C239,Sheet2!C:G,5,FALSE)</f>
        <v>1184</v>
      </c>
      <c r="E239" t="s">
        <v>59</v>
      </c>
      <c r="F239">
        <f>VLOOKUP(E239,Sheet2!D:E,2,FALSE)</f>
        <v>9</v>
      </c>
      <c r="G239" t="s">
        <v>11</v>
      </c>
      <c r="H239" t="str">
        <f t="shared" si="6"/>
        <v>NAVERcasign</v>
      </c>
      <c r="I239" t="str">
        <f>"casign"</f>
        <v>casign</v>
      </c>
      <c r="J239">
        <v>6620</v>
      </c>
      <c r="K239" s="1">
        <v>44866</v>
      </c>
      <c r="L239" t="s">
        <v>312</v>
      </c>
      <c r="M239">
        <f t="shared" si="7"/>
        <v>6620</v>
      </c>
      <c r="N239" t="e">
        <f>VLOOKUP(H239,Sheet1!G:H,2,FALSE)</f>
        <v>#N/A</v>
      </c>
      <c r="R239" t="s">
        <v>2163</v>
      </c>
      <c r="S239">
        <v>565802</v>
      </c>
    </row>
    <row r="240" spans="1:19" x14ac:dyDescent="0.3">
      <c r="A240" t="s">
        <v>8</v>
      </c>
      <c r="B240">
        <f>VLOOKUP(A240,Sheet2!B:F,5,FALSE)</f>
        <v>928</v>
      </c>
      <c r="C240" t="s">
        <v>13</v>
      </c>
      <c r="D240">
        <f>VLOOKUP(C240,Sheet2!C:G,5,FALSE)</f>
        <v>1184</v>
      </c>
      <c r="E240" t="s">
        <v>59</v>
      </c>
      <c r="F240">
        <f>VLOOKUP(E240,Sheet2!D:E,2,FALSE)</f>
        <v>9</v>
      </c>
      <c r="G240" t="s">
        <v>11</v>
      </c>
      <c r="H240" t="str">
        <f t="shared" si="6"/>
        <v>NAVERcastle6200</v>
      </c>
      <c r="I240" t="str">
        <f>"castle6200"</f>
        <v>castle6200</v>
      </c>
      <c r="J240">
        <v>9888324</v>
      </c>
      <c r="K240" s="1">
        <v>44866</v>
      </c>
      <c r="L240" t="s">
        <v>313</v>
      </c>
      <c r="M240">
        <f t="shared" si="7"/>
        <v>9888370</v>
      </c>
      <c r="N240" t="e">
        <f>VLOOKUP(H240,Sheet1!G:H,2,FALSE)</f>
        <v>#N/A</v>
      </c>
      <c r="R240" t="s">
        <v>2164</v>
      </c>
      <c r="S240">
        <v>13305130</v>
      </c>
    </row>
    <row r="241" spans="1:19" x14ac:dyDescent="0.3">
      <c r="A241" t="s">
        <v>8</v>
      </c>
      <c r="B241">
        <f>VLOOKUP(A241,Sheet2!B:F,5,FALSE)</f>
        <v>928</v>
      </c>
      <c r="C241" t="s">
        <v>9</v>
      </c>
      <c r="D241">
        <f>VLOOKUP(C241,Sheet2!C:G,5,FALSE)</f>
        <v>1202</v>
      </c>
      <c r="E241" t="s">
        <v>47</v>
      </c>
      <c r="F241">
        <f>VLOOKUP(E241,Sheet2!D:E,2,FALSE)</f>
        <v>898</v>
      </c>
      <c r="G241" t="s">
        <v>11</v>
      </c>
      <c r="H241" t="str">
        <f t="shared" si="6"/>
        <v>NAVERcats040617</v>
      </c>
      <c r="I241" t="str">
        <f>"cats040617"</f>
        <v>cats040617</v>
      </c>
      <c r="J241">
        <v>895880</v>
      </c>
      <c r="K241" s="1">
        <v>44866</v>
      </c>
      <c r="L241" t="s">
        <v>314</v>
      </c>
      <c r="M241">
        <f t="shared" si="7"/>
        <v>895880</v>
      </c>
      <c r="N241" t="e">
        <f>VLOOKUP(H241,Sheet1!G:H,2,FALSE)</f>
        <v>#N/A</v>
      </c>
      <c r="R241" t="s">
        <v>2165</v>
      </c>
      <c r="S241">
        <v>1089830</v>
      </c>
    </row>
    <row r="242" spans="1:19" x14ac:dyDescent="0.3">
      <c r="A242" t="s">
        <v>41</v>
      </c>
      <c r="B242">
        <f>VLOOKUP(A242,Sheet2!B:F,5,FALSE)</f>
        <v>926</v>
      </c>
      <c r="C242" t="s">
        <v>56</v>
      </c>
      <c r="D242">
        <f>VLOOKUP(C242,Sheet2!C:G,5,FALSE)</f>
        <v>1207</v>
      </c>
      <c r="E242" t="s">
        <v>64</v>
      </c>
      <c r="F242">
        <f>VLOOKUP(E242,Sheet2!D:E,2,FALSE)</f>
        <v>201011</v>
      </c>
      <c r="G242" t="s">
        <v>11</v>
      </c>
      <c r="H242" t="str">
        <f t="shared" si="6"/>
        <v>NAVERcbcpress:naver</v>
      </c>
      <c r="I242" t="str">
        <f>"cbcpress:naver"</f>
        <v>cbcpress:naver</v>
      </c>
      <c r="J242">
        <v>36050</v>
      </c>
      <c r="K242" s="1">
        <v>44866</v>
      </c>
      <c r="L242" t="s">
        <v>315</v>
      </c>
      <c r="M242">
        <f t="shared" si="7"/>
        <v>36050</v>
      </c>
      <c r="N242" t="e">
        <f>VLOOKUP(H242,Sheet1!G:H,2,FALSE)</f>
        <v>#N/A</v>
      </c>
      <c r="R242" t="s">
        <v>2166</v>
      </c>
      <c r="S242">
        <v>29715400</v>
      </c>
    </row>
    <row r="243" spans="1:19" x14ac:dyDescent="0.3">
      <c r="A243" t="s">
        <v>8</v>
      </c>
      <c r="B243">
        <f>VLOOKUP(A243,Sheet2!B:F,5,FALSE)</f>
        <v>928</v>
      </c>
      <c r="C243" t="s">
        <v>13</v>
      </c>
      <c r="D243">
        <f>VLOOKUP(C243,Sheet2!C:G,5,FALSE)</f>
        <v>1184</v>
      </c>
      <c r="E243" t="s">
        <v>115</v>
      </c>
      <c r="F243">
        <f>VLOOKUP(E243,Sheet2!D:E,2,FALSE)</f>
        <v>1548</v>
      </c>
      <c r="G243" t="s">
        <v>11</v>
      </c>
      <c r="H243" t="str">
        <f t="shared" si="6"/>
        <v>NAVERccc1166</v>
      </c>
      <c r="I243" t="str">
        <f>"ccc1166"</f>
        <v>ccc1166</v>
      </c>
      <c r="J243">
        <v>44270</v>
      </c>
      <c r="K243" s="1">
        <v>44866</v>
      </c>
      <c r="L243" t="s">
        <v>316</v>
      </c>
      <c r="M243">
        <f t="shared" si="7"/>
        <v>44270</v>
      </c>
      <c r="N243" t="e">
        <f>VLOOKUP(H243,Sheet1!G:H,2,FALSE)</f>
        <v>#N/A</v>
      </c>
      <c r="R243" t="s">
        <v>2167</v>
      </c>
      <c r="S243">
        <v>5508570</v>
      </c>
    </row>
    <row r="244" spans="1:19" x14ac:dyDescent="0.3">
      <c r="A244" t="s">
        <v>8</v>
      </c>
      <c r="B244">
        <f>VLOOKUP(A244,Sheet2!B:F,5,FALSE)</f>
        <v>928</v>
      </c>
      <c r="C244" t="s">
        <v>13</v>
      </c>
      <c r="D244">
        <f>VLOOKUP(C244,Sheet2!C:G,5,FALSE)</f>
        <v>1184</v>
      </c>
      <c r="E244" t="s">
        <v>51</v>
      </c>
      <c r="F244">
        <f>VLOOKUP(E244,Sheet2!D:E,2,FALSE)</f>
        <v>1274</v>
      </c>
      <c r="G244" t="s">
        <v>11</v>
      </c>
      <c r="H244" t="str">
        <f t="shared" si="6"/>
        <v>NAVERccin0428</v>
      </c>
      <c r="I244" t="str">
        <f>"ccin0428"</f>
        <v>ccin0428</v>
      </c>
      <c r="J244">
        <v>430</v>
      </c>
      <c r="K244" s="1">
        <v>44866</v>
      </c>
      <c r="L244" t="s">
        <v>317</v>
      </c>
      <c r="M244">
        <f t="shared" si="7"/>
        <v>430</v>
      </c>
      <c r="N244" t="e">
        <f>VLOOKUP(H244,Sheet1!G:H,2,FALSE)</f>
        <v>#N/A</v>
      </c>
      <c r="R244" t="s">
        <v>2168</v>
      </c>
      <c r="S244">
        <v>900</v>
      </c>
    </row>
    <row r="245" spans="1:19" x14ac:dyDescent="0.3">
      <c r="A245" t="s">
        <v>8</v>
      </c>
      <c r="B245">
        <f>VLOOKUP(A245,Sheet2!B:F,5,FALSE)</f>
        <v>928</v>
      </c>
      <c r="C245" t="s">
        <v>9</v>
      </c>
      <c r="D245">
        <f>VLOOKUP(C245,Sheet2!C:G,5,FALSE)</f>
        <v>1202</v>
      </c>
      <c r="E245" t="s">
        <v>220</v>
      </c>
      <c r="F245">
        <f>VLOOKUP(E245,Sheet2!D:E,2,FALSE)</f>
        <v>1211</v>
      </c>
      <c r="G245" t="s">
        <v>11</v>
      </c>
      <c r="H245" t="str">
        <f t="shared" si="6"/>
        <v>NAVERccuration</v>
      </c>
      <c r="I245" t="str">
        <f>"ccuration"</f>
        <v>ccuration</v>
      </c>
      <c r="J245">
        <v>40850</v>
      </c>
      <c r="K245" s="1">
        <v>44866</v>
      </c>
      <c r="L245" t="s">
        <v>318</v>
      </c>
      <c r="M245">
        <f t="shared" si="7"/>
        <v>40850</v>
      </c>
      <c r="N245" t="e">
        <f>VLOOKUP(H245,Sheet1!G:H,2,FALSE)</f>
        <v>#N/A</v>
      </c>
      <c r="R245" t="s">
        <v>2169</v>
      </c>
      <c r="S245">
        <v>280</v>
      </c>
    </row>
    <row r="246" spans="1:19" x14ac:dyDescent="0.3">
      <c r="A246" t="s">
        <v>8</v>
      </c>
      <c r="B246">
        <f>VLOOKUP(A246,Sheet2!B:F,5,FALSE)</f>
        <v>928</v>
      </c>
      <c r="C246" t="s">
        <v>9</v>
      </c>
      <c r="D246">
        <f>VLOOKUP(C246,Sheet2!C:G,5,FALSE)</f>
        <v>1202</v>
      </c>
      <c r="E246" t="s">
        <v>122</v>
      </c>
      <c r="F246">
        <f>VLOOKUP(E246,Sheet2!D:E,2,FALSE)</f>
        <v>251</v>
      </c>
      <c r="G246" t="s">
        <v>11</v>
      </c>
      <c r="H246" t="str">
        <f t="shared" si="6"/>
        <v>NAVERcdnetworks</v>
      </c>
      <c r="I246" t="str">
        <f>"cdnetworks"</f>
        <v>cdnetworks</v>
      </c>
      <c r="J246">
        <v>1590830</v>
      </c>
      <c r="K246" s="1">
        <v>44866</v>
      </c>
      <c r="L246" t="s">
        <v>319</v>
      </c>
      <c r="M246">
        <f t="shared" si="7"/>
        <v>1590830</v>
      </c>
      <c r="N246" t="e">
        <f>VLOOKUP(H246,Sheet1!G:H,2,FALSE)</f>
        <v>#N/A</v>
      </c>
      <c r="R246" t="s">
        <v>2170</v>
      </c>
      <c r="S246">
        <v>6850</v>
      </c>
    </row>
    <row r="247" spans="1:19" x14ac:dyDescent="0.3">
      <c r="A247" t="s">
        <v>8</v>
      </c>
      <c r="B247">
        <f>VLOOKUP(A247,Sheet2!B:F,5,FALSE)</f>
        <v>928</v>
      </c>
      <c r="C247" t="s">
        <v>13</v>
      </c>
      <c r="D247">
        <f>VLOOKUP(C247,Sheet2!C:G,5,FALSE)</f>
        <v>1184</v>
      </c>
      <c r="E247" t="s">
        <v>51</v>
      </c>
      <c r="F247">
        <f>VLOOKUP(E247,Sheet2!D:E,2,FALSE)</f>
        <v>1274</v>
      </c>
      <c r="G247" t="s">
        <v>11</v>
      </c>
      <c r="H247" t="str">
        <f t="shared" si="6"/>
        <v>NAVERcentral1254</v>
      </c>
      <c r="I247" t="str">
        <f>"central1254"</f>
        <v>central1254</v>
      </c>
      <c r="J247">
        <v>4382180</v>
      </c>
      <c r="K247" s="1">
        <v>44866</v>
      </c>
      <c r="L247" t="s">
        <v>320</v>
      </c>
      <c r="M247">
        <f t="shared" si="7"/>
        <v>4382180</v>
      </c>
      <c r="N247" t="e">
        <f>VLOOKUP(H247,Sheet1!G:H,2,FALSE)</f>
        <v>#N/A</v>
      </c>
      <c r="R247" t="s">
        <v>2171</v>
      </c>
      <c r="S247">
        <v>405870</v>
      </c>
    </row>
    <row r="248" spans="1:19" x14ac:dyDescent="0.3">
      <c r="A248" t="s">
        <v>8</v>
      </c>
      <c r="B248">
        <f>VLOOKUP(A248,Sheet2!B:F,5,FALSE)</f>
        <v>928</v>
      </c>
      <c r="C248" t="s">
        <v>9</v>
      </c>
      <c r="D248">
        <f>VLOOKUP(C248,Sheet2!C:G,5,FALSE)</f>
        <v>1202</v>
      </c>
      <c r="E248" t="s">
        <v>37</v>
      </c>
      <c r="F248">
        <f>VLOOKUP(E248,Sheet2!D:E,2,FALSE)</f>
        <v>81</v>
      </c>
      <c r="G248" t="s">
        <v>11</v>
      </c>
      <c r="H248" t="str">
        <f t="shared" si="6"/>
        <v>NAVERcghrn</v>
      </c>
      <c r="I248" t="str">
        <f>"cghrn"</f>
        <v>cghrn</v>
      </c>
      <c r="J248">
        <v>19080</v>
      </c>
      <c r="K248" s="1">
        <v>44866</v>
      </c>
      <c r="L248" t="s">
        <v>321</v>
      </c>
      <c r="M248">
        <f t="shared" si="7"/>
        <v>19080</v>
      </c>
      <c r="N248" t="e">
        <f>VLOOKUP(H248,Sheet1!G:H,2,FALSE)</f>
        <v>#N/A</v>
      </c>
      <c r="R248" t="s">
        <v>2172</v>
      </c>
      <c r="S248">
        <v>331140</v>
      </c>
    </row>
    <row r="249" spans="1:19" x14ac:dyDescent="0.3">
      <c r="A249" t="s">
        <v>22</v>
      </c>
      <c r="B249">
        <f>VLOOKUP(A249,Sheet2!B:F,5,FALSE)</f>
        <v>809</v>
      </c>
      <c r="C249" t="s">
        <v>23</v>
      </c>
      <c r="D249">
        <f>VLOOKUP(C249,Sheet2!C:G,5,FALSE)</f>
        <v>810</v>
      </c>
      <c r="E249" t="s">
        <v>106</v>
      </c>
      <c r="F249">
        <f>VLOOKUP(E249,Sheet2!D:E,2,FALSE)</f>
        <v>1349</v>
      </c>
      <c r="G249" t="s">
        <v>11</v>
      </c>
      <c r="H249" t="str">
        <f t="shared" si="6"/>
        <v>NAVERchacha0115:naver</v>
      </c>
      <c r="I249" t="str">
        <f>"chacha0115:naver"</f>
        <v>chacha0115:naver</v>
      </c>
      <c r="J249">
        <v>15250</v>
      </c>
      <c r="K249" s="1">
        <v>44866</v>
      </c>
      <c r="L249" t="s">
        <v>322</v>
      </c>
      <c r="M249">
        <f t="shared" si="7"/>
        <v>15250</v>
      </c>
      <c r="N249" t="e">
        <f>VLOOKUP(H249,Sheet1!G:H,2,FALSE)</f>
        <v>#N/A</v>
      </c>
      <c r="R249" t="s">
        <v>2173</v>
      </c>
      <c r="S249">
        <v>70890</v>
      </c>
    </row>
    <row r="250" spans="1:19" x14ac:dyDescent="0.3">
      <c r="A250" t="s">
        <v>8</v>
      </c>
      <c r="B250">
        <f>VLOOKUP(A250,Sheet2!B:F,5,FALSE)</f>
        <v>928</v>
      </c>
      <c r="C250" t="s">
        <v>13</v>
      </c>
      <c r="D250">
        <f>VLOOKUP(C250,Sheet2!C:G,5,FALSE)</f>
        <v>1184</v>
      </c>
      <c r="E250" t="s">
        <v>14</v>
      </c>
      <c r="F250">
        <f>VLOOKUP(E250,Sheet2!D:E,2,FALSE)</f>
        <v>914</v>
      </c>
      <c r="G250" t="s">
        <v>11</v>
      </c>
      <c r="H250" t="str">
        <f t="shared" si="6"/>
        <v>NAVERchaeumsaeng</v>
      </c>
      <c r="I250" t="str">
        <f>"chaeumsaeng"</f>
        <v>chaeumsaeng</v>
      </c>
      <c r="J250">
        <v>114860</v>
      </c>
      <c r="K250" s="1">
        <v>44866</v>
      </c>
      <c r="L250" t="s">
        <v>323</v>
      </c>
      <c r="M250">
        <f t="shared" si="7"/>
        <v>114860</v>
      </c>
      <c r="N250" t="e">
        <f>VLOOKUP(H250,Sheet1!G:H,2,FALSE)</f>
        <v>#N/A</v>
      </c>
      <c r="R250" t="s">
        <v>2174</v>
      </c>
      <c r="S250">
        <v>1362790</v>
      </c>
    </row>
    <row r="251" spans="1:19" x14ac:dyDescent="0.3">
      <c r="A251" t="s">
        <v>16</v>
      </c>
      <c r="B251">
        <f>VLOOKUP(A251,Sheet2!B:F,5,FALSE)</f>
        <v>927</v>
      </c>
      <c r="C251" t="s">
        <v>17</v>
      </c>
      <c r="D251">
        <f>VLOOKUP(C251,Sheet2!C:G,5,FALSE)</f>
        <v>1200</v>
      </c>
      <c r="E251" t="s">
        <v>18</v>
      </c>
      <c r="F251">
        <f>VLOOKUP(E251,Sheet2!D:E,2,FALSE)</f>
        <v>201116</v>
      </c>
      <c r="G251" t="s">
        <v>11</v>
      </c>
      <c r="H251" t="str">
        <f t="shared" si="6"/>
        <v>NAVERchajung</v>
      </c>
      <c r="I251" t="str">
        <f>"chajung"</f>
        <v>chajung</v>
      </c>
      <c r="J251">
        <v>3043108</v>
      </c>
      <c r="K251" s="1">
        <v>44866</v>
      </c>
      <c r="L251" t="s">
        <v>324</v>
      </c>
      <c r="M251">
        <f t="shared" si="7"/>
        <v>2809780</v>
      </c>
      <c r="N251" t="e">
        <f>VLOOKUP(H251,Sheet1!G:H,2,FALSE)</f>
        <v>#N/A</v>
      </c>
      <c r="R251" t="s">
        <v>2175</v>
      </c>
      <c r="S251">
        <v>141210</v>
      </c>
    </row>
    <row r="252" spans="1:19" x14ac:dyDescent="0.3">
      <c r="A252" t="s">
        <v>16</v>
      </c>
      <c r="B252">
        <f>VLOOKUP(A252,Sheet2!B:F,5,FALSE)</f>
        <v>927</v>
      </c>
      <c r="C252" t="s">
        <v>17</v>
      </c>
      <c r="D252">
        <f>VLOOKUP(C252,Sheet2!C:G,5,FALSE)</f>
        <v>1200</v>
      </c>
      <c r="E252" t="s">
        <v>78</v>
      </c>
      <c r="F252">
        <f>VLOOKUP(E252,Sheet2!D:E,2,FALSE)</f>
        <v>57</v>
      </c>
      <c r="G252" t="s">
        <v>11</v>
      </c>
      <c r="H252" t="str">
        <f t="shared" si="6"/>
        <v>NAVERchameleon360</v>
      </c>
      <c r="I252" t="str">
        <f>"chameleon360"</f>
        <v>chameleon360</v>
      </c>
      <c r="J252">
        <v>6917580</v>
      </c>
      <c r="K252" s="1">
        <v>44866</v>
      </c>
      <c r="L252" t="s">
        <v>325</v>
      </c>
      <c r="M252">
        <f t="shared" si="7"/>
        <v>6544250</v>
      </c>
      <c r="N252" t="e">
        <f>VLOOKUP(H252,Sheet1!G:H,2,FALSE)</f>
        <v>#N/A</v>
      </c>
      <c r="R252" t="s">
        <v>2176</v>
      </c>
      <c r="S252">
        <v>16130</v>
      </c>
    </row>
    <row r="253" spans="1:19" x14ac:dyDescent="0.3">
      <c r="A253" t="s">
        <v>22</v>
      </c>
      <c r="B253">
        <f>VLOOKUP(A253,Sheet2!B:F,5,FALSE)</f>
        <v>809</v>
      </c>
      <c r="C253" t="s">
        <v>23</v>
      </c>
      <c r="D253">
        <f>VLOOKUP(C253,Sheet2!C:G,5,FALSE)</f>
        <v>810</v>
      </c>
      <c r="E253" t="s">
        <v>106</v>
      </c>
      <c r="F253">
        <f>VLOOKUP(E253,Sheet2!D:E,2,FALSE)</f>
        <v>1349</v>
      </c>
      <c r="G253" t="s">
        <v>11</v>
      </c>
      <c r="H253" t="str">
        <f t="shared" si="6"/>
        <v>NAVERchameloroasters:naver</v>
      </c>
      <c r="I253" t="str">
        <f>"chameloroasters:naver"</f>
        <v>chameloroasters:naver</v>
      </c>
      <c r="J253">
        <v>17010</v>
      </c>
      <c r="K253" s="1">
        <v>44866</v>
      </c>
      <c r="L253" t="s">
        <v>326</v>
      </c>
      <c r="M253">
        <f t="shared" si="7"/>
        <v>17010</v>
      </c>
      <c r="N253" t="e">
        <f>VLOOKUP(H253,Sheet1!G:H,2,FALSE)</f>
        <v>#N/A</v>
      </c>
      <c r="R253" t="s">
        <v>2177</v>
      </c>
      <c r="S253">
        <v>71180</v>
      </c>
    </row>
    <row r="254" spans="1:19" x14ac:dyDescent="0.3">
      <c r="A254" t="s">
        <v>16</v>
      </c>
      <c r="B254">
        <f>VLOOKUP(A254,Sheet2!B:F,5,FALSE)</f>
        <v>927</v>
      </c>
      <c r="C254" t="s">
        <v>17</v>
      </c>
      <c r="D254">
        <f>VLOOKUP(C254,Sheet2!C:G,5,FALSE)</f>
        <v>1200</v>
      </c>
      <c r="E254" t="s">
        <v>290</v>
      </c>
      <c r="F254">
        <f>VLOOKUP(E254,Sheet2!D:E,2,FALSE)</f>
        <v>556</v>
      </c>
      <c r="G254" t="s">
        <v>11</v>
      </c>
      <c r="H254" t="str">
        <f t="shared" si="6"/>
        <v>NAVERchamjoeun17</v>
      </c>
      <c r="I254" t="str">
        <f>"chamjoeun17"</f>
        <v>chamjoeun17</v>
      </c>
      <c r="J254">
        <v>292860</v>
      </c>
      <c r="K254" s="1">
        <v>44866</v>
      </c>
      <c r="L254" t="s">
        <v>327</v>
      </c>
      <c r="M254">
        <f t="shared" si="7"/>
        <v>292860</v>
      </c>
      <c r="N254" t="e">
        <f>VLOOKUP(H254,Sheet1!G:H,2,FALSE)</f>
        <v>#N/A</v>
      </c>
      <c r="R254" t="s">
        <v>2178</v>
      </c>
      <c r="S254">
        <v>975960</v>
      </c>
    </row>
    <row r="255" spans="1:19" x14ac:dyDescent="0.3">
      <c r="A255" t="s">
        <v>16</v>
      </c>
      <c r="B255">
        <f>VLOOKUP(A255,Sheet2!B:F,5,FALSE)</f>
        <v>927</v>
      </c>
      <c r="C255" t="s">
        <v>17</v>
      </c>
      <c r="D255">
        <f>VLOOKUP(C255,Sheet2!C:G,5,FALSE)</f>
        <v>1200</v>
      </c>
      <c r="E255" t="s">
        <v>66</v>
      </c>
      <c r="F255">
        <f>VLOOKUP(E255,Sheet2!D:E,2,FALSE)</f>
        <v>33</v>
      </c>
      <c r="G255" t="s">
        <v>11</v>
      </c>
      <c r="H255" t="str">
        <f t="shared" si="6"/>
        <v>NAVERchandew</v>
      </c>
      <c r="I255" t="str">
        <f>"chandew"</f>
        <v>chandew</v>
      </c>
      <c r="J255">
        <v>91120</v>
      </c>
      <c r="K255" s="1">
        <v>44866</v>
      </c>
      <c r="L255" t="s">
        <v>328</v>
      </c>
      <c r="M255">
        <f t="shared" si="7"/>
        <v>91120</v>
      </c>
      <c r="N255" t="e">
        <f>VLOOKUP(H255,Sheet1!G:H,2,FALSE)</f>
        <v>#N/A</v>
      </c>
      <c r="R255" t="s">
        <v>2179</v>
      </c>
      <c r="S255">
        <v>16180960</v>
      </c>
    </row>
    <row r="256" spans="1:19" x14ac:dyDescent="0.3">
      <c r="A256" t="s">
        <v>8</v>
      </c>
      <c r="B256">
        <f>VLOOKUP(A256,Sheet2!B:F,5,FALSE)</f>
        <v>928</v>
      </c>
      <c r="C256" t="s">
        <v>9</v>
      </c>
      <c r="D256">
        <f>VLOOKUP(C256,Sheet2!C:G,5,FALSE)</f>
        <v>1202</v>
      </c>
      <c r="E256" t="s">
        <v>20</v>
      </c>
      <c r="F256">
        <f>VLOOKUP(E256,Sheet2!D:E,2,FALSE)</f>
        <v>938</v>
      </c>
      <c r="G256" t="s">
        <v>11</v>
      </c>
      <c r="H256" t="str">
        <f t="shared" si="6"/>
        <v>NAVERchangjo2012</v>
      </c>
      <c r="I256" t="str">
        <f>"changjo2012"</f>
        <v>changjo2012</v>
      </c>
      <c r="J256">
        <v>435460</v>
      </c>
      <c r="K256" s="1">
        <v>44866</v>
      </c>
      <c r="L256" t="s">
        <v>329</v>
      </c>
      <c r="M256">
        <f t="shared" si="7"/>
        <v>435460</v>
      </c>
      <c r="N256" t="e">
        <f>VLOOKUP(H256,Sheet1!G:H,2,FALSE)</f>
        <v>#N/A</v>
      </c>
      <c r="R256" t="s">
        <v>2180</v>
      </c>
      <c r="S256">
        <v>4456570</v>
      </c>
    </row>
    <row r="257" spans="1:19" x14ac:dyDescent="0.3">
      <c r="A257" t="s">
        <v>8</v>
      </c>
      <c r="B257">
        <f>VLOOKUP(A257,Sheet2!B:F,5,FALSE)</f>
        <v>928</v>
      </c>
      <c r="C257" t="s">
        <v>13</v>
      </c>
      <c r="D257">
        <f>VLOOKUP(C257,Sheet2!C:G,5,FALSE)</f>
        <v>1184</v>
      </c>
      <c r="E257" t="s">
        <v>59</v>
      </c>
      <c r="F257">
        <f>VLOOKUP(E257,Sheet2!D:E,2,FALSE)</f>
        <v>9</v>
      </c>
      <c r="G257" t="s">
        <v>11</v>
      </c>
      <c r="H257" t="str">
        <f t="shared" si="6"/>
        <v>NAVERchasedae</v>
      </c>
      <c r="I257" t="str">
        <f>"chasedae"</f>
        <v>chasedae</v>
      </c>
      <c r="J257">
        <v>24090</v>
      </c>
      <c r="K257" s="1">
        <v>44866</v>
      </c>
      <c r="L257" t="s">
        <v>330</v>
      </c>
      <c r="M257">
        <f t="shared" si="7"/>
        <v>24090</v>
      </c>
      <c r="N257" t="e">
        <f>VLOOKUP(H257,Sheet1!G:H,2,FALSE)</f>
        <v>#N/A</v>
      </c>
      <c r="R257" t="s">
        <v>2181</v>
      </c>
      <c r="S257">
        <v>25970</v>
      </c>
    </row>
    <row r="258" spans="1:19" x14ac:dyDescent="0.3">
      <c r="A258" t="s">
        <v>8</v>
      </c>
      <c r="B258">
        <f>VLOOKUP(A258,Sheet2!B:F,5,FALSE)</f>
        <v>928</v>
      </c>
      <c r="C258" t="s">
        <v>13</v>
      </c>
      <c r="D258">
        <f>VLOOKUP(C258,Sheet2!C:G,5,FALSE)</f>
        <v>1184</v>
      </c>
      <c r="E258" t="s">
        <v>51</v>
      </c>
      <c r="F258">
        <f>VLOOKUP(E258,Sheet2!D:E,2,FALSE)</f>
        <v>1274</v>
      </c>
      <c r="G258" t="s">
        <v>11</v>
      </c>
      <c r="H258" t="str">
        <f t="shared" si="6"/>
        <v>NAVERche0070:naver</v>
      </c>
      <c r="I258" t="str">
        <f>"che0070:naver"</f>
        <v>che0070:naver</v>
      </c>
      <c r="J258">
        <v>50</v>
      </c>
      <c r="K258" s="1">
        <v>44866</v>
      </c>
      <c r="L258" t="s">
        <v>331</v>
      </c>
      <c r="M258">
        <f t="shared" si="7"/>
        <v>50</v>
      </c>
      <c r="N258" t="e">
        <f>VLOOKUP(H258,Sheet1!G:H,2,FALSE)</f>
        <v>#N/A</v>
      </c>
      <c r="R258" t="s">
        <v>2182</v>
      </c>
      <c r="S258">
        <v>239910</v>
      </c>
    </row>
    <row r="259" spans="1:19" x14ac:dyDescent="0.3">
      <c r="A259" t="s">
        <v>8</v>
      </c>
      <c r="B259">
        <f>VLOOKUP(A259,Sheet2!B:F,5,FALSE)</f>
        <v>928</v>
      </c>
      <c r="C259" t="s">
        <v>9</v>
      </c>
      <c r="D259">
        <f>VLOOKUP(C259,Sheet2!C:G,5,FALSE)</f>
        <v>1202</v>
      </c>
      <c r="E259" t="s">
        <v>33</v>
      </c>
      <c r="F259">
        <f>VLOOKUP(E259,Sheet2!D:E,2,FALSE)</f>
        <v>933</v>
      </c>
      <c r="G259" t="s">
        <v>11</v>
      </c>
      <c r="H259" t="str">
        <f t="shared" ref="H259:H322" si="8">CONCATENATE(G259,I259)</f>
        <v>NAVERcheonglimwon:naver</v>
      </c>
      <c r="I259" t="str">
        <f>"cheonglimwon:naver"</f>
        <v>cheonglimwon:naver</v>
      </c>
      <c r="J259">
        <v>519670</v>
      </c>
      <c r="K259" s="1">
        <v>44866</v>
      </c>
      <c r="L259" t="s">
        <v>332</v>
      </c>
      <c r="M259">
        <f t="shared" ref="M259:M322" si="9">VLOOKUP(H259,R:S,2,FALSE)</f>
        <v>519670</v>
      </c>
      <c r="N259" t="e">
        <f>VLOOKUP(H259,Sheet1!G:H,2,FALSE)</f>
        <v>#N/A</v>
      </c>
      <c r="R259" t="s">
        <v>2183</v>
      </c>
      <c r="S259">
        <v>130020</v>
      </c>
    </row>
    <row r="260" spans="1:19" x14ac:dyDescent="0.3">
      <c r="A260" t="s">
        <v>41</v>
      </c>
      <c r="B260">
        <f>VLOOKUP(A260,Sheet2!B:F,5,FALSE)</f>
        <v>926</v>
      </c>
      <c r="C260" t="s">
        <v>56</v>
      </c>
      <c r="D260">
        <f>VLOOKUP(C260,Sheet2!C:G,5,FALSE)</f>
        <v>1207</v>
      </c>
      <c r="E260" t="s">
        <v>57</v>
      </c>
      <c r="F260">
        <f>VLOOKUP(E260,Sheet2!D:E,2,FALSE)</f>
        <v>200982</v>
      </c>
      <c r="G260" t="s">
        <v>11</v>
      </c>
      <c r="H260" t="str">
        <f t="shared" si="8"/>
        <v>NAVERcheunghak</v>
      </c>
      <c r="I260" t="str">
        <f>"cheunghak"</f>
        <v>cheunghak</v>
      </c>
      <c r="J260">
        <v>31790</v>
      </c>
      <c r="K260" s="1">
        <v>44866</v>
      </c>
      <c r="L260" t="s">
        <v>333</v>
      </c>
      <c r="M260">
        <f t="shared" si="9"/>
        <v>31790</v>
      </c>
      <c r="N260" t="e">
        <f>VLOOKUP(H260,Sheet1!G:H,2,FALSE)</f>
        <v>#N/A</v>
      </c>
      <c r="R260" t="s">
        <v>2184</v>
      </c>
      <c r="S260">
        <v>491010</v>
      </c>
    </row>
    <row r="261" spans="1:19" x14ac:dyDescent="0.3">
      <c r="A261" t="s">
        <v>8</v>
      </c>
      <c r="B261">
        <f>VLOOKUP(A261,Sheet2!B:F,5,FALSE)</f>
        <v>928</v>
      </c>
      <c r="C261" t="s">
        <v>13</v>
      </c>
      <c r="D261">
        <f>VLOOKUP(C261,Sheet2!C:G,5,FALSE)</f>
        <v>1184</v>
      </c>
      <c r="E261" t="s">
        <v>217</v>
      </c>
      <c r="F261">
        <f>VLOOKUP(E261,Sheet2!D:E,2,FALSE)</f>
        <v>201027</v>
      </c>
      <c r="G261" t="s">
        <v>11</v>
      </c>
      <c r="H261" t="str">
        <f t="shared" si="8"/>
        <v>NAVERchlgns80</v>
      </c>
      <c r="I261" t="str">
        <f>"chlgns80"</f>
        <v>chlgns80</v>
      </c>
      <c r="J261">
        <v>1580</v>
      </c>
      <c r="K261" s="1">
        <v>44866</v>
      </c>
      <c r="L261" t="s">
        <v>334</v>
      </c>
      <c r="M261">
        <f t="shared" si="9"/>
        <v>1580</v>
      </c>
      <c r="N261" t="str">
        <f>VLOOKUP(H261,Sheet1!G:H,2,FALSE)</f>
        <v>네이버 구버젼 광고시스템 및 광고운영X</v>
      </c>
      <c r="R261" t="s">
        <v>2185</v>
      </c>
      <c r="S261">
        <v>1060</v>
      </c>
    </row>
    <row r="262" spans="1:19" x14ac:dyDescent="0.3">
      <c r="A262" t="s">
        <v>8</v>
      </c>
      <c r="B262">
        <f>VLOOKUP(A262,Sheet2!B:F,5,FALSE)</f>
        <v>928</v>
      </c>
      <c r="C262" t="s">
        <v>13</v>
      </c>
      <c r="D262">
        <f>VLOOKUP(C262,Sheet2!C:G,5,FALSE)</f>
        <v>1184</v>
      </c>
      <c r="E262" t="s">
        <v>335</v>
      </c>
      <c r="F262">
        <f>VLOOKUP(E262,Sheet2!D:E,2,FALSE)</f>
        <v>201090</v>
      </c>
      <c r="G262" t="s">
        <v>11</v>
      </c>
      <c r="H262" t="str">
        <f t="shared" si="8"/>
        <v>NAVERchlwnghks</v>
      </c>
      <c r="I262" t="str">
        <f>"chlwnghks"</f>
        <v>chlwnghks</v>
      </c>
      <c r="J262">
        <v>46620</v>
      </c>
      <c r="K262" s="1">
        <v>44866</v>
      </c>
      <c r="L262" t="s">
        <v>336</v>
      </c>
      <c r="M262">
        <f t="shared" si="9"/>
        <v>46620</v>
      </c>
      <c r="N262" t="e">
        <f>VLOOKUP(H262,Sheet1!G:H,2,FALSE)</f>
        <v>#N/A</v>
      </c>
      <c r="R262" t="s">
        <v>2186</v>
      </c>
      <c r="S262">
        <v>184778</v>
      </c>
    </row>
    <row r="263" spans="1:19" x14ac:dyDescent="0.3">
      <c r="A263" t="s">
        <v>8</v>
      </c>
      <c r="B263">
        <f>VLOOKUP(A263,Sheet2!B:F,5,FALSE)</f>
        <v>928</v>
      </c>
      <c r="C263" t="s">
        <v>9</v>
      </c>
      <c r="D263">
        <f>VLOOKUP(C263,Sheet2!C:G,5,FALSE)</f>
        <v>1202</v>
      </c>
      <c r="E263" t="s">
        <v>73</v>
      </c>
      <c r="F263">
        <f>VLOOKUP(E263,Sheet2!D:E,2,FALSE)</f>
        <v>895</v>
      </c>
      <c r="G263" t="s">
        <v>11</v>
      </c>
      <c r="H263" t="str">
        <f t="shared" si="8"/>
        <v>NAVERchnuno</v>
      </c>
      <c r="I263" t="str">
        <f>"chnuno"</f>
        <v>chnuno</v>
      </c>
      <c r="J263">
        <v>1692010</v>
      </c>
      <c r="K263" s="1">
        <v>44866</v>
      </c>
      <c r="L263" t="s">
        <v>337</v>
      </c>
      <c r="M263">
        <f t="shared" si="9"/>
        <v>1719500</v>
      </c>
      <c r="N263" t="e">
        <f>VLOOKUP(H263,Sheet1!G:H,2,FALSE)</f>
        <v>#N/A</v>
      </c>
      <c r="R263" t="s">
        <v>2187</v>
      </c>
      <c r="S263">
        <v>63740</v>
      </c>
    </row>
    <row r="264" spans="1:19" x14ac:dyDescent="0.3">
      <c r="A264" t="s">
        <v>41</v>
      </c>
      <c r="B264">
        <f>VLOOKUP(A264,Sheet2!B:F,5,FALSE)</f>
        <v>926</v>
      </c>
      <c r="C264" t="s">
        <v>56</v>
      </c>
      <c r="D264">
        <f>VLOOKUP(C264,Sheet2!C:G,5,FALSE)</f>
        <v>1207</v>
      </c>
      <c r="E264" t="s">
        <v>91</v>
      </c>
      <c r="F264">
        <f>VLOOKUP(E264,Sheet2!D:E,2,FALSE)</f>
        <v>201104</v>
      </c>
      <c r="G264" t="s">
        <v>11</v>
      </c>
      <c r="H264" t="str">
        <f t="shared" si="8"/>
        <v>NAVERchoi6065</v>
      </c>
      <c r="I264" t="str">
        <f>"choi6065"</f>
        <v>choi6065</v>
      </c>
      <c r="J264">
        <v>560450</v>
      </c>
      <c r="K264" s="1">
        <v>44866</v>
      </c>
      <c r="L264" t="s">
        <v>338</v>
      </c>
      <c r="M264">
        <f t="shared" si="9"/>
        <v>560450</v>
      </c>
      <c r="N264" t="e">
        <f>VLOOKUP(H264,Sheet1!G:H,2,FALSE)</f>
        <v>#N/A</v>
      </c>
      <c r="R264" t="s">
        <v>2188</v>
      </c>
      <c r="S264">
        <v>55940</v>
      </c>
    </row>
    <row r="265" spans="1:19" x14ac:dyDescent="0.3">
      <c r="A265" t="s">
        <v>16</v>
      </c>
      <c r="B265">
        <f>VLOOKUP(A265,Sheet2!B:F,5,FALSE)</f>
        <v>927</v>
      </c>
      <c r="C265" t="s">
        <v>17</v>
      </c>
      <c r="D265">
        <f>VLOOKUP(C265,Sheet2!C:G,5,FALSE)</f>
        <v>1200</v>
      </c>
      <c r="E265" t="s">
        <v>170</v>
      </c>
      <c r="F265">
        <f>VLOOKUP(E265,Sheet2!D:E,2,FALSE)</f>
        <v>1530</v>
      </c>
      <c r="G265" t="s">
        <v>11</v>
      </c>
      <c r="H265" t="str">
        <f t="shared" si="8"/>
        <v>NAVERchojangyen:naver</v>
      </c>
      <c r="I265" t="str">
        <f>"chojangyen:naver"</f>
        <v>chojangyen:naver</v>
      </c>
      <c r="J265">
        <v>280870</v>
      </c>
      <c r="K265" s="1">
        <v>44866</v>
      </c>
      <c r="L265" t="s">
        <v>339</v>
      </c>
      <c r="M265">
        <f t="shared" si="9"/>
        <v>280870</v>
      </c>
      <c r="N265" t="e">
        <f>VLOOKUP(H265,Sheet1!G:H,2,FALSE)</f>
        <v>#N/A</v>
      </c>
      <c r="R265" t="s">
        <v>2189</v>
      </c>
      <c r="S265">
        <v>1604810</v>
      </c>
    </row>
    <row r="266" spans="1:19" x14ac:dyDescent="0.3">
      <c r="A266" t="s">
        <v>8</v>
      </c>
      <c r="B266">
        <f>VLOOKUP(A266,Sheet2!B:F,5,FALSE)</f>
        <v>928</v>
      </c>
      <c r="C266" t="s">
        <v>9</v>
      </c>
      <c r="D266">
        <f>VLOOKUP(C266,Sheet2!C:G,5,FALSE)</f>
        <v>1202</v>
      </c>
      <c r="E266" t="s">
        <v>35</v>
      </c>
      <c r="F266">
        <f>VLOOKUP(E266,Sheet2!D:E,2,FALSE)</f>
        <v>51</v>
      </c>
      <c r="G266" t="s">
        <v>11</v>
      </c>
      <c r="H266" t="str">
        <f t="shared" si="8"/>
        <v>NAVERchokohr</v>
      </c>
      <c r="I266" t="str">
        <f>"chokohr"</f>
        <v>chokohr</v>
      </c>
      <c r="J266">
        <v>282300</v>
      </c>
      <c r="K266" s="1">
        <v>44866</v>
      </c>
      <c r="L266" t="s">
        <v>340</v>
      </c>
      <c r="M266">
        <f t="shared" si="9"/>
        <v>282300</v>
      </c>
      <c r="N266" t="e">
        <f>VLOOKUP(H266,Sheet1!G:H,2,FALSE)</f>
        <v>#N/A</v>
      </c>
      <c r="R266" t="s">
        <v>2190</v>
      </c>
      <c r="S266">
        <v>204540</v>
      </c>
    </row>
    <row r="267" spans="1:19" x14ac:dyDescent="0.3">
      <c r="A267" t="s">
        <v>8</v>
      </c>
      <c r="B267">
        <f>VLOOKUP(A267,Sheet2!B:F,5,FALSE)</f>
        <v>928</v>
      </c>
      <c r="C267" t="s">
        <v>9</v>
      </c>
      <c r="D267">
        <f>VLOOKUP(C267,Sheet2!C:G,5,FALSE)</f>
        <v>1202</v>
      </c>
      <c r="E267" t="s">
        <v>142</v>
      </c>
      <c r="F267">
        <f>VLOOKUP(E267,Sheet2!D:E,2,FALSE)</f>
        <v>652</v>
      </c>
      <c r="G267" t="s">
        <v>11</v>
      </c>
      <c r="H267" t="str">
        <f t="shared" si="8"/>
        <v>NAVERchokwang</v>
      </c>
      <c r="I267" t="str">
        <f>"chokwang"</f>
        <v>chokwang</v>
      </c>
      <c r="J267">
        <v>180340</v>
      </c>
      <c r="K267" s="1">
        <v>44866</v>
      </c>
      <c r="L267" t="s">
        <v>341</v>
      </c>
      <c r="M267">
        <f t="shared" si="9"/>
        <v>180340</v>
      </c>
      <c r="N267" t="e">
        <f>VLOOKUP(H267,Sheet1!G:H,2,FALSE)</f>
        <v>#N/A</v>
      </c>
      <c r="R267" t="s">
        <v>2191</v>
      </c>
      <c r="S267">
        <v>0</v>
      </c>
    </row>
    <row r="268" spans="1:19" x14ac:dyDescent="0.3">
      <c r="A268" t="s">
        <v>8</v>
      </c>
      <c r="B268">
        <f>VLOOKUP(A268,Sheet2!B:F,5,FALSE)</f>
        <v>928</v>
      </c>
      <c r="C268" t="s">
        <v>9</v>
      </c>
      <c r="D268">
        <f>VLOOKUP(C268,Sheet2!C:G,5,FALSE)</f>
        <v>1202</v>
      </c>
      <c r="E268" t="s">
        <v>35</v>
      </c>
      <c r="F268">
        <f>VLOOKUP(E268,Sheet2!D:E,2,FALSE)</f>
        <v>51</v>
      </c>
      <c r="G268" t="s">
        <v>11</v>
      </c>
      <c r="H268" t="str">
        <f t="shared" si="8"/>
        <v>NAVERchonilstone</v>
      </c>
      <c r="I268" t="str">
        <f>"chonilstone"</f>
        <v>chonilstone</v>
      </c>
      <c r="J268">
        <v>20440</v>
      </c>
      <c r="K268" s="1">
        <v>44866</v>
      </c>
      <c r="L268" t="s">
        <v>342</v>
      </c>
      <c r="M268">
        <f t="shared" si="9"/>
        <v>20440</v>
      </c>
      <c r="N268" t="e">
        <f>VLOOKUP(H268,Sheet1!G:H,2,FALSE)</f>
        <v>#N/A</v>
      </c>
      <c r="R268" t="s">
        <v>2192</v>
      </c>
      <c r="S268">
        <v>63340</v>
      </c>
    </row>
    <row r="269" spans="1:19" x14ac:dyDescent="0.3">
      <c r="A269" t="s">
        <v>16</v>
      </c>
      <c r="B269">
        <f>VLOOKUP(A269,Sheet2!B:F,5,FALSE)</f>
        <v>927</v>
      </c>
      <c r="C269" t="s">
        <v>17</v>
      </c>
      <c r="D269">
        <f>VLOOKUP(C269,Sheet2!C:G,5,FALSE)</f>
        <v>1200</v>
      </c>
      <c r="E269" t="s">
        <v>262</v>
      </c>
      <c r="F269">
        <f>VLOOKUP(E269,Sheet2!D:E,2,FALSE)</f>
        <v>1594</v>
      </c>
      <c r="G269" t="s">
        <v>11</v>
      </c>
      <c r="H269" t="str">
        <f t="shared" si="8"/>
        <v>NAVERchowory</v>
      </c>
      <c r="I269" t="str">
        <f>"chowory"</f>
        <v>chowory</v>
      </c>
      <c r="J269">
        <v>4320</v>
      </c>
      <c r="K269" s="1">
        <v>44866</v>
      </c>
      <c r="L269" t="s">
        <v>343</v>
      </c>
      <c r="M269">
        <f t="shared" si="9"/>
        <v>4320</v>
      </c>
      <c r="N269" t="e">
        <f>VLOOKUP(H269,Sheet1!G:H,2,FALSE)</f>
        <v>#N/A</v>
      </c>
      <c r="R269" t="s">
        <v>2193</v>
      </c>
      <c r="S269">
        <v>191030</v>
      </c>
    </row>
    <row r="270" spans="1:19" x14ac:dyDescent="0.3">
      <c r="A270" t="s">
        <v>8</v>
      </c>
      <c r="B270">
        <f>VLOOKUP(A270,Sheet2!B:F,5,FALSE)</f>
        <v>928</v>
      </c>
      <c r="C270" t="s">
        <v>9</v>
      </c>
      <c r="D270">
        <f>VLOOKUP(C270,Sheet2!C:G,5,FALSE)</f>
        <v>1202</v>
      </c>
      <c r="E270" t="s">
        <v>31</v>
      </c>
      <c r="F270">
        <f>VLOOKUP(E270,Sheet2!D:E,2,FALSE)</f>
        <v>1040</v>
      </c>
      <c r="G270" t="s">
        <v>11</v>
      </c>
      <c r="H270" t="str">
        <f t="shared" si="8"/>
        <v>NAVERchungchyedu</v>
      </c>
      <c r="I270" t="str">
        <f>"chungchyedu"</f>
        <v>chungchyedu</v>
      </c>
      <c r="J270">
        <v>966648</v>
      </c>
      <c r="K270" s="1">
        <v>44866</v>
      </c>
      <c r="L270" t="s">
        <v>344</v>
      </c>
      <c r="M270">
        <f t="shared" si="9"/>
        <v>0</v>
      </c>
      <c r="N270" t="e">
        <f>VLOOKUP(H270,Sheet1!G:H,2,FALSE)</f>
        <v>#N/A</v>
      </c>
      <c r="R270" t="s">
        <v>2194</v>
      </c>
      <c r="S270">
        <v>406450</v>
      </c>
    </row>
    <row r="271" spans="1:19" x14ac:dyDescent="0.3">
      <c r="A271" t="s">
        <v>41</v>
      </c>
      <c r="B271">
        <f>VLOOKUP(A271,Sheet2!B:F,5,FALSE)</f>
        <v>926</v>
      </c>
      <c r="C271" t="s">
        <v>42</v>
      </c>
      <c r="D271">
        <f>VLOOKUP(C271,Sheet2!C:G,5,FALSE)</f>
        <v>964</v>
      </c>
      <c r="E271" t="s">
        <v>43</v>
      </c>
      <c r="F271">
        <f>VLOOKUP(E271,Sheet2!D:E,2,FALSE)</f>
        <v>200998</v>
      </c>
      <c r="G271" t="s">
        <v>11</v>
      </c>
      <c r="H271" t="str">
        <f t="shared" si="8"/>
        <v>NAVERchungman</v>
      </c>
      <c r="I271" t="str">
        <f>"chungman"</f>
        <v>chungman</v>
      </c>
      <c r="J271">
        <v>223040</v>
      </c>
      <c r="K271" s="1">
        <v>44866</v>
      </c>
      <c r="L271" t="s">
        <v>345</v>
      </c>
      <c r="M271">
        <f t="shared" si="9"/>
        <v>223040</v>
      </c>
      <c r="N271" t="e">
        <f>VLOOKUP(H271,Sheet1!G:H,2,FALSE)</f>
        <v>#N/A</v>
      </c>
      <c r="R271" t="s">
        <v>2195</v>
      </c>
      <c r="S271">
        <v>54830</v>
      </c>
    </row>
    <row r="272" spans="1:19" x14ac:dyDescent="0.3">
      <c r="A272" t="s">
        <v>41</v>
      </c>
      <c r="B272">
        <f>VLOOKUP(A272,Sheet2!B:F,5,FALSE)</f>
        <v>926</v>
      </c>
      <c r="C272" t="s">
        <v>56</v>
      </c>
      <c r="D272">
        <f>VLOOKUP(C272,Sheet2!C:G,5,FALSE)</f>
        <v>1207</v>
      </c>
      <c r="E272" t="s">
        <v>62</v>
      </c>
      <c r="F272">
        <f>VLOOKUP(E272,Sheet2!D:E,2,FALSE)</f>
        <v>201037</v>
      </c>
      <c r="G272" t="s">
        <v>11</v>
      </c>
      <c r="H272" t="str">
        <f t="shared" si="8"/>
        <v>NAVERchungrim</v>
      </c>
      <c r="I272" t="str">
        <f>"chungrim"</f>
        <v>chungrim</v>
      </c>
      <c r="J272">
        <v>6750</v>
      </c>
      <c r="K272" s="1">
        <v>44866</v>
      </c>
      <c r="L272" t="s">
        <v>346</v>
      </c>
      <c r="M272">
        <f t="shared" si="9"/>
        <v>6750</v>
      </c>
      <c r="N272" t="e">
        <f>VLOOKUP(H272,Sheet1!G:H,2,FALSE)</f>
        <v>#N/A</v>
      </c>
      <c r="R272" t="s">
        <v>2196</v>
      </c>
      <c r="S272">
        <v>100840</v>
      </c>
    </row>
    <row r="273" spans="1:19" x14ac:dyDescent="0.3">
      <c r="A273" t="s">
        <v>41</v>
      </c>
      <c r="B273">
        <f>VLOOKUP(A273,Sheet2!B:F,5,FALSE)</f>
        <v>926</v>
      </c>
      <c r="C273" t="s">
        <v>56</v>
      </c>
      <c r="D273">
        <f>VLOOKUP(C273,Sheet2!C:G,5,FALSE)</f>
        <v>1207</v>
      </c>
      <c r="E273" t="s">
        <v>62</v>
      </c>
      <c r="F273">
        <f>VLOOKUP(E273,Sheet2!D:E,2,FALSE)</f>
        <v>201037</v>
      </c>
      <c r="G273" t="s">
        <v>11</v>
      </c>
      <c r="H273" t="str">
        <f t="shared" si="8"/>
        <v>NAVERchungsimi:naver</v>
      </c>
      <c r="I273" t="str">
        <f>"chungsimi:naver"</f>
        <v>chungsimi:naver</v>
      </c>
      <c r="J273">
        <v>6480</v>
      </c>
      <c r="K273" s="1">
        <v>44866</v>
      </c>
      <c r="L273" t="s">
        <v>347</v>
      </c>
      <c r="M273" t="e">
        <f t="shared" si="9"/>
        <v>#N/A</v>
      </c>
      <c r="N273" t="str">
        <f>VLOOKUP(H273,Sheet1!G:H,2,FALSE)</f>
        <v>피이관 계정</v>
      </c>
      <c r="R273" t="s">
        <v>2197</v>
      </c>
      <c r="S273">
        <v>3120</v>
      </c>
    </row>
    <row r="274" spans="1:19" x14ac:dyDescent="0.3">
      <c r="A274" t="s">
        <v>176</v>
      </c>
      <c r="B274">
        <f>VLOOKUP(A274,Sheet2!B:F,5,FALSE)</f>
        <v>1204</v>
      </c>
      <c r="C274" t="s">
        <v>177</v>
      </c>
      <c r="D274">
        <f>VLOOKUP(C274,Sheet2!C:G,5,FALSE)</f>
        <v>1205</v>
      </c>
      <c r="E274" t="s">
        <v>178</v>
      </c>
      <c r="F274">
        <f>VLOOKUP(E274,Sheet2!D:E,2,FALSE)</f>
        <v>201073</v>
      </c>
      <c r="G274" t="s">
        <v>11</v>
      </c>
      <c r="H274" t="str">
        <f t="shared" si="8"/>
        <v>NAVERchunhowig</v>
      </c>
      <c r="I274" t="str">
        <f>"chunhowig"</f>
        <v>chunhowig</v>
      </c>
      <c r="J274">
        <v>36020</v>
      </c>
      <c r="K274" s="1">
        <v>44866</v>
      </c>
      <c r="L274" t="s">
        <v>348</v>
      </c>
      <c r="M274">
        <f t="shared" si="9"/>
        <v>36320</v>
      </c>
      <c r="N274" t="e">
        <f>VLOOKUP(H274,Sheet1!G:H,2,FALSE)</f>
        <v>#N/A</v>
      </c>
      <c r="R274" t="s">
        <v>2198</v>
      </c>
      <c r="S274">
        <v>120430</v>
      </c>
    </row>
    <row r="275" spans="1:19" x14ac:dyDescent="0.3">
      <c r="A275" t="s">
        <v>8</v>
      </c>
      <c r="B275">
        <f>VLOOKUP(A275,Sheet2!B:F,5,FALSE)</f>
        <v>928</v>
      </c>
      <c r="C275" t="s">
        <v>13</v>
      </c>
      <c r="D275">
        <f>VLOOKUP(C275,Sheet2!C:G,5,FALSE)</f>
        <v>1184</v>
      </c>
      <c r="E275" t="s">
        <v>59</v>
      </c>
      <c r="F275">
        <f>VLOOKUP(E275,Sheet2!D:E,2,FALSE)</f>
        <v>9</v>
      </c>
      <c r="G275" t="s">
        <v>11</v>
      </c>
      <c r="H275" t="str">
        <f t="shared" si="8"/>
        <v>NAVERchwo2001</v>
      </c>
      <c r="I275" t="str">
        <f>"chwo2001"</f>
        <v>chwo2001</v>
      </c>
      <c r="J275">
        <v>58850</v>
      </c>
      <c r="K275" s="1">
        <v>44866</v>
      </c>
      <c r="L275" t="s">
        <v>349</v>
      </c>
      <c r="M275">
        <f t="shared" si="9"/>
        <v>58850</v>
      </c>
      <c r="N275" t="e">
        <f>VLOOKUP(H275,Sheet1!G:H,2,FALSE)</f>
        <v>#N/A</v>
      </c>
      <c r="R275" t="s">
        <v>2199</v>
      </c>
      <c r="S275">
        <v>1299600</v>
      </c>
    </row>
    <row r="276" spans="1:19" x14ac:dyDescent="0.3">
      <c r="A276" t="s">
        <v>8</v>
      </c>
      <c r="B276">
        <f>VLOOKUP(A276,Sheet2!B:F,5,FALSE)</f>
        <v>928</v>
      </c>
      <c r="C276" t="s">
        <v>9</v>
      </c>
      <c r="D276">
        <f>VLOOKUP(C276,Sheet2!C:G,5,FALSE)</f>
        <v>1202</v>
      </c>
      <c r="E276" t="s">
        <v>45</v>
      </c>
      <c r="F276">
        <f>VLOOKUP(E276,Sheet2!D:E,2,FALSE)</f>
        <v>26</v>
      </c>
      <c r="G276" t="s">
        <v>11</v>
      </c>
      <c r="H276" t="str">
        <f t="shared" si="8"/>
        <v>NAVERchy7999</v>
      </c>
      <c r="I276" t="str">
        <f>"chy7999"</f>
        <v>chy7999</v>
      </c>
      <c r="J276">
        <v>7860</v>
      </c>
      <c r="K276" s="1">
        <v>44866</v>
      </c>
      <c r="L276" t="s">
        <v>350</v>
      </c>
      <c r="M276">
        <f t="shared" si="9"/>
        <v>180</v>
      </c>
      <c r="N276" t="str">
        <f>VLOOKUP(H276,Sheet1!G:H,2,FALSE)</f>
        <v>이미있음</v>
      </c>
      <c r="R276" t="s">
        <v>2200</v>
      </c>
      <c r="S276">
        <v>45220</v>
      </c>
    </row>
    <row r="277" spans="1:19" x14ac:dyDescent="0.3">
      <c r="A277" t="s">
        <v>16</v>
      </c>
      <c r="B277">
        <f>VLOOKUP(A277,Sheet2!B:F,5,FALSE)</f>
        <v>927</v>
      </c>
      <c r="C277" t="s">
        <v>17</v>
      </c>
      <c r="D277">
        <f>VLOOKUP(C277,Sheet2!C:G,5,FALSE)</f>
        <v>1200</v>
      </c>
      <c r="E277" t="s">
        <v>66</v>
      </c>
      <c r="F277">
        <f>VLOOKUP(E277,Sheet2!D:E,2,FALSE)</f>
        <v>33</v>
      </c>
      <c r="G277" t="s">
        <v>11</v>
      </c>
      <c r="H277" t="str">
        <f t="shared" si="8"/>
        <v>NAVERcia7007</v>
      </c>
      <c r="I277" t="str">
        <f>"cia7007"</f>
        <v>cia7007</v>
      </c>
      <c r="J277">
        <v>3800</v>
      </c>
      <c r="K277" s="1">
        <v>44866</v>
      </c>
      <c r="L277" t="s">
        <v>351</v>
      </c>
      <c r="M277">
        <f t="shared" si="9"/>
        <v>3800</v>
      </c>
      <c r="N277" t="e">
        <f>VLOOKUP(H277,Sheet1!G:H,2,FALSE)</f>
        <v>#N/A</v>
      </c>
      <c r="R277" t="s">
        <v>2201</v>
      </c>
      <c r="S277">
        <v>1493050</v>
      </c>
    </row>
    <row r="278" spans="1:19" x14ac:dyDescent="0.3">
      <c r="A278" t="s">
        <v>8</v>
      </c>
      <c r="B278">
        <f>VLOOKUP(A278,Sheet2!B:F,5,FALSE)</f>
        <v>928</v>
      </c>
      <c r="C278" t="s">
        <v>9</v>
      </c>
      <c r="D278">
        <f>VLOOKUP(C278,Sheet2!C:G,5,FALSE)</f>
        <v>1202</v>
      </c>
      <c r="E278" t="s">
        <v>47</v>
      </c>
      <c r="F278">
        <f>VLOOKUP(E278,Sheet2!D:E,2,FALSE)</f>
        <v>898</v>
      </c>
      <c r="G278" t="s">
        <v>11</v>
      </c>
      <c r="H278" t="str">
        <f t="shared" si="8"/>
        <v>NAVERcimakwon</v>
      </c>
      <c r="I278" t="str">
        <f>"cimakwon"</f>
        <v>cimakwon</v>
      </c>
      <c r="J278">
        <v>687850</v>
      </c>
      <c r="K278" s="1">
        <v>44866</v>
      </c>
      <c r="L278" t="s">
        <v>352</v>
      </c>
      <c r="M278">
        <f t="shared" si="9"/>
        <v>687850</v>
      </c>
      <c r="N278" t="e">
        <f>VLOOKUP(H278,Sheet1!G:H,2,FALSE)</f>
        <v>#N/A</v>
      </c>
      <c r="R278" t="s">
        <v>2202</v>
      </c>
      <c r="S278">
        <v>67340</v>
      </c>
    </row>
    <row r="279" spans="1:19" x14ac:dyDescent="0.3">
      <c r="A279" t="s">
        <v>16</v>
      </c>
      <c r="B279">
        <f>VLOOKUP(A279,Sheet2!B:F,5,FALSE)</f>
        <v>927</v>
      </c>
      <c r="C279" t="s">
        <v>17</v>
      </c>
      <c r="D279">
        <f>VLOOKUP(C279,Sheet2!C:G,5,FALSE)</f>
        <v>1200</v>
      </c>
      <c r="E279" t="s">
        <v>353</v>
      </c>
      <c r="F279">
        <f>VLOOKUP(E279,Sheet2!D:E,2,FALSE)</f>
        <v>201108</v>
      </c>
      <c r="G279" t="s">
        <v>11</v>
      </c>
      <c r="H279" t="str">
        <f t="shared" si="8"/>
        <v>NAVERcindy0265:naver</v>
      </c>
      <c r="I279" t="str">
        <f>"cindy0265:naver"</f>
        <v>cindy0265:naver</v>
      </c>
      <c r="J279">
        <v>41034</v>
      </c>
      <c r="K279" s="1">
        <v>44866</v>
      </c>
      <c r="L279" t="s">
        <v>354</v>
      </c>
      <c r="M279">
        <f t="shared" si="9"/>
        <v>68310</v>
      </c>
      <c r="N279" t="e">
        <f>VLOOKUP(H279,Sheet1!G:H,2,FALSE)</f>
        <v>#N/A</v>
      </c>
      <c r="R279" t="s">
        <v>2203</v>
      </c>
      <c r="S279">
        <v>3280</v>
      </c>
    </row>
    <row r="280" spans="1:19" x14ac:dyDescent="0.3">
      <c r="A280" t="s">
        <v>16</v>
      </c>
      <c r="B280">
        <f>VLOOKUP(A280,Sheet2!B:F,5,FALSE)</f>
        <v>927</v>
      </c>
      <c r="C280" t="s">
        <v>17</v>
      </c>
      <c r="D280">
        <f>VLOOKUP(C280,Sheet2!C:G,5,FALSE)</f>
        <v>1200</v>
      </c>
      <c r="E280" t="s">
        <v>96</v>
      </c>
      <c r="F280">
        <f>VLOOKUP(E280,Sheet2!D:E,2,FALSE)</f>
        <v>1271</v>
      </c>
      <c r="G280" t="s">
        <v>11</v>
      </c>
      <c r="H280" t="str">
        <f t="shared" si="8"/>
        <v>NAVERcirclenet</v>
      </c>
      <c r="I280" t="str">
        <f>"circlenet"</f>
        <v>circlenet</v>
      </c>
      <c r="J280">
        <v>568023</v>
      </c>
      <c r="K280" s="1">
        <v>44866</v>
      </c>
      <c r="L280" t="s">
        <v>355</v>
      </c>
      <c r="M280">
        <f t="shared" si="9"/>
        <v>568074</v>
      </c>
      <c r="N280" t="e">
        <f>VLOOKUP(H280,Sheet1!G:H,2,FALSE)</f>
        <v>#N/A</v>
      </c>
      <c r="R280" t="s">
        <v>2204</v>
      </c>
      <c r="S280">
        <v>75540</v>
      </c>
    </row>
    <row r="281" spans="1:19" x14ac:dyDescent="0.3">
      <c r="A281" t="s">
        <v>41</v>
      </c>
      <c r="B281">
        <f>VLOOKUP(A281,Sheet2!B:F,5,FALSE)</f>
        <v>926</v>
      </c>
      <c r="C281" t="s">
        <v>56</v>
      </c>
      <c r="D281">
        <f>VLOOKUP(C281,Sheet2!C:G,5,FALSE)</f>
        <v>1207</v>
      </c>
      <c r="E281" t="s">
        <v>62</v>
      </c>
      <c r="F281">
        <f>VLOOKUP(E281,Sheet2!D:E,2,FALSE)</f>
        <v>201037</v>
      </c>
      <c r="G281" t="s">
        <v>11</v>
      </c>
      <c r="H281" t="str">
        <f t="shared" si="8"/>
        <v>NAVERcity0405</v>
      </c>
      <c r="I281" t="str">
        <f>"city0405"</f>
        <v>city0405</v>
      </c>
      <c r="J281">
        <v>473930</v>
      </c>
      <c r="K281" s="1">
        <v>44866</v>
      </c>
      <c r="L281" t="s">
        <v>356</v>
      </c>
      <c r="M281">
        <f t="shared" si="9"/>
        <v>473930</v>
      </c>
      <c r="N281" t="e">
        <f>VLOOKUP(H281,Sheet1!G:H,2,FALSE)</f>
        <v>#N/A</v>
      </c>
      <c r="R281" t="s">
        <v>2205</v>
      </c>
      <c r="S281">
        <v>294000</v>
      </c>
    </row>
    <row r="282" spans="1:19" x14ac:dyDescent="0.3">
      <c r="A282" t="s">
        <v>8</v>
      </c>
      <c r="B282">
        <f>VLOOKUP(A282,Sheet2!B:F,5,FALSE)</f>
        <v>928</v>
      </c>
      <c r="C282" t="s">
        <v>9</v>
      </c>
      <c r="D282">
        <f>VLOOKUP(C282,Sheet2!C:G,5,FALSE)</f>
        <v>1202</v>
      </c>
      <c r="E282" t="s">
        <v>31</v>
      </c>
      <c r="F282">
        <f>VLOOKUP(E282,Sheet2!D:E,2,FALSE)</f>
        <v>1040</v>
      </c>
      <c r="G282" t="s">
        <v>11</v>
      </c>
      <c r="H282" t="str">
        <f t="shared" si="8"/>
        <v>NAVERcj8177</v>
      </c>
      <c r="I282" t="str">
        <f>"cj8177"</f>
        <v>cj8177</v>
      </c>
      <c r="J282">
        <v>5830</v>
      </c>
      <c r="K282" s="1">
        <v>44866</v>
      </c>
      <c r="L282" t="s">
        <v>357</v>
      </c>
      <c r="M282">
        <f t="shared" si="9"/>
        <v>5830</v>
      </c>
      <c r="N282" t="e">
        <f>VLOOKUP(H282,Sheet1!G:H,2,FALSE)</f>
        <v>#N/A</v>
      </c>
      <c r="R282" t="s">
        <v>2206</v>
      </c>
      <c r="S282">
        <v>67350</v>
      </c>
    </row>
    <row r="283" spans="1:19" x14ac:dyDescent="0.3">
      <c r="A283" t="s">
        <v>8</v>
      </c>
      <c r="B283">
        <f>VLOOKUP(A283,Sheet2!B:F,5,FALSE)</f>
        <v>928</v>
      </c>
      <c r="C283" t="s">
        <v>9</v>
      </c>
      <c r="D283">
        <f>VLOOKUP(C283,Sheet2!C:G,5,FALSE)</f>
        <v>1202</v>
      </c>
      <c r="E283" t="s">
        <v>75</v>
      </c>
      <c r="F283">
        <f>VLOOKUP(E283,Sheet2!D:E,2,FALSE)</f>
        <v>50</v>
      </c>
      <c r="G283" t="s">
        <v>11</v>
      </c>
      <c r="H283" t="str">
        <f t="shared" si="8"/>
        <v>NAVERcjart815</v>
      </c>
      <c r="I283" t="str">
        <f>"cjart815"</f>
        <v>cjart815</v>
      </c>
      <c r="J283">
        <v>884340</v>
      </c>
      <c r="K283" s="1">
        <v>44866</v>
      </c>
      <c r="L283" t="s">
        <v>358</v>
      </c>
      <c r="M283">
        <f t="shared" si="9"/>
        <v>884340</v>
      </c>
      <c r="N283" t="e">
        <f>VLOOKUP(H283,Sheet1!G:H,2,FALSE)</f>
        <v>#N/A</v>
      </c>
      <c r="R283" t="s">
        <v>2207</v>
      </c>
      <c r="S283">
        <v>833560</v>
      </c>
    </row>
    <row r="284" spans="1:19" x14ac:dyDescent="0.3">
      <c r="A284" t="s">
        <v>8</v>
      </c>
      <c r="B284">
        <f>VLOOKUP(A284,Sheet2!B:F,5,FALSE)</f>
        <v>928</v>
      </c>
      <c r="C284" t="s">
        <v>13</v>
      </c>
      <c r="D284">
        <f>VLOOKUP(C284,Sheet2!C:G,5,FALSE)</f>
        <v>1184</v>
      </c>
      <c r="E284" t="s">
        <v>59</v>
      </c>
      <c r="F284">
        <f>VLOOKUP(E284,Sheet2!D:E,2,FALSE)</f>
        <v>9</v>
      </c>
      <c r="G284" t="s">
        <v>11</v>
      </c>
      <c r="H284" t="str">
        <f t="shared" si="8"/>
        <v>NAVERcjbeauty</v>
      </c>
      <c r="I284" t="str">
        <f>"cjbeauty"</f>
        <v>cjbeauty</v>
      </c>
      <c r="J284">
        <v>15190</v>
      </c>
      <c r="K284" s="1">
        <v>44866</v>
      </c>
      <c r="L284" t="s">
        <v>359</v>
      </c>
      <c r="M284">
        <f t="shared" si="9"/>
        <v>15190</v>
      </c>
      <c r="N284" t="e">
        <f>VLOOKUP(H284,Sheet1!G:H,2,FALSE)</f>
        <v>#N/A</v>
      </c>
      <c r="R284" t="s">
        <v>2208</v>
      </c>
      <c r="S284">
        <v>45900</v>
      </c>
    </row>
    <row r="285" spans="1:19" x14ac:dyDescent="0.3">
      <c r="A285" t="s">
        <v>16</v>
      </c>
      <c r="B285">
        <f>VLOOKUP(A285,Sheet2!B:F,5,FALSE)</f>
        <v>927</v>
      </c>
      <c r="C285" t="s">
        <v>17</v>
      </c>
      <c r="D285">
        <f>VLOOKUP(C285,Sheet2!C:G,5,FALSE)</f>
        <v>1200</v>
      </c>
      <c r="E285" t="s">
        <v>66</v>
      </c>
      <c r="F285">
        <f>VLOOKUP(E285,Sheet2!D:E,2,FALSE)</f>
        <v>33</v>
      </c>
      <c r="G285" t="s">
        <v>11</v>
      </c>
      <c r="H285" t="str">
        <f t="shared" si="8"/>
        <v>NAVERcjcplan0903</v>
      </c>
      <c r="I285" t="str">
        <f>"cjcplan0903"</f>
        <v>cjcplan0903</v>
      </c>
      <c r="J285">
        <v>67770</v>
      </c>
      <c r="K285" s="1">
        <v>44866</v>
      </c>
      <c r="L285" t="s">
        <v>360</v>
      </c>
      <c r="M285">
        <f t="shared" si="9"/>
        <v>67770</v>
      </c>
      <c r="N285" t="e">
        <f>VLOOKUP(H285,Sheet1!G:H,2,FALSE)</f>
        <v>#N/A</v>
      </c>
      <c r="R285" t="s">
        <v>2209</v>
      </c>
      <c r="S285">
        <v>85601010</v>
      </c>
    </row>
    <row r="286" spans="1:19" x14ac:dyDescent="0.3">
      <c r="A286" t="s">
        <v>16</v>
      </c>
      <c r="B286">
        <f>VLOOKUP(A286,Sheet2!B:F,5,FALSE)</f>
        <v>927</v>
      </c>
      <c r="C286" t="s">
        <v>17</v>
      </c>
      <c r="D286">
        <f>VLOOKUP(C286,Sheet2!C:G,5,FALSE)</f>
        <v>1200</v>
      </c>
      <c r="E286" t="s">
        <v>78</v>
      </c>
      <c r="F286">
        <f>VLOOKUP(E286,Sheet2!D:E,2,FALSE)</f>
        <v>57</v>
      </c>
      <c r="G286" t="s">
        <v>11</v>
      </c>
      <c r="H286" t="str">
        <f t="shared" si="8"/>
        <v>NAVERcjhc140401:naver</v>
      </c>
      <c r="I286" t="str">
        <f>"cjhc140401:naver"</f>
        <v>cjhc140401:naver</v>
      </c>
      <c r="J286">
        <v>16107130</v>
      </c>
      <c r="K286" s="1">
        <v>44866</v>
      </c>
      <c r="L286" t="s">
        <v>361</v>
      </c>
      <c r="M286">
        <f t="shared" si="9"/>
        <v>14907160</v>
      </c>
      <c r="N286" t="e">
        <f>VLOOKUP(H286,Sheet1!G:H,2,FALSE)</f>
        <v>#N/A</v>
      </c>
      <c r="R286" t="s">
        <v>2210</v>
      </c>
      <c r="S286">
        <v>8657880</v>
      </c>
    </row>
    <row r="287" spans="1:19" x14ac:dyDescent="0.3">
      <c r="A287" t="s">
        <v>8</v>
      </c>
      <c r="B287">
        <f>VLOOKUP(A287,Sheet2!B:F,5,FALSE)</f>
        <v>928</v>
      </c>
      <c r="C287" t="s">
        <v>9</v>
      </c>
      <c r="D287">
        <f>VLOOKUP(C287,Sheet2!C:G,5,FALSE)</f>
        <v>1202</v>
      </c>
      <c r="E287" t="s">
        <v>39</v>
      </c>
      <c r="F287">
        <f>VLOOKUP(E287,Sheet2!D:E,2,FALSE)</f>
        <v>25</v>
      </c>
      <c r="G287" t="s">
        <v>11</v>
      </c>
      <c r="H287" t="str">
        <f t="shared" si="8"/>
        <v>NAVERcjsm7</v>
      </c>
      <c r="I287" t="str">
        <f>"cjsm7"</f>
        <v>cjsm7</v>
      </c>
      <c r="J287">
        <v>239260</v>
      </c>
      <c r="K287" s="1">
        <v>44866</v>
      </c>
      <c r="L287" t="s">
        <v>362</v>
      </c>
      <c r="M287">
        <f t="shared" si="9"/>
        <v>239260</v>
      </c>
      <c r="N287" t="e">
        <f>VLOOKUP(H287,Sheet1!G:H,2,FALSE)</f>
        <v>#N/A</v>
      </c>
      <c r="R287" t="s">
        <v>2211</v>
      </c>
      <c r="S287">
        <v>2950</v>
      </c>
    </row>
    <row r="288" spans="1:19" x14ac:dyDescent="0.3">
      <c r="A288" t="s">
        <v>8</v>
      </c>
      <c r="B288">
        <f>VLOOKUP(A288,Sheet2!B:F,5,FALSE)</f>
        <v>928</v>
      </c>
      <c r="C288" t="s">
        <v>9</v>
      </c>
      <c r="D288">
        <f>VLOOKUP(C288,Sheet2!C:G,5,FALSE)</f>
        <v>1202</v>
      </c>
      <c r="E288" t="s">
        <v>37</v>
      </c>
      <c r="F288">
        <f>VLOOKUP(E288,Sheet2!D:E,2,FALSE)</f>
        <v>81</v>
      </c>
      <c r="G288" t="s">
        <v>11</v>
      </c>
      <c r="H288" t="str">
        <f t="shared" si="8"/>
        <v>NAVERckfood</v>
      </c>
      <c r="I288" t="str">
        <f>"ckfood"</f>
        <v>ckfood</v>
      </c>
      <c r="J288">
        <v>210</v>
      </c>
      <c r="K288" s="1">
        <v>44866</v>
      </c>
      <c r="L288" t="s">
        <v>363</v>
      </c>
      <c r="M288">
        <f t="shared" si="9"/>
        <v>210</v>
      </c>
      <c r="N288" t="e">
        <f>VLOOKUP(H288,Sheet1!G:H,2,FALSE)</f>
        <v>#N/A</v>
      </c>
      <c r="R288" t="s">
        <v>2212</v>
      </c>
      <c r="S288">
        <v>43840</v>
      </c>
    </row>
    <row r="289" spans="1:19" x14ac:dyDescent="0.3">
      <c r="A289" t="s">
        <v>8</v>
      </c>
      <c r="B289">
        <f>VLOOKUP(A289,Sheet2!B:F,5,FALSE)</f>
        <v>928</v>
      </c>
      <c r="C289" t="s">
        <v>9</v>
      </c>
      <c r="D289">
        <f>VLOOKUP(C289,Sheet2!C:G,5,FALSE)</f>
        <v>1202</v>
      </c>
      <c r="E289" t="s">
        <v>37</v>
      </c>
      <c r="F289">
        <f>VLOOKUP(E289,Sheet2!D:E,2,FALSE)</f>
        <v>81</v>
      </c>
      <c r="G289" t="s">
        <v>11</v>
      </c>
      <c r="H289" t="str">
        <f t="shared" si="8"/>
        <v>NAVERckj315</v>
      </c>
      <c r="I289" t="str">
        <f>"ckj315"</f>
        <v>ckj315</v>
      </c>
      <c r="J289">
        <v>1400680</v>
      </c>
      <c r="K289" s="1">
        <v>44866</v>
      </c>
      <c r="L289" t="s">
        <v>364</v>
      </c>
      <c r="M289">
        <f t="shared" si="9"/>
        <v>1400680</v>
      </c>
      <c r="N289" t="e">
        <f>VLOOKUP(H289,Sheet1!G:H,2,FALSE)</f>
        <v>#N/A</v>
      </c>
      <c r="R289" t="s">
        <v>2213</v>
      </c>
      <c r="S289">
        <v>175260</v>
      </c>
    </row>
    <row r="290" spans="1:19" x14ac:dyDescent="0.3">
      <c r="A290" t="s">
        <v>176</v>
      </c>
      <c r="B290">
        <f>VLOOKUP(A290,Sheet2!B:F,5,FALSE)</f>
        <v>1204</v>
      </c>
      <c r="C290" t="s">
        <v>177</v>
      </c>
      <c r="D290">
        <f>VLOOKUP(C290,Sheet2!C:G,5,FALSE)</f>
        <v>1205</v>
      </c>
      <c r="E290" t="s">
        <v>178</v>
      </c>
      <c r="F290">
        <f>VLOOKUP(E290,Sheet2!D:E,2,FALSE)</f>
        <v>201073</v>
      </c>
      <c r="G290" t="s">
        <v>11</v>
      </c>
      <c r="H290" t="str">
        <f t="shared" si="8"/>
        <v>NAVERclarins_kr</v>
      </c>
      <c r="I290" t="str">
        <f>"clarins_kr"</f>
        <v>clarins_kr</v>
      </c>
      <c r="J290">
        <v>9825690</v>
      </c>
      <c r="K290" s="1">
        <v>44866</v>
      </c>
      <c r="L290" t="s">
        <v>365</v>
      </c>
      <c r="M290">
        <f t="shared" si="9"/>
        <v>3125720</v>
      </c>
      <c r="N290" t="e">
        <f>VLOOKUP(H290,Sheet1!G:H,2,FALSE)</f>
        <v>#N/A</v>
      </c>
      <c r="R290" t="s">
        <v>2214</v>
      </c>
      <c r="S290">
        <v>81980</v>
      </c>
    </row>
    <row r="291" spans="1:19" x14ac:dyDescent="0.3">
      <c r="A291" t="s">
        <v>176</v>
      </c>
      <c r="B291">
        <f>VLOOKUP(A291,Sheet2!B:F,5,FALSE)</f>
        <v>1204</v>
      </c>
      <c r="C291" t="s">
        <v>177</v>
      </c>
      <c r="D291">
        <f>VLOOKUP(C291,Sheet2!C:G,5,FALSE)</f>
        <v>1205</v>
      </c>
      <c r="E291" t="s">
        <v>178</v>
      </c>
      <c r="F291">
        <f>VLOOKUP(E291,Sheet2!D:E,2,FALSE)</f>
        <v>201073</v>
      </c>
      <c r="G291" t="s">
        <v>11</v>
      </c>
      <c r="H291" t="str">
        <f t="shared" si="8"/>
        <v>NAVERclassicpot1</v>
      </c>
      <c r="I291" t="str">
        <f>"classicpot1"</f>
        <v>classicpot1</v>
      </c>
      <c r="J291">
        <v>98730496</v>
      </c>
      <c r="K291" s="1">
        <v>44866</v>
      </c>
      <c r="L291" t="s">
        <v>366</v>
      </c>
      <c r="M291">
        <f t="shared" si="9"/>
        <v>77543840</v>
      </c>
      <c r="N291" t="e">
        <f>VLOOKUP(H291,Sheet1!G:H,2,FALSE)</f>
        <v>#N/A</v>
      </c>
      <c r="R291" t="s">
        <v>2215</v>
      </c>
      <c r="S291">
        <v>39980</v>
      </c>
    </row>
    <row r="292" spans="1:19" x14ac:dyDescent="0.3">
      <c r="A292" t="s">
        <v>8</v>
      </c>
      <c r="B292">
        <f>VLOOKUP(A292,Sheet2!B:F,5,FALSE)</f>
        <v>928</v>
      </c>
      <c r="C292" t="s">
        <v>9</v>
      </c>
      <c r="D292">
        <f>VLOOKUP(C292,Sheet2!C:G,5,FALSE)</f>
        <v>1202</v>
      </c>
      <c r="E292" t="s">
        <v>27</v>
      </c>
      <c r="F292">
        <f>VLOOKUP(E292,Sheet2!D:E,2,FALSE)</f>
        <v>806</v>
      </c>
      <c r="G292" t="s">
        <v>11</v>
      </c>
      <c r="H292" t="str">
        <f t="shared" si="8"/>
        <v>NAVERcleanisland</v>
      </c>
      <c r="I292" t="str">
        <f>"cleanisland"</f>
        <v>cleanisland</v>
      </c>
      <c r="J292">
        <v>701190</v>
      </c>
      <c r="K292" s="1">
        <v>44866</v>
      </c>
      <c r="L292" t="s">
        <v>367</v>
      </c>
      <c r="M292">
        <f t="shared" si="9"/>
        <v>701190</v>
      </c>
      <c r="N292" t="e">
        <f>VLOOKUP(H292,Sheet1!G:H,2,FALSE)</f>
        <v>#N/A</v>
      </c>
      <c r="R292" t="s">
        <v>2216</v>
      </c>
      <c r="S292">
        <v>70240</v>
      </c>
    </row>
    <row r="293" spans="1:19" x14ac:dyDescent="0.3">
      <c r="A293" t="s">
        <v>8</v>
      </c>
      <c r="B293">
        <f>VLOOKUP(A293,Sheet2!B:F,5,FALSE)</f>
        <v>928</v>
      </c>
      <c r="C293" t="s">
        <v>13</v>
      </c>
      <c r="D293">
        <f>VLOOKUP(C293,Sheet2!C:G,5,FALSE)</f>
        <v>1184</v>
      </c>
      <c r="E293" t="s">
        <v>14</v>
      </c>
      <c r="F293">
        <f>VLOOKUP(E293,Sheet2!D:E,2,FALSE)</f>
        <v>914</v>
      </c>
      <c r="G293" t="s">
        <v>11</v>
      </c>
      <c r="H293" t="str">
        <f t="shared" si="8"/>
        <v>NAVERclhat</v>
      </c>
      <c r="I293" t="str">
        <f>"clhat"</f>
        <v>clhat</v>
      </c>
      <c r="J293">
        <v>165990</v>
      </c>
      <c r="K293" s="1">
        <v>44866</v>
      </c>
      <c r="L293" t="s">
        <v>368</v>
      </c>
      <c r="M293">
        <f t="shared" si="9"/>
        <v>165990</v>
      </c>
      <c r="N293" t="e">
        <f>VLOOKUP(H293,Sheet1!G:H,2,FALSE)</f>
        <v>#N/A</v>
      </c>
      <c r="R293" t="s">
        <v>2217</v>
      </c>
      <c r="S293">
        <v>127870</v>
      </c>
    </row>
    <row r="294" spans="1:19" x14ac:dyDescent="0.3">
      <c r="A294" t="s">
        <v>8</v>
      </c>
      <c r="B294">
        <f>VLOOKUP(A294,Sheet2!B:F,5,FALSE)</f>
        <v>928</v>
      </c>
      <c r="C294" t="s">
        <v>13</v>
      </c>
      <c r="D294">
        <f>VLOOKUP(C294,Sheet2!C:G,5,FALSE)</f>
        <v>1184</v>
      </c>
      <c r="E294" t="s">
        <v>14</v>
      </c>
      <c r="F294">
        <f>VLOOKUP(E294,Sheet2!D:E,2,FALSE)</f>
        <v>914</v>
      </c>
      <c r="G294" t="s">
        <v>11</v>
      </c>
      <c r="H294" t="str">
        <f t="shared" si="8"/>
        <v>NAVERclickdj</v>
      </c>
      <c r="I294" t="str">
        <f>"clickdj"</f>
        <v>clickdj</v>
      </c>
      <c r="J294">
        <v>14220</v>
      </c>
      <c r="K294" s="1">
        <v>44866</v>
      </c>
      <c r="L294" t="s">
        <v>369</v>
      </c>
      <c r="M294">
        <f t="shared" si="9"/>
        <v>14220</v>
      </c>
      <c r="N294" t="e">
        <f>VLOOKUP(H294,Sheet1!G:H,2,FALSE)</f>
        <v>#N/A</v>
      </c>
      <c r="R294" t="s">
        <v>2218</v>
      </c>
      <c r="S294">
        <v>586050</v>
      </c>
    </row>
    <row r="295" spans="1:19" x14ac:dyDescent="0.3">
      <c r="A295" t="s">
        <v>8</v>
      </c>
      <c r="B295">
        <f>VLOOKUP(A295,Sheet2!B:F,5,FALSE)</f>
        <v>928</v>
      </c>
      <c r="C295" t="s">
        <v>9</v>
      </c>
      <c r="D295">
        <f>VLOOKUP(C295,Sheet2!C:G,5,FALSE)</f>
        <v>1202</v>
      </c>
      <c r="E295" t="s">
        <v>47</v>
      </c>
      <c r="F295">
        <f>VLOOKUP(E295,Sheet2!D:E,2,FALSE)</f>
        <v>898</v>
      </c>
      <c r="G295" t="s">
        <v>11</v>
      </c>
      <c r="H295" t="str">
        <f t="shared" si="8"/>
        <v>NAVERcmtech1</v>
      </c>
      <c r="I295" t="str">
        <f>"cmtech1"</f>
        <v>cmtech1</v>
      </c>
      <c r="J295">
        <v>1810</v>
      </c>
      <c r="K295" s="1">
        <v>44866</v>
      </c>
      <c r="L295" t="s">
        <v>370</v>
      </c>
      <c r="M295">
        <f t="shared" si="9"/>
        <v>1810</v>
      </c>
      <c r="N295" t="e">
        <f>VLOOKUP(H295,Sheet1!G:H,2,FALSE)</f>
        <v>#N/A</v>
      </c>
      <c r="R295" t="s">
        <v>2219</v>
      </c>
      <c r="S295">
        <v>1943110</v>
      </c>
    </row>
    <row r="296" spans="1:19" x14ac:dyDescent="0.3">
      <c r="A296" t="s">
        <v>16</v>
      </c>
      <c r="B296">
        <f>VLOOKUP(A296,Sheet2!B:F,5,FALSE)</f>
        <v>927</v>
      </c>
      <c r="C296" t="s">
        <v>17</v>
      </c>
      <c r="D296">
        <f>VLOOKUP(C296,Sheet2!C:G,5,FALSE)</f>
        <v>1200</v>
      </c>
      <c r="E296" t="s">
        <v>371</v>
      </c>
      <c r="F296">
        <f>VLOOKUP(E296,Sheet2!D:E,2,FALSE)</f>
        <v>551</v>
      </c>
      <c r="G296" t="s">
        <v>11</v>
      </c>
      <c r="H296" t="str">
        <f t="shared" si="8"/>
        <v>NAVERcnmall29</v>
      </c>
      <c r="I296" t="str">
        <f>"cnmall29"</f>
        <v>cnmall29</v>
      </c>
      <c r="J296">
        <v>7569550</v>
      </c>
      <c r="K296" s="1">
        <v>44866</v>
      </c>
      <c r="L296" t="s">
        <v>372</v>
      </c>
      <c r="M296">
        <f t="shared" si="9"/>
        <v>7569550</v>
      </c>
      <c r="N296" t="e">
        <f>VLOOKUP(H296,Sheet1!G:H,2,FALSE)</f>
        <v>#N/A</v>
      </c>
      <c r="R296" t="s">
        <v>2220</v>
      </c>
      <c r="S296">
        <v>50</v>
      </c>
    </row>
    <row r="297" spans="1:19" x14ac:dyDescent="0.3">
      <c r="A297" t="s">
        <v>8</v>
      </c>
      <c r="B297">
        <f>VLOOKUP(A297,Sheet2!B:F,5,FALSE)</f>
        <v>928</v>
      </c>
      <c r="C297" t="s">
        <v>13</v>
      </c>
      <c r="D297">
        <f>VLOOKUP(C297,Sheet2!C:G,5,FALSE)</f>
        <v>1184</v>
      </c>
      <c r="E297" t="s">
        <v>59</v>
      </c>
      <c r="F297">
        <f>VLOOKUP(E297,Sheet2!D:E,2,FALSE)</f>
        <v>9</v>
      </c>
      <c r="G297" t="s">
        <v>11</v>
      </c>
      <c r="H297" t="str">
        <f t="shared" si="8"/>
        <v>NAVERcom274</v>
      </c>
      <c r="I297" t="str">
        <f>"com274"</f>
        <v>com274</v>
      </c>
      <c r="J297">
        <v>4220</v>
      </c>
      <c r="K297" s="1">
        <v>44866</v>
      </c>
      <c r="L297" t="s">
        <v>373</v>
      </c>
      <c r="M297">
        <f t="shared" si="9"/>
        <v>4220</v>
      </c>
      <c r="N297" t="e">
        <f>VLOOKUP(H297,Sheet1!G:H,2,FALSE)</f>
        <v>#N/A</v>
      </c>
      <c r="R297" t="s">
        <v>2221</v>
      </c>
      <c r="S297">
        <v>130390</v>
      </c>
    </row>
    <row r="298" spans="1:19" x14ac:dyDescent="0.3">
      <c r="A298" t="s">
        <v>8</v>
      </c>
      <c r="B298">
        <f>VLOOKUP(A298,Sheet2!B:F,5,FALSE)</f>
        <v>928</v>
      </c>
      <c r="C298" t="s">
        <v>13</v>
      </c>
      <c r="D298">
        <f>VLOOKUP(C298,Sheet2!C:G,5,FALSE)</f>
        <v>1184</v>
      </c>
      <c r="E298" t="s">
        <v>374</v>
      </c>
      <c r="F298">
        <f>VLOOKUP(E298,Sheet2!D:E,2,FALSE)</f>
        <v>201022</v>
      </c>
      <c r="G298" t="s">
        <v>11</v>
      </c>
      <c r="H298" t="str">
        <f t="shared" si="8"/>
        <v>NAVERcomland</v>
      </c>
      <c r="I298" t="str">
        <f>"comland"</f>
        <v>comland</v>
      </c>
      <c r="J298">
        <v>5731390</v>
      </c>
      <c r="K298" s="1">
        <v>44866</v>
      </c>
      <c r="L298" t="s">
        <v>375</v>
      </c>
      <c r="M298">
        <f t="shared" si="9"/>
        <v>5758990</v>
      </c>
      <c r="N298" t="e">
        <f>VLOOKUP(H298,Sheet1!G:H,2,FALSE)</f>
        <v>#N/A</v>
      </c>
      <c r="R298" t="s">
        <v>2222</v>
      </c>
      <c r="S298">
        <v>1349570</v>
      </c>
    </row>
    <row r="299" spans="1:19" x14ac:dyDescent="0.3">
      <c r="A299" t="s">
        <v>16</v>
      </c>
      <c r="B299">
        <f>VLOOKUP(A299,Sheet2!B:F,5,FALSE)</f>
        <v>927</v>
      </c>
      <c r="C299" t="s">
        <v>17</v>
      </c>
      <c r="D299">
        <f>VLOOKUP(C299,Sheet2!C:G,5,FALSE)</f>
        <v>1200</v>
      </c>
      <c r="E299" t="s">
        <v>137</v>
      </c>
      <c r="F299">
        <f>VLOOKUP(E299,Sheet2!D:E,2,FALSE)</f>
        <v>1012</v>
      </c>
      <c r="G299" t="s">
        <v>11</v>
      </c>
      <c r="H299" t="str">
        <f t="shared" si="8"/>
        <v>NAVERcompany-sj:naver</v>
      </c>
      <c r="I299" t="str">
        <f>"company-sj:naver"</f>
        <v>company-sj:naver</v>
      </c>
      <c r="J299">
        <v>947290</v>
      </c>
      <c r="K299" s="1">
        <v>44866</v>
      </c>
      <c r="L299" t="s">
        <v>376</v>
      </c>
      <c r="M299">
        <f t="shared" si="9"/>
        <v>947290</v>
      </c>
      <c r="N299" t="e">
        <f>VLOOKUP(H299,Sheet1!G:H,2,FALSE)</f>
        <v>#N/A</v>
      </c>
      <c r="R299" t="s">
        <v>2223</v>
      </c>
      <c r="S299">
        <v>1098170</v>
      </c>
    </row>
    <row r="300" spans="1:19" x14ac:dyDescent="0.3">
      <c r="A300" t="s">
        <v>8</v>
      </c>
      <c r="B300">
        <f>VLOOKUP(A300,Sheet2!B:F,5,FALSE)</f>
        <v>928</v>
      </c>
      <c r="C300" t="s">
        <v>13</v>
      </c>
      <c r="D300">
        <f>VLOOKUP(C300,Sheet2!C:G,5,FALSE)</f>
        <v>1184</v>
      </c>
      <c r="E300" t="s">
        <v>102</v>
      </c>
      <c r="F300">
        <f>VLOOKUP(E300,Sheet2!D:E,2,FALSE)</f>
        <v>917</v>
      </c>
      <c r="G300" t="s">
        <v>11</v>
      </c>
      <c r="H300" t="str">
        <f t="shared" si="8"/>
        <v>NAVERcompass114</v>
      </c>
      <c r="I300" t="str">
        <f>"compass114"</f>
        <v>compass114</v>
      </c>
      <c r="J300">
        <v>245680</v>
      </c>
      <c r="K300" s="1">
        <v>44866</v>
      </c>
      <c r="L300" t="s">
        <v>377</v>
      </c>
      <c r="M300">
        <f t="shared" si="9"/>
        <v>245680</v>
      </c>
      <c r="N300" t="e">
        <f>VLOOKUP(H300,Sheet1!G:H,2,FALSE)</f>
        <v>#N/A</v>
      </c>
      <c r="R300" t="s">
        <v>2224</v>
      </c>
      <c r="S300">
        <v>322200</v>
      </c>
    </row>
    <row r="301" spans="1:19" x14ac:dyDescent="0.3">
      <c r="A301" t="s">
        <v>22</v>
      </c>
      <c r="B301">
        <f>VLOOKUP(A301,Sheet2!B:F,5,FALSE)</f>
        <v>809</v>
      </c>
      <c r="C301" t="s">
        <v>23</v>
      </c>
      <c r="D301">
        <f>VLOOKUP(C301,Sheet2!C:G,5,FALSE)</f>
        <v>810</v>
      </c>
      <c r="E301" t="s">
        <v>86</v>
      </c>
      <c r="F301">
        <f>VLOOKUP(E301,Sheet2!D:E,2,FALSE)</f>
        <v>201021</v>
      </c>
      <c r="G301" t="s">
        <v>11</v>
      </c>
      <c r="H301" t="str">
        <f t="shared" si="8"/>
        <v>NAVERcompia66:naver</v>
      </c>
      <c r="I301" t="str">
        <f>"compia66:naver"</f>
        <v>compia66:naver</v>
      </c>
      <c r="J301">
        <v>275670</v>
      </c>
      <c r="K301" s="1">
        <v>44866</v>
      </c>
      <c r="L301" t="s">
        <v>378</v>
      </c>
      <c r="M301">
        <f t="shared" si="9"/>
        <v>275670</v>
      </c>
      <c r="N301" t="e">
        <f>VLOOKUP(H301,Sheet1!G:H,2,FALSE)</f>
        <v>#N/A</v>
      </c>
      <c r="R301" t="s">
        <v>2225</v>
      </c>
      <c r="S301">
        <v>60620</v>
      </c>
    </row>
    <row r="302" spans="1:19" x14ac:dyDescent="0.3">
      <c r="A302" t="s">
        <v>8</v>
      </c>
      <c r="B302">
        <f>VLOOKUP(A302,Sheet2!B:F,5,FALSE)</f>
        <v>928</v>
      </c>
      <c r="C302" t="s">
        <v>13</v>
      </c>
      <c r="D302">
        <f>VLOOKUP(C302,Sheet2!C:G,5,FALSE)</f>
        <v>1184</v>
      </c>
      <c r="E302" t="s">
        <v>102</v>
      </c>
      <c r="F302">
        <f>VLOOKUP(E302,Sheet2!D:E,2,FALSE)</f>
        <v>917</v>
      </c>
      <c r="G302" t="s">
        <v>11</v>
      </c>
      <c r="H302" t="str">
        <f t="shared" si="8"/>
        <v>NAVERconestore</v>
      </c>
      <c r="I302" t="str">
        <f>"conestore"</f>
        <v>conestore</v>
      </c>
      <c r="J302">
        <v>130640</v>
      </c>
      <c r="K302" s="1">
        <v>44866</v>
      </c>
      <c r="L302" t="s">
        <v>379</v>
      </c>
      <c r="M302">
        <f t="shared" si="9"/>
        <v>130640</v>
      </c>
      <c r="N302" t="e">
        <f>VLOOKUP(H302,Sheet1!G:H,2,FALSE)</f>
        <v>#N/A</v>
      </c>
      <c r="R302" t="s">
        <v>2226</v>
      </c>
      <c r="S302">
        <v>60760</v>
      </c>
    </row>
    <row r="303" spans="1:19" x14ac:dyDescent="0.3">
      <c r="A303" t="s">
        <v>8</v>
      </c>
      <c r="B303">
        <f>VLOOKUP(A303,Sheet2!B:F,5,FALSE)</f>
        <v>928</v>
      </c>
      <c r="C303" t="s">
        <v>13</v>
      </c>
      <c r="D303">
        <f>VLOOKUP(C303,Sheet2!C:G,5,FALSE)</f>
        <v>1184</v>
      </c>
      <c r="E303" t="s">
        <v>14</v>
      </c>
      <c r="F303">
        <f>VLOOKUP(E303,Sheet2!D:E,2,FALSE)</f>
        <v>914</v>
      </c>
      <c r="G303" t="s">
        <v>11</v>
      </c>
      <c r="H303" t="str">
        <f t="shared" si="8"/>
        <v>NAVERcoolpetbd</v>
      </c>
      <c r="I303" t="str">
        <f>"coolpetbd"</f>
        <v>coolpetbd</v>
      </c>
      <c r="J303">
        <v>3820</v>
      </c>
      <c r="K303" s="1">
        <v>44866</v>
      </c>
      <c r="L303" t="s">
        <v>380</v>
      </c>
      <c r="M303">
        <f t="shared" si="9"/>
        <v>3820</v>
      </c>
      <c r="N303" t="e">
        <f>VLOOKUP(H303,Sheet1!G:H,2,FALSE)</f>
        <v>#N/A</v>
      </c>
      <c r="R303" t="s">
        <v>2227</v>
      </c>
      <c r="S303">
        <v>114910</v>
      </c>
    </row>
    <row r="304" spans="1:19" x14ac:dyDescent="0.3">
      <c r="A304" t="s">
        <v>16</v>
      </c>
      <c r="B304">
        <f>VLOOKUP(A304,Sheet2!B:F,5,FALSE)</f>
        <v>927</v>
      </c>
      <c r="C304" t="s">
        <v>17</v>
      </c>
      <c r="D304">
        <f>VLOOKUP(C304,Sheet2!C:G,5,FALSE)</f>
        <v>1200</v>
      </c>
      <c r="E304" t="s">
        <v>78</v>
      </c>
      <c r="F304">
        <f>VLOOKUP(E304,Sheet2!D:E,2,FALSE)</f>
        <v>57</v>
      </c>
      <c r="G304" t="s">
        <v>11</v>
      </c>
      <c r="H304" t="str">
        <f t="shared" si="8"/>
        <v>NAVERcoolred7:naver</v>
      </c>
      <c r="I304" t="str">
        <f>"coolred7:naver"</f>
        <v>coolred7:naver</v>
      </c>
      <c r="J304">
        <v>2717880</v>
      </c>
      <c r="K304" s="1">
        <v>44866</v>
      </c>
      <c r="L304" t="s">
        <v>381</v>
      </c>
      <c r="M304">
        <f t="shared" si="9"/>
        <v>2717880</v>
      </c>
      <c r="N304" t="e">
        <f>VLOOKUP(H304,Sheet1!G:H,2,FALSE)</f>
        <v>#N/A</v>
      </c>
      <c r="R304" t="s">
        <v>2228</v>
      </c>
      <c r="S304">
        <v>4539950</v>
      </c>
    </row>
    <row r="305" spans="1:19" x14ac:dyDescent="0.3">
      <c r="A305" t="s">
        <v>8</v>
      </c>
      <c r="B305">
        <f>VLOOKUP(A305,Sheet2!B:F,5,FALSE)</f>
        <v>928</v>
      </c>
      <c r="C305" t="s">
        <v>9</v>
      </c>
      <c r="D305">
        <f>VLOOKUP(C305,Sheet2!C:G,5,FALSE)</f>
        <v>1202</v>
      </c>
      <c r="E305" t="s">
        <v>142</v>
      </c>
      <c r="F305">
        <f>VLOOKUP(E305,Sheet2!D:E,2,FALSE)</f>
        <v>652</v>
      </c>
      <c r="G305" t="s">
        <v>11</v>
      </c>
      <c r="H305" t="str">
        <f t="shared" si="8"/>
        <v>NAVERcore93</v>
      </c>
      <c r="I305" t="str">
        <f>"core93"</f>
        <v>core93</v>
      </c>
      <c r="J305">
        <v>381210</v>
      </c>
      <c r="K305" s="1">
        <v>44866</v>
      </c>
      <c r="L305" t="s">
        <v>382</v>
      </c>
      <c r="M305">
        <f t="shared" si="9"/>
        <v>381210</v>
      </c>
      <c r="N305" t="e">
        <f>VLOOKUP(H305,Sheet1!G:H,2,FALSE)</f>
        <v>#N/A</v>
      </c>
      <c r="R305" t="s">
        <v>2229</v>
      </c>
      <c r="S305">
        <v>4272210</v>
      </c>
    </row>
    <row r="306" spans="1:19" x14ac:dyDescent="0.3">
      <c r="A306" t="s">
        <v>8</v>
      </c>
      <c r="B306">
        <f>VLOOKUP(A306,Sheet2!B:F,5,FALSE)</f>
        <v>928</v>
      </c>
      <c r="C306" t="s">
        <v>13</v>
      </c>
      <c r="D306">
        <f>VLOOKUP(C306,Sheet2!C:G,5,FALSE)</f>
        <v>1184</v>
      </c>
      <c r="E306" t="s">
        <v>51</v>
      </c>
      <c r="F306">
        <f>VLOOKUP(E306,Sheet2!D:E,2,FALSE)</f>
        <v>1274</v>
      </c>
      <c r="G306" t="s">
        <v>11</v>
      </c>
      <c r="H306" t="str">
        <f t="shared" si="8"/>
        <v>NAVERcoreanhope</v>
      </c>
      <c r="I306" t="str">
        <f>"coreanhope"</f>
        <v>coreanhope</v>
      </c>
      <c r="J306">
        <v>2160</v>
      </c>
      <c r="K306" s="1">
        <v>44866</v>
      </c>
      <c r="L306" t="s">
        <v>383</v>
      </c>
      <c r="M306">
        <f t="shared" si="9"/>
        <v>2160</v>
      </c>
      <c r="N306" t="e">
        <f>VLOOKUP(H306,Sheet1!G:H,2,FALSE)</f>
        <v>#N/A</v>
      </c>
      <c r="R306" t="s">
        <v>2230</v>
      </c>
      <c r="S306">
        <v>2560</v>
      </c>
    </row>
    <row r="307" spans="1:19" x14ac:dyDescent="0.3">
      <c r="A307" t="s">
        <v>8</v>
      </c>
      <c r="B307">
        <f>VLOOKUP(A307,Sheet2!B:F,5,FALSE)</f>
        <v>928</v>
      </c>
      <c r="C307" t="s">
        <v>13</v>
      </c>
      <c r="D307">
        <f>VLOOKUP(C307,Sheet2!C:G,5,FALSE)</f>
        <v>1184</v>
      </c>
      <c r="E307" t="s">
        <v>59</v>
      </c>
      <c r="F307">
        <f>VLOOKUP(E307,Sheet2!D:E,2,FALSE)</f>
        <v>9</v>
      </c>
      <c r="G307" t="s">
        <v>11</v>
      </c>
      <c r="H307" t="str">
        <f t="shared" si="8"/>
        <v>NAVERcosm</v>
      </c>
      <c r="I307" t="str">
        <f>"cosm"</f>
        <v>cosm</v>
      </c>
      <c r="J307">
        <v>1190</v>
      </c>
      <c r="K307" s="1">
        <v>44866</v>
      </c>
      <c r="L307" t="s">
        <v>384</v>
      </c>
      <c r="M307">
        <f t="shared" si="9"/>
        <v>1190</v>
      </c>
      <c r="N307" t="e">
        <f>VLOOKUP(H307,Sheet1!G:H,2,FALSE)</f>
        <v>#N/A</v>
      </c>
      <c r="R307" t="s">
        <v>2231</v>
      </c>
      <c r="S307">
        <v>275300</v>
      </c>
    </row>
    <row r="308" spans="1:19" x14ac:dyDescent="0.3">
      <c r="A308" t="s">
        <v>16</v>
      </c>
      <c r="B308">
        <f>VLOOKUP(A308,Sheet2!B:F,5,FALSE)</f>
        <v>927</v>
      </c>
      <c r="C308" t="s">
        <v>17</v>
      </c>
      <c r="D308">
        <f>VLOOKUP(C308,Sheet2!C:G,5,FALSE)</f>
        <v>1200</v>
      </c>
      <c r="E308" t="s">
        <v>290</v>
      </c>
      <c r="F308">
        <f>VLOOKUP(E308,Sheet2!D:E,2,FALSE)</f>
        <v>556</v>
      </c>
      <c r="G308" t="s">
        <v>11</v>
      </c>
      <c r="H308" t="str">
        <f t="shared" si="8"/>
        <v>NAVERcoxcoda</v>
      </c>
      <c r="I308" t="str">
        <f>"coxcoda"</f>
        <v>coxcoda</v>
      </c>
      <c r="J308">
        <v>454420</v>
      </c>
      <c r="K308" s="1">
        <v>44866</v>
      </c>
      <c r="L308" t="s">
        <v>385</v>
      </c>
      <c r="M308">
        <f t="shared" si="9"/>
        <v>454420</v>
      </c>
      <c r="N308" t="e">
        <f>VLOOKUP(H308,Sheet1!G:H,2,FALSE)</f>
        <v>#N/A</v>
      </c>
      <c r="R308" t="s">
        <v>2232</v>
      </c>
      <c r="S308">
        <v>420410</v>
      </c>
    </row>
    <row r="309" spans="1:19" x14ac:dyDescent="0.3">
      <c r="A309" t="s">
        <v>16</v>
      </c>
      <c r="B309">
        <f>VLOOKUP(A309,Sheet2!B:F,5,FALSE)</f>
        <v>927</v>
      </c>
      <c r="C309" t="s">
        <v>17</v>
      </c>
      <c r="D309">
        <f>VLOOKUP(C309,Sheet2!C:G,5,FALSE)</f>
        <v>1200</v>
      </c>
      <c r="E309" t="s">
        <v>66</v>
      </c>
      <c r="F309">
        <f>VLOOKUP(E309,Sheet2!D:E,2,FALSE)</f>
        <v>33</v>
      </c>
      <c r="G309" t="s">
        <v>11</v>
      </c>
      <c r="H309" t="str">
        <f t="shared" si="8"/>
        <v>NAVERcplan0509</v>
      </c>
      <c r="I309" t="str">
        <f>"cplan0509"</f>
        <v>cplan0509</v>
      </c>
      <c r="J309">
        <v>760</v>
      </c>
      <c r="K309" s="1">
        <v>44866</v>
      </c>
      <c r="L309" t="s">
        <v>386</v>
      </c>
      <c r="M309">
        <f t="shared" si="9"/>
        <v>760</v>
      </c>
      <c r="N309" t="e">
        <f>VLOOKUP(H309,Sheet1!G:H,2,FALSE)</f>
        <v>#N/A</v>
      </c>
      <c r="R309" t="s">
        <v>2233</v>
      </c>
      <c r="S309">
        <v>1232820</v>
      </c>
    </row>
    <row r="310" spans="1:19" x14ac:dyDescent="0.3">
      <c r="A310" t="s">
        <v>16</v>
      </c>
      <c r="B310">
        <f>VLOOKUP(A310,Sheet2!B:F,5,FALSE)</f>
        <v>927</v>
      </c>
      <c r="C310" t="s">
        <v>17</v>
      </c>
      <c r="D310">
        <f>VLOOKUP(C310,Sheet2!C:G,5,FALSE)</f>
        <v>1200</v>
      </c>
      <c r="E310" t="s">
        <v>66</v>
      </c>
      <c r="F310">
        <f>VLOOKUP(E310,Sheet2!D:E,2,FALSE)</f>
        <v>33</v>
      </c>
      <c r="G310" t="s">
        <v>11</v>
      </c>
      <c r="H310" t="str">
        <f t="shared" si="8"/>
        <v>NAVERcplan1004</v>
      </c>
      <c r="I310" t="str">
        <f>"cplan1004"</f>
        <v>cplan1004</v>
      </c>
      <c r="J310">
        <v>524140</v>
      </c>
      <c r="K310" s="1">
        <v>44866</v>
      </c>
      <c r="L310" t="s">
        <v>387</v>
      </c>
      <c r="M310">
        <f t="shared" si="9"/>
        <v>524140</v>
      </c>
      <c r="N310" t="e">
        <f>VLOOKUP(H310,Sheet1!G:H,2,FALSE)</f>
        <v>#N/A</v>
      </c>
      <c r="R310" t="s">
        <v>2234</v>
      </c>
      <c r="S310">
        <v>39570</v>
      </c>
    </row>
    <row r="311" spans="1:19" x14ac:dyDescent="0.3">
      <c r="A311" t="s">
        <v>16</v>
      </c>
      <c r="B311">
        <f>VLOOKUP(A311,Sheet2!B:F,5,FALSE)</f>
        <v>927</v>
      </c>
      <c r="C311" t="s">
        <v>17</v>
      </c>
      <c r="D311">
        <f>VLOOKUP(C311,Sheet2!C:G,5,FALSE)</f>
        <v>1200</v>
      </c>
      <c r="E311" t="s">
        <v>66</v>
      </c>
      <c r="F311">
        <f>VLOOKUP(E311,Sheet2!D:E,2,FALSE)</f>
        <v>33</v>
      </c>
      <c r="G311" t="s">
        <v>11</v>
      </c>
      <c r="H311" t="str">
        <f t="shared" si="8"/>
        <v>NAVERcplan1719</v>
      </c>
      <c r="I311" t="str">
        <f>"cplan1719"</f>
        <v>cplan1719</v>
      </c>
      <c r="J311">
        <v>224550</v>
      </c>
      <c r="K311" s="1">
        <v>44866</v>
      </c>
      <c r="L311" t="s">
        <v>388</v>
      </c>
      <c r="M311">
        <f t="shared" si="9"/>
        <v>224550</v>
      </c>
      <c r="N311" t="e">
        <f>VLOOKUP(H311,Sheet1!G:H,2,FALSE)</f>
        <v>#N/A</v>
      </c>
      <c r="R311" t="s">
        <v>2235</v>
      </c>
      <c r="S311">
        <v>70</v>
      </c>
    </row>
    <row r="312" spans="1:19" x14ac:dyDescent="0.3">
      <c r="A312" t="s">
        <v>16</v>
      </c>
      <c r="B312">
        <f>VLOOKUP(A312,Sheet2!B:F,5,FALSE)</f>
        <v>927</v>
      </c>
      <c r="C312" t="s">
        <v>17</v>
      </c>
      <c r="D312">
        <f>VLOOKUP(C312,Sheet2!C:G,5,FALSE)</f>
        <v>1200</v>
      </c>
      <c r="E312" t="s">
        <v>66</v>
      </c>
      <c r="F312">
        <f>VLOOKUP(E312,Sheet2!D:E,2,FALSE)</f>
        <v>33</v>
      </c>
      <c r="G312" t="s">
        <v>11</v>
      </c>
      <c r="H312" t="str">
        <f t="shared" si="8"/>
        <v>NAVERcplan22</v>
      </c>
      <c r="I312" t="str">
        <f>"cplan22"</f>
        <v>cplan22</v>
      </c>
      <c r="J312">
        <v>132460</v>
      </c>
      <c r="K312" s="1">
        <v>44866</v>
      </c>
      <c r="L312" t="s">
        <v>389</v>
      </c>
      <c r="M312">
        <f t="shared" si="9"/>
        <v>132460</v>
      </c>
      <c r="N312" t="e">
        <f>VLOOKUP(H312,Sheet1!G:H,2,FALSE)</f>
        <v>#N/A</v>
      </c>
      <c r="R312" t="s">
        <v>2236</v>
      </c>
      <c r="S312">
        <v>14044740</v>
      </c>
    </row>
    <row r="313" spans="1:19" x14ac:dyDescent="0.3">
      <c r="A313" t="s">
        <v>16</v>
      </c>
      <c r="B313">
        <f>VLOOKUP(A313,Sheet2!B:F,5,FALSE)</f>
        <v>927</v>
      </c>
      <c r="C313" t="s">
        <v>17</v>
      </c>
      <c r="D313">
        <f>VLOOKUP(C313,Sheet2!C:G,5,FALSE)</f>
        <v>1200</v>
      </c>
      <c r="E313" t="s">
        <v>66</v>
      </c>
      <c r="F313">
        <f>VLOOKUP(E313,Sheet2!D:E,2,FALSE)</f>
        <v>33</v>
      </c>
      <c r="G313" t="s">
        <v>11</v>
      </c>
      <c r="H313" t="str">
        <f t="shared" si="8"/>
        <v>NAVERcplan79</v>
      </c>
      <c r="I313" t="str">
        <f>"cplan79"</f>
        <v>cplan79</v>
      </c>
      <c r="J313">
        <v>15360</v>
      </c>
      <c r="K313" s="1">
        <v>44866</v>
      </c>
      <c r="L313" t="s">
        <v>390</v>
      </c>
      <c r="M313">
        <f t="shared" si="9"/>
        <v>15360</v>
      </c>
      <c r="N313" t="e">
        <f>VLOOKUP(H313,Sheet1!G:H,2,FALSE)</f>
        <v>#N/A</v>
      </c>
      <c r="R313" t="s">
        <v>2237</v>
      </c>
      <c r="S313">
        <v>2750750</v>
      </c>
    </row>
    <row r="314" spans="1:19" x14ac:dyDescent="0.3">
      <c r="A314" t="s">
        <v>8</v>
      </c>
      <c r="B314">
        <f>VLOOKUP(A314,Sheet2!B:F,5,FALSE)</f>
        <v>928</v>
      </c>
      <c r="C314" t="s">
        <v>9</v>
      </c>
      <c r="D314">
        <f>VLOOKUP(C314,Sheet2!C:G,5,FALSE)</f>
        <v>1202</v>
      </c>
      <c r="E314" t="s">
        <v>391</v>
      </c>
      <c r="F314">
        <f>VLOOKUP(E314,Sheet2!D:E,2,FALSE)</f>
        <v>1216</v>
      </c>
      <c r="G314" t="s">
        <v>11</v>
      </c>
      <c r="H314" t="str">
        <f t="shared" si="8"/>
        <v>NAVERcs54595:naver</v>
      </c>
      <c r="I314" t="str">
        <f>"cs54595:naver"</f>
        <v>cs54595:naver</v>
      </c>
      <c r="J314">
        <v>25190</v>
      </c>
      <c r="K314" s="1">
        <v>44866</v>
      </c>
      <c r="L314" t="s">
        <v>392</v>
      </c>
      <c r="M314">
        <f t="shared" si="9"/>
        <v>25190</v>
      </c>
      <c r="N314" t="e">
        <f>VLOOKUP(H314,Sheet1!G:H,2,FALSE)</f>
        <v>#N/A</v>
      </c>
      <c r="R314" t="s">
        <v>2238</v>
      </c>
      <c r="S314">
        <v>816190</v>
      </c>
    </row>
    <row r="315" spans="1:19" x14ac:dyDescent="0.3">
      <c r="A315" t="s">
        <v>8</v>
      </c>
      <c r="B315">
        <f>VLOOKUP(A315,Sheet2!B:F,5,FALSE)</f>
        <v>928</v>
      </c>
      <c r="C315" t="s">
        <v>9</v>
      </c>
      <c r="D315">
        <f>VLOOKUP(C315,Sheet2!C:G,5,FALSE)</f>
        <v>1202</v>
      </c>
      <c r="E315" t="s">
        <v>20</v>
      </c>
      <c r="F315">
        <f>VLOOKUP(E315,Sheet2!D:E,2,FALSE)</f>
        <v>938</v>
      </c>
      <c r="G315" t="s">
        <v>11</v>
      </c>
      <c r="H315" t="str">
        <f t="shared" si="8"/>
        <v>NAVERcsh774</v>
      </c>
      <c r="I315" t="str">
        <f>"csh774"</f>
        <v>csh774</v>
      </c>
      <c r="J315">
        <v>941390</v>
      </c>
      <c r="K315" s="1">
        <v>44866</v>
      </c>
      <c r="L315" t="s">
        <v>393</v>
      </c>
      <c r="M315">
        <f t="shared" si="9"/>
        <v>941390</v>
      </c>
      <c r="N315" t="e">
        <f>VLOOKUP(H315,Sheet1!G:H,2,FALSE)</f>
        <v>#N/A</v>
      </c>
      <c r="R315" t="s">
        <v>2239</v>
      </c>
      <c r="S315">
        <v>90820</v>
      </c>
    </row>
    <row r="316" spans="1:19" x14ac:dyDescent="0.3">
      <c r="A316" t="s">
        <v>16</v>
      </c>
      <c r="B316">
        <f>VLOOKUP(A316,Sheet2!B:F,5,FALSE)</f>
        <v>927</v>
      </c>
      <c r="C316" t="s">
        <v>17</v>
      </c>
      <c r="D316">
        <f>VLOOKUP(C316,Sheet2!C:G,5,FALSE)</f>
        <v>1200</v>
      </c>
      <c r="E316" t="s">
        <v>100</v>
      </c>
      <c r="F316">
        <f>VLOOKUP(E316,Sheet2!D:E,2,FALSE)</f>
        <v>201038</v>
      </c>
      <c r="G316" t="s">
        <v>11</v>
      </c>
      <c r="H316" t="str">
        <f t="shared" si="8"/>
        <v>NAVERcsm01411:naver</v>
      </c>
      <c r="I316" t="str">
        <f>"csm01411:naver"</f>
        <v>csm01411:naver</v>
      </c>
      <c r="J316">
        <v>303760</v>
      </c>
      <c r="K316" s="1">
        <v>44866</v>
      </c>
      <c r="L316" t="s">
        <v>394</v>
      </c>
      <c r="M316">
        <f t="shared" si="9"/>
        <v>304540</v>
      </c>
      <c r="N316" t="e">
        <f>VLOOKUP(H316,Sheet1!G:H,2,FALSE)</f>
        <v>#N/A</v>
      </c>
      <c r="R316" t="s">
        <v>2240</v>
      </c>
      <c r="S316">
        <v>480</v>
      </c>
    </row>
    <row r="317" spans="1:19" x14ac:dyDescent="0.3">
      <c r="A317" t="s">
        <v>8</v>
      </c>
      <c r="B317">
        <f>VLOOKUP(A317,Sheet2!B:F,5,FALSE)</f>
        <v>928</v>
      </c>
      <c r="C317" t="s">
        <v>9</v>
      </c>
      <c r="D317">
        <f>VLOOKUP(C317,Sheet2!C:G,5,FALSE)</f>
        <v>1202</v>
      </c>
      <c r="E317" t="s">
        <v>75</v>
      </c>
      <c r="F317">
        <f>VLOOKUP(E317,Sheet2!D:E,2,FALSE)</f>
        <v>50</v>
      </c>
      <c r="G317" t="s">
        <v>11</v>
      </c>
      <c r="H317" t="str">
        <f t="shared" si="8"/>
        <v>NAVERcss7380</v>
      </c>
      <c r="I317" t="str">
        <f>"css7380"</f>
        <v>css7380</v>
      </c>
      <c r="J317">
        <v>1956570</v>
      </c>
      <c r="K317" s="1">
        <v>44866</v>
      </c>
      <c r="L317" t="s">
        <v>395</v>
      </c>
      <c r="M317">
        <f t="shared" si="9"/>
        <v>1956570</v>
      </c>
      <c r="N317" t="e">
        <f>VLOOKUP(H317,Sheet1!G:H,2,FALSE)</f>
        <v>#N/A</v>
      </c>
      <c r="R317" t="s">
        <v>2241</v>
      </c>
      <c r="S317">
        <v>1064710</v>
      </c>
    </row>
    <row r="318" spans="1:19" x14ac:dyDescent="0.3">
      <c r="A318" t="s">
        <v>41</v>
      </c>
      <c r="B318">
        <f>VLOOKUP(A318,Sheet2!B:F,5,FALSE)</f>
        <v>926</v>
      </c>
      <c r="C318" t="s">
        <v>56</v>
      </c>
      <c r="D318">
        <f>VLOOKUP(C318,Sheet2!C:G,5,FALSE)</f>
        <v>1207</v>
      </c>
      <c r="E318" t="s">
        <v>62</v>
      </c>
      <c r="F318">
        <f>VLOOKUP(E318,Sheet2!D:E,2,FALSE)</f>
        <v>201037</v>
      </c>
      <c r="G318" t="s">
        <v>11</v>
      </c>
      <c r="H318" t="str">
        <f t="shared" si="8"/>
        <v>NAVERcurtainwave:naver</v>
      </c>
      <c r="I318" t="str">
        <f>"curtainwave:naver"</f>
        <v>curtainwave:naver</v>
      </c>
      <c r="J318">
        <v>208397</v>
      </c>
      <c r="K318" s="1">
        <v>44866</v>
      </c>
      <c r="L318" t="s">
        <v>396</v>
      </c>
      <c r="M318">
        <f t="shared" si="9"/>
        <v>208980</v>
      </c>
      <c r="N318" t="e">
        <f>VLOOKUP(H318,Sheet1!G:H,2,FALSE)</f>
        <v>#N/A</v>
      </c>
      <c r="R318" t="s">
        <v>2242</v>
      </c>
      <c r="S318">
        <v>72700</v>
      </c>
    </row>
    <row r="319" spans="1:19" x14ac:dyDescent="0.3">
      <c r="A319" t="s">
        <v>8</v>
      </c>
      <c r="B319">
        <f>VLOOKUP(A319,Sheet2!B:F,5,FALSE)</f>
        <v>928</v>
      </c>
      <c r="C319" t="s">
        <v>9</v>
      </c>
      <c r="D319">
        <f>VLOOKUP(C319,Sheet2!C:G,5,FALSE)</f>
        <v>1202</v>
      </c>
      <c r="E319" t="s">
        <v>75</v>
      </c>
      <c r="F319">
        <f>VLOOKUP(E319,Sheet2!D:E,2,FALSE)</f>
        <v>50</v>
      </c>
      <c r="G319" t="s">
        <v>11</v>
      </c>
      <c r="H319" t="str">
        <f t="shared" si="8"/>
        <v>NAVERcz4293535</v>
      </c>
      <c r="I319" t="str">
        <f>"cz4293535"</f>
        <v>cz4293535</v>
      </c>
      <c r="J319">
        <v>4142520</v>
      </c>
      <c r="K319" s="1">
        <v>44866</v>
      </c>
      <c r="L319" t="s">
        <v>397</v>
      </c>
      <c r="M319">
        <f t="shared" si="9"/>
        <v>4142520</v>
      </c>
      <c r="N319" t="e">
        <f>VLOOKUP(H319,Sheet1!G:H,2,FALSE)</f>
        <v>#N/A</v>
      </c>
      <c r="R319" t="s">
        <v>2243</v>
      </c>
      <c r="S319">
        <v>255650</v>
      </c>
    </row>
    <row r="320" spans="1:19" x14ac:dyDescent="0.3">
      <c r="A320" t="s">
        <v>8</v>
      </c>
      <c r="B320">
        <f>VLOOKUP(A320,Sheet2!B:F,5,FALSE)</f>
        <v>928</v>
      </c>
      <c r="C320" t="s">
        <v>9</v>
      </c>
      <c r="D320">
        <f>VLOOKUP(C320,Sheet2!C:G,5,FALSE)</f>
        <v>1202</v>
      </c>
      <c r="E320" t="s">
        <v>142</v>
      </c>
      <c r="F320">
        <f>VLOOKUP(E320,Sheet2!D:E,2,FALSE)</f>
        <v>652</v>
      </c>
      <c r="G320" t="s">
        <v>11</v>
      </c>
      <c r="H320" t="str">
        <f t="shared" si="8"/>
        <v>NAVERd0410e:naver</v>
      </c>
      <c r="I320" t="str">
        <f>"d0410e:naver"</f>
        <v>d0410e:naver</v>
      </c>
      <c r="J320">
        <v>1251670</v>
      </c>
      <c r="K320" s="1">
        <v>44866</v>
      </c>
      <c r="L320" t="s">
        <v>398</v>
      </c>
      <c r="M320">
        <f t="shared" si="9"/>
        <v>1251670</v>
      </c>
      <c r="N320" t="e">
        <f>VLOOKUP(H320,Sheet1!G:H,2,FALSE)</f>
        <v>#N/A</v>
      </c>
      <c r="R320" t="s">
        <v>2244</v>
      </c>
      <c r="S320">
        <v>849820</v>
      </c>
    </row>
    <row r="321" spans="1:19" x14ac:dyDescent="0.3">
      <c r="A321" t="s">
        <v>8</v>
      </c>
      <c r="B321">
        <f>VLOOKUP(A321,Sheet2!B:F,5,FALSE)</f>
        <v>928</v>
      </c>
      <c r="C321" t="s">
        <v>9</v>
      </c>
      <c r="D321">
        <f>VLOOKUP(C321,Sheet2!C:G,5,FALSE)</f>
        <v>1202</v>
      </c>
      <c r="E321" t="s">
        <v>110</v>
      </c>
      <c r="F321">
        <f>VLOOKUP(E321,Sheet2!D:E,2,FALSE)</f>
        <v>929</v>
      </c>
      <c r="G321" t="s">
        <v>11</v>
      </c>
      <c r="H321" t="str">
        <f t="shared" si="8"/>
        <v>NAVERdae02016</v>
      </c>
      <c r="I321" t="str">
        <f>"dae02016"</f>
        <v>dae02016</v>
      </c>
      <c r="J321">
        <v>133300</v>
      </c>
      <c r="K321" s="1">
        <v>44866</v>
      </c>
      <c r="L321" t="s">
        <v>399</v>
      </c>
      <c r="M321" t="e">
        <f t="shared" si="9"/>
        <v>#N/A</v>
      </c>
      <c r="N321" t="e">
        <f>VLOOKUP(H321,Sheet1!G:H,2,FALSE)</f>
        <v>#N/A</v>
      </c>
      <c r="R321" t="s">
        <v>2245</v>
      </c>
      <c r="S321">
        <v>1307080</v>
      </c>
    </row>
    <row r="322" spans="1:19" x14ac:dyDescent="0.3">
      <c r="A322" t="s">
        <v>8</v>
      </c>
      <c r="B322">
        <f>VLOOKUP(A322,Sheet2!B:F,5,FALSE)</f>
        <v>928</v>
      </c>
      <c r="C322" t="s">
        <v>9</v>
      </c>
      <c r="D322">
        <f>VLOOKUP(C322,Sheet2!C:G,5,FALSE)</f>
        <v>1202</v>
      </c>
      <c r="E322" t="s">
        <v>75</v>
      </c>
      <c r="F322">
        <f>VLOOKUP(E322,Sheet2!D:E,2,FALSE)</f>
        <v>50</v>
      </c>
      <c r="G322" t="s">
        <v>11</v>
      </c>
      <c r="H322" t="str">
        <f t="shared" si="8"/>
        <v>NAVERdaebag810</v>
      </c>
      <c r="I322" t="str">
        <f>"daebag810"</f>
        <v>daebag810</v>
      </c>
      <c r="J322">
        <v>8870</v>
      </c>
      <c r="K322" s="1">
        <v>44866</v>
      </c>
      <c r="L322" t="s">
        <v>400</v>
      </c>
      <c r="M322">
        <f t="shared" si="9"/>
        <v>8870</v>
      </c>
      <c r="N322" t="e">
        <f>VLOOKUP(H322,Sheet1!G:H,2,FALSE)</f>
        <v>#N/A</v>
      </c>
      <c r="R322" t="s">
        <v>2246</v>
      </c>
      <c r="S322">
        <v>423870</v>
      </c>
    </row>
    <row r="323" spans="1:19" x14ac:dyDescent="0.3">
      <c r="A323" t="s">
        <v>8</v>
      </c>
      <c r="B323">
        <f>VLOOKUP(A323,Sheet2!B:F,5,FALSE)</f>
        <v>928</v>
      </c>
      <c r="C323" t="s">
        <v>13</v>
      </c>
      <c r="D323">
        <f>VLOOKUP(C323,Sheet2!C:G,5,FALSE)</f>
        <v>1184</v>
      </c>
      <c r="E323" t="s">
        <v>14</v>
      </c>
      <c r="F323">
        <f>VLOOKUP(E323,Sheet2!D:E,2,FALSE)</f>
        <v>914</v>
      </c>
      <c r="G323" t="s">
        <v>11</v>
      </c>
      <c r="H323" t="str">
        <f t="shared" ref="H323:H386" si="10">CONCATENATE(G323,I323)</f>
        <v>NAVERdaeguhoo</v>
      </c>
      <c r="I323" t="str">
        <f>"daeguhoo"</f>
        <v>daeguhoo</v>
      </c>
      <c r="J323">
        <v>260460</v>
      </c>
      <c r="K323" s="1">
        <v>44866</v>
      </c>
      <c r="L323" t="s">
        <v>323</v>
      </c>
      <c r="M323">
        <f t="shared" ref="M323:M386" si="11">VLOOKUP(H323,R:S,2,FALSE)</f>
        <v>260460</v>
      </c>
      <c r="N323" t="e">
        <f>VLOOKUP(H323,Sheet1!G:H,2,FALSE)</f>
        <v>#N/A</v>
      </c>
      <c r="R323" t="s">
        <v>2247</v>
      </c>
      <c r="S323">
        <v>145870</v>
      </c>
    </row>
    <row r="324" spans="1:19" x14ac:dyDescent="0.3">
      <c r="A324" t="s">
        <v>8</v>
      </c>
      <c r="B324">
        <f>VLOOKUP(A324,Sheet2!B:F,5,FALSE)</f>
        <v>928</v>
      </c>
      <c r="C324" t="s">
        <v>13</v>
      </c>
      <c r="D324">
        <f>VLOOKUP(C324,Sheet2!C:G,5,FALSE)</f>
        <v>1184</v>
      </c>
      <c r="E324" t="s">
        <v>59</v>
      </c>
      <c r="F324">
        <f>VLOOKUP(E324,Sheet2!D:E,2,FALSE)</f>
        <v>9</v>
      </c>
      <c r="G324" t="s">
        <v>11</v>
      </c>
      <c r="H324" t="str">
        <f t="shared" si="10"/>
        <v>NAVERdaeguun</v>
      </c>
      <c r="I324" t="str">
        <f>"daeguun"</f>
        <v>daeguun</v>
      </c>
      <c r="J324">
        <v>22000</v>
      </c>
      <c r="K324" s="1">
        <v>44866</v>
      </c>
      <c r="L324" t="s">
        <v>401</v>
      </c>
      <c r="M324">
        <f t="shared" si="11"/>
        <v>22000</v>
      </c>
      <c r="N324" t="e">
        <f>VLOOKUP(H324,Sheet1!G:H,2,FALSE)</f>
        <v>#N/A</v>
      </c>
      <c r="R324" t="s">
        <v>2248</v>
      </c>
      <c r="S324">
        <v>2116260</v>
      </c>
    </row>
    <row r="325" spans="1:19" x14ac:dyDescent="0.3">
      <c r="A325" t="s">
        <v>8</v>
      </c>
      <c r="B325">
        <f>VLOOKUP(A325,Sheet2!B:F,5,FALSE)</f>
        <v>928</v>
      </c>
      <c r="C325" t="s">
        <v>9</v>
      </c>
      <c r="D325">
        <f>VLOOKUP(C325,Sheet2!C:G,5,FALSE)</f>
        <v>1202</v>
      </c>
      <c r="E325" t="s">
        <v>73</v>
      </c>
      <c r="F325">
        <f>VLOOKUP(E325,Sheet2!D:E,2,FALSE)</f>
        <v>895</v>
      </c>
      <c r="G325" t="s">
        <v>11</v>
      </c>
      <c r="H325" t="str">
        <f t="shared" si="10"/>
        <v>NAVERdaejin9216</v>
      </c>
      <c r="I325" t="str">
        <f>"daejin9216"</f>
        <v>daejin9216</v>
      </c>
      <c r="J325">
        <v>23330</v>
      </c>
      <c r="K325" s="1">
        <v>44866</v>
      </c>
      <c r="L325" t="s">
        <v>402</v>
      </c>
      <c r="M325">
        <f t="shared" si="11"/>
        <v>23330</v>
      </c>
      <c r="N325" t="e">
        <f>VLOOKUP(H325,Sheet1!G:H,2,FALSE)</f>
        <v>#N/A</v>
      </c>
      <c r="R325" t="s">
        <v>2249</v>
      </c>
      <c r="S325">
        <v>167350</v>
      </c>
    </row>
    <row r="326" spans="1:19" x14ac:dyDescent="0.3">
      <c r="A326" t="s">
        <v>8</v>
      </c>
      <c r="B326">
        <f>VLOOKUP(A326,Sheet2!B:F,5,FALSE)</f>
        <v>928</v>
      </c>
      <c r="C326" t="s">
        <v>9</v>
      </c>
      <c r="D326">
        <f>VLOOKUP(C326,Sheet2!C:G,5,FALSE)</f>
        <v>1202</v>
      </c>
      <c r="E326" t="s">
        <v>31</v>
      </c>
      <c r="F326">
        <f>VLOOKUP(E326,Sheet2!D:E,2,FALSE)</f>
        <v>1040</v>
      </c>
      <c r="G326" t="s">
        <v>11</v>
      </c>
      <c r="H326" t="str">
        <f t="shared" si="10"/>
        <v>NAVERdaejinrila</v>
      </c>
      <c r="I326" t="str">
        <f>"daejinrila"</f>
        <v>daejinrila</v>
      </c>
      <c r="J326">
        <v>1391670</v>
      </c>
      <c r="K326" s="1">
        <v>44866</v>
      </c>
      <c r="L326" t="s">
        <v>403</v>
      </c>
      <c r="M326">
        <f t="shared" si="11"/>
        <v>947530</v>
      </c>
      <c r="N326" t="e">
        <f>VLOOKUP(H326,Sheet1!G:H,2,FALSE)</f>
        <v>#N/A</v>
      </c>
      <c r="R326" t="s">
        <v>2250</v>
      </c>
      <c r="S326">
        <v>31500</v>
      </c>
    </row>
    <row r="327" spans="1:19" x14ac:dyDescent="0.3">
      <c r="A327" t="s">
        <v>8</v>
      </c>
      <c r="B327">
        <f>VLOOKUP(A327,Sheet2!B:F,5,FALSE)</f>
        <v>928</v>
      </c>
      <c r="C327" t="s">
        <v>9</v>
      </c>
      <c r="D327">
        <f>VLOOKUP(C327,Sheet2!C:G,5,FALSE)</f>
        <v>1202</v>
      </c>
      <c r="E327" t="s">
        <v>31</v>
      </c>
      <c r="F327">
        <f>VLOOKUP(E327,Sheet2!D:E,2,FALSE)</f>
        <v>1040</v>
      </c>
      <c r="G327" t="s">
        <v>11</v>
      </c>
      <c r="H327" t="str">
        <f t="shared" si="10"/>
        <v>NAVERdaelimwood</v>
      </c>
      <c r="I327" t="str">
        <f>"daelimwood"</f>
        <v>daelimwood</v>
      </c>
      <c r="J327">
        <v>136370</v>
      </c>
      <c r="K327" s="1">
        <v>44866</v>
      </c>
      <c r="L327" t="s">
        <v>404</v>
      </c>
      <c r="M327">
        <f t="shared" si="11"/>
        <v>136370</v>
      </c>
      <c r="N327" t="e">
        <f>VLOOKUP(H327,Sheet1!G:H,2,FALSE)</f>
        <v>#N/A</v>
      </c>
      <c r="R327" t="s">
        <v>2251</v>
      </c>
      <c r="S327">
        <v>2390590</v>
      </c>
    </row>
    <row r="328" spans="1:19" x14ac:dyDescent="0.3">
      <c r="A328" t="s">
        <v>8</v>
      </c>
      <c r="B328">
        <f>VLOOKUP(A328,Sheet2!B:F,5,FALSE)</f>
        <v>928</v>
      </c>
      <c r="C328" t="s">
        <v>9</v>
      </c>
      <c r="D328">
        <f>VLOOKUP(C328,Sheet2!C:G,5,FALSE)</f>
        <v>1202</v>
      </c>
      <c r="E328" t="s">
        <v>27</v>
      </c>
      <c r="F328">
        <f>VLOOKUP(E328,Sheet2!D:E,2,FALSE)</f>
        <v>806</v>
      </c>
      <c r="G328" t="s">
        <v>11</v>
      </c>
      <c r="H328" t="str">
        <f t="shared" si="10"/>
        <v>NAVERdaerosystem</v>
      </c>
      <c r="I328" t="str">
        <f>"daerosystem"</f>
        <v>daerosystem</v>
      </c>
      <c r="J328">
        <v>17290</v>
      </c>
      <c r="K328" s="1">
        <v>44866</v>
      </c>
      <c r="L328" t="s">
        <v>405</v>
      </c>
      <c r="M328">
        <f t="shared" si="11"/>
        <v>17290</v>
      </c>
      <c r="N328" t="e">
        <f>VLOOKUP(H328,Sheet1!G:H,2,FALSE)</f>
        <v>#N/A</v>
      </c>
      <c r="R328" t="s">
        <v>2252</v>
      </c>
      <c r="S328">
        <v>863010</v>
      </c>
    </row>
    <row r="329" spans="1:19" x14ac:dyDescent="0.3">
      <c r="A329" t="s">
        <v>8</v>
      </c>
      <c r="B329">
        <f>VLOOKUP(A329,Sheet2!B:F,5,FALSE)</f>
        <v>928</v>
      </c>
      <c r="C329" t="s">
        <v>9</v>
      </c>
      <c r="D329">
        <f>VLOOKUP(C329,Sheet2!C:G,5,FALSE)</f>
        <v>1202</v>
      </c>
      <c r="E329" t="s">
        <v>45</v>
      </c>
      <c r="F329">
        <f>VLOOKUP(E329,Sheet2!D:E,2,FALSE)</f>
        <v>26</v>
      </c>
      <c r="G329" t="s">
        <v>11</v>
      </c>
      <c r="H329" t="str">
        <f t="shared" si="10"/>
        <v>NAVERdaeshin1</v>
      </c>
      <c r="I329" t="str">
        <f>"daeshin1"</f>
        <v>daeshin1</v>
      </c>
      <c r="J329">
        <v>29430</v>
      </c>
      <c r="K329" s="1">
        <v>44866</v>
      </c>
      <c r="L329" t="s">
        <v>406</v>
      </c>
      <c r="M329">
        <f t="shared" si="11"/>
        <v>29430</v>
      </c>
      <c r="N329" t="e">
        <f>VLOOKUP(H329,Sheet1!G:H,2,FALSE)</f>
        <v>#N/A</v>
      </c>
      <c r="R329" t="s">
        <v>2253</v>
      </c>
      <c r="S329">
        <v>0</v>
      </c>
    </row>
    <row r="330" spans="1:19" x14ac:dyDescent="0.3">
      <c r="A330" t="s">
        <v>8</v>
      </c>
      <c r="B330">
        <f>VLOOKUP(A330,Sheet2!B:F,5,FALSE)</f>
        <v>928</v>
      </c>
      <c r="C330" t="s">
        <v>9</v>
      </c>
      <c r="D330">
        <f>VLOOKUP(C330,Sheet2!C:G,5,FALSE)</f>
        <v>1202</v>
      </c>
      <c r="E330" t="s">
        <v>35</v>
      </c>
      <c r="F330">
        <f>VLOOKUP(E330,Sheet2!D:E,2,FALSE)</f>
        <v>51</v>
      </c>
      <c r="G330" t="s">
        <v>11</v>
      </c>
      <c r="H330" t="str">
        <f t="shared" si="10"/>
        <v>NAVERdaeshinlaw</v>
      </c>
      <c r="I330" t="str">
        <f>"daeshinlaw"</f>
        <v>daeshinlaw</v>
      </c>
      <c r="J330">
        <v>26867470</v>
      </c>
      <c r="K330" s="1">
        <v>44866</v>
      </c>
      <c r="L330" t="s">
        <v>407</v>
      </c>
      <c r="M330" t="e">
        <f t="shared" si="11"/>
        <v>#N/A</v>
      </c>
      <c r="N330" t="str">
        <f>VLOOKUP(H330,Sheet1!G:H,2,FALSE)</f>
        <v>광고운영 내역 정보보호로 계정권한 삭제</v>
      </c>
      <c r="R330" t="s">
        <v>2254</v>
      </c>
      <c r="S330">
        <v>14180</v>
      </c>
    </row>
    <row r="331" spans="1:19" x14ac:dyDescent="0.3">
      <c r="A331" t="s">
        <v>8</v>
      </c>
      <c r="B331">
        <f>VLOOKUP(A331,Sheet2!B:F,5,FALSE)</f>
        <v>928</v>
      </c>
      <c r="C331" t="s">
        <v>13</v>
      </c>
      <c r="D331">
        <f>VLOOKUP(C331,Sheet2!C:G,5,FALSE)</f>
        <v>1184</v>
      </c>
      <c r="E331" t="s">
        <v>102</v>
      </c>
      <c r="F331">
        <f>VLOOKUP(E331,Sheet2!D:E,2,FALSE)</f>
        <v>917</v>
      </c>
      <c r="G331" t="s">
        <v>11</v>
      </c>
      <c r="H331" t="str">
        <f t="shared" si="10"/>
        <v>NAVERdaesung2110</v>
      </c>
      <c r="I331" t="str">
        <f>"daesung2110"</f>
        <v>daesung2110</v>
      </c>
      <c r="J331">
        <v>91200</v>
      </c>
      <c r="K331" s="1">
        <v>44866</v>
      </c>
      <c r="L331" t="s">
        <v>408</v>
      </c>
      <c r="M331">
        <f t="shared" si="11"/>
        <v>91200</v>
      </c>
      <c r="N331" t="e">
        <f>VLOOKUP(H331,Sheet1!G:H,2,FALSE)</f>
        <v>#N/A</v>
      </c>
      <c r="R331" t="s">
        <v>2255</v>
      </c>
      <c r="S331">
        <v>90</v>
      </c>
    </row>
    <row r="332" spans="1:19" x14ac:dyDescent="0.3">
      <c r="A332" t="s">
        <v>8</v>
      </c>
      <c r="B332">
        <f>VLOOKUP(A332,Sheet2!B:F,5,FALSE)</f>
        <v>928</v>
      </c>
      <c r="C332" t="s">
        <v>13</v>
      </c>
      <c r="D332">
        <f>VLOOKUP(C332,Sheet2!C:G,5,FALSE)</f>
        <v>1184</v>
      </c>
      <c r="E332" t="s">
        <v>59</v>
      </c>
      <c r="F332">
        <f>VLOOKUP(E332,Sheet2!D:E,2,FALSE)</f>
        <v>9</v>
      </c>
      <c r="G332" t="s">
        <v>11</v>
      </c>
      <c r="H332" t="str">
        <f t="shared" si="10"/>
        <v>NAVERdaesung3003</v>
      </c>
      <c r="I332" t="str">
        <f>"daesung3003"</f>
        <v>daesung3003</v>
      </c>
      <c r="J332">
        <v>19770</v>
      </c>
      <c r="K332" s="1">
        <v>44866</v>
      </c>
      <c r="L332" t="s">
        <v>409</v>
      </c>
      <c r="M332">
        <f t="shared" si="11"/>
        <v>19770</v>
      </c>
      <c r="N332" t="e">
        <f>VLOOKUP(H332,Sheet1!G:H,2,FALSE)</f>
        <v>#N/A</v>
      </c>
      <c r="R332" t="s">
        <v>2256</v>
      </c>
      <c r="S332">
        <v>74920</v>
      </c>
    </row>
    <row r="333" spans="1:19" x14ac:dyDescent="0.3">
      <c r="A333" t="s">
        <v>8</v>
      </c>
      <c r="B333">
        <f>VLOOKUP(A333,Sheet2!B:F,5,FALSE)</f>
        <v>928</v>
      </c>
      <c r="C333" t="s">
        <v>13</v>
      </c>
      <c r="D333">
        <f>VLOOKUP(C333,Sheet2!C:G,5,FALSE)</f>
        <v>1184</v>
      </c>
      <c r="E333" t="s">
        <v>217</v>
      </c>
      <c r="F333">
        <f>VLOOKUP(E333,Sheet2!D:E,2,FALSE)</f>
        <v>201027</v>
      </c>
      <c r="G333" t="s">
        <v>11</v>
      </c>
      <c r="H333" t="str">
        <f t="shared" si="10"/>
        <v>NAVERdaewoon7</v>
      </c>
      <c r="I333" t="str">
        <f>"daewoon7"</f>
        <v>daewoon7</v>
      </c>
      <c r="J333">
        <v>32490</v>
      </c>
      <c r="K333" s="1">
        <v>44866</v>
      </c>
      <c r="L333" t="s">
        <v>410</v>
      </c>
      <c r="M333">
        <f t="shared" si="11"/>
        <v>32490</v>
      </c>
      <c r="N333" t="e">
        <f>VLOOKUP(H333,Sheet1!G:H,2,FALSE)</f>
        <v>#N/A</v>
      </c>
      <c r="R333" t="s">
        <v>2257</v>
      </c>
      <c r="S333">
        <v>28530</v>
      </c>
    </row>
    <row r="334" spans="1:19" x14ac:dyDescent="0.3">
      <c r="A334" t="s">
        <v>8</v>
      </c>
      <c r="B334">
        <f>VLOOKUP(A334,Sheet2!B:F,5,FALSE)</f>
        <v>928</v>
      </c>
      <c r="C334" t="s">
        <v>9</v>
      </c>
      <c r="D334">
        <f>VLOOKUP(C334,Sheet2!C:G,5,FALSE)</f>
        <v>1202</v>
      </c>
      <c r="E334" t="s">
        <v>31</v>
      </c>
      <c r="F334">
        <f>VLOOKUP(E334,Sheet2!D:E,2,FALSE)</f>
        <v>1040</v>
      </c>
      <c r="G334" t="s">
        <v>11</v>
      </c>
      <c r="H334" t="str">
        <f t="shared" si="10"/>
        <v>NAVERdagachidaegu</v>
      </c>
      <c r="I334" t="str">
        <f>"dagachidaegu"</f>
        <v>dagachidaegu</v>
      </c>
      <c r="J334">
        <v>264400</v>
      </c>
      <c r="K334" s="1">
        <v>44866</v>
      </c>
      <c r="L334" t="s">
        <v>411</v>
      </c>
      <c r="M334" t="e">
        <f t="shared" si="11"/>
        <v>#N/A</v>
      </c>
      <c r="N334" t="str">
        <f>VLOOKUP(H334,Sheet1!G:H,2,FALSE)</f>
        <v>전 퇴사자 계정으로 인수인계 이전 계정권한 삭제된 상태로 인수
(전화 자체를 거부 하는 상태로 통화 불가)</v>
      </c>
      <c r="R334" t="s">
        <v>2258</v>
      </c>
      <c r="S334">
        <v>544830</v>
      </c>
    </row>
    <row r="335" spans="1:19" x14ac:dyDescent="0.3">
      <c r="A335" t="s">
        <v>41</v>
      </c>
      <c r="B335">
        <f>VLOOKUP(A335,Sheet2!B:F,5,FALSE)</f>
        <v>926</v>
      </c>
      <c r="C335" t="s">
        <v>56</v>
      </c>
      <c r="D335">
        <f>VLOOKUP(C335,Sheet2!C:G,5,FALSE)</f>
        <v>1207</v>
      </c>
      <c r="E335" t="s">
        <v>62</v>
      </c>
      <c r="F335">
        <f>VLOOKUP(E335,Sheet2!D:E,2,FALSE)</f>
        <v>201037</v>
      </c>
      <c r="G335" t="s">
        <v>11</v>
      </c>
      <c r="H335" t="str">
        <f t="shared" si="10"/>
        <v>NAVERdakyunggmb</v>
      </c>
      <c r="I335" t="str">
        <f>"dakyunggmb"</f>
        <v>dakyunggmb</v>
      </c>
      <c r="J335">
        <v>104590</v>
      </c>
      <c r="K335" s="1">
        <v>44866</v>
      </c>
      <c r="L335" t="s">
        <v>412</v>
      </c>
      <c r="M335">
        <f t="shared" si="11"/>
        <v>104590</v>
      </c>
      <c r="N335" t="e">
        <f>VLOOKUP(H335,Sheet1!G:H,2,FALSE)</f>
        <v>#N/A</v>
      </c>
      <c r="R335" t="s">
        <v>2259</v>
      </c>
      <c r="S335">
        <v>2910</v>
      </c>
    </row>
    <row r="336" spans="1:19" x14ac:dyDescent="0.3">
      <c r="A336" t="s">
        <v>8</v>
      </c>
      <c r="B336">
        <f>VLOOKUP(A336,Sheet2!B:F,5,FALSE)</f>
        <v>928</v>
      </c>
      <c r="C336" t="s">
        <v>9</v>
      </c>
      <c r="D336">
        <f>VLOOKUP(C336,Sheet2!C:G,5,FALSE)</f>
        <v>1202</v>
      </c>
      <c r="E336" t="s">
        <v>122</v>
      </c>
      <c r="F336">
        <f>VLOOKUP(E336,Sheet2!D:E,2,FALSE)</f>
        <v>251</v>
      </c>
      <c r="G336" t="s">
        <v>11</v>
      </c>
      <c r="H336" t="str">
        <f t="shared" si="10"/>
        <v>NAVERdaloe</v>
      </c>
      <c r="I336" t="str">
        <f>"daloe"</f>
        <v>daloe</v>
      </c>
      <c r="J336">
        <v>1512140</v>
      </c>
      <c r="K336" s="1">
        <v>44866</v>
      </c>
      <c r="L336" t="s">
        <v>413</v>
      </c>
      <c r="M336">
        <f t="shared" si="11"/>
        <v>1512140</v>
      </c>
      <c r="N336" t="e">
        <f>VLOOKUP(H336,Sheet1!G:H,2,FALSE)</f>
        <v>#N/A</v>
      </c>
      <c r="R336" t="s">
        <v>2260</v>
      </c>
      <c r="S336">
        <v>7310</v>
      </c>
    </row>
    <row r="337" spans="1:19" x14ac:dyDescent="0.3">
      <c r="A337" t="s">
        <v>8</v>
      </c>
      <c r="B337">
        <f>VLOOKUP(A337,Sheet2!B:F,5,FALSE)</f>
        <v>928</v>
      </c>
      <c r="C337" t="s">
        <v>13</v>
      </c>
      <c r="D337">
        <f>VLOOKUP(C337,Sheet2!C:G,5,FALSE)</f>
        <v>1184</v>
      </c>
      <c r="E337" t="s">
        <v>335</v>
      </c>
      <c r="F337">
        <f>VLOOKUP(E337,Sheet2!D:E,2,FALSE)</f>
        <v>201090</v>
      </c>
      <c r="G337" t="s">
        <v>11</v>
      </c>
      <c r="H337" t="str">
        <f t="shared" si="10"/>
        <v>NAVERdamoa0</v>
      </c>
      <c r="I337" t="str">
        <f>"damoa0"</f>
        <v>damoa0</v>
      </c>
      <c r="J337">
        <v>499990</v>
      </c>
      <c r="K337" s="1">
        <v>44866</v>
      </c>
      <c r="L337" t="s">
        <v>414</v>
      </c>
      <c r="M337">
        <f t="shared" si="11"/>
        <v>0</v>
      </c>
      <c r="N337" t="e">
        <f>VLOOKUP(H337,Sheet1!G:H,2,FALSE)</f>
        <v>#N/A</v>
      </c>
      <c r="R337" t="s">
        <v>2261</v>
      </c>
      <c r="S337">
        <v>1260100</v>
      </c>
    </row>
    <row r="338" spans="1:19" x14ac:dyDescent="0.3">
      <c r="A338" t="s">
        <v>8</v>
      </c>
      <c r="B338">
        <f>VLOOKUP(A338,Sheet2!B:F,5,FALSE)</f>
        <v>928</v>
      </c>
      <c r="C338" t="s">
        <v>13</v>
      </c>
      <c r="D338">
        <f>VLOOKUP(C338,Sheet2!C:G,5,FALSE)</f>
        <v>1184</v>
      </c>
      <c r="E338" t="s">
        <v>102</v>
      </c>
      <c r="F338">
        <f>VLOOKUP(E338,Sheet2!D:E,2,FALSE)</f>
        <v>917</v>
      </c>
      <c r="G338" t="s">
        <v>11</v>
      </c>
      <c r="H338" t="str">
        <f t="shared" si="10"/>
        <v>NAVERdamoa7875</v>
      </c>
      <c r="I338" t="str">
        <f>"damoa7875"</f>
        <v>damoa7875</v>
      </c>
      <c r="J338">
        <v>6090</v>
      </c>
      <c r="K338" s="1">
        <v>44866</v>
      </c>
      <c r="L338" t="s">
        <v>415</v>
      </c>
      <c r="M338">
        <f t="shared" si="11"/>
        <v>6090</v>
      </c>
      <c r="N338" t="e">
        <f>VLOOKUP(H338,Sheet1!G:H,2,FALSE)</f>
        <v>#N/A</v>
      </c>
      <c r="R338" t="s">
        <v>2262</v>
      </c>
      <c r="S338">
        <v>630</v>
      </c>
    </row>
    <row r="339" spans="1:19" x14ac:dyDescent="0.3">
      <c r="A339" t="s">
        <v>8</v>
      </c>
      <c r="B339">
        <f>VLOOKUP(A339,Sheet2!B:F,5,FALSE)</f>
        <v>928</v>
      </c>
      <c r="C339" t="s">
        <v>9</v>
      </c>
      <c r="D339">
        <f>VLOOKUP(C339,Sheet2!C:G,5,FALSE)</f>
        <v>1202</v>
      </c>
      <c r="E339" t="s">
        <v>122</v>
      </c>
      <c r="F339">
        <f>VLOOKUP(E339,Sheet2!D:E,2,FALSE)</f>
        <v>251</v>
      </c>
      <c r="G339" t="s">
        <v>11</v>
      </c>
      <c r="H339" t="str">
        <f t="shared" si="10"/>
        <v>NAVERdamok4840</v>
      </c>
      <c r="I339" t="str">
        <f>"damok4840"</f>
        <v>damok4840</v>
      </c>
      <c r="J339">
        <v>636130</v>
      </c>
      <c r="K339" s="1">
        <v>44866</v>
      </c>
      <c r="L339" t="s">
        <v>416</v>
      </c>
      <c r="M339">
        <f t="shared" si="11"/>
        <v>636130</v>
      </c>
      <c r="N339" t="e">
        <f>VLOOKUP(H339,Sheet1!G:H,2,FALSE)</f>
        <v>#N/A</v>
      </c>
      <c r="R339" t="s">
        <v>2263</v>
      </c>
      <c r="S339">
        <v>1841870</v>
      </c>
    </row>
    <row r="340" spans="1:19" x14ac:dyDescent="0.3">
      <c r="A340" t="s">
        <v>8</v>
      </c>
      <c r="B340">
        <f>VLOOKUP(A340,Sheet2!B:F,5,FALSE)</f>
        <v>928</v>
      </c>
      <c r="C340" t="s">
        <v>13</v>
      </c>
      <c r="D340">
        <f>VLOOKUP(C340,Sheet2!C:G,5,FALSE)</f>
        <v>1184</v>
      </c>
      <c r="E340" t="s">
        <v>59</v>
      </c>
      <c r="F340">
        <f>VLOOKUP(E340,Sheet2!D:E,2,FALSE)</f>
        <v>9</v>
      </c>
      <c r="G340" t="s">
        <v>11</v>
      </c>
      <c r="H340" t="str">
        <f t="shared" si="10"/>
        <v>NAVERdamyang</v>
      </c>
      <c r="I340" t="str">
        <f>"damyang"</f>
        <v>damyang</v>
      </c>
      <c r="J340">
        <v>20450</v>
      </c>
      <c r="K340" s="1">
        <v>44866</v>
      </c>
      <c r="L340" t="s">
        <v>417</v>
      </c>
      <c r="M340">
        <f t="shared" si="11"/>
        <v>20450</v>
      </c>
      <c r="N340" t="e">
        <f>VLOOKUP(H340,Sheet1!G:H,2,FALSE)</f>
        <v>#N/A</v>
      </c>
      <c r="R340" t="s">
        <v>2264</v>
      </c>
      <c r="S340">
        <v>23400</v>
      </c>
    </row>
    <row r="341" spans="1:19" x14ac:dyDescent="0.3">
      <c r="A341" t="s">
        <v>8</v>
      </c>
      <c r="B341">
        <f>VLOOKUP(A341,Sheet2!B:F,5,FALSE)</f>
        <v>928</v>
      </c>
      <c r="C341" t="s">
        <v>9</v>
      </c>
      <c r="D341">
        <f>VLOOKUP(C341,Sheet2!C:G,5,FALSE)</f>
        <v>1202</v>
      </c>
      <c r="E341" t="s">
        <v>75</v>
      </c>
      <c r="F341">
        <f>VLOOKUP(E341,Sheet2!D:E,2,FALSE)</f>
        <v>50</v>
      </c>
      <c r="G341" t="s">
        <v>11</v>
      </c>
      <c r="H341" t="str">
        <f t="shared" si="10"/>
        <v>NAVERdaniel777</v>
      </c>
      <c r="I341" t="str">
        <f>"daniel777"</f>
        <v>daniel777</v>
      </c>
      <c r="J341">
        <v>748040</v>
      </c>
      <c r="K341" s="1">
        <v>44866</v>
      </c>
      <c r="L341" t="s">
        <v>418</v>
      </c>
      <c r="M341">
        <f t="shared" si="11"/>
        <v>748040</v>
      </c>
      <c r="N341" t="e">
        <f>VLOOKUP(H341,Sheet1!G:H,2,FALSE)</f>
        <v>#N/A</v>
      </c>
      <c r="R341" t="s">
        <v>2265</v>
      </c>
      <c r="S341">
        <v>10680</v>
      </c>
    </row>
    <row r="342" spans="1:19" x14ac:dyDescent="0.3">
      <c r="A342" t="s">
        <v>8</v>
      </c>
      <c r="B342">
        <f>VLOOKUP(A342,Sheet2!B:F,5,FALSE)</f>
        <v>928</v>
      </c>
      <c r="C342" t="s">
        <v>9</v>
      </c>
      <c r="D342">
        <f>VLOOKUP(C342,Sheet2!C:G,5,FALSE)</f>
        <v>1202</v>
      </c>
      <c r="E342" t="s">
        <v>75</v>
      </c>
      <c r="F342">
        <f>VLOOKUP(E342,Sheet2!D:E,2,FALSE)</f>
        <v>50</v>
      </c>
      <c r="G342" t="s">
        <v>11</v>
      </c>
      <c r="H342" t="str">
        <f t="shared" si="10"/>
        <v>NAVERdaniel888</v>
      </c>
      <c r="I342" t="str">
        <f>"daniel888"</f>
        <v>daniel888</v>
      </c>
      <c r="J342">
        <v>341600</v>
      </c>
      <c r="K342" s="1">
        <v>44866</v>
      </c>
      <c r="L342" t="s">
        <v>418</v>
      </c>
      <c r="M342">
        <f t="shared" si="11"/>
        <v>341600</v>
      </c>
      <c r="N342" t="e">
        <f>VLOOKUP(H342,Sheet1!G:H,2,FALSE)</f>
        <v>#N/A</v>
      </c>
      <c r="R342" t="s">
        <v>2266</v>
      </c>
      <c r="S342">
        <v>533920</v>
      </c>
    </row>
    <row r="343" spans="1:19" x14ac:dyDescent="0.3">
      <c r="A343" t="s">
        <v>8</v>
      </c>
      <c r="B343">
        <f>VLOOKUP(A343,Sheet2!B:F,5,FALSE)</f>
        <v>928</v>
      </c>
      <c r="C343" t="s">
        <v>9</v>
      </c>
      <c r="D343">
        <f>VLOOKUP(C343,Sheet2!C:G,5,FALSE)</f>
        <v>1202</v>
      </c>
      <c r="E343" t="s">
        <v>75</v>
      </c>
      <c r="F343">
        <f>VLOOKUP(E343,Sheet2!D:E,2,FALSE)</f>
        <v>50</v>
      </c>
      <c r="G343" t="s">
        <v>11</v>
      </c>
      <c r="H343" t="str">
        <f t="shared" si="10"/>
        <v>NAVERdanika777</v>
      </c>
      <c r="I343" t="str">
        <f>"danika777"</f>
        <v>danika777</v>
      </c>
      <c r="J343">
        <v>662180</v>
      </c>
      <c r="K343" s="1">
        <v>44866</v>
      </c>
      <c r="L343" t="s">
        <v>418</v>
      </c>
      <c r="M343">
        <f t="shared" si="11"/>
        <v>662180</v>
      </c>
      <c r="N343" t="e">
        <f>VLOOKUP(H343,Sheet1!G:H,2,FALSE)</f>
        <v>#N/A</v>
      </c>
      <c r="R343" t="s">
        <v>2267</v>
      </c>
      <c r="S343">
        <v>118240</v>
      </c>
    </row>
    <row r="344" spans="1:19" x14ac:dyDescent="0.3">
      <c r="A344" t="s">
        <v>8</v>
      </c>
      <c r="B344">
        <f>VLOOKUP(A344,Sheet2!B:F,5,FALSE)</f>
        <v>928</v>
      </c>
      <c r="C344" t="s">
        <v>9</v>
      </c>
      <c r="D344">
        <f>VLOOKUP(C344,Sheet2!C:G,5,FALSE)</f>
        <v>1202</v>
      </c>
      <c r="E344" t="s">
        <v>75</v>
      </c>
      <c r="F344">
        <f>VLOOKUP(E344,Sheet2!D:E,2,FALSE)</f>
        <v>50</v>
      </c>
      <c r="G344" t="s">
        <v>11</v>
      </c>
      <c r="H344" t="str">
        <f t="shared" si="10"/>
        <v>NAVERdanika888</v>
      </c>
      <c r="I344" t="str">
        <f>"danika888"</f>
        <v>danika888</v>
      </c>
      <c r="J344">
        <v>2556240</v>
      </c>
      <c r="K344" s="1">
        <v>44866</v>
      </c>
      <c r="L344" t="s">
        <v>418</v>
      </c>
      <c r="M344">
        <f t="shared" si="11"/>
        <v>2556240</v>
      </c>
      <c r="N344" t="e">
        <f>VLOOKUP(H344,Sheet1!G:H,2,FALSE)</f>
        <v>#N/A</v>
      </c>
      <c r="R344" t="s">
        <v>2268</v>
      </c>
      <c r="S344">
        <v>195780</v>
      </c>
    </row>
    <row r="345" spans="1:19" x14ac:dyDescent="0.3">
      <c r="A345" t="s">
        <v>41</v>
      </c>
      <c r="B345">
        <f>VLOOKUP(A345,Sheet2!B:F,5,FALSE)</f>
        <v>926</v>
      </c>
      <c r="C345" t="s">
        <v>56</v>
      </c>
      <c r="D345">
        <f>VLOOKUP(C345,Sheet2!C:G,5,FALSE)</f>
        <v>1207</v>
      </c>
      <c r="E345" t="s">
        <v>62</v>
      </c>
      <c r="F345">
        <f>VLOOKUP(E345,Sheet2!D:E,2,FALSE)</f>
        <v>201037</v>
      </c>
      <c r="G345" t="s">
        <v>11</v>
      </c>
      <c r="H345" t="str">
        <f t="shared" si="10"/>
        <v>NAVERdaonwelding</v>
      </c>
      <c r="I345" t="str">
        <f>"daonwelding"</f>
        <v>daonwelding</v>
      </c>
      <c r="J345">
        <v>1001440</v>
      </c>
      <c r="K345" s="1">
        <v>44866</v>
      </c>
      <c r="L345" t="s">
        <v>419</v>
      </c>
      <c r="M345">
        <f t="shared" si="11"/>
        <v>1001440</v>
      </c>
      <c r="N345" t="e">
        <f>VLOOKUP(H345,Sheet1!G:H,2,FALSE)</f>
        <v>#N/A</v>
      </c>
      <c r="R345" t="s">
        <v>2269</v>
      </c>
      <c r="S345">
        <v>8500</v>
      </c>
    </row>
    <row r="346" spans="1:19" x14ac:dyDescent="0.3">
      <c r="A346" t="s">
        <v>16</v>
      </c>
      <c r="B346">
        <f>VLOOKUP(A346,Sheet2!B:F,5,FALSE)</f>
        <v>927</v>
      </c>
      <c r="C346" t="s">
        <v>17</v>
      </c>
      <c r="D346">
        <f>VLOOKUP(C346,Sheet2!C:G,5,FALSE)</f>
        <v>1200</v>
      </c>
      <c r="E346" t="s">
        <v>371</v>
      </c>
      <c r="F346">
        <f>VLOOKUP(E346,Sheet2!D:E,2,FALSE)</f>
        <v>551</v>
      </c>
      <c r="G346" t="s">
        <v>11</v>
      </c>
      <c r="H346" t="str">
        <f t="shared" si="10"/>
        <v>NAVERdasfdas7</v>
      </c>
      <c r="I346" t="str">
        <f>"dasfdas7"</f>
        <v>dasfdas7</v>
      </c>
      <c r="J346">
        <v>4048250</v>
      </c>
      <c r="K346" s="1">
        <v>44866</v>
      </c>
      <c r="L346" t="s">
        <v>420</v>
      </c>
      <c r="M346">
        <f t="shared" si="11"/>
        <v>4089140</v>
      </c>
      <c r="N346" t="e">
        <f>VLOOKUP(H346,Sheet1!G:H,2,FALSE)</f>
        <v>#N/A</v>
      </c>
      <c r="R346" t="s">
        <v>2270</v>
      </c>
      <c r="S346">
        <v>217430</v>
      </c>
    </row>
    <row r="347" spans="1:19" x14ac:dyDescent="0.3">
      <c r="A347" t="s">
        <v>8</v>
      </c>
      <c r="B347">
        <f>VLOOKUP(A347,Sheet2!B:F,5,FALSE)</f>
        <v>928</v>
      </c>
      <c r="C347" t="s">
        <v>9</v>
      </c>
      <c r="D347">
        <f>VLOOKUP(C347,Sheet2!C:G,5,FALSE)</f>
        <v>1202</v>
      </c>
      <c r="E347" t="s">
        <v>31</v>
      </c>
      <c r="F347">
        <f>VLOOKUP(E347,Sheet2!D:E,2,FALSE)</f>
        <v>1040</v>
      </c>
      <c r="G347" t="s">
        <v>11</v>
      </c>
      <c r="H347" t="str">
        <f t="shared" si="10"/>
        <v>NAVERdatavoucher</v>
      </c>
      <c r="I347" t="str">
        <f>"datavoucher"</f>
        <v>datavoucher</v>
      </c>
      <c r="J347">
        <v>1199970</v>
      </c>
      <c r="K347" s="1">
        <v>44866</v>
      </c>
      <c r="L347" t="s">
        <v>421</v>
      </c>
      <c r="M347">
        <f t="shared" si="11"/>
        <v>0</v>
      </c>
      <c r="N347" t="e">
        <f>VLOOKUP(H347,Sheet1!G:H,2,FALSE)</f>
        <v>#N/A</v>
      </c>
      <c r="R347" t="s">
        <v>2271</v>
      </c>
      <c r="S347">
        <v>0</v>
      </c>
    </row>
    <row r="348" spans="1:19" x14ac:dyDescent="0.3">
      <c r="A348" t="s">
        <v>16</v>
      </c>
      <c r="B348">
        <f>VLOOKUP(A348,Sheet2!B:F,5,FALSE)</f>
        <v>927</v>
      </c>
      <c r="C348" t="s">
        <v>17</v>
      </c>
      <c r="D348">
        <f>VLOOKUP(C348,Sheet2!C:G,5,FALSE)</f>
        <v>1200</v>
      </c>
      <c r="E348" t="s">
        <v>93</v>
      </c>
      <c r="F348">
        <f>VLOOKUP(E348,Sheet2!D:E,2,FALSE)</f>
        <v>930</v>
      </c>
      <c r="G348" t="s">
        <v>11</v>
      </c>
      <c r="H348" t="str">
        <f t="shared" si="10"/>
        <v>NAVERdavid8241</v>
      </c>
      <c r="I348" t="str">
        <f>"david8241"</f>
        <v>david8241</v>
      </c>
      <c r="J348">
        <v>9152270</v>
      </c>
      <c r="K348" s="1">
        <v>44866</v>
      </c>
      <c r="L348" t="s">
        <v>422</v>
      </c>
      <c r="M348">
        <f t="shared" si="11"/>
        <v>8087260</v>
      </c>
      <c r="N348" t="e">
        <f>VLOOKUP(H348,Sheet1!G:H,2,FALSE)</f>
        <v>#N/A</v>
      </c>
      <c r="R348" t="s">
        <v>2272</v>
      </c>
      <c r="S348">
        <v>1594590</v>
      </c>
    </row>
    <row r="349" spans="1:19" x14ac:dyDescent="0.3">
      <c r="A349" t="s">
        <v>8</v>
      </c>
      <c r="B349">
        <f>VLOOKUP(A349,Sheet2!B:F,5,FALSE)</f>
        <v>928</v>
      </c>
      <c r="C349" t="s">
        <v>9</v>
      </c>
      <c r="D349">
        <f>VLOOKUP(C349,Sheet2!C:G,5,FALSE)</f>
        <v>1202</v>
      </c>
      <c r="E349" t="s">
        <v>27</v>
      </c>
      <c r="F349">
        <f>VLOOKUP(E349,Sheet2!D:E,2,FALSE)</f>
        <v>806</v>
      </c>
      <c r="G349" t="s">
        <v>11</v>
      </c>
      <c r="H349" t="str">
        <f t="shared" si="10"/>
        <v>NAVERdaylighting</v>
      </c>
      <c r="I349" t="str">
        <f>"daylighting"</f>
        <v>daylighting</v>
      </c>
      <c r="J349">
        <v>13673230</v>
      </c>
      <c r="K349" s="1">
        <v>44866</v>
      </c>
      <c r="L349" t="s">
        <v>423</v>
      </c>
      <c r="M349">
        <f t="shared" si="11"/>
        <v>13701140</v>
      </c>
      <c r="N349" t="e">
        <f>VLOOKUP(H349,Sheet1!G:H,2,FALSE)</f>
        <v>#N/A</v>
      </c>
      <c r="R349" t="s">
        <v>2273</v>
      </c>
      <c r="S349">
        <v>61240</v>
      </c>
    </row>
    <row r="350" spans="1:19" x14ac:dyDescent="0.3">
      <c r="A350" t="s">
        <v>8</v>
      </c>
      <c r="B350">
        <f>VLOOKUP(A350,Sheet2!B:F,5,FALSE)</f>
        <v>928</v>
      </c>
      <c r="C350" t="s">
        <v>13</v>
      </c>
      <c r="D350">
        <f>VLOOKUP(C350,Sheet2!C:G,5,FALSE)</f>
        <v>1184</v>
      </c>
      <c r="E350" t="s">
        <v>217</v>
      </c>
      <c r="F350">
        <f>VLOOKUP(E350,Sheet2!D:E,2,FALSE)</f>
        <v>201027</v>
      </c>
      <c r="G350" t="s">
        <v>11</v>
      </c>
      <c r="H350" t="str">
        <f t="shared" si="10"/>
        <v>NAVERdbf62</v>
      </c>
      <c r="I350" t="str">
        <f>"dbf62"</f>
        <v>dbf62</v>
      </c>
      <c r="J350">
        <v>11410</v>
      </c>
      <c r="K350" s="1">
        <v>44866</v>
      </c>
      <c r="L350" t="s">
        <v>424</v>
      </c>
      <c r="M350">
        <f t="shared" si="11"/>
        <v>11410</v>
      </c>
      <c r="N350" t="e">
        <f>VLOOKUP(H350,Sheet1!G:H,2,FALSE)</f>
        <v>#N/A</v>
      </c>
      <c r="R350" t="s">
        <v>2274</v>
      </c>
      <c r="S350">
        <v>1144560</v>
      </c>
    </row>
    <row r="351" spans="1:19" x14ac:dyDescent="0.3">
      <c r="A351" t="s">
        <v>8</v>
      </c>
      <c r="B351">
        <f>VLOOKUP(A351,Sheet2!B:F,5,FALSE)</f>
        <v>928</v>
      </c>
      <c r="C351" t="s">
        <v>9</v>
      </c>
      <c r="D351">
        <f>VLOOKUP(C351,Sheet2!C:G,5,FALSE)</f>
        <v>1202</v>
      </c>
      <c r="E351" t="s">
        <v>73</v>
      </c>
      <c r="F351">
        <f>VLOOKUP(E351,Sheet2!D:E,2,FALSE)</f>
        <v>895</v>
      </c>
      <c r="G351" t="s">
        <v>11</v>
      </c>
      <c r="H351" t="str">
        <f t="shared" si="10"/>
        <v>NAVERdbs6229</v>
      </c>
      <c r="I351" t="str">
        <f>"dbs6229"</f>
        <v>dbs6229</v>
      </c>
      <c r="J351">
        <v>147260</v>
      </c>
      <c r="K351" s="1">
        <v>44866</v>
      </c>
      <c r="L351" t="s">
        <v>425</v>
      </c>
      <c r="M351">
        <f t="shared" si="11"/>
        <v>147260</v>
      </c>
      <c r="N351" t="e">
        <f>VLOOKUP(H351,Sheet1!G:H,2,FALSE)</f>
        <v>#N/A</v>
      </c>
      <c r="R351" t="s">
        <v>2275</v>
      </c>
      <c r="S351">
        <v>34675</v>
      </c>
    </row>
    <row r="352" spans="1:19" x14ac:dyDescent="0.3">
      <c r="A352" t="s">
        <v>8</v>
      </c>
      <c r="B352">
        <f>VLOOKUP(A352,Sheet2!B:F,5,FALSE)</f>
        <v>928</v>
      </c>
      <c r="C352" t="s">
        <v>9</v>
      </c>
      <c r="D352">
        <f>VLOOKUP(C352,Sheet2!C:G,5,FALSE)</f>
        <v>1202</v>
      </c>
      <c r="E352" t="s">
        <v>391</v>
      </c>
      <c r="F352">
        <f>VLOOKUP(E352,Sheet2!D:E,2,FALSE)</f>
        <v>1216</v>
      </c>
      <c r="G352" t="s">
        <v>11</v>
      </c>
      <c r="H352" t="str">
        <f t="shared" si="10"/>
        <v>NAVERdbthinkltd</v>
      </c>
      <c r="I352" t="str">
        <f>"dbthinkltd"</f>
        <v>dbthinkltd</v>
      </c>
      <c r="J352">
        <v>370</v>
      </c>
      <c r="K352" s="1">
        <v>44866</v>
      </c>
      <c r="L352" t="s">
        <v>426</v>
      </c>
      <c r="M352">
        <f t="shared" si="11"/>
        <v>370</v>
      </c>
      <c r="N352" t="e">
        <f>VLOOKUP(H352,Sheet1!G:H,2,FALSE)</f>
        <v>#N/A</v>
      </c>
      <c r="R352" t="s">
        <v>2276</v>
      </c>
      <c r="S352">
        <v>5472</v>
      </c>
    </row>
    <row r="353" spans="1:19" x14ac:dyDescent="0.3">
      <c r="A353" t="s">
        <v>16</v>
      </c>
      <c r="B353">
        <f>VLOOKUP(A353,Sheet2!B:F,5,FALSE)</f>
        <v>927</v>
      </c>
      <c r="C353" t="s">
        <v>17</v>
      </c>
      <c r="D353">
        <f>VLOOKUP(C353,Sheet2!C:G,5,FALSE)</f>
        <v>1200</v>
      </c>
      <c r="E353" t="s">
        <v>93</v>
      </c>
      <c r="F353">
        <f>VLOOKUP(E353,Sheet2!D:E,2,FALSE)</f>
        <v>930</v>
      </c>
      <c r="G353" t="s">
        <v>11</v>
      </c>
      <c r="H353" t="str">
        <f t="shared" si="10"/>
        <v>NAVERdcmall88</v>
      </c>
      <c r="I353" t="str">
        <f>"dcmall88"</f>
        <v>dcmall88</v>
      </c>
      <c r="J353">
        <v>6231650</v>
      </c>
      <c r="K353" s="1">
        <v>44866</v>
      </c>
      <c r="L353" t="s">
        <v>427</v>
      </c>
      <c r="M353">
        <f t="shared" si="11"/>
        <v>6236680</v>
      </c>
      <c r="N353" t="e">
        <f>VLOOKUP(H353,Sheet1!G:H,2,FALSE)</f>
        <v>#N/A</v>
      </c>
      <c r="R353" t="s">
        <v>2277</v>
      </c>
      <c r="S353">
        <v>621440</v>
      </c>
    </row>
    <row r="354" spans="1:19" x14ac:dyDescent="0.3">
      <c r="A354" t="s">
        <v>22</v>
      </c>
      <c r="B354">
        <f>VLOOKUP(A354,Sheet2!B:F,5,FALSE)</f>
        <v>809</v>
      </c>
      <c r="C354" t="s">
        <v>23</v>
      </c>
      <c r="D354">
        <f>VLOOKUP(C354,Sheet2!C:G,5,FALSE)</f>
        <v>810</v>
      </c>
      <c r="E354" t="s">
        <v>428</v>
      </c>
      <c r="F354">
        <f>VLOOKUP(E354,Sheet2!D:E,2,FALSE)</f>
        <v>201062</v>
      </c>
      <c r="G354" t="s">
        <v>11</v>
      </c>
      <c r="H354" t="str">
        <f t="shared" si="10"/>
        <v>NAVERddangyo_ad</v>
      </c>
      <c r="I354" t="str">
        <f>"ddangyo_ad"</f>
        <v>ddangyo_ad</v>
      </c>
      <c r="J354">
        <v>4740780</v>
      </c>
      <c r="K354" s="1">
        <v>44866</v>
      </c>
      <c r="L354" t="s">
        <v>429</v>
      </c>
      <c r="M354">
        <f t="shared" si="11"/>
        <v>4740780</v>
      </c>
      <c r="N354" t="e">
        <f>VLOOKUP(H354,Sheet1!G:H,2,FALSE)</f>
        <v>#N/A</v>
      </c>
      <c r="R354" t="s">
        <v>2278</v>
      </c>
      <c r="S354">
        <v>16215890</v>
      </c>
    </row>
    <row r="355" spans="1:19" x14ac:dyDescent="0.3">
      <c r="A355" t="s">
        <v>41</v>
      </c>
      <c r="B355">
        <f>VLOOKUP(A355,Sheet2!B:F,5,FALSE)</f>
        <v>926</v>
      </c>
      <c r="C355" t="s">
        <v>56</v>
      </c>
      <c r="D355">
        <f>VLOOKUP(C355,Sheet2!C:G,5,FALSE)</f>
        <v>1207</v>
      </c>
      <c r="E355" t="s">
        <v>57</v>
      </c>
      <c r="F355">
        <f>VLOOKUP(E355,Sheet2!D:E,2,FALSE)</f>
        <v>200982</v>
      </c>
      <c r="G355" t="s">
        <v>11</v>
      </c>
      <c r="H355" t="str">
        <f t="shared" si="10"/>
        <v>NAVERdddoing8805:naver</v>
      </c>
      <c r="I355" t="str">
        <f>"dddoing8805:naver"</f>
        <v>dddoing8805:naver</v>
      </c>
      <c r="J355">
        <v>954274</v>
      </c>
      <c r="K355" s="1">
        <v>44866</v>
      </c>
      <c r="L355" t="s">
        <v>430</v>
      </c>
      <c r="M355">
        <f t="shared" si="11"/>
        <v>1020100</v>
      </c>
      <c r="N355" t="e">
        <f>VLOOKUP(H355,Sheet1!G:H,2,FALSE)</f>
        <v>#N/A</v>
      </c>
      <c r="R355" t="s">
        <v>2279</v>
      </c>
      <c r="S355">
        <v>1613900</v>
      </c>
    </row>
    <row r="356" spans="1:19" x14ac:dyDescent="0.3">
      <c r="A356" t="s">
        <v>8</v>
      </c>
      <c r="B356">
        <f>VLOOKUP(A356,Sheet2!B:F,5,FALSE)</f>
        <v>928</v>
      </c>
      <c r="C356" t="s">
        <v>9</v>
      </c>
      <c r="D356">
        <f>VLOOKUP(C356,Sheet2!C:G,5,FALSE)</f>
        <v>1202</v>
      </c>
      <c r="E356" t="s">
        <v>73</v>
      </c>
      <c r="F356">
        <f>VLOOKUP(E356,Sheet2!D:E,2,FALSE)</f>
        <v>895</v>
      </c>
      <c r="G356" t="s">
        <v>11</v>
      </c>
      <c r="H356" t="str">
        <f t="shared" si="10"/>
        <v>NAVERdditco</v>
      </c>
      <c r="I356" t="str">
        <f>"dditco"</f>
        <v>dditco</v>
      </c>
      <c r="J356">
        <v>16560</v>
      </c>
      <c r="K356" s="1">
        <v>44866</v>
      </c>
      <c r="L356" t="s">
        <v>431</v>
      </c>
      <c r="M356">
        <f t="shared" si="11"/>
        <v>16560</v>
      </c>
      <c r="N356" t="e">
        <f>VLOOKUP(H356,Sheet1!G:H,2,FALSE)</f>
        <v>#N/A</v>
      </c>
      <c r="R356" t="s">
        <v>2280</v>
      </c>
      <c r="S356">
        <v>983740</v>
      </c>
    </row>
    <row r="357" spans="1:19" x14ac:dyDescent="0.3">
      <c r="A357" t="s">
        <v>8</v>
      </c>
      <c r="B357">
        <f>VLOOKUP(A357,Sheet2!B:F,5,FALSE)</f>
        <v>928</v>
      </c>
      <c r="C357" t="s">
        <v>9</v>
      </c>
      <c r="D357">
        <f>VLOOKUP(C357,Sheet2!C:G,5,FALSE)</f>
        <v>1202</v>
      </c>
      <c r="E357" t="s">
        <v>47</v>
      </c>
      <c r="F357">
        <f>VLOOKUP(E357,Sheet2!D:E,2,FALSE)</f>
        <v>898</v>
      </c>
      <c r="G357" t="s">
        <v>11</v>
      </c>
      <c r="H357" t="str">
        <f t="shared" si="10"/>
        <v>NAVERdduckhamji</v>
      </c>
      <c r="I357" t="str">
        <f>"dduckhamji"</f>
        <v>dduckhamji</v>
      </c>
      <c r="J357">
        <v>672530</v>
      </c>
      <c r="K357" s="1">
        <v>44866</v>
      </c>
      <c r="L357" t="s">
        <v>432</v>
      </c>
      <c r="M357">
        <f t="shared" si="11"/>
        <v>672530</v>
      </c>
      <c r="N357" t="e">
        <f>VLOOKUP(H357,Sheet1!G:H,2,FALSE)</f>
        <v>#N/A</v>
      </c>
      <c r="R357" t="s">
        <v>2281</v>
      </c>
      <c r="S357">
        <v>624270</v>
      </c>
    </row>
    <row r="358" spans="1:19" x14ac:dyDescent="0.3">
      <c r="A358" t="s">
        <v>8</v>
      </c>
      <c r="B358">
        <f>VLOOKUP(A358,Sheet2!B:F,5,FALSE)</f>
        <v>928</v>
      </c>
      <c r="C358" t="s">
        <v>223</v>
      </c>
      <c r="D358">
        <f>VLOOKUP(C358,Sheet2!C:G,5,FALSE)</f>
        <v>966</v>
      </c>
      <c r="E358" t="s">
        <v>269</v>
      </c>
      <c r="F358">
        <f>VLOOKUP(E358,Sheet2!D:E,2,FALSE)</f>
        <v>201031</v>
      </c>
      <c r="G358" t="s">
        <v>11</v>
      </c>
      <c r="H358" t="str">
        <f t="shared" si="10"/>
        <v>NAVERdegreve</v>
      </c>
      <c r="I358" t="str">
        <f>"degreve"</f>
        <v>degreve</v>
      </c>
      <c r="J358">
        <v>840</v>
      </c>
      <c r="K358" s="1">
        <v>44866</v>
      </c>
      <c r="L358" t="s">
        <v>270</v>
      </c>
      <c r="M358">
        <f t="shared" si="11"/>
        <v>840</v>
      </c>
      <c r="N358" t="e">
        <f>VLOOKUP(H358,Sheet1!G:H,2,FALSE)</f>
        <v>#N/A</v>
      </c>
      <c r="R358" t="s">
        <v>2282</v>
      </c>
      <c r="S358">
        <v>1020720</v>
      </c>
    </row>
    <row r="359" spans="1:19" x14ac:dyDescent="0.3">
      <c r="A359" t="s">
        <v>16</v>
      </c>
      <c r="B359">
        <f>VLOOKUP(A359,Sheet2!B:F,5,FALSE)</f>
        <v>927</v>
      </c>
      <c r="C359" t="s">
        <v>17</v>
      </c>
      <c r="D359">
        <f>VLOOKUP(C359,Sheet2!C:G,5,FALSE)</f>
        <v>1200</v>
      </c>
      <c r="E359" t="s">
        <v>371</v>
      </c>
      <c r="F359">
        <f>VLOOKUP(E359,Sheet2!D:E,2,FALSE)</f>
        <v>551</v>
      </c>
      <c r="G359" t="s">
        <v>11</v>
      </c>
      <c r="H359" t="str">
        <f t="shared" si="10"/>
        <v>NAVERdgblind</v>
      </c>
      <c r="I359" t="str">
        <f>"dgblind"</f>
        <v>dgblind</v>
      </c>
      <c r="J359">
        <v>1206240</v>
      </c>
      <c r="K359" s="1">
        <v>44866</v>
      </c>
      <c r="L359" t="s">
        <v>433</v>
      </c>
      <c r="M359">
        <f t="shared" si="11"/>
        <v>6270</v>
      </c>
      <c r="N359" t="e">
        <f>VLOOKUP(H359,Sheet1!G:H,2,FALSE)</f>
        <v>#N/A</v>
      </c>
      <c r="R359" t="s">
        <v>2283</v>
      </c>
      <c r="S359">
        <v>782980</v>
      </c>
    </row>
    <row r="360" spans="1:19" x14ac:dyDescent="0.3">
      <c r="A360" t="s">
        <v>16</v>
      </c>
      <c r="B360">
        <f>VLOOKUP(A360,Sheet2!B:F,5,FALSE)</f>
        <v>927</v>
      </c>
      <c r="C360" t="s">
        <v>17</v>
      </c>
      <c r="D360">
        <f>VLOOKUP(C360,Sheet2!C:G,5,FALSE)</f>
        <v>1200</v>
      </c>
      <c r="E360" t="s">
        <v>49</v>
      </c>
      <c r="F360">
        <f>VLOOKUP(E360,Sheet2!D:E,2,FALSE)</f>
        <v>201114</v>
      </c>
      <c r="G360" t="s">
        <v>11</v>
      </c>
      <c r="H360" t="str">
        <f t="shared" si="10"/>
        <v>NAVERdggy135:naver</v>
      </c>
      <c r="I360" t="str">
        <f>"dggy135:naver"</f>
        <v>dggy135:naver</v>
      </c>
      <c r="J360">
        <v>287560</v>
      </c>
      <c r="K360" s="1">
        <v>44866</v>
      </c>
      <c r="L360" t="s">
        <v>434</v>
      </c>
      <c r="M360">
        <f t="shared" si="11"/>
        <v>287560</v>
      </c>
      <c r="N360" t="e">
        <f>VLOOKUP(H360,Sheet1!G:H,2,FALSE)</f>
        <v>#N/A</v>
      </c>
      <c r="R360" t="s">
        <v>2284</v>
      </c>
      <c r="S360">
        <v>454690</v>
      </c>
    </row>
    <row r="361" spans="1:19" x14ac:dyDescent="0.3">
      <c r="A361" t="s">
        <v>41</v>
      </c>
      <c r="B361">
        <f>VLOOKUP(A361,Sheet2!B:F,5,FALSE)</f>
        <v>926</v>
      </c>
      <c r="C361" t="s">
        <v>56</v>
      </c>
      <c r="D361">
        <f>VLOOKUP(C361,Sheet2!C:G,5,FALSE)</f>
        <v>1207</v>
      </c>
      <c r="E361" t="s">
        <v>57</v>
      </c>
      <c r="F361">
        <f>VLOOKUP(E361,Sheet2!D:E,2,FALSE)</f>
        <v>200982</v>
      </c>
      <c r="G361" t="s">
        <v>11</v>
      </c>
      <c r="H361" t="str">
        <f t="shared" si="10"/>
        <v>NAVERdhbbcar</v>
      </c>
      <c r="I361" t="str">
        <f>"dhbbcar"</f>
        <v>dhbbcar</v>
      </c>
      <c r="J361">
        <v>28680</v>
      </c>
      <c r="K361" s="1">
        <v>44866</v>
      </c>
      <c r="L361" t="s">
        <v>435</v>
      </c>
      <c r="M361">
        <f t="shared" si="11"/>
        <v>28680</v>
      </c>
      <c r="N361" t="e">
        <f>VLOOKUP(H361,Sheet1!G:H,2,FALSE)</f>
        <v>#N/A</v>
      </c>
      <c r="R361" t="s">
        <v>2285</v>
      </c>
      <c r="S361">
        <v>17150</v>
      </c>
    </row>
    <row r="362" spans="1:19" x14ac:dyDescent="0.3">
      <c r="A362" t="s">
        <v>8</v>
      </c>
      <c r="B362">
        <f>VLOOKUP(A362,Sheet2!B:F,5,FALSE)</f>
        <v>928</v>
      </c>
      <c r="C362" t="s">
        <v>13</v>
      </c>
      <c r="D362">
        <f>VLOOKUP(C362,Sheet2!C:G,5,FALSE)</f>
        <v>1184</v>
      </c>
      <c r="E362" t="s">
        <v>59</v>
      </c>
      <c r="F362">
        <f>VLOOKUP(E362,Sheet2!D:E,2,FALSE)</f>
        <v>9</v>
      </c>
      <c r="G362" t="s">
        <v>11</v>
      </c>
      <c r="H362" t="str">
        <f t="shared" si="10"/>
        <v>NAVERdhcru</v>
      </c>
      <c r="I362" t="str">
        <f>"dhcru"</f>
        <v>dhcru</v>
      </c>
      <c r="J362">
        <v>210</v>
      </c>
      <c r="K362" s="1">
        <v>44866</v>
      </c>
      <c r="L362" t="s">
        <v>436</v>
      </c>
      <c r="M362">
        <f t="shared" si="11"/>
        <v>210</v>
      </c>
      <c r="N362" t="e">
        <f>VLOOKUP(H362,Sheet1!G:H,2,FALSE)</f>
        <v>#N/A</v>
      </c>
      <c r="R362" t="s">
        <v>2286</v>
      </c>
      <c r="S362">
        <v>59430</v>
      </c>
    </row>
    <row r="363" spans="1:19" x14ac:dyDescent="0.3">
      <c r="A363" t="s">
        <v>16</v>
      </c>
      <c r="B363">
        <f>VLOOKUP(A363,Sheet2!B:F,5,FALSE)</f>
        <v>927</v>
      </c>
      <c r="C363" t="s">
        <v>17</v>
      </c>
      <c r="D363">
        <f>VLOOKUP(C363,Sheet2!C:G,5,FALSE)</f>
        <v>1200</v>
      </c>
      <c r="E363" t="s">
        <v>437</v>
      </c>
      <c r="F363">
        <f>VLOOKUP(E363,Sheet2!D:E,2,FALSE)</f>
        <v>201118</v>
      </c>
      <c r="G363" t="s">
        <v>11</v>
      </c>
      <c r="H363" t="str">
        <f t="shared" si="10"/>
        <v>NAVERdhldy012:naver</v>
      </c>
      <c r="I363" t="str">
        <f>"dhldy012:naver"</f>
        <v>dhldy012:naver</v>
      </c>
      <c r="J363">
        <v>1904300</v>
      </c>
      <c r="K363" s="1">
        <v>44866</v>
      </c>
      <c r="L363" t="s">
        <v>438</v>
      </c>
      <c r="M363">
        <f t="shared" si="11"/>
        <v>1904300</v>
      </c>
      <c r="N363" t="e">
        <f>VLOOKUP(H363,Sheet1!G:H,2,FALSE)</f>
        <v>#N/A</v>
      </c>
      <c r="R363" t="s">
        <v>2287</v>
      </c>
      <c r="S363">
        <v>1268380</v>
      </c>
    </row>
    <row r="364" spans="1:19" x14ac:dyDescent="0.3">
      <c r="A364" t="s">
        <v>41</v>
      </c>
      <c r="B364">
        <f>VLOOKUP(A364,Sheet2!B:F,5,FALSE)</f>
        <v>926</v>
      </c>
      <c r="C364" t="s">
        <v>56</v>
      </c>
      <c r="D364">
        <f>VLOOKUP(C364,Sheet2!C:G,5,FALSE)</f>
        <v>1207</v>
      </c>
      <c r="E364" t="s">
        <v>253</v>
      </c>
      <c r="F364">
        <f>VLOOKUP(E364,Sheet2!D:E,2,FALSE)</f>
        <v>1328</v>
      </c>
      <c r="G364" t="s">
        <v>11</v>
      </c>
      <c r="H364" t="str">
        <f t="shared" si="10"/>
        <v>NAVERdhlkorea</v>
      </c>
      <c r="I364" t="str">
        <f>"dhlkorea"</f>
        <v>dhlkorea</v>
      </c>
      <c r="J364">
        <v>4932070</v>
      </c>
      <c r="K364" s="1">
        <v>44866</v>
      </c>
      <c r="L364" t="s">
        <v>439</v>
      </c>
      <c r="M364">
        <f t="shared" si="11"/>
        <v>732070</v>
      </c>
      <c r="N364" t="e">
        <f>VLOOKUP(H364,Sheet1!G:H,2,FALSE)</f>
        <v>#N/A</v>
      </c>
      <c r="R364" t="s">
        <v>2288</v>
      </c>
      <c r="S364">
        <v>1033190</v>
      </c>
    </row>
    <row r="365" spans="1:19" x14ac:dyDescent="0.3">
      <c r="A365" t="s">
        <v>8</v>
      </c>
      <c r="B365">
        <f>VLOOKUP(A365,Sheet2!B:F,5,FALSE)</f>
        <v>928</v>
      </c>
      <c r="C365" t="s">
        <v>9</v>
      </c>
      <c r="D365">
        <f>VLOOKUP(C365,Sheet2!C:G,5,FALSE)</f>
        <v>1202</v>
      </c>
      <c r="E365" t="s">
        <v>45</v>
      </c>
      <c r="F365">
        <f>VLOOKUP(E365,Sheet2!D:E,2,FALSE)</f>
        <v>26</v>
      </c>
      <c r="G365" t="s">
        <v>11</v>
      </c>
      <c r="H365" t="str">
        <f t="shared" si="10"/>
        <v>NAVERdhrfyd0207:naver</v>
      </c>
      <c r="I365" t="str">
        <f>"dhrfyd0207:naver"</f>
        <v>dhrfyd0207:naver</v>
      </c>
      <c r="J365">
        <v>232190</v>
      </c>
      <c r="K365" s="1">
        <v>44866</v>
      </c>
      <c r="L365" t="s">
        <v>440</v>
      </c>
      <c r="M365">
        <f t="shared" si="11"/>
        <v>232190</v>
      </c>
      <c r="N365" t="e">
        <f>VLOOKUP(H365,Sheet1!G:H,2,FALSE)</f>
        <v>#N/A</v>
      </c>
      <c r="R365" t="s">
        <v>2289</v>
      </c>
      <c r="S365">
        <v>722230</v>
      </c>
    </row>
    <row r="366" spans="1:19" x14ac:dyDescent="0.3">
      <c r="A366" t="s">
        <v>8</v>
      </c>
      <c r="B366">
        <f>VLOOKUP(A366,Sheet2!B:F,5,FALSE)</f>
        <v>928</v>
      </c>
      <c r="C366" t="s">
        <v>9</v>
      </c>
      <c r="D366">
        <f>VLOOKUP(C366,Sheet2!C:G,5,FALSE)</f>
        <v>1202</v>
      </c>
      <c r="E366" t="s">
        <v>75</v>
      </c>
      <c r="F366">
        <f>VLOOKUP(E366,Sheet2!D:E,2,FALSE)</f>
        <v>50</v>
      </c>
      <c r="G366" t="s">
        <v>11</v>
      </c>
      <c r="H366" t="str">
        <f t="shared" si="10"/>
        <v>NAVERdhsoss</v>
      </c>
      <c r="I366" t="str">
        <f>"dhsoss"</f>
        <v>dhsoss</v>
      </c>
      <c r="J366">
        <v>813406</v>
      </c>
      <c r="K366" s="1">
        <v>44866</v>
      </c>
      <c r="L366" t="s">
        <v>441</v>
      </c>
      <c r="M366">
        <f t="shared" si="11"/>
        <v>729918</v>
      </c>
      <c r="N366" t="e">
        <f>VLOOKUP(H366,Sheet1!G:H,2,FALSE)</f>
        <v>#N/A</v>
      </c>
      <c r="R366" t="s">
        <v>2290</v>
      </c>
      <c r="S366">
        <v>7144310</v>
      </c>
    </row>
    <row r="367" spans="1:19" x14ac:dyDescent="0.3">
      <c r="A367" t="s">
        <v>8</v>
      </c>
      <c r="B367">
        <f>VLOOKUP(A367,Sheet2!B:F,5,FALSE)</f>
        <v>928</v>
      </c>
      <c r="C367" t="s">
        <v>9</v>
      </c>
      <c r="D367">
        <f>VLOOKUP(C367,Sheet2!C:G,5,FALSE)</f>
        <v>1202</v>
      </c>
      <c r="E367" t="s">
        <v>27</v>
      </c>
      <c r="F367">
        <f>VLOOKUP(E367,Sheet2!D:E,2,FALSE)</f>
        <v>806</v>
      </c>
      <c r="G367" t="s">
        <v>11</v>
      </c>
      <c r="H367" t="str">
        <f t="shared" si="10"/>
        <v>NAVERdicson</v>
      </c>
      <c r="I367" t="str">
        <f>"dicson"</f>
        <v>dicson</v>
      </c>
      <c r="J367">
        <v>790930</v>
      </c>
      <c r="K367" s="1">
        <v>44866</v>
      </c>
      <c r="L367" t="s">
        <v>442</v>
      </c>
      <c r="M367">
        <f t="shared" si="11"/>
        <v>790930</v>
      </c>
      <c r="N367" t="e">
        <f>VLOOKUP(H367,Sheet1!G:H,2,FALSE)</f>
        <v>#N/A</v>
      </c>
      <c r="R367" t="s">
        <v>2291</v>
      </c>
      <c r="S367">
        <v>225630</v>
      </c>
    </row>
    <row r="368" spans="1:19" x14ac:dyDescent="0.3">
      <c r="A368" t="s">
        <v>8</v>
      </c>
      <c r="B368">
        <f>VLOOKUP(A368,Sheet2!B:F,5,FALSE)</f>
        <v>928</v>
      </c>
      <c r="C368" t="s">
        <v>9</v>
      </c>
      <c r="D368">
        <f>VLOOKUP(C368,Sheet2!C:G,5,FALSE)</f>
        <v>1202</v>
      </c>
      <c r="E368" t="s">
        <v>122</v>
      </c>
      <c r="F368">
        <f>VLOOKUP(E368,Sheet2!D:E,2,FALSE)</f>
        <v>251</v>
      </c>
      <c r="G368" t="s">
        <v>11</v>
      </c>
      <c r="H368" t="str">
        <f t="shared" si="10"/>
        <v>NAVERdidimdol_art</v>
      </c>
      <c r="I368" t="str">
        <f>"didimdol_art"</f>
        <v>didimdol_art</v>
      </c>
      <c r="J368">
        <v>16160</v>
      </c>
      <c r="K368" s="1">
        <v>44866</v>
      </c>
      <c r="L368" t="s">
        <v>443</v>
      </c>
      <c r="M368" t="e">
        <f t="shared" si="11"/>
        <v>#N/A</v>
      </c>
      <c r="N368" t="str">
        <f>VLOOKUP(H368,Sheet1!G:H,2,FALSE)</f>
        <v>광고주와 연락안되고 있음</v>
      </c>
      <c r="R368" t="s">
        <v>2292</v>
      </c>
      <c r="S368">
        <v>393020</v>
      </c>
    </row>
    <row r="369" spans="1:19" x14ac:dyDescent="0.3">
      <c r="A369" t="s">
        <v>16</v>
      </c>
      <c r="B369">
        <f>VLOOKUP(A369,Sheet2!B:F,5,FALSE)</f>
        <v>927</v>
      </c>
      <c r="C369" t="s">
        <v>17</v>
      </c>
      <c r="D369">
        <f>VLOOKUP(C369,Sheet2!C:G,5,FALSE)</f>
        <v>1200</v>
      </c>
      <c r="E369" t="s">
        <v>18</v>
      </c>
      <c r="F369">
        <f>VLOOKUP(E369,Sheet2!D:E,2,FALSE)</f>
        <v>201116</v>
      </c>
      <c r="G369" t="s">
        <v>11</v>
      </c>
      <c r="H369" t="str">
        <f t="shared" si="10"/>
        <v>NAVERdidrkdus152152:naver</v>
      </c>
      <c r="I369" t="str">
        <f>"didrkdus152152:naver"</f>
        <v>didrkdus152152:naver</v>
      </c>
      <c r="J369">
        <v>839520</v>
      </c>
      <c r="K369" s="1">
        <v>44866</v>
      </c>
      <c r="L369" t="s">
        <v>444</v>
      </c>
      <c r="M369">
        <f t="shared" si="11"/>
        <v>862220</v>
      </c>
      <c r="N369" t="e">
        <f>VLOOKUP(H369,Sheet1!G:H,2,FALSE)</f>
        <v>#N/A</v>
      </c>
      <c r="R369" t="s">
        <v>2293</v>
      </c>
      <c r="S369">
        <v>8680</v>
      </c>
    </row>
    <row r="370" spans="1:19" x14ac:dyDescent="0.3">
      <c r="A370" t="s">
        <v>8</v>
      </c>
      <c r="B370">
        <f>VLOOKUP(A370,Sheet2!B:F,5,FALSE)</f>
        <v>928</v>
      </c>
      <c r="C370" t="s">
        <v>83</v>
      </c>
      <c r="D370">
        <f>VLOOKUP(C370,Sheet2!C:G,5,FALSE)</f>
        <v>960</v>
      </c>
      <c r="E370" t="s">
        <v>84</v>
      </c>
      <c r="F370">
        <f>VLOOKUP(E370,Sheet2!D:E,2,FALSE)</f>
        <v>1632</v>
      </c>
      <c r="G370" t="s">
        <v>11</v>
      </c>
      <c r="H370" t="str">
        <f t="shared" si="10"/>
        <v>NAVERdigh4000:naver</v>
      </c>
      <c r="I370" t="str">
        <f>"digh4000:naver"</f>
        <v>digh4000:naver</v>
      </c>
      <c r="J370">
        <v>1820</v>
      </c>
      <c r="K370" s="1">
        <v>44866</v>
      </c>
      <c r="L370" t="s">
        <v>445</v>
      </c>
      <c r="M370">
        <f t="shared" si="11"/>
        <v>1820</v>
      </c>
      <c r="N370" t="e">
        <f>VLOOKUP(H370,Sheet1!G:H,2,FALSE)</f>
        <v>#N/A</v>
      </c>
      <c r="R370" t="s">
        <v>2294</v>
      </c>
      <c r="S370">
        <v>0</v>
      </c>
    </row>
    <row r="371" spans="1:19" x14ac:dyDescent="0.3">
      <c r="A371" t="s">
        <v>16</v>
      </c>
      <c r="B371">
        <f>VLOOKUP(A371,Sheet2!B:F,5,FALSE)</f>
        <v>927</v>
      </c>
      <c r="C371" t="s">
        <v>17</v>
      </c>
      <c r="D371">
        <f>VLOOKUP(C371,Sheet2!C:G,5,FALSE)</f>
        <v>1200</v>
      </c>
      <c r="E371" t="s">
        <v>446</v>
      </c>
      <c r="F371">
        <f>VLOOKUP(E371,Sheet2!D:E,2,FALSE)</f>
        <v>566</v>
      </c>
      <c r="G371" t="s">
        <v>11</v>
      </c>
      <c r="H371" t="str">
        <f t="shared" si="10"/>
        <v>NAVERdigpet:naver</v>
      </c>
      <c r="I371" t="str">
        <f>"digpet:naver"</f>
        <v>digpet:naver</v>
      </c>
      <c r="J371">
        <v>23260</v>
      </c>
      <c r="K371" s="1">
        <v>44866</v>
      </c>
      <c r="L371" t="s">
        <v>447</v>
      </c>
      <c r="M371">
        <f t="shared" si="11"/>
        <v>23260</v>
      </c>
      <c r="N371" t="e">
        <f>VLOOKUP(H371,Sheet1!G:H,2,FALSE)</f>
        <v>#N/A</v>
      </c>
      <c r="R371" t="s">
        <v>2295</v>
      </c>
      <c r="S371">
        <v>455630</v>
      </c>
    </row>
    <row r="372" spans="1:19" x14ac:dyDescent="0.3">
      <c r="A372" t="s">
        <v>16</v>
      </c>
      <c r="B372">
        <f>VLOOKUP(A372,Sheet2!B:F,5,FALSE)</f>
        <v>927</v>
      </c>
      <c r="C372" t="s">
        <v>17</v>
      </c>
      <c r="D372">
        <f>VLOOKUP(C372,Sheet2!C:G,5,FALSE)</f>
        <v>1200</v>
      </c>
      <c r="E372" t="s">
        <v>53</v>
      </c>
      <c r="F372">
        <f>VLOOKUP(E372,Sheet2!D:E,2,FALSE)</f>
        <v>201080</v>
      </c>
      <c r="G372" t="s">
        <v>11</v>
      </c>
      <c r="H372" t="str">
        <f t="shared" si="10"/>
        <v>NAVERdinthink</v>
      </c>
      <c r="I372" t="str">
        <f>"dinthink"</f>
        <v>dinthink</v>
      </c>
      <c r="J372">
        <v>265210</v>
      </c>
      <c r="K372" s="1">
        <v>44866</v>
      </c>
      <c r="L372" t="s">
        <v>448</v>
      </c>
      <c r="M372">
        <f t="shared" si="11"/>
        <v>265660</v>
      </c>
      <c r="N372" t="e">
        <f>VLOOKUP(H372,Sheet1!G:H,2,FALSE)</f>
        <v>#N/A</v>
      </c>
      <c r="R372" t="s">
        <v>2296</v>
      </c>
      <c r="S372">
        <v>136220</v>
      </c>
    </row>
    <row r="373" spans="1:19" x14ac:dyDescent="0.3">
      <c r="A373" t="s">
        <v>8</v>
      </c>
      <c r="B373">
        <f>VLOOKUP(A373,Sheet2!B:F,5,FALSE)</f>
        <v>928</v>
      </c>
      <c r="C373" t="s">
        <v>13</v>
      </c>
      <c r="D373">
        <f>VLOOKUP(C373,Sheet2!C:G,5,FALSE)</f>
        <v>1184</v>
      </c>
      <c r="E373" t="s">
        <v>127</v>
      </c>
      <c r="F373">
        <f>VLOOKUP(E373,Sheet2!D:E,2,FALSE)</f>
        <v>201029</v>
      </c>
      <c r="G373" t="s">
        <v>11</v>
      </c>
      <c r="H373" t="str">
        <f t="shared" si="10"/>
        <v>NAVERdirect1234</v>
      </c>
      <c r="I373" t="str">
        <f>"direct1234"</f>
        <v>direct1234</v>
      </c>
      <c r="J373">
        <v>2563690</v>
      </c>
      <c r="K373" s="1">
        <v>44866</v>
      </c>
      <c r="L373" t="s">
        <v>449</v>
      </c>
      <c r="M373">
        <f t="shared" si="11"/>
        <v>2063700</v>
      </c>
      <c r="N373" t="e">
        <f>VLOOKUP(H373,Sheet1!G:H,2,FALSE)</f>
        <v>#N/A</v>
      </c>
      <c r="R373" t="s">
        <v>2297</v>
      </c>
      <c r="S373">
        <v>280</v>
      </c>
    </row>
    <row r="374" spans="1:19" x14ac:dyDescent="0.3">
      <c r="A374" t="s">
        <v>8</v>
      </c>
      <c r="B374">
        <f>VLOOKUP(A374,Sheet2!B:F,5,FALSE)</f>
        <v>928</v>
      </c>
      <c r="C374" t="s">
        <v>13</v>
      </c>
      <c r="D374">
        <f>VLOOKUP(C374,Sheet2!C:G,5,FALSE)</f>
        <v>1184</v>
      </c>
      <c r="E374" t="s">
        <v>127</v>
      </c>
      <c r="F374">
        <f>VLOOKUP(E374,Sheet2!D:E,2,FALSE)</f>
        <v>201029</v>
      </c>
      <c r="G374" t="s">
        <v>11</v>
      </c>
      <c r="H374" t="str">
        <f t="shared" si="10"/>
        <v>NAVERdirect4321</v>
      </c>
      <c r="I374" t="str">
        <f>"direct4321"</f>
        <v>direct4321</v>
      </c>
      <c r="J374">
        <v>1697590</v>
      </c>
      <c r="K374" s="1">
        <v>44866</v>
      </c>
      <c r="L374" t="s">
        <v>449</v>
      </c>
      <c r="M374">
        <f t="shared" si="11"/>
        <v>1697590</v>
      </c>
      <c r="N374" t="e">
        <f>VLOOKUP(H374,Sheet1!G:H,2,FALSE)</f>
        <v>#N/A</v>
      </c>
      <c r="R374" t="s">
        <v>2298</v>
      </c>
      <c r="S374">
        <v>3290</v>
      </c>
    </row>
    <row r="375" spans="1:19" x14ac:dyDescent="0.3">
      <c r="A375" t="s">
        <v>41</v>
      </c>
      <c r="B375">
        <f>VLOOKUP(A375,Sheet2!B:F,5,FALSE)</f>
        <v>926</v>
      </c>
      <c r="C375" t="s">
        <v>56</v>
      </c>
      <c r="D375">
        <f>VLOOKUP(C375,Sheet2!C:G,5,FALSE)</f>
        <v>1207</v>
      </c>
      <c r="E375" t="s">
        <v>253</v>
      </c>
      <c r="F375">
        <f>VLOOKUP(E375,Sheet2!D:E,2,FALSE)</f>
        <v>1328</v>
      </c>
      <c r="G375" t="s">
        <v>11</v>
      </c>
      <c r="H375" t="str">
        <f t="shared" si="10"/>
        <v>NAVERdkrakx3</v>
      </c>
      <c r="I375" t="str">
        <f>"dkrakx3"</f>
        <v>dkrakx3</v>
      </c>
      <c r="J375">
        <v>257400</v>
      </c>
      <c r="K375" s="1">
        <v>44866</v>
      </c>
      <c r="L375" t="s">
        <v>450</v>
      </c>
      <c r="M375">
        <f t="shared" si="11"/>
        <v>257400</v>
      </c>
      <c r="N375" t="e">
        <f>VLOOKUP(H375,Sheet1!G:H,2,FALSE)</f>
        <v>#N/A</v>
      </c>
      <c r="R375" t="s">
        <v>2299</v>
      </c>
      <c r="S375">
        <v>5770</v>
      </c>
    </row>
    <row r="376" spans="1:19" x14ac:dyDescent="0.3">
      <c r="A376" t="s">
        <v>8</v>
      </c>
      <c r="B376">
        <f>VLOOKUP(A376,Sheet2!B:F,5,FALSE)</f>
        <v>928</v>
      </c>
      <c r="C376" t="s">
        <v>9</v>
      </c>
      <c r="D376">
        <f>VLOOKUP(C376,Sheet2!C:G,5,FALSE)</f>
        <v>1202</v>
      </c>
      <c r="E376" t="s">
        <v>142</v>
      </c>
      <c r="F376">
        <f>VLOOKUP(E376,Sheet2!D:E,2,FALSE)</f>
        <v>652</v>
      </c>
      <c r="G376" t="s">
        <v>11</v>
      </c>
      <c r="H376" t="str">
        <f t="shared" si="10"/>
        <v>NAVERdksxodud34</v>
      </c>
      <c r="I376" t="str">
        <f>"dksxodud34"</f>
        <v>dksxodud34</v>
      </c>
      <c r="J376">
        <v>244510</v>
      </c>
      <c r="K376" s="1">
        <v>44866</v>
      </c>
      <c r="L376" t="s">
        <v>451</v>
      </c>
      <c r="M376">
        <f t="shared" si="11"/>
        <v>202840</v>
      </c>
      <c r="N376" t="e">
        <f>VLOOKUP(H376,Sheet1!G:H,2,FALSE)</f>
        <v>#N/A</v>
      </c>
      <c r="R376" t="s">
        <v>2300</v>
      </c>
      <c r="S376">
        <v>3719190</v>
      </c>
    </row>
    <row r="377" spans="1:19" x14ac:dyDescent="0.3">
      <c r="A377" t="s">
        <v>8</v>
      </c>
      <c r="B377">
        <f>VLOOKUP(A377,Sheet2!B:F,5,FALSE)</f>
        <v>928</v>
      </c>
      <c r="C377" t="s">
        <v>9</v>
      </c>
      <c r="D377">
        <f>VLOOKUP(C377,Sheet2!C:G,5,FALSE)</f>
        <v>1202</v>
      </c>
      <c r="E377" t="s">
        <v>122</v>
      </c>
      <c r="F377">
        <f>VLOOKUP(E377,Sheet2!D:E,2,FALSE)</f>
        <v>251</v>
      </c>
      <c r="G377" t="s">
        <v>11</v>
      </c>
      <c r="H377" t="str">
        <f t="shared" si="10"/>
        <v>NAVERdktools0949</v>
      </c>
      <c r="I377" t="str">
        <f>"dktools0949"</f>
        <v>dktools0949</v>
      </c>
      <c r="J377">
        <v>14551554</v>
      </c>
      <c r="K377" s="1">
        <v>44866</v>
      </c>
      <c r="L377" t="s">
        <v>452</v>
      </c>
      <c r="M377">
        <f t="shared" si="11"/>
        <v>14068230</v>
      </c>
      <c r="N377" t="e">
        <f>VLOOKUP(H377,Sheet1!G:H,2,FALSE)</f>
        <v>#N/A</v>
      </c>
      <c r="R377" t="s">
        <v>2301</v>
      </c>
      <c r="S377">
        <v>782420</v>
      </c>
    </row>
    <row r="378" spans="1:19" x14ac:dyDescent="0.3">
      <c r="A378" t="s">
        <v>41</v>
      </c>
      <c r="B378">
        <f>VLOOKUP(A378,Sheet2!B:F,5,FALSE)</f>
        <v>926</v>
      </c>
      <c r="C378" t="s">
        <v>42</v>
      </c>
      <c r="D378">
        <f>VLOOKUP(C378,Sheet2!C:G,5,FALSE)</f>
        <v>964</v>
      </c>
      <c r="E378" t="s">
        <v>43</v>
      </c>
      <c r="F378">
        <f>VLOOKUP(E378,Sheet2!D:E,2,FALSE)</f>
        <v>200998</v>
      </c>
      <c r="G378" t="s">
        <v>11</v>
      </c>
      <c r="H378" t="str">
        <f t="shared" si="10"/>
        <v>NAVERdlaeodlf</v>
      </c>
      <c r="I378" t="str">
        <f>"dlaeodlf"</f>
        <v>dlaeodlf</v>
      </c>
      <c r="J378">
        <v>3750</v>
      </c>
      <c r="K378" s="1">
        <v>44866</v>
      </c>
      <c r="L378" t="s">
        <v>453</v>
      </c>
      <c r="M378">
        <f t="shared" si="11"/>
        <v>3750</v>
      </c>
      <c r="N378" t="e">
        <f>VLOOKUP(H378,Sheet1!G:H,2,FALSE)</f>
        <v>#N/A</v>
      </c>
      <c r="R378" t="s">
        <v>2302</v>
      </c>
      <c r="S378">
        <v>1110</v>
      </c>
    </row>
    <row r="379" spans="1:19" x14ac:dyDescent="0.3">
      <c r="A379" t="s">
        <v>41</v>
      </c>
      <c r="B379">
        <f>VLOOKUP(A379,Sheet2!B:F,5,FALSE)</f>
        <v>926</v>
      </c>
      <c r="C379" t="s">
        <v>42</v>
      </c>
      <c r="D379">
        <f>VLOOKUP(C379,Sheet2!C:G,5,FALSE)</f>
        <v>964</v>
      </c>
      <c r="E379" t="s">
        <v>43</v>
      </c>
      <c r="F379">
        <f>VLOOKUP(E379,Sheet2!D:E,2,FALSE)</f>
        <v>200998</v>
      </c>
      <c r="G379" t="s">
        <v>11</v>
      </c>
      <c r="H379" t="str">
        <f t="shared" si="10"/>
        <v>NAVERdlawodlr9113</v>
      </c>
      <c r="I379" t="str">
        <f>"dlawodlr9113"</f>
        <v>dlawodlr9113</v>
      </c>
      <c r="J379">
        <v>3600</v>
      </c>
      <c r="K379" s="1">
        <v>44866</v>
      </c>
      <c r="L379" t="s">
        <v>454</v>
      </c>
      <c r="M379">
        <f t="shared" si="11"/>
        <v>3600</v>
      </c>
      <c r="N379" t="e">
        <f>VLOOKUP(H379,Sheet1!G:H,2,FALSE)</f>
        <v>#N/A</v>
      </c>
      <c r="R379" t="s">
        <v>2303</v>
      </c>
      <c r="S379">
        <v>111790</v>
      </c>
    </row>
    <row r="380" spans="1:19" x14ac:dyDescent="0.3">
      <c r="A380" t="s">
        <v>8</v>
      </c>
      <c r="B380">
        <f>VLOOKUP(A380,Sheet2!B:F,5,FALSE)</f>
        <v>928</v>
      </c>
      <c r="C380" t="s">
        <v>9</v>
      </c>
      <c r="D380">
        <f>VLOOKUP(C380,Sheet2!C:G,5,FALSE)</f>
        <v>1202</v>
      </c>
      <c r="E380" t="s">
        <v>45</v>
      </c>
      <c r="F380">
        <f>VLOOKUP(E380,Sheet2!D:E,2,FALSE)</f>
        <v>26</v>
      </c>
      <c r="G380" t="s">
        <v>11</v>
      </c>
      <c r="H380" t="str">
        <f t="shared" si="10"/>
        <v>NAVERdldbstnsla</v>
      </c>
      <c r="I380" t="str">
        <f>"dldbstnsla"</f>
        <v>dldbstnsla</v>
      </c>
      <c r="J380">
        <v>1932270</v>
      </c>
      <c r="K380" s="1">
        <v>44866</v>
      </c>
      <c r="L380" t="s">
        <v>455</v>
      </c>
      <c r="M380">
        <f t="shared" si="11"/>
        <v>1932270</v>
      </c>
      <c r="N380" t="e">
        <f>VLOOKUP(H380,Sheet1!G:H,2,FALSE)</f>
        <v>#N/A</v>
      </c>
      <c r="R380" t="s">
        <v>2304</v>
      </c>
      <c r="S380">
        <v>473130</v>
      </c>
    </row>
    <row r="381" spans="1:19" x14ac:dyDescent="0.3">
      <c r="A381" t="s">
        <v>8</v>
      </c>
      <c r="B381">
        <f>VLOOKUP(A381,Sheet2!B:F,5,FALSE)</f>
        <v>928</v>
      </c>
      <c r="C381" t="s">
        <v>9</v>
      </c>
      <c r="D381">
        <f>VLOOKUP(C381,Sheet2!C:G,5,FALSE)</f>
        <v>1202</v>
      </c>
      <c r="E381" t="s">
        <v>20</v>
      </c>
      <c r="F381">
        <f>VLOOKUP(E381,Sheet2!D:E,2,FALSE)</f>
        <v>938</v>
      </c>
      <c r="G381" t="s">
        <v>11</v>
      </c>
      <c r="H381" t="str">
        <f t="shared" si="10"/>
        <v>NAVERdlqudcjf888</v>
      </c>
      <c r="I381" t="str">
        <f>"dlqudcjf888"</f>
        <v>dlqudcjf888</v>
      </c>
      <c r="J381">
        <v>23310</v>
      </c>
      <c r="K381" s="1">
        <v>44866</v>
      </c>
      <c r="L381" t="s">
        <v>456</v>
      </c>
      <c r="M381">
        <f t="shared" si="11"/>
        <v>23310</v>
      </c>
      <c r="N381" t="e">
        <f>VLOOKUP(H381,Sheet1!G:H,2,FALSE)</f>
        <v>#N/A</v>
      </c>
      <c r="R381" t="s">
        <v>2305</v>
      </c>
      <c r="S381">
        <v>200820</v>
      </c>
    </row>
    <row r="382" spans="1:19" x14ac:dyDescent="0.3">
      <c r="A382" t="s">
        <v>8</v>
      </c>
      <c r="B382">
        <f>VLOOKUP(A382,Sheet2!B:F,5,FALSE)</f>
        <v>928</v>
      </c>
      <c r="C382" t="s">
        <v>9</v>
      </c>
      <c r="D382">
        <f>VLOOKUP(C382,Sheet2!C:G,5,FALSE)</f>
        <v>1202</v>
      </c>
      <c r="E382" t="s">
        <v>10</v>
      </c>
      <c r="F382">
        <f>VLOOKUP(E382,Sheet2!D:E,2,FALSE)</f>
        <v>939</v>
      </c>
      <c r="G382" t="s">
        <v>11</v>
      </c>
      <c r="H382" t="str">
        <f t="shared" si="10"/>
        <v>NAVERdls27</v>
      </c>
      <c r="I382" t="str">
        <f>"dls27"</f>
        <v>dls27</v>
      </c>
      <c r="J382">
        <v>67110</v>
      </c>
      <c r="K382" s="1">
        <v>44866</v>
      </c>
      <c r="L382" t="s">
        <v>457</v>
      </c>
      <c r="M382">
        <f t="shared" si="11"/>
        <v>67110</v>
      </c>
      <c r="N382" t="e">
        <f>VLOOKUP(H382,Sheet1!G:H,2,FALSE)</f>
        <v>#N/A</v>
      </c>
      <c r="R382" t="s">
        <v>2306</v>
      </c>
      <c r="S382">
        <v>70</v>
      </c>
    </row>
    <row r="383" spans="1:19" x14ac:dyDescent="0.3">
      <c r="A383" t="s">
        <v>22</v>
      </c>
      <c r="B383">
        <f>VLOOKUP(A383,Sheet2!B:F,5,FALSE)</f>
        <v>809</v>
      </c>
      <c r="C383" t="s">
        <v>23</v>
      </c>
      <c r="D383">
        <f>VLOOKUP(C383,Sheet2!C:G,5,FALSE)</f>
        <v>810</v>
      </c>
      <c r="E383" t="s">
        <v>24</v>
      </c>
      <c r="F383">
        <f>VLOOKUP(E383,Sheet2!D:E,2,FALSE)</f>
        <v>201032</v>
      </c>
      <c r="G383" t="s">
        <v>11</v>
      </c>
      <c r="H383" t="str">
        <f t="shared" si="10"/>
        <v>NAVERdls5189:naver</v>
      </c>
      <c r="I383" t="str">
        <f>"dls5189:naver"</f>
        <v>dls5189:naver</v>
      </c>
      <c r="J383">
        <v>34760</v>
      </c>
      <c r="K383" s="1">
        <v>44866</v>
      </c>
      <c r="L383" t="s">
        <v>458</v>
      </c>
      <c r="M383">
        <f t="shared" si="11"/>
        <v>34760</v>
      </c>
      <c r="N383" t="e">
        <f>VLOOKUP(H383,Sheet1!G:H,2,FALSE)</f>
        <v>#N/A</v>
      </c>
      <c r="R383" t="s">
        <v>2307</v>
      </c>
      <c r="S383">
        <v>8004140</v>
      </c>
    </row>
    <row r="384" spans="1:19" x14ac:dyDescent="0.3">
      <c r="A384" t="s">
        <v>41</v>
      </c>
      <c r="B384">
        <f>VLOOKUP(A384,Sheet2!B:F,5,FALSE)</f>
        <v>926</v>
      </c>
      <c r="C384" t="s">
        <v>56</v>
      </c>
      <c r="D384">
        <f>VLOOKUP(C384,Sheet2!C:G,5,FALSE)</f>
        <v>1207</v>
      </c>
      <c r="E384" t="s">
        <v>253</v>
      </c>
      <c r="F384">
        <f>VLOOKUP(E384,Sheet2!D:E,2,FALSE)</f>
        <v>1328</v>
      </c>
      <c r="G384" t="s">
        <v>11</v>
      </c>
      <c r="H384" t="str">
        <f t="shared" si="10"/>
        <v>NAVERdmsdl6831</v>
      </c>
      <c r="I384" t="str">
        <f>"dmsdl6831"</f>
        <v>dmsdl6831</v>
      </c>
      <c r="J384">
        <v>34450</v>
      </c>
      <c r="K384" s="1">
        <v>44866</v>
      </c>
      <c r="L384" t="s">
        <v>459</v>
      </c>
      <c r="M384" t="e">
        <f t="shared" si="11"/>
        <v>#N/A</v>
      </c>
      <c r="N384" t="e">
        <f>VLOOKUP(H384,Sheet1!G:H,2,FALSE)</f>
        <v>#N/A</v>
      </c>
      <c r="R384" t="s">
        <v>2308</v>
      </c>
      <c r="S384">
        <v>0</v>
      </c>
    </row>
    <row r="385" spans="1:19" x14ac:dyDescent="0.3">
      <c r="A385" t="s">
        <v>16</v>
      </c>
      <c r="B385">
        <f>VLOOKUP(A385,Sheet2!B:F,5,FALSE)</f>
        <v>927</v>
      </c>
      <c r="C385" t="s">
        <v>17</v>
      </c>
      <c r="D385">
        <f>VLOOKUP(C385,Sheet2!C:G,5,FALSE)</f>
        <v>1200</v>
      </c>
      <c r="E385" t="s">
        <v>446</v>
      </c>
      <c r="F385">
        <f>VLOOKUP(E385,Sheet2!D:E,2,FALSE)</f>
        <v>566</v>
      </c>
      <c r="G385" t="s">
        <v>11</v>
      </c>
      <c r="H385" t="str">
        <f t="shared" si="10"/>
        <v>NAVERdnishop</v>
      </c>
      <c r="I385" t="str">
        <f>"dnishop"</f>
        <v>dnishop</v>
      </c>
      <c r="J385">
        <v>874330</v>
      </c>
      <c r="K385" s="1">
        <v>44866</v>
      </c>
      <c r="L385" t="s">
        <v>460</v>
      </c>
      <c r="M385">
        <f t="shared" si="11"/>
        <v>876170</v>
      </c>
      <c r="N385" t="e">
        <f>VLOOKUP(H385,Sheet1!G:H,2,FALSE)</f>
        <v>#N/A</v>
      </c>
      <c r="R385" t="s">
        <v>2309</v>
      </c>
      <c r="S385">
        <v>35010</v>
      </c>
    </row>
    <row r="386" spans="1:19" x14ac:dyDescent="0.3">
      <c r="A386" t="s">
        <v>8</v>
      </c>
      <c r="B386">
        <f>VLOOKUP(A386,Sheet2!B:F,5,FALSE)</f>
        <v>928</v>
      </c>
      <c r="C386" t="s">
        <v>13</v>
      </c>
      <c r="D386">
        <f>VLOOKUP(C386,Sheet2!C:G,5,FALSE)</f>
        <v>1184</v>
      </c>
      <c r="E386" t="s">
        <v>14</v>
      </c>
      <c r="F386">
        <f>VLOOKUP(E386,Sheet2!D:E,2,FALSE)</f>
        <v>914</v>
      </c>
      <c r="G386" t="s">
        <v>11</v>
      </c>
      <c r="H386" t="str">
        <f t="shared" si="10"/>
        <v>NAVERdnjfem19</v>
      </c>
      <c r="I386" t="str">
        <f>"dnjfem19"</f>
        <v>dnjfem19</v>
      </c>
      <c r="J386">
        <v>10760</v>
      </c>
      <c r="K386" s="1">
        <v>44866</v>
      </c>
      <c r="L386" t="s">
        <v>461</v>
      </c>
      <c r="M386" t="e">
        <f t="shared" si="11"/>
        <v>#N/A</v>
      </c>
      <c r="N386" t="str">
        <f>VLOOKUP(H386,Sheet1!G:H,2,FALSE)</f>
        <v>광고주 히스토리를 알수 없는 장기 휴면건</v>
      </c>
      <c r="R386" t="s">
        <v>2310</v>
      </c>
      <c r="S386">
        <v>24930</v>
      </c>
    </row>
    <row r="387" spans="1:19" x14ac:dyDescent="0.3">
      <c r="A387" t="s">
        <v>41</v>
      </c>
      <c r="B387">
        <f>VLOOKUP(A387,Sheet2!B:F,5,FALSE)</f>
        <v>926</v>
      </c>
      <c r="C387" t="s">
        <v>56</v>
      </c>
      <c r="D387">
        <f>VLOOKUP(C387,Sheet2!C:G,5,FALSE)</f>
        <v>1207</v>
      </c>
      <c r="E387" t="s">
        <v>62</v>
      </c>
      <c r="F387">
        <f>VLOOKUP(E387,Sheet2!D:E,2,FALSE)</f>
        <v>201037</v>
      </c>
      <c r="G387" t="s">
        <v>11</v>
      </c>
      <c r="H387" t="str">
        <f t="shared" ref="H387:H450" si="12">CONCATENATE(G387,I387)</f>
        <v>NAVERdnmd</v>
      </c>
      <c r="I387" t="str">
        <f>"dnmd"</f>
        <v>dnmd</v>
      </c>
      <c r="J387">
        <v>999980</v>
      </c>
      <c r="K387" s="1">
        <v>44866</v>
      </c>
      <c r="L387" t="s">
        <v>462</v>
      </c>
      <c r="M387">
        <f t="shared" ref="M387:M450" si="13">VLOOKUP(H387,R:S,2,FALSE)</f>
        <v>0</v>
      </c>
      <c r="N387" t="e">
        <f>VLOOKUP(H387,Sheet1!G:H,2,FALSE)</f>
        <v>#N/A</v>
      </c>
      <c r="R387" t="s">
        <v>2311</v>
      </c>
      <c r="S387">
        <v>656030</v>
      </c>
    </row>
    <row r="388" spans="1:19" x14ac:dyDescent="0.3">
      <c r="A388" t="s">
        <v>16</v>
      </c>
      <c r="B388">
        <f>VLOOKUP(A388,Sheet2!B:F,5,FALSE)</f>
        <v>927</v>
      </c>
      <c r="C388" t="s">
        <v>17</v>
      </c>
      <c r="D388">
        <f>VLOOKUP(C388,Sheet2!C:G,5,FALSE)</f>
        <v>1200</v>
      </c>
      <c r="E388" t="s">
        <v>371</v>
      </c>
      <c r="F388">
        <f>VLOOKUP(E388,Sheet2!D:E,2,FALSE)</f>
        <v>551</v>
      </c>
      <c r="G388" t="s">
        <v>11</v>
      </c>
      <c r="H388" t="str">
        <f t="shared" si="12"/>
        <v>NAVERdnp00</v>
      </c>
      <c r="I388" t="str">
        <f>"dnp00"</f>
        <v>dnp00</v>
      </c>
      <c r="J388">
        <v>1010</v>
      </c>
      <c r="K388" s="1">
        <v>44866</v>
      </c>
      <c r="L388" t="s">
        <v>463</v>
      </c>
      <c r="M388">
        <f t="shared" si="13"/>
        <v>1010</v>
      </c>
      <c r="N388" t="e">
        <f>VLOOKUP(H388,Sheet1!G:H,2,FALSE)</f>
        <v>#N/A</v>
      </c>
      <c r="R388" t="s">
        <v>2312</v>
      </c>
      <c r="S388">
        <v>67370</v>
      </c>
    </row>
    <row r="389" spans="1:19" x14ac:dyDescent="0.3">
      <c r="A389" t="s">
        <v>41</v>
      </c>
      <c r="B389">
        <f>VLOOKUP(A389,Sheet2!B:F,5,FALSE)</f>
        <v>926</v>
      </c>
      <c r="C389" t="s">
        <v>56</v>
      </c>
      <c r="D389">
        <f>VLOOKUP(C389,Sheet2!C:G,5,FALSE)</f>
        <v>1207</v>
      </c>
      <c r="E389" t="s">
        <v>464</v>
      </c>
      <c r="F389">
        <f>VLOOKUP(E389,Sheet2!D:E,2,FALSE)</f>
        <v>201071</v>
      </c>
      <c r="G389" t="s">
        <v>11</v>
      </c>
      <c r="H389" t="str">
        <f t="shared" si="12"/>
        <v>NAVERdoctor3</v>
      </c>
      <c r="I389" t="str">
        <f>"doctor3"</f>
        <v>doctor3</v>
      </c>
      <c r="J389">
        <v>5674210</v>
      </c>
      <c r="K389" s="1">
        <v>44866</v>
      </c>
      <c r="L389" t="s">
        <v>465</v>
      </c>
      <c r="M389">
        <f t="shared" si="13"/>
        <v>5174220</v>
      </c>
      <c r="N389" t="e">
        <f>VLOOKUP(H389,Sheet1!G:H,2,FALSE)</f>
        <v>#N/A</v>
      </c>
      <c r="R389" t="s">
        <v>2313</v>
      </c>
      <c r="S389">
        <v>2055220</v>
      </c>
    </row>
    <row r="390" spans="1:19" x14ac:dyDescent="0.3">
      <c r="A390" t="s">
        <v>8</v>
      </c>
      <c r="B390">
        <f>VLOOKUP(A390,Sheet2!B:F,5,FALSE)</f>
        <v>928</v>
      </c>
      <c r="C390" t="s">
        <v>9</v>
      </c>
      <c r="D390">
        <f>VLOOKUP(C390,Sheet2!C:G,5,FALSE)</f>
        <v>1202</v>
      </c>
      <c r="E390" t="s">
        <v>142</v>
      </c>
      <c r="F390">
        <f>VLOOKUP(E390,Sheet2!D:E,2,FALSE)</f>
        <v>652</v>
      </c>
      <c r="G390" t="s">
        <v>11</v>
      </c>
      <c r="H390" t="str">
        <f t="shared" si="12"/>
        <v>NAVERdoctorspga</v>
      </c>
      <c r="I390" t="str">
        <f>"doctorspga"</f>
        <v>doctorspga</v>
      </c>
      <c r="J390">
        <v>2142980</v>
      </c>
      <c r="K390" s="1">
        <v>44866</v>
      </c>
      <c r="L390" t="s">
        <v>466</v>
      </c>
      <c r="M390">
        <f t="shared" si="13"/>
        <v>1443000</v>
      </c>
      <c r="N390" t="e">
        <f>VLOOKUP(H390,Sheet1!G:H,2,FALSE)</f>
        <v>#N/A</v>
      </c>
      <c r="R390" t="s">
        <v>2314</v>
      </c>
      <c r="S390">
        <v>36390</v>
      </c>
    </row>
    <row r="391" spans="1:19" x14ac:dyDescent="0.3">
      <c r="A391" t="s">
        <v>41</v>
      </c>
      <c r="B391">
        <f>VLOOKUP(A391,Sheet2!B:F,5,FALSE)</f>
        <v>926</v>
      </c>
      <c r="C391" t="s">
        <v>56</v>
      </c>
      <c r="D391">
        <f>VLOOKUP(C391,Sheet2!C:G,5,FALSE)</f>
        <v>1207</v>
      </c>
      <c r="E391" t="s">
        <v>64</v>
      </c>
      <c r="F391">
        <f>VLOOKUP(E391,Sheet2!D:E,2,FALSE)</f>
        <v>201011</v>
      </c>
      <c r="G391" t="s">
        <v>11</v>
      </c>
      <c r="H391" t="str">
        <f t="shared" si="12"/>
        <v>NAVERdoctorsurim</v>
      </c>
      <c r="I391" t="str">
        <f>"doctorsurim"</f>
        <v>doctorsurim</v>
      </c>
      <c r="J391">
        <v>466900</v>
      </c>
      <c r="K391" s="1">
        <v>44866</v>
      </c>
      <c r="L391" t="s">
        <v>467</v>
      </c>
      <c r="M391">
        <f t="shared" si="13"/>
        <v>466900</v>
      </c>
      <c r="N391" t="e">
        <f>VLOOKUP(H391,Sheet1!G:H,2,FALSE)</f>
        <v>#N/A</v>
      </c>
      <c r="R391" t="s">
        <v>2315</v>
      </c>
      <c r="S391">
        <v>152130</v>
      </c>
    </row>
    <row r="392" spans="1:19" x14ac:dyDescent="0.3">
      <c r="A392" t="s">
        <v>8</v>
      </c>
      <c r="B392">
        <f>VLOOKUP(A392,Sheet2!B:F,5,FALSE)</f>
        <v>928</v>
      </c>
      <c r="C392" t="s">
        <v>9</v>
      </c>
      <c r="D392">
        <f>VLOOKUP(C392,Sheet2!C:G,5,FALSE)</f>
        <v>1202</v>
      </c>
      <c r="E392" t="s">
        <v>27</v>
      </c>
      <c r="F392">
        <f>VLOOKUP(E392,Sheet2!D:E,2,FALSE)</f>
        <v>806</v>
      </c>
      <c r="G392" t="s">
        <v>11</v>
      </c>
      <c r="H392" t="str">
        <f t="shared" si="12"/>
        <v>NAVERdodo211</v>
      </c>
      <c r="I392" t="str">
        <f>"dodo211"</f>
        <v>dodo211</v>
      </c>
      <c r="J392">
        <v>43490</v>
      </c>
      <c r="K392" s="1">
        <v>44866</v>
      </c>
      <c r="L392" t="s">
        <v>468</v>
      </c>
      <c r="M392">
        <f t="shared" si="13"/>
        <v>43490</v>
      </c>
      <c r="N392" t="e">
        <f>VLOOKUP(H392,Sheet1!G:H,2,FALSE)</f>
        <v>#N/A</v>
      </c>
      <c r="R392" t="s">
        <v>2316</v>
      </c>
      <c r="S392">
        <v>21380</v>
      </c>
    </row>
    <row r="393" spans="1:19" x14ac:dyDescent="0.3">
      <c r="A393" t="s">
        <v>8</v>
      </c>
      <c r="B393">
        <f>VLOOKUP(A393,Sheet2!B:F,5,FALSE)</f>
        <v>928</v>
      </c>
      <c r="C393" t="s">
        <v>9</v>
      </c>
      <c r="D393">
        <f>VLOOKUP(C393,Sheet2!C:G,5,FALSE)</f>
        <v>1202</v>
      </c>
      <c r="E393" t="s">
        <v>20</v>
      </c>
      <c r="F393">
        <f>VLOOKUP(E393,Sheet2!D:E,2,FALSE)</f>
        <v>938</v>
      </c>
      <c r="G393" t="s">
        <v>11</v>
      </c>
      <c r="H393" t="str">
        <f t="shared" si="12"/>
        <v>NAVERdodopop1:naver</v>
      </c>
      <c r="I393" t="str">
        <f>"dodopop1:naver"</f>
        <v>dodopop1:naver</v>
      </c>
      <c r="J393">
        <v>252580</v>
      </c>
      <c r="K393" s="1">
        <v>44866</v>
      </c>
      <c r="L393" t="s">
        <v>469</v>
      </c>
      <c r="M393">
        <f t="shared" si="13"/>
        <v>252580</v>
      </c>
      <c r="N393" t="e">
        <f>VLOOKUP(H393,Sheet1!G:H,2,FALSE)</f>
        <v>#N/A</v>
      </c>
      <c r="R393" t="s">
        <v>2317</v>
      </c>
      <c r="S393">
        <v>1870</v>
      </c>
    </row>
    <row r="394" spans="1:19" x14ac:dyDescent="0.3">
      <c r="A394" t="s">
        <v>8</v>
      </c>
      <c r="B394">
        <f>VLOOKUP(A394,Sheet2!B:F,5,FALSE)</f>
        <v>928</v>
      </c>
      <c r="C394" t="s">
        <v>9</v>
      </c>
      <c r="D394">
        <f>VLOOKUP(C394,Sheet2!C:G,5,FALSE)</f>
        <v>1202</v>
      </c>
      <c r="E394" t="s">
        <v>220</v>
      </c>
      <c r="F394">
        <f>VLOOKUP(E394,Sheet2!D:E,2,FALSE)</f>
        <v>1211</v>
      </c>
      <c r="G394" t="s">
        <v>11</v>
      </c>
      <c r="H394" t="str">
        <f t="shared" si="12"/>
        <v>NAVERdoglia19</v>
      </c>
      <c r="I394" t="str">
        <f>"doglia19"</f>
        <v>doglia19</v>
      </c>
      <c r="J394">
        <v>801730</v>
      </c>
      <c r="K394" s="1">
        <v>44866</v>
      </c>
      <c r="L394" t="s">
        <v>470</v>
      </c>
      <c r="M394">
        <f t="shared" si="13"/>
        <v>801730</v>
      </c>
      <c r="N394" t="e">
        <f>VLOOKUP(H394,Sheet1!G:H,2,FALSE)</f>
        <v>#N/A</v>
      </c>
      <c r="R394" t="s">
        <v>2318</v>
      </c>
      <c r="S394">
        <v>191300</v>
      </c>
    </row>
    <row r="395" spans="1:19" x14ac:dyDescent="0.3">
      <c r="A395" t="s">
        <v>8</v>
      </c>
      <c r="B395">
        <f>VLOOKUP(A395,Sheet2!B:F,5,FALSE)</f>
        <v>928</v>
      </c>
      <c r="C395" t="s">
        <v>9</v>
      </c>
      <c r="D395">
        <f>VLOOKUP(C395,Sheet2!C:G,5,FALSE)</f>
        <v>1202</v>
      </c>
      <c r="E395" t="s">
        <v>220</v>
      </c>
      <c r="F395">
        <f>VLOOKUP(E395,Sheet2!D:E,2,FALSE)</f>
        <v>1211</v>
      </c>
      <c r="G395" t="s">
        <v>11</v>
      </c>
      <c r="H395" t="str">
        <f t="shared" si="12"/>
        <v>NAVERdoglia2002</v>
      </c>
      <c r="I395" t="str">
        <f>"doglia2002"</f>
        <v>doglia2002</v>
      </c>
      <c r="J395">
        <v>1388440</v>
      </c>
      <c r="K395" s="1">
        <v>44866</v>
      </c>
      <c r="L395" t="s">
        <v>471</v>
      </c>
      <c r="M395">
        <f t="shared" si="13"/>
        <v>1388440</v>
      </c>
      <c r="N395" t="e">
        <f>VLOOKUP(H395,Sheet1!G:H,2,FALSE)</f>
        <v>#N/A</v>
      </c>
      <c r="R395" t="s">
        <v>2319</v>
      </c>
      <c r="S395">
        <v>2836670</v>
      </c>
    </row>
    <row r="396" spans="1:19" x14ac:dyDescent="0.3">
      <c r="A396" t="s">
        <v>16</v>
      </c>
      <c r="B396">
        <f>VLOOKUP(A396,Sheet2!B:F,5,FALSE)</f>
        <v>927</v>
      </c>
      <c r="C396" t="s">
        <v>17</v>
      </c>
      <c r="D396">
        <f>VLOOKUP(C396,Sheet2!C:G,5,FALSE)</f>
        <v>1200</v>
      </c>
      <c r="E396" t="s">
        <v>93</v>
      </c>
      <c r="F396">
        <f>VLOOKUP(E396,Sheet2!D:E,2,FALSE)</f>
        <v>930</v>
      </c>
      <c r="G396" t="s">
        <v>11</v>
      </c>
      <c r="H396" t="str">
        <f t="shared" si="12"/>
        <v>NAVERdoiggy89</v>
      </c>
      <c r="I396" t="str">
        <f>"doiggy89"</f>
        <v>doiggy89</v>
      </c>
      <c r="J396">
        <v>4337960</v>
      </c>
      <c r="K396" s="1">
        <v>44866</v>
      </c>
      <c r="L396" t="s">
        <v>472</v>
      </c>
      <c r="M396">
        <f t="shared" si="13"/>
        <v>1237980</v>
      </c>
      <c r="N396" t="e">
        <f>VLOOKUP(H396,Sheet1!G:H,2,FALSE)</f>
        <v>#N/A</v>
      </c>
      <c r="R396" t="s">
        <v>2320</v>
      </c>
      <c r="S396">
        <v>122990</v>
      </c>
    </row>
    <row r="397" spans="1:19" x14ac:dyDescent="0.3">
      <c r="A397" t="s">
        <v>8</v>
      </c>
      <c r="B397">
        <f>VLOOKUP(A397,Sheet2!B:F,5,FALSE)</f>
        <v>928</v>
      </c>
      <c r="C397" t="s">
        <v>9</v>
      </c>
      <c r="D397">
        <f>VLOOKUP(C397,Sheet2!C:G,5,FALSE)</f>
        <v>1202</v>
      </c>
      <c r="E397" t="s">
        <v>37</v>
      </c>
      <c r="F397">
        <f>VLOOKUP(E397,Sheet2!D:E,2,FALSE)</f>
        <v>81</v>
      </c>
      <c r="G397" t="s">
        <v>11</v>
      </c>
      <c r="H397" t="str">
        <f t="shared" si="12"/>
        <v>NAVERdokunenc</v>
      </c>
      <c r="I397" t="str">
        <f>"dokunenc"</f>
        <v>dokunenc</v>
      </c>
      <c r="J397">
        <v>650360</v>
      </c>
      <c r="K397" s="1">
        <v>44866</v>
      </c>
      <c r="L397" t="s">
        <v>473</v>
      </c>
      <c r="M397">
        <f t="shared" si="13"/>
        <v>650360</v>
      </c>
      <c r="N397" t="e">
        <f>VLOOKUP(H397,Sheet1!G:H,2,FALSE)</f>
        <v>#N/A</v>
      </c>
      <c r="R397" t="s">
        <v>2321</v>
      </c>
      <c r="S397">
        <v>1650710</v>
      </c>
    </row>
    <row r="398" spans="1:19" x14ac:dyDescent="0.3">
      <c r="A398" t="s">
        <v>8</v>
      </c>
      <c r="B398">
        <f>VLOOKUP(A398,Sheet2!B:F,5,FALSE)</f>
        <v>928</v>
      </c>
      <c r="C398" t="s">
        <v>13</v>
      </c>
      <c r="D398">
        <f>VLOOKUP(C398,Sheet2!C:G,5,FALSE)</f>
        <v>1184</v>
      </c>
      <c r="E398" t="s">
        <v>335</v>
      </c>
      <c r="F398">
        <f>VLOOKUP(E398,Sheet2!D:E,2,FALSE)</f>
        <v>201090</v>
      </c>
      <c r="G398" t="s">
        <v>11</v>
      </c>
      <c r="H398" t="str">
        <f t="shared" si="12"/>
        <v>NAVERdongbotr</v>
      </c>
      <c r="I398" t="str">
        <f>"dongbotr"</f>
        <v>dongbotr</v>
      </c>
      <c r="J398">
        <v>151630</v>
      </c>
      <c r="K398" s="1">
        <v>44866</v>
      </c>
      <c r="L398" t="s">
        <v>474</v>
      </c>
      <c r="M398">
        <f t="shared" si="13"/>
        <v>151630</v>
      </c>
      <c r="N398" t="e">
        <f>VLOOKUP(H398,Sheet1!G:H,2,FALSE)</f>
        <v>#N/A</v>
      </c>
      <c r="R398" t="s">
        <v>2322</v>
      </c>
      <c r="S398">
        <v>27440</v>
      </c>
    </row>
    <row r="399" spans="1:19" x14ac:dyDescent="0.3">
      <c r="A399" t="s">
        <v>8</v>
      </c>
      <c r="B399">
        <f>VLOOKUP(A399,Sheet2!B:F,5,FALSE)</f>
        <v>928</v>
      </c>
      <c r="C399" t="s">
        <v>13</v>
      </c>
      <c r="D399">
        <f>VLOOKUP(C399,Sheet2!C:G,5,FALSE)</f>
        <v>1184</v>
      </c>
      <c r="E399" t="s">
        <v>51</v>
      </c>
      <c r="F399">
        <f>VLOOKUP(E399,Sheet2!D:E,2,FALSE)</f>
        <v>1274</v>
      </c>
      <c r="G399" t="s">
        <v>11</v>
      </c>
      <c r="H399" t="str">
        <f t="shared" si="12"/>
        <v>NAVERdongbu5611</v>
      </c>
      <c r="I399" t="str">
        <f>"dongbu5611"</f>
        <v>dongbu5611</v>
      </c>
      <c r="J399">
        <v>29460</v>
      </c>
      <c r="K399" s="1">
        <v>44866</v>
      </c>
      <c r="L399" t="s">
        <v>475</v>
      </c>
      <c r="M399">
        <f t="shared" si="13"/>
        <v>29460</v>
      </c>
      <c r="N399" t="e">
        <f>VLOOKUP(H399,Sheet1!G:H,2,FALSE)</f>
        <v>#N/A</v>
      </c>
      <c r="R399" t="s">
        <v>2323</v>
      </c>
      <c r="S399">
        <v>45990</v>
      </c>
    </row>
    <row r="400" spans="1:19" x14ac:dyDescent="0.3">
      <c r="A400" t="s">
        <v>41</v>
      </c>
      <c r="B400">
        <f>VLOOKUP(A400,Sheet2!B:F,5,FALSE)</f>
        <v>926</v>
      </c>
      <c r="C400" t="s">
        <v>56</v>
      </c>
      <c r="D400">
        <f>VLOOKUP(C400,Sheet2!C:G,5,FALSE)</f>
        <v>1207</v>
      </c>
      <c r="E400" t="s">
        <v>62</v>
      </c>
      <c r="F400">
        <f>VLOOKUP(E400,Sheet2!D:E,2,FALSE)</f>
        <v>201037</v>
      </c>
      <c r="G400" t="s">
        <v>11</v>
      </c>
      <c r="H400" t="str">
        <f t="shared" si="12"/>
        <v>NAVERdongiovanni</v>
      </c>
      <c r="I400" t="str">
        <f>"dongiovanni"</f>
        <v>dongiovanni</v>
      </c>
      <c r="J400">
        <v>500</v>
      </c>
      <c r="K400" s="1">
        <v>44866</v>
      </c>
      <c r="L400" t="s">
        <v>476</v>
      </c>
      <c r="M400">
        <f t="shared" si="13"/>
        <v>500</v>
      </c>
      <c r="N400" t="e">
        <f>VLOOKUP(H400,Sheet1!G:H,2,FALSE)</f>
        <v>#N/A</v>
      </c>
      <c r="R400" t="s">
        <v>2324</v>
      </c>
      <c r="S400">
        <v>848450</v>
      </c>
    </row>
    <row r="401" spans="1:19" x14ac:dyDescent="0.3">
      <c r="A401" t="s">
        <v>8</v>
      </c>
      <c r="B401">
        <f>VLOOKUP(A401,Sheet2!B:F,5,FALSE)</f>
        <v>928</v>
      </c>
      <c r="C401" t="s">
        <v>9</v>
      </c>
      <c r="D401">
        <f>VLOOKUP(C401,Sheet2!C:G,5,FALSE)</f>
        <v>1202</v>
      </c>
      <c r="E401" t="s">
        <v>477</v>
      </c>
      <c r="F401">
        <f>VLOOKUP(E401,Sheet2!D:E,2,FALSE)</f>
        <v>201112</v>
      </c>
      <c r="G401" t="s">
        <v>11</v>
      </c>
      <c r="H401" t="str">
        <f t="shared" si="12"/>
        <v>NAVERdongrim04</v>
      </c>
      <c r="I401" t="str">
        <f>"dongrim04"</f>
        <v>dongrim04</v>
      </c>
      <c r="J401">
        <v>134620</v>
      </c>
      <c r="K401" s="1">
        <v>44866</v>
      </c>
      <c r="L401" t="s">
        <v>478</v>
      </c>
      <c r="M401">
        <f t="shared" si="13"/>
        <v>134620</v>
      </c>
      <c r="N401" t="e">
        <f>VLOOKUP(H401,Sheet1!G:H,2,FALSE)</f>
        <v>#N/A</v>
      </c>
      <c r="R401" t="s">
        <v>2325</v>
      </c>
      <c r="S401">
        <v>319660</v>
      </c>
    </row>
    <row r="402" spans="1:19" x14ac:dyDescent="0.3">
      <c r="A402" t="s">
        <v>8</v>
      </c>
      <c r="B402">
        <f>VLOOKUP(A402,Sheet2!B:F,5,FALSE)</f>
        <v>928</v>
      </c>
      <c r="C402" t="s">
        <v>13</v>
      </c>
      <c r="D402">
        <f>VLOOKUP(C402,Sheet2!C:G,5,FALSE)</f>
        <v>1184</v>
      </c>
      <c r="E402" t="s">
        <v>217</v>
      </c>
      <c r="F402">
        <f>VLOOKUP(E402,Sheet2!D:E,2,FALSE)</f>
        <v>201027</v>
      </c>
      <c r="G402" t="s">
        <v>11</v>
      </c>
      <c r="H402" t="str">
        <f t="shared" si="12"/>
        <v>NAVERdongyangcnc</v>
      </c>
      <c r="I402" t="str">
        <f>"dongyangcnc"</f>
        <v>dongyangcnc</v>
      </c>
      <c r="J402">
        <v>15460</v>
      </c>
      <c r="K402" s="1">
        <v>44866</v>
      </c>
      <c r="L402" t="s">
        <v>479</v>
      </c>
      <c r="M402">
        <f t="shared" si="13"/>
        <v>15460</v>
      </c>
      <c r="N402" t="e">
        <f>VLOOKUP(H402,Sheet1!G:H,2,FALSE)</f>
        <v>#N/A</v>
      </c>
      <c r="R402" t="s">
        <v>2326</v>
      </c>
      <c r="S402">
        <v>937930</v>
      </c>
    </row>
    <row r="403" spans="1:19" x14ac:dyDescent="0.3">
      <c r="A403" t="s">
        <v>41</v>
      </c>
      <c r="B403">
        <f>VLOOKUP(A403,Sheet2!B:F,5,FALSE)</f>
        <v>926</v>
      </c>
      <c r="C403" t="s">
        <v>56</v>
      </c>
      <c r="D403">
        <f>VLOOKUP(C403,Sheet2!C:G,5,FALSE)</f>
        <v>1207</v>
      </c>
      <c r="E403" t="s">
        <v>57</v>
      </c>
      <c r="F403">
        <f>VLOOKUP(E403,Sheet2!D:E,2,FALSE)</f>
        <v>200982</v>
      </c>
      <c r="G403" t="s">
        <v>11</v>
      </c>
      <c r="H403" t="str">
        <f t="shared" si="12"/>
        <v>NAVERdonmo</v>
      </c>
      <c r="I403" t="str">
        <f>"donmo"</f>
        <v>donmo</v>
      </c>
      <c r="J403">
        <v>7020</v>
      </c>
      <c r="K403" s="1">
        <v>44866</v>
      </c>
      <c r="L403" t="s">
        <v>480</v>
      </c>
      <c r="M403">
        <f t="shared" si="13"/>
        <v>7020</v>
      </c>
      <c r="N403" t="e">
        <f>VLOOKUP(H403,Sheet1!G:H,2,FALSE)</f>
        <v>#N/A</v>
      </c>
      <c r="R403" t="s">
        <v>2327</v>
      </c>
      <c r="S403">
        <v>129790</v>
      </c>
    </row>
    <row r="404" spans="1:19" x14ac:dyDescent="0.3">
      <c r="A404" t="s">
        <v>41</v>
      </c>
      <c r="B404">
        <f>VLOOKUP(A404,Sheet2!B:F,5,FALSE)</f>
        <v>926</v>
      </c>
      <c r="C404" t="s">
        <v>56</v>
      </c>
      <c r="D404">
        <f>VLOOKUP(C404,Sheet2!C:G,5,FALSE)</f>
        <v>1207</v>
      </c>
      <c r="E404" t="s">
        <v>64</v>
      </c>
      <c r="F404">
        <f>VLOOKUP(E404,Sheet2!D:E,2,FALSE)</f>
        <v>201011</v>
      </c>
      <c r="G404" t="s">
        <v>11</v>
      </c>
      <c r="H404" t="str">
        <f t="shared" si="12"/>
        <v>NAVERdoolleda:naver</v>
      </c>
      <c r="I404" t="str">
        <f>"doolleda:naver"</f>
        <v>doolleda:naver</v>
      </c>
      <c r="J404">
        <v>174180</v>
      </c>
      <c r="K404" s="1">
        <v>44866</v>
      </c>
      <c r="L404" t="s">
        <v>481</v>
      </c>
      <c r="M404">
        <f t="shared" si="13"/>
        <v>174180</v>
      </c>
      <c r="N404" t="e">
        <f>VLOOKUP(H404,Sheet1!G:H,2,FALSE)</f>
        <v>#N/A</v>
      </c>
      <c r="R404" t="s">
        <v>2328</v>
      </c>
      <c r="S404">
        <v>409390</v>
      </c>
    </row>
    <row r="405" spans="1:19" x14ac:dyDescent="0.3">
      <c r="A405" t="s">
        <v>8</v>
      </c>
      <c r="B405">
        <f>VLOOKUP(A405,Sheet2!B:F,5,FALSE)</f>
        <v>928</v>
      </c>
      <c r="C405" t="s">
        <v>9</v>
      </c>
      <c r="D405">
        <f>VLOOKUP(C405,Sheet2!C:G,5,FALSE)</f>
        <v>1202</v>
      </c>
      <c r="E405" t="s">
        <v>27</v>
      </c>
      <c r="F405">
        <f>VLOOKUP(E405,Sheet2!D:E,2,FALSE)</f>
        <v>806</v>
      </c>
      <c r="G405" t="s">
        <v>11</v>
      </c>
      <c r="H405" t="str">
        <f t="shared" si="12"/>
        <v>NAVERdoosung1511</v>
      </c>
      <c r="I405" t="str">
        <f>"doosung1511"</f>
        <v>doosung1511</v>
      </c>
      <c r="J405">
        <v>822060</v>
      </c>
      <c r="K405" s="1">
        <v>44866</v>
      </c>
      <c r="L405" t="s">
        <v>482</v>
      </c>
      <c r="M405">
        <f t="shared" si="13"/>
        <v>822060</v>
      </c>
      <c r="N405" t="e">
        <f>VLOOKUP(H405,Sheet1!G:H,2,FALSE)</f>
        <v>#N/A</v>
      </c>
      <c r="R405" t="s">
        <v>2329</v>
      </c>
      <c r="S405">
        <v>447610</v>
      </c>
    </row>
    <row r="406" spans="1:19" x14ac:dyDescent="0.3">
      <c r="A406" t="s">
        <v>8</v>
      </c>
      <c r="B406">
        <f>VLOOKUP(A406,Sheet2!B:F,5,FALSE)</f>
        <v>928</v>
      </c>
      <c r="C406" t="s">
        <v>9</v>
      </c>
      <c r="D406">
        <f>VLOOKUP(C406,Sheet2!C:G,5,FALSE)</f>
        <v>1202</v>
      </c>
      <c r="E406" t="s">
        <v>391</v>
      </c>
      <c r="F406">
        <f>VLOOKUP(E406,Sheet2!D:E,2,FALSE)</f>
        <v>1216</v>
      </c>
      <c r="G406" t="s">
        <v>11</v>
      </c>
      <c r="H406" t="str">
        <f t="shared" si="12"/>
        <v>NAVERdoosung79</v>
      </c>
      <c r="I406" t="str">
        <f>"doosung79"</f>
        <v>doosung79</v>
      </c>
      <c r="J406">
        <v>150</v>
      </c>
      <c r="K406" s="1">
        <v>44866</v>
      </c>
      <c r="L406" t="s">
        <v>483</v>
      </c>
      <c r="M406">
        <f t="shared" si="13"/>
        <v>150</v>
      </c>
      <c r="N406" t="e">
        <f>VLOOKUP(H406,Sheet1!G:H,2,FALSE)</f>
        <v>#N/A</v>
      </c>
      <c r="R406" t="s">
        <v>2330</v>
      </c>
      <c r="S406">
        <v>524690</v>
      </c>
    </row>
    <row r="407" spans="1:19" x14ac:dyDescent="0.3">
      <c r="A407" t="s">
        <v>8</v>
      </c>
      <c r="B407">
        <f>VLOOKUP(A407,Sheet2!B:F,5,FALSE)</f>
        <v>928</v>
      </c>
      <c r="C407" t="s">
        <v>13</v>
      </c>
      <c r="D407">
        <f>VLOOKUP(C407,Sheet2!C:G,5,FALSE)</f>
        <v>1184</v>
      </c>
      <c r="E407" t="s">
        <v>374</v>
      </c>
      <c r="F407">
        <f>VLOOKUP(E407,Sheet2!D:E,2,FALSE)</f>
        <v>201022</v>
      </c>
      <c r="G407" t="s">
        <v>11</v>
      </c>
      <c r="H407" t="str">
        <f t="shared" si="12"/>
        <v>NAVERdorangga27</v>
      </c>
      <c r="I407" t="str">
        <f>"dorangga27"</f>
        <v>dorangga27</v>
      </c>
      <c r="J407">
        <v>98790</v>
      </c>
      <c r="K407" s="1">
        <v>44866</v>
      </c>
      <c r="L407" t="s">
        <v>484</v>
      </c>
      <c r="M407">
        <f t="shared" si="13"/>
        <v>87760</v>
      </c>
      <c r="N407" t="e">
        <f>VLOOKUP(H407,Sheet1!G:H,2,FALSE)</f>
        <v>#N/A</v>
      </c>
      <c r="R407" t="s">
        <v>2331</v>
      </c>
      <c r="S407">
        <v>46900</v>
      </c>
    </row>
    <row r="408" spans="1:19" x14ac:dyDescent="0.3">
      <c r="A408" t="s">
        <v>16</v>
      </c>
      <c r="B408">
        <f>VLOOKUP(A408,Sheet2!B:F,5,FALSE)</f>
        <v>927</v>
      </c>
      <c r="C408" t="s">
        <v>17</v>
      </c>
      <c r="D408">
        <f>VLOOKUP(C408,Sheet2!C:G,5,FALSE)</f>
        <v>1200</v>
      </c>
      <c r="E408" t="s">
        <v>100</v>
      </c>
      <c r="F408">
        <f>VLOOKUP(E408,Sheet2!D:E,2,FALSE)</f>
        <v>201038</v>
      </c>
      <c r="G408" t="s">
        <v>11</v>
      </c>
      <c r="H408" t="str">
        <f t="shared" si="12"/>
        <v>NAVERdoumso</v>
      </c>
      <c r="I408" t="str">
        <f>"doumso"</f>
        <v>doumso</v>
      </c>
      <c r="J408">
        <v>201780</v>
      </c>
      <c r="K408" s="1">
        <v>44866</v>
      </c>
      <c r="L408" t="s">
        <v>485</v>
      </c>
      <c r="M408">
        <f t="shared" si="13"/>
        <v>201780</v>
      </c>
      <c r="N408" t="e">
        <f>VLOOKUP(H408,Sheet1!G:H,2,FALSE)</f>
        <v>#N/A</v>
      </c>
      <c r="R408" t="s">
        <v>2332</v>
      </c>
      <c r="S408">
        <v>6960</v>
      </c>
    </row>
    <row r="409" spans="1:19" x14ac:dyDescent="0.3">
      <c r="A409" t="s">
        <v>22</v>
      </c>
      <c r="B409">
        <f>VLOOKUP(A409,Sheet2!B:F,5,FALSE)</f>
        <v>809</v>
      </c>
      <c r="C409" t="s">
        <v>23</v>
      </c>
      <c r="D409">
        <f>VLOOKUP(C409,Sheet2!C:G,5,FALSE)</f>
        <v>810</v>
      </c>
      <c r="E409" t="s">
        <v>486</v>
      </c>
      <c r="F409">
        <f>VLOOKUP(E409,Sheet2!D:E,2,FALSE)</f>
        <v>201115</v>
      </c>
      <c r="G409" t="s">
        <v>11</v>
      </c>
      <c r="H409" t="str">
        <f t="shared" si="12"/>
        <v>NAVERdpdlsxxx:naver</v>
      </c>
      <c r="I409" t="str">
        <f>"dpdlsxxx:naver"</f>
        <v>dpdlsxxx:naver</v>
      </c>
      <c r="J409">
        <v>277470</v>
      </c>
      <c r="K409" s="1">
        <v>44866</v>
      </c>
      <c r="L409" t="s">
        <v>487</v>
      </c>
      <c r="M409" t="e">
        <f t="shared" si="13"/>
        <v>#N/A</v>
      </c>
      <c r="N409" t="e">
        <f>VLOOKUP(H409,Sheet1!G:H,2,FALSE)</f>
        <v>#N/A</v>
      </c>
      <c r="R409" t="s">
        <v>2333</v>
      </c>
      <c r="S409">
        <v>102310</v>
      </c>
    </row>
    <row r="410" spans="1:19" x14ac:dyDescent="0.3">
      <c r="A410" t="s">
        <v>16</v>
      </c>
      <c r="B410">
        <f>VLOOKUP(A410,Sheet2!B:F,5,FALSE)</f>
        <v>927</v>
      </c>
      <c r="C410" t="s">
        <v>17</v>
      </c>
      <c r="D410">
        <f>VLOOKUP(C410,Sheet2!C:G,5,FALSE)</f>
        <v>1200</v>
      </c>
      <c r="E410" t="s">
        <v>137</v>
      </c>
      <c r="F410">
        <f>VLOOKUP(E410,Sheet2!D:E,2,FALSE)</f>
        <v>1012</v>
      </c>
      <c r="G410" t="s">
        <v>11</v>
      </c>
      <c r="H410" t="str">
        <f t="shared" si="12"/>
        <v>NAVERdprotocol</v>
      </c>
      <c r="I410" t="str">
        <f>"dprotocol"</f>
        <v>dprotocol</v>
      </c>
      <c r="J410">
        <v>15470</v>
      </c>
      <c r="K410" s="1">
        <v>44866</v>
      </c>
      <c r="L410" t="s">
        <v>488</v>
      </c>
      <c r="M410">
        <f t="shared" si="13"/>
        <v>15470</v>
      </c>
      <c r="N410" t="e">
        <f>VLOOKUP(H410,Sheet1!G:H,2,FALSE)</f>
        <v>#N/A</v>
      </c>
      <c r="R410" t="s">
        <v>2334</v>
      </c>
      <c r="S410">
        <v>2356160</v>
      </c>
    </row>
    <row r="411" spans="1:19" x14ac:dyDescent="0.3">
      <c r="A411" t="s">
        <v>8</v>
      </c>
      <c r="B411">
        <f>VLOOKUP(A411,Sheet2!B:F,5,FALSE)</f>
        <v>928</v>
      </c>
      <c r="C411" t="s">
        <v>9</v>
      </c>
      <c r="D411">
        <f>VLOOKUP(C411,Sheet2!C:G,5,FALSE)</f>
        <v>1202</v>
      </c>
      <c r="E411" t="s">
        <v>27</v>
      </c>
      <c r="F411">
        <f>VLOOKUP(E411,Sheet2!D:E,2,FALSE)</f>
        <v>806</v>
      </c>
      <c r="G411" t="s">
        <v>11</v>
      </c>
      <c r="H411" t="str">
        <f t="shared" si="12"/>
        <v>NAVERdrckikit:naver</v>
      </c>
      <c r="I411" t="str">
        <f>"drckikit:naver"</f>
        <v>drckikit:naver</v>
      </c>
      <c r="J411">
        <v>468637</v>
      </c>
      <c r="K411" s="1">
        <v>44866</v>
      </c>
      <c r="L411" t="s">
        <v>489</v>
      </c>
      <c r="M411">
        <f t="shared" si="13"/>
        <v>451970</v>
      </c>
      <c r="N411" t="e">
        <f>VLOOKUP(H411,Sheet1!G:H,2,FALSE)</f>
        <v>#N/A</v>
      </c>
      <c r="R411" t="s">
        <v>2335</v>
      </c>
      <c r="S411">
        <v>22600</v>
      </c>
    </row>
    <row r="412" spans="1:19" x14ac:dyDescent="0.3">
      <c r="A412" t="s">
        <v>8</v>
      </c>
      <c r="B412">
        <f>VLOOKUP(A412,Sheet2!B:F,5,FALSE)</f>
        <v>928</v>
      </c>
      <c r="C412" t="s">
        <v>9</v>
      </c>
      <c r="D412">
        <f>VLOOKUP(C412,Sheet2!C:G,5,FALSE)</f>
        <v>1202</v>
      </c>
      <c r="E412" t="s">
        <v>35</v>
      </c>
      <c r="F412">
        <f>VLOOKUP(E412,Sheet2!D:E,2,FALSE)</f>
        <v>51</v>
      </c>
      <c r="G412" t="s">
        <v>11</v>
      </c>
      <c r="H412" t="str">
        <f t="shared" si="12"/>
        <v>NAVERdream4450921</v>
      </c>
      <c r="I412" t="str">
        <f>"dream4450921"</f>
        <v>dream4450921</v>
      </c>
      <c r="J412">
        <v>1680</v>
      </c>
      <c r="K412" s="1">
        <v>44866</v>
      </c>
      <c r="L412" t="s">
        <v>490</v>
      </c>
      <c r="M412">
        <f t="shared" si="13"/>
        <v>1680</v>
      </c>
      <c r="N412" t="e">
        <f>VLOOKUP(H412,Sheet1!G:H,2,FALSE)</f>
        <v>#N/A</v>
      </c>
      <c r="R412" t="s">
        <v>2336</v>
      </c>
      <c r="S412">
        <v>3917010</v>
      </c>
    </row>
    <row r="413" spans="1:19" x14ac:dyDescent="0.3">
      <c r="A413" t="s">
        <v>8</v>
      </c>
      <c r="B413">
        <f>VLOOKUP(A413,Sheet2!B:F,5,FALSE)</f>
        <v>928</v>
      </c>
      <c r="C413" t="s">
        <v>9</v>
      </c>
      <c r="D413">
        <f>VLOOKUP(C413,Sheet2!C:G,5,FALSE)</f>
        <v>1202</v>
      </c>
      <c r="E413" t="s">
        <v>27</v>
      </c>
      <c r="F413">
        <f>VLOOKUP(E413,Sheet2!D:E,2,FALSE)</f>
        <v>806</v>
      </c>
      <c r="G413" t="s">
        <v>11</v>
      </c>
      <c r="H413" t="str">
        <f t="shared" si="12"/>
        <v>NAVERdream6794</v>
      </c>
      <c r="I413" t="str">
        <f>"dream6794"</f>
        <v>dream6794</v>
      </c>
      <c r="J413">
        <v>189300</v>
      </c>
      <c r="K413" s="1">
        <v>44866</v>
      </c>
      <c r="L413" t="s">
        <v>77</v>
      </c>
      <c r="M413">
        <f t="shared" si="13"/>
        <v>189300</v>
      </c>
      <c r="N413" t="e">
        <f>VLOOKUP(H413,Sheet1!G:H,2,FALSE)</f>
        <v>#N/A</v>
      </c>
      <c r="R413" t="s">
        <v>2337</v>
      </c>
      <c r="S413">
        <v>311010</v>
      </c>
    </row>
    <row r="414" spans="1:19" x14ac:dyDescent="0.3">
      <c r="A414" t="s">
        <v>8</v>
      </c>
      <c r="B414">
        <f>VLOOKUP(A414,Sheet2!B:F,5,FALSE)</f>
        <v>928</v>
      </c>
      <c r="C414" t="s">
        <v>9</v>
      </c>
      <c r="D414">
        <f>VLOOKUP(C414,Sheet2!C:G,5,FALSE)</f>
        <v>1202</v>
      </c>
      <c r="E414" t="s">
        <v>122</v>
      </c>
      <c r="F414">
        <f>VLOOKUP(E414,Sheet2!D:E,2,FALSE)</f>
        <v>251</v>
      </c>
      <c r="G414" t="s">
        <v>11</v>
      </c>
      <c r="H414" t="str">
        <f t="shared" si="12"/>
        <v>NAVERdreamhos</v>
      </c>
      <c r="I414" t="str">
        <f>"dreamhos"</f>
        <v>dreamhos</v>
      </c>
      <c r="J414">
        <v>405150</v>
      </c>
      <c r="K414" s="1">
        <v>44866</v>
      </c>
      <c r="L414" t="s">
        <v>491</v>
      </c>
      <c r="M414">
        <f t="shared" si="13"/>
        <v>405150</v>
      </c>
      <c r="N414" t="e">
        <f>VLOOKUP(H414,Sheet1!G:H,2,FALSE)</f>
        <v>#N/A</v>
      </c>
      <c r="R414" t="s">
        <v>2338</v>
      </c>
      <c r="S414">
        <v>17250</v>
      </c>
    </row>
    <row r="415" spans="1:19" x14ac:dyDescent="0.3">
      <c r="A415" t="s">
        <v>8</v>
      </c>
      <c r="B415">
        <f>VLOOKUP(A415,Sheet2!B:F,5,FALSE)</f>
        <v>928</v>
      </c>
      <c r="C415" t="s">
        <v>9</v>
      </c>
      <c r="D415">
        <f>VLOOKUP(C415,Sheet2!C:G,5,FALSE)</f>
        <v>1202</v>
      </c>
      <c r="E415" t="s">
        <v>10</v>
      </c>
      <c r="F415">
        <f>VLOOKUP(E415,Sheet2!D:E,2,FALSE)</f>
        <v>939</v>
      </c>
      <c r="G415" t="s">
        <v>11</v>
      </c>
      <c r="H415" t="str">
        <f t="shared" si="12"/>
        <v>NAVERdreamkyp1:naver</v>
      </c>
      <c r="I415" t="str">
        <f>"dreamkyp1:naver"</f>
        <v>dreamkyp1:naver</v>
      </c>
      <c r="J415">
        <v>86150</v>
      </c>
      <c r="K415" s="1">
        <v>44866</v>
      </c>
      <c r="L415" t="s">
        <v>492</v>
      </c>
      <c r="M415">
        <f t="shared" si="13"/>
        <v>86150</v>
      </c>
      <c r="N415" t="e">
        <f>VLOOKUP(H415,Sheet1!G:H,2,FALSE)</f>
        <v>#N/A</v>
      </c>
      <c r="R415" t="s">
        <v>2339</v>
      </c>
      <c r="S415">
        <v>235950</v>
      </c>
    </row>
    <row r="416" spans="1:19" x14ac:dyDescent="0.3">
      <c r="A416" t="s">
        <v>8</v>
      </c>
      <c r="B416">
        <f>VLOOKUP(A416,Sheet2!B:F,5,FALSE)</f>
        <v>928</v>
      </c>
      <c r="C416" t="s">
        <v>13</v>
      </c>
      <c r="D416">
        <f>VLOOKUP(C416,Sheet2!C:G,5,FALSE)</f>
        <v>1184</v>
      </c>
      <c r="E416" t="s">
        <v>118</v>
      </c>
      <c r="F416">
        <f>VLOOKUP(E416,Sheet2!D:E,2,FALSE)</f>
        <v>201004</v>
      </c>
      <c r="G416" t="s">
        <v>11</v>
      </c>
      <c r="H416" t="str">
        <f t="shared" si="12"/>
        <v>NAVERdrju13</v>
      </c>
      <c r="I416" t="str">
        <f>"drju13"</f>
        <v>drju13</v>
      </c>
      <c r="J416">
        <v>192690</v>
      </c>
      <c r="K416" s="1">
        <v>44866</v>
      </c>
      <c r="L416" t="s">
        <v>493</v>
      </c>
      <c r="M416">
        <f t="shared" si="13"/>
        <v>192690</v>
      </c>
      <c r="N416" t="e">
        <f>VLOOKUP(H416,Sheet1!G:H,2,FALSE)</f>
        <v>#N/A</v>
      </c>
      <c r="R416" t="s">
        <v>2340</v>
      </c>
      <c r="S416">
        <v>194520</v>
      </c>
    </row>
    <row r="417" spans="1:19" x14ac:dyDescent="0.3">
      <c r="A417" t="s">
        <v>16</v>
      </c>
      <c r="B417">
        <f>VLOOKUP(A417,Sheet2!B:F,5,FALSE)</f>
        <v>927</v>
      </c>
      <c r="C417" t="s">
        <v>17</v>
      </c>
      <c r="D417">
        <f>VLOOKUP(C417,Sheet2!C:G,5,FALSE)</f>
        <v>1200</v>
      </c>
      <c r="E417" t="s">
        <v>100</v>
      </c>
      <c r="F417">
        <f>VLOOKUP(E417,Sheet2!D:E,2,FALSE)</f>
        <v>201038</v>
      </c>
      <c r="G417" t="s">
        <v>11</v>
      </c>
      <c r="H417" t="str">
        <f t="shared" si="12"/>
        <v>NAVERdrmaket:naver</v>
      </c>
      <c r="I417" t="str">
        <f>"drmaket:naver"</f>
        <v>drmaket:naver</v>
      </c>
      <c r="J417">
        <v>47830</v>
      </c>
      <c r="K417" s="1">
        <v>44866</v>
      </c>
      <c r="L417" t="s">
        <v>494</v>
      </c>
      <c r="M417">
        <f t="shared" si="13"/>
        <v>47830</v>
      </c>
      <c r="N417" t="e">
        <f>VLOOKUP(H417,Sheet1!G:H,2,FALSE)</f>
        <v>#N/A</v>
      </c>
      <c r="R417" t="s">
        <v>2341</v>
      </c>
      <c r="S417">
        <v>785600</v>
      </c>
    </row>
    <row r="418" spans="1:19" x14ac:dyDescent="0.3">
      <c r="A418" t="s">
        <v>8</v>
      </c>
      <c r="B418">
        <f>VLOOKUP(A418,Sheet2!B:F,5,FALSE)</f>
        <v>928</v>
      </c>
      <c r="C418" t="s">
        <v>9</v>
      </c>
      <c r="D418">
        <f>VLOOKUP(C418,Sheet2!C:G,5,FALSE)</f>
        <v>1202</v>
      </c>
      <c r="E418" t="s">
        <v>33</v>
      </c>
      <c r="F418">
        <f>VLOOKUP(E418,Sheet2!D:E,2,FALSE)</f>
        <v>933</v>
      </c>
      <c r="G418" t="s">
        <v>11</v>
      </c>
      <c r="H418" t="str">
        <f t="shared" si="12"/>
        <v>NAVERdrquland</v>
      </c>
      <c r="I418" t="str">
        <f>"drquland"</f>
        <v>drquland</v>
      </c>
      <c r="J418">
        <v>309280</v>
      </c>
      <c r="K418" s="1">
        <v>44866</v>
      </c>
      <c r="L418" t="s">
        <v>495</v>
      </c>
      <c r="M418">
        <f t="shared" si="13"/>
        <v>309280</v>
      </c>
      <c r="N418" t="e">
        <f>VLOOKUP(H418,Sheet1!G:H,2,FALSE)</f>
        <v>#N/A</v>
      </c>
      <c r="R418" t="s">
        <v>2342</v>
      </c>
      <c r="S418">
        <v>429400</v>
      </c>
    </row>
    <row r="419" spans="1:19" x14ac:dyDescent="0.3">
      <c r="A419" t="s">
        <v>8</v>
      </c>
      <c r="B419">
        <f>VLOOKUP(A419,Sheet2!B:F,5,FALSE)</f>
        <v>928</v>
      </c>
      <c r="C419" t="s">
        <v>13</v>
      </c>
      <c r="D419">
        <f>VLOOKUP(C419,Sheet2!C:G,5,FALSE)</f>
        <v>1184</v>
      </c>
      <c r="E419" t="s">
        <v>59</v>
      </c>
      <c r="F419">
        <f>VLOOKUP(E419,Sheet2!D:E,2,FALSE)</f>
        <v>9</v>
      </c>
      <c r="G419" t="s">
        <v>11</v>
      </c>
      <c r="H419" t="str">
        <f t="shared" si="12"/>
        <v>NAVERdrwoouro</v>
      </c>
      <c r="I419" t="str">
        <f>"drwoouro"</f>
        <v>drwoouro</v>
      </c>
      <c r="J419">
        <v>5340</v>
      </c>
      <c r="K419" s="1">
        <v>44866</v>
      </c>
      <c r="L419" t="s">
        <v>496</v>
      </c>
      <c r="M419">
        <f t="shared" si="13"/>
        <v>5340</v>
      </c>
      <c r="N419" t="e">
        <f>VLOOKUP(H419,Sheet1!G:H,2,FALSE)</f>
        <v>#N/A</v>
      </c>
      <c r="R419" t="s">
        <v>2343</v>
      </c>
      <c r="S419">
        <v>412720</v>
      </c>
    </row>
    <row r="420" spans="1:19" x14ac:dyDescent="0.3">
      <c r="A420" t="s">
        <v>41</v>
      </c>
      <c r="B420">
        <f>VLOOKUP(A420,Sheet2!B:F,5,FALSE)</f>
        <v>926</v>
      </c>
      <c r="C420" t="s">
        <v>56</v>
      </c>
      <c r="D420">
        <f>VLOOKUP(C420,Sheet2!C:G,5,FALSE)</f>
        <v>1207</v>
      </c>
      <c r="E420" t="s">
        <v>64</v>
      </c>
      <c r="F420">
        <f>VLOOKUP(E420,Sheet2!D:E,2,FALSE)</f>
        <v>201011</v>
      </c>
      <c r="G420" t="s">
        <v>11</v>
      </c>
      <c r="H420" t="str">
        <f t="shared" si="12"/>
        <v>NAVERds0049</v>
      </c>
      <c r="I420" t="str">
        <f>"ds0049"</f>
        <v>ds0049</v>
      </c>
      <c r="J420">
        <v>299860</v>
      </c>
      <c r="K420" s="1">
        <v>44866</v>
      </c>
      <c r="L420" t="s">
        <v>497</v>
      </c>
      <c r="M420">
        <f t="shared" si="13"/>
        <v>299860</v>
      </c>
      <c r="N420" t="e">
        <f>VLOOKUP(H420,Sheet1!G:H,2,FALSE)</f>
        <v>#N/A</v>
      </c>
      <c r="R420" t="s">
        <v>2344</v>
      </c>
      <c r="S420">
        <v>712900</v>
      </c>
    </row>
    <row r="421" spans="1:19" x14ac:dyDescent="0.3">
      <c r="A421" t="s">
        <v>8</v>
      </c>
      <c r="B421">
        <f>VLOOKUP(A421,Sheet2!B:F,5,FALSE)</f>
        <v>928</v>
      </c>
      <c r="C421" t="s">
        <v>9</v>
      </c>
      <c r="D421">
        <f>VLOOKUP(C421,Sheet2!C:G,5,FALSE)</f>
        <v>1202</v>
      </c>
      <c r="E421" t="s">
        <v>73</v>
      </c>
      <c r="F421">
        <f>VLOOKUP(E421,Sheet2!D:E,2,FALSE)</f>
        <v>895</v>
      </c>
      <c r="G421" t="s">
        <v>11</v>
      </c>
      <c r="H421" t="str">
        <f t="shared" si="12"/>
        <v>NAVERds1118</v>
      </c>
      <c r="I421" t="str">
        <f>"ds1118"</f>
        <v>ds1118</v>
      </c>
      <c r="J421">
        <v>439880</v>
      </c>
      <c r="K421" s="1">
        <v>44866</v>
      </c>
      <c r="L421" t="s">
        <v>498</v>
      </c>
      <c r="M421">
        <f t="shared" si="13"/>
        <v>439880</v>
      </c>
      <c r="N421" t="e">
        <f>VLOOKUP(H421,Sheet1!G:H,2,FALSE)</f>
        <v>#N/A</v>
      </c>
      <c r="R421" t="s">
        <v>2345</v>
      </c>
      <c r="S421">
        <v>7147200</v>
      </c>
    </row>
    <row r="422" spans="1:19" x14ac:dyDescent="0.3">
      <c r="A422" t="s">
        <v>41</v>
      </c>
      <c r="B422">
        <f>VLOOKUP(A422,Sheet2!B:F,5,FALSE)</f>
        <v>926</v>
      </c>
      <c r="C422" t="s">
        <v>56</v>
      </c>
      <c r="D422">
        <f>VLOOKUP(C422,Sheet2!C:G,5,FALSE)</f>
        <v>1207</v>
      </c>
      <c r="E422" t="s">
        <v>64</v>
      </c>
      <c r="F422">
        <f>VLOOKUP(E422,Sheet2!D:E,2,FALSE)</f>
        <v>201011</v>
      </c>
      <c r="G422" t="s">
        <v>11</v>
      </c>
      <c r="H422" t="str">
        <f t="shared" si="12"/>
        <v>NAVERds5653052k</v>
      </c>
      <c r="I422" t="str">
        <f>"ds5653052k"</f>
        <v>ds5653052k</v>
      </c>
      <c r="J422">
        <v>151060</v>
      </c>
      <c r="K422" s="1">
        <v>44866</v>
      </c>
      <c r="L422" t="s">
        <v>499</v>
      </c>
      <c r="M422">
        <f t="shared" si="13"/>
        <v>151060</v>
      </c>
      <c r="N422" t="e">
        <f>VLOOKUP(H422,Sheet1!G:H,2,FALSE)</f>
        <v>#N/A</v>
      </c>
      <c r="R422" t="s">
        <v>2346</v>
      </c>
      <c r="S422">
        <v>949750</v>
      </c>
    </row>
    <row r="423" spans="1:19" x14ac:dyDescent="0.3">
      <c r="A423" t="s">
        <v>8</v>
      </c>
      <c r="B423">
        <f>VLOOKUP(A423,Sheet2!B:F,5,FALSE)</f>
        <v>928</v>
      </c>
      <c r="C423" t="s">
        <v>13</v>
      </c>
      <c r="D423">
        <f>VLOOKUP(C423,Sheet2!C:G,5,FALSE)</f>
        <v>1184</v>
      </c>
      <c r="E423" t="s">
        <v>59</v>
      </c>
      <c r="F423">
        <f>VLOOKUP(E423,Sheet2!D:E,2,FALSE)</f>
        <v>9</v>
      </c>
      <c r="G423" t="s">
        <v>11</v>
      </c>
      <c r="H423" t="str">
        <f t="shared" si="12"/>
        <v>NAVERdscord</v>
      </c>
      <c r="I423" t="str">
        <f>"dscord"</f>
        <v>dscord</v>
      </c>
      <c r="J423">
        <v>24960</v>
      </c>
      <c r="K423" s="1">
        <v>44866</v>
      </c>
      <c r="L423" t="s">
        <v>500</v>
      </c>
      <c r="M423">
        <f t="shared" si="13"/>
        <v>24960</v>
      </c>
      <c r="N423" t="e">
        <f>VLOOKUP(H423,Sheet1!G:H,2,FALSE)</f>
        <v>#N/A</v>
      </c>
      <c r="R423" t="s">
        <v>2347</v>
      </c>
      <c r="S423">
        <v>1520600</v>
      </c>
    </row>
    <row r="424" spans="1:19" x14ac:dyDescent="0.3">
      <c r="A424" t="s">
        <v>16</v>
      </c>
      <c r="B424">
        <f>VLOOKUP(A424,Sheet2!B:F,5,FALSE)</f>
        <v>927</v>
      </c>
      <c r="C424" t="s">
        <v>17</v>
      </c>
      <c r="D424">
        <f>VLOOKUP(C424,Sheet2!C:G,5,FALSE)</f>
        <v>1200</v>
      </c>
      <c r="E424" t="s">
        <v>66</v>
      </c>
      <c r="F424">
        <f>VLOOKUP(E424,Sheet2!D:E,2,FALSE)</f>
        <v>33</v>
      </c>
      <c r="G424" t="s">
        <v>11</v>
      </c>
      <c r="H424" t="str">
        <f t="shared" si="12"/>
        <v>NAVERdsgs2588</v>
      </c>
      <c r="I424" t="str">
        <f>"dsgs2588"</f>
        <v>dsgs2588</v>
      </c>
      <c r="J424">
        <v>72540</v>
      </c>
      <c r="K424" s="1">
        <v>44866</v>
      </c>
      <c r="L424" t="s">
        <v>501</v>
      </c>
      <c r="M424">
        <f t="shared" si="13"/>
        <v>72540</v>
      </c>
      <c r="N424" t="e">
        <f>VLOOKUP(H424,Sheet1!G:H,2,FALSE)</f>
        <v>#N/A</v>
      </c>
      <c r="R424" t="s">
        <v>2348</v>
      </c>
      <c r="S424">
        <v>273790</v>
      </c>
    </row>
    <row r="425" spans="1:19" x14ac:dyDescent="0.3">
      <c r="A425" t="s">
        <v>8</v>
      </c>
      <c r="B425">
        <f>VLOOKUP(A425,Sheet2!B:F,5,FALSE)</f>
        <v>928</v>
      </c>
      <c r="C425" t="s">
        <v>9</v>
      </c>
      <c r="D425">
        <f>VLOOKUP(C425,Sheet2!C:G,5,FALSE)</f>
        <v>1202</v>
      </c>
      <c r="E425" t="s">
        <v>10</v>
      </c>
      <c r="F425">
        <f>VLOOKUP(E425,Sheet2!D:E,2,FALSE)</f>
        <v>939</v>
      </c>
      <c r="G425" t="s">
        <v>11</v>
      </c>
      <c r="H425" t="str">
        <f t="shared" si="12"/>
        <v>NAVERdsindus</v>
      </c>
      <c r="I425" t="str">
        <f>"dsindus"</f>
        <v>dsindus</v>
      </c>
      <c r="J425">
        <v>2121080</v>
      </c>
      <c r="K425" s="1">
        <v>44866</v>
      </c>
      <c r="L425" t="s">
        <v>502</v>
      </c>
      <c r="M425">
        <f t="shared" si="13"/>
        <v>2121080</v>
      </c>
      <c r="N425" t="e">
        <f>VLOOKUP(H425,Sheet1!G:H,2,FALSE)</f>
        <v>#N/A</v>
      </c>
      <c r="R425" t="s">
        <v>2349</v>
      </c>
      <c r="S425">
        <v>3660</v>
      </c>
    </row>
    <row r="426" spans="1:19" x14ac:dyDescent="0.3">
      <c r="A426" t="s">
        <v>8</v>
      </c>
      <c r="B426">
        <f>VLOOKUP(A426,Sheet2!B:F,5,FALSE)</f>
        <v>928</v>
      </c>
      <c r="C426" t="s">
        <v>13</v>
      </c>
      <c r="D426">
        <f>VLOOKUP(C426,Sheet2!C:G,5,FALSE)</f>
        <v>1184</v>
      </c>
      <c r="E426" t="s">
        <v>335</v>
      </c>
      <c r="F426">
        <f>VLOOKUP(E426,Sheet2!D:E,2,FALSE)</f>
        <v>201090</v>
      </c>
      <c r="G426" t="s">
        <v>11</v>
      </c>
      <c r="H426" t="str">
        <f t="shared" si="12"/>
        <v>NAVERdsmesh</v>
      </c>
      <c r="I426" t="str">
        <f>"dsmesh"</f>
        <v>dsmesh</v>
      </c>
      <c r="J426">
        <v>471210</v>
      </c>
      <c r="K426" s="1">
        <v>44866</v>
      </c>
      <c r="L426" t="s">
        <v>503</v>
      </c>
      <c r="M426">
        <f t="shared" si="13"/>
        <v>471210</v>
      </c>
      <c r="N426" t="e">
        <f>VLOOKUP(H426,Sheet1!G:H,2,FALSE)</f>
        <v>#N/A</v>
      </c>
      <c r="R426" t="s">
        <v>2350</v>
      </c>
      <c r="S426">
        <v>404730</v>
      </c>
    </row>
    <row r="427" spans="1:19" x14ac:dyDescent="0.3">
      <c r="A427" t="s">
        <v>8</v>
      </c>
      <c r="B427">
        <f>VLOOKUP(A427,Sheet2!B:F,5,FALSE)</f>
        <v>928</v>
      </c>
      <c r="C427" t="s">
        <v>9</v>
      </c>
      <c r="D427">
        <f>VLOOKUP(C427,Sheet2!C:G,5,FALSE)</f>
        <v>1202</v>
      </c>
      <c r="E427" t="s">
        <v>47</v>
      </c>
      <c r="F427">
        <f>VLOOKUP(E427,Sheet2!D:E,2,FALSE)</f>
        <v>898</v>
      </c>
      <c r="G427" t="s">
        <v>11</v>
      </c>
      <c r="H427" t="str">
        <f t="shared" si="12"/>
        <v>NAVERdstech_inc</v>
      </c>
      <c r="I427" t="str">
        <f>"dstech_inc"</f>
        <v>dstech_inc</v>
      </c>
      <c r="J427">
        <v>101620</v>
      </c>
      <c r="K427" s="1">
        <v>44866</v>
      </c>
      <c r="L427" t="s">
        <v>504</v>
      </c>
      <c r="M427">
        <f t="shared" si="13"/>
        <v>101620</v>
      </c>
      <c r="N427" t="e">
        <f>VLOOKUP(H427,Sheet1!G:H,2,FALSE)</f>
        <v>#N/A</v>
      </c>
      <c r="R427" t="s">
        <v>2351</v>
      </c>
      <c r="S427">
        <v>2005500</v>
      </c>
    </row>
    <row r="428" spans="1:19" x14ac:dyDescent="0.3">
      <c r="A428" t="s">
        <v>41</v>
      </c>
      <c r="B428">
        <f>VLOOKUP(A428,Sheet2!B:F,5,FALSE)</f>
        <v>926</v>
      </c>
      <c r="C428" t="s">
        <v>56</v>
      </c>
      <c r="D428">
        <f>VLOOKUP(C428,Sheet2!C:G,5,FALSE)</f>
        <v>1207</v>
      </c>
      <c r="E428" t="s">
        <v>253</v>
      </c>
      <c r="F428">
        <f>VLOOKUP(E428,Sheet2!D:E,2,FALSE)</f>
        <v>1328</v>
      </c>
      <c r="G428" t="s">
        <v>11</v>
      </c>
      <c r="H428" t="str">
        <f t="shared" si="12"/>
        <v>NAVERducklife</v>
      </c>
      <c r="I428" t="str">
        <f>"ducklife"</f>
        <v>ducklife</v>
      </c>
      <c r="J428">
        <v>210830</v>
      </c>
      <c r="K428" s="1">
        <v>44866</v>
      </c>
      <c r="L428" t="s">
        <v>505</v>
      </c>
      <c r="M428">
        <f t="shared" si="13"/>
        <v>210830</v>
      </c>
      <c r="N428" t="e">
        <f>VLOOKUP(H428,Sheet1!G:H,2,FALSE)</f>
        <v>#N/A</v>
      </c>
      <c r="R428" t="s">
        <v>2352</v>
      </c>
      <c r="S428">
        <v>96930</v>
      </c>
    </row>
    <row r="429" spans="1:19" x14ac:dyDescent="0.3">
      <c r="A429" t="s">
        <v>8</v>
      </c>
      <c r="B429">
        <f>VLOOKUP(A429,Sheet2!B:F,5,FALSE)</f>
        <v>928</v>
      </c>
      <c r="C429" t="s">
        <v>13</v>
      </c>
      <c r="D429">
        <f>VLOOKUP(C429,Sheet2!C:G,5,FALSE)</f>
        <v>1184</v>
      </c>
      <c r="E429" t="s">
        <v>217</v>
      </c>
      <c r="F429">
        <f>VLOOKUP(E429,Sheet2!D:E,2,FALSE)</f>
        <v>201027</v>
      </c>
      <c r="G429" t="s">
        <v>11</v>
      </c>
      <c r="H429" t="str">
        <f t="shared" si="12"/>
        <v>NAVERdudahr80</v>
      </c>
      <c r="I429" t="str">
        <f>"dudahr80"</f>
        <v>dudahr80</v>
      </c>
      <c r="J429">
        <v>72150</v>
      </c>
      <c r="K429" s="1">
        <v>44866</v>
      </c>
      <c r="L429" t="s">
        <v>506</v>
      </c>
      <c r="M429">
        <f t="shared" si="13"/>
        <v>72150</v>
      </c>
      <c r="N429" t="e">
        <f>VLOOKUP(H429,Sheet1!G:H,2,FALSE)</f>
        <v>#N/A</v>
      </c>
      <c r="R429" t="s">
        <v>2353</v>
      </c>
      <c r="S429">
        <v>158950</v>
      </c>
    </row>
    <row r="430" spans="1:19" x14ac:dyDescent="0.3">
      <c r="A430" t="s">
        <v>8</v>
      </c>
      <c r="B430">
        <f>VLOOKUP(A430,Sheet2!B:F,5,FALSE)</f>
        <v>928</v>
      </c>
      <c r="C430" t="s">
        <v>13</v>
      </c>
      <c r="D430">
        <f>VLOOKUP(C430,Sheet2!C:G,5,FALSE)</f>
        <v>1184</v>
      </c>
      <c r="E430" t="s">
        <v>115</v>
      </c>
      <c r="F430">
        <f>VLOOKUP(E430,Sheet2!D:E,2,FALSE)</f>
        <v>1548</v>
      </c>
      <c r="G430" t="s">
        <v>11</v>
      </c>
      <c r="H430" t="str">
        <f t="shared" si="12"/>
        <v>NAVERduddns433</v>
      </c>
      <c r="I430" t="str">
        <f>"duddns433"</f>
        <v>duddns433</v>
      </c>
      <c r="J430">
        <v>70</v>
      </c>
      <c r="K430" s="1">
        <v>44866</v>
      </c>
      <c r="L430" t="s">
        <v>507</v>
      </c>
      <c r="M430">
        <f t="shared" si="13"/>
        <v>70</v>
      </c>
      <c r="N430" t="e">
        <f>VLOOKUP(H430,Sheet1!G:H,2,FALSE)</f>
        <v>#N/A</v>
      </c>
      <c r="R430" t="s">
        <v>2354</v>
      </c>
      <c r="S430">
        <v>922450</v>
      </c>
    </row>
    <row r="431" spans="1:19" x14ac:dyDescent="0.3">
      <c r="A431" t="s">
        <v>41</v>
      </c>
      <c r="B431">
        <f>VLOOKUP(A431,Sheet2!B:F,5,FALSE)</f>
        <v>926</v>
      </c>
      <c r="C431" t="s">
        <v>56</v>
      </c>
      <c r="D431">
        <f>VLOOKUP(C431,Sheet2!C:G,5,FALSE)</f>
        <v>1207</v>
      </c>
      <c r="E431" t="s">
        <v>62</v>
      </c>
      <c r="F431">
        <f>VLOOKUP(E431,Sheet2!D:E,2,FALSE)</f>
        <v>201037</v>
      </c>
      <c r="G431" t="s">
        <v>11</v>
      </c>
      <c r="H431" t="str">
        <f t="shared" si="12"/>
        <v>NAVERdufwjd22</v>
      </c>
      <c r="I431" t="str">
        <f>"dufwjd22"</f>
        <v>dufwjd22</v>
      </c>
      <c r="J431">
        <v>790</v>
      </c>
      <c r="K431" s="1">
        <v>44866</v>
      </c>
      <c r="L431" t="s">
        <v>508</v>
      </c>
      <c r="M431">
        <f t="shared" si="13"/>
        <v>790</v>
      </c>
      <c r="N431" t="e">
        <f>VLOOKUP(H431,Sheet1!G:H,2,FALSE)</f>
        <v>#N/A</v>
      </c>
      <c r="R431" t="s">
        <v>2355</v>
      </c>
      <c r="S431">
        <v>97210</v>
      </c>
    </row>
    <row r="432" spans="1:19" x14ac:dyDescent="0.3">
      <c r="A432" t="s">
        <v>16</v>
      </c>
      <c r="B432">
        <f>VLOOKUP(A432,Sheet2!B:F,5,FALSE)</f>
        <v>927</v>
      </c>
      <c r="C432" t="s">
        <v>17</v>
      </c>
      <c r="D432">
        <f>VLOOKUP(C432,Sheet2!C:G,5,FALSE)</f>
        <v>1200</v>
      </c>
      <c r="E432" t="s">
        <v>229</v>
      </c>
      <c r="F432">
        <f>VLOOKUP(E432,Sheet2!D:E,2,FALSE)</f>
        <v>560</v>
      </c>
      <c r="G432" t="s">
        <v>11</v>
      </c>
      <c r="H432" t="str">
        <f t="shared" si="12"/>
        <v>NAVERduin100</v>
      </c>
      <c r="I432" t="str">
        <f>"duin100"</f>
        <v>duin100</v>
      </c>
      <c r="J432">
        <v>1001000</v>
      </c>
      <c r="K432" s="1">
        <v>44866</v>
      </c>
      <c r="L432" t="s">
        <v>509</v>
      </c>
      <c r="M432">
        <f t="shared" si="13"/>
        <v>1001000</v>
      </c>
      <c r="N432" t="e">
        <f>VLOOKUP(H432,Sheet1!G:H,2,FALSE)</f>
        <v>#N/A</v>
      </c>
      <c r="R432" t="s">
        <v>2356</v>
      </c>
      <c r="S432">
        <v>260640</v>
      </c>
    </row>
    <row r="433" spans="1:19" x14ac:dyDescent="0.3">
      <c r="A433" t="s">
        <v>8</v>
      </c>
      <c r="B433">
        <f>VLOOKUP(A433,Sheet2!B:F,5,FALSE)</f>
        <v>928</v>
      </c>
      <c r="C433" t="s">
        <v>9</v>
      </c>
      <c r="D433">
        <f>VLOOKUP(C433,Sheet2!C:G,5,FALSE)</f>
        <v>1202</v>
      </c>
      <c r="E433" t="s">
        <v>20</v>
      </c>
      <c r="F433">
        <f>VLOOKUP(E433,Sheet2!D:E,2,FALSE)</f>
        <v>938</v>
      </c>
      <c r="G433" t="s">
        <v>11</v>
      </c>
      <c r="H433" t="str">
        <f t="shared" si="12"/>
        <v>NAVERduk13579:naver</v>
      </c>
      <c r="I433" t="str">
        <f>"duk13579:naver"</f>
        <v>duk13579:naver</v>
      </c>
      <c r="J433">
        <v>25120</v>
      </c>
      <c r="K433" s="1">
        <v>44866</v>
      </c>
      <c r="L433" t="s">
        <v>510</v>
      </c>
      <c r="M433">
        <f t="shared" si="13"/>
        <v>25120</v>
      </c>
      <c r="N433" t="e">
        <f>VLOOKUP(H433,Sheet1!G:H,2,FALSE)</f>
        <v>#N/A</v>
      </c>
      <c r="R433" t="s">
        <v>2357</v>
      </c>
      <c r="S433">
        <v>420</v>
      </c>
    </row>
    <row r="434" spans="1:19" x14ac:dyDescent="0.3">
      <c r="A434" t="s">
        <v>176</v>
      </c>
      <c r="B434">
        <f>VLOOKUP(A434,Sheet2!B:F,5,FALSE)</f>
        <v>1204</v>
      </c>
      <c r="C434" t="s">
        <v>177</v>
      </c>
      <c r="D434">
        <f>VLOOKUP(C434,Sheet2!C:G,5,FALSE)</f>
        <v>1205</v>
      </c>
      <c r="E434" t="s">
        <v>178</v>
      </c>
      <c r="F434">
        <f>VLOOKUP(E434,Sheet2!D:E,2,FALSE)</f>
        <v>201073</v>
      </c>
      <c r="G434" t="s">
        <v>11</v>
      </c>
      <c r="H434" t="str">
        <f t="shared" si="12"/>
        <v>NAVERdukto123</v>
      </c>
      <c r="I434" t="str">
        <f>"dukto123"</f>
        <v>dukto123</v>
      </c>
      <c r="J434">
        <v>1182640</v>
      </c>
      <c r="K434" s="1">
        <v>44866</v>
      </c>
      <c r="L434" t="s">
        <v>511</v>
      </c>
      <c r="M434">
        <f t="shared" si="13"/>
        <v>1182640</v>
      </c>
      <c r="N434" t="e">
        <f>VLOOKUP(H434,Sheet1!G:H,2,FALSE)</f>
        <v>#N/A</v>
      </c>
      <c r="R434" t="s">
        <v>2358</v>
      </c>
      <c r="S434">
        <v>1886860</v>
      </c>
    </row>
    <row r="435" spans="1:19" x14ac:dyDescent="0.3">
      <c r="A435" t="s">
        <v>8</v>
      </c>
      <c r="B435">
        <f>VLOOKUP(A435,Sheet2!B:F,5,FALSE)</f>
        <v>928</v>
      </c>
      <c r="C435" t="s">
        <v>13</v>
      </c>
      <c r="D435">
        <f>VLOOKUP(C435,Sheet2!C:G,5,FALSE)</f>
        <v>1184</v>
      </c>
      <c r="E435" t="s">
        <v>217</v>
      </c>
      <c r="F435">
        <f>VLOOKUP(E435,Sheet2!D:E,2,FALSE)</f>
        <v>201027</v>
      </c>
      <c r="G435" t="s">
        <v>11</v>
      </c>
      <c r="H435" t="str">
        <f t="shared" si="12"/>
        <v>NAVERduoitl</v>
      </c>
      <c r="I435" t="str">
        <f>"duoitl"</f>
        <v>duoitl</v>
      </c>
      <c r="J435">
        <v>70</v>
      </c>
      <c r="K435" s="1">
        <v>44866</v>
      </c>
      <c r="L435" t="s">
        <v>512</v>
      </c>
      <c r="M435">
        <f t="shared" si="13"/>
        <v>70</v>
      </c>
      <c r="N435" t="e">
        <f>VLOOKUP(H435,Sheet1!G:H,2,FALSE)</f>
        <v>#N/A</v>
      </c>
      <c r="R435" t="s">
        <v>2359</v>
      </c>
      <c r="S435">
        <v>88350</v>
      </c>
    </row>
    <row r="436" spans="1:19" x14ac:dyDescent="0.3">
      <c r="A436" t="s">
        <v>16</v>
      </c>
      <c r="B436">
        <f>VLOOKUP(A436,Sheet2!B:F,5,FALSE)</f>
        <v>927</v>
      </c>
      <c r="C436" t="s">
        <v>17</v>
      </c>
      <c r="D436">
        <f>VLOOKUP(C436,Sheet2!C:G,5,FALSE)</f>
        <v>1200</v>
      </c>
      <c r="E436" t="s">
        <v>100</v>
      </c>
      <c r="F436">
        <f>VLOOKUP(E436,Sheet2!D:E,2,FALSE)</f>
        <v>201038</v>
      </c>
      <c r="G436" t="s">
        <v>11</v>
      </c>
      <c r="H436" t="str">
        <f t="shared" si="12"/>
        <v>NAVERdusdl2366:naver</v>
      </c>
      <c r="I436" t="str">
        <f>"dusdl2366:naver"</f>
        <v>dusdl2366:naver</v>
      </c>
      <c r="J436">
        <v>75310</v>
      </c>
      <c r="K436" s="1">
        <v>44866</v>
      </c>
      <c r="L436" t="s">
        <v>513</v>
      </c>
      <c r="M436">
        <f t="shared" si="13"/>
        <v>75310</v>
      </c>
      <c r="N436" t="e">
        <f>VLOOKUP(H436,Sheet1!G:H,2,FALSE)</f>
        <v>#N/A</v>
      </c>
      <c r="R436" t="s">
        <v>2360</v>
      </c>
      <c r="S436">
        <v>243860</v>
      </c>
    </row>
    <row r="437" spans="1:19" x14ac:dyDescent="0.3">
      <c r="A437" t="s">
        <v>41</v>
      </c>
      <c r="B437">
        <f>VLOOKUP(A437,Sheet2!B:F,5,FALSE)</f>
        <v>926</v>
      </c>
      <c r="C437" t="s">
        <v>56</v>
      </c>
      <c r="D437">
        <f>VLOOKUP(C437,Sheet2!C:G,5,FALSE)</f>
        <v>1207</v>
      </c>
      <c r="E437" t="s">
        <v>62</v>
      </c>
      <c r="F437">
        <f>VLOOKUP(E437,Sheet2!D:E,2,FALSE)</f>
        <v>201037</v>
      </c>
      <c r="G437" t="s">
        <v>11</v>
      </c>
      <c r="H437" t="str">
        <f t="shared" si="12"/>
        <v>NAVERdusghzlzl:naver</v>
      </c>
      <c r="I437" t="str">
        <f>"dusghzlzl:naver"</f>
        <v>dusghzlzl:naver</v>
      </c>
      <c r="J437">
        <v>4490</v>
      </c>
      <c r="K437" s="1">
        <v>44866</v>
      </c>
      <c r="L437" t="s">
        <v>514</v>
      </c>
      <c r="M437">
        <f t="shared" si="13"/>
        <v>4490</v>
      </c>
      <c r="N437" t="e">
        <f>VLOOKUP(H437,Sheet1!G:H,2,FALSE)</f>
        <v>#N/A</v>
      </c>
      <c r="R437" t="s">
        <v>2361</v>
      </c>
      <c r="S437">
        <v>85290</v>
      </c>
    </row>
    <row r="438" spans="1:19" x14ac:dyDescent="0.3">
      <c r="A438" t="s">
        <v>8</v>
      </c>
      <c r="B438">
        <f>VLOOKUP(A438,Sheet2!B:F,5,FALSE)</f>
        <v>928</v>
      </c>
      <c r="C438" t="s">
        <v>9</v>
      </c>
      <c r="D438">
        <f>VLOOKUP(C438,Sheet2!C:G,5,FALSE)</f>
        <v>1202</v>
      </c>
      <c r="E438" t="s">
        <v>47</v>
      </c>
      <c r="F438">
        <f>VLOOKUP(E438,Sheet2!D:E,2,FALSE)</f>
        <v>898</v>
      </c>
      <c r="G438" t="s">
        <v>11</v>
      </c>
      <c r="H438" t="str">
        <f t="shared" si="12"/>
        <v>NAVERdusty000</v>
      </c>
      <c r="I438" t="str">
        <f>"dusty000"</f>
        <v>dusty000</v>
      </c>
      <c r="J438">
        <v>3180</v>
      </c>
      <c r="K438" s="1">
        <v>44866</v>
      </c>
      <c r="L438" t="s">
        <v>515</v>
      </c>
      <c r="M438">
        <f t="shared" si="13"/>
        <v>3180</v>
      </c>
      <c r="N438" t="e">
        <f>VLOOKUP(H438,Sheet1!G:H,2,FALSE)</f>
        <v>#N/A</v>
      </c>
      <c r="R438" t="s">
        <v>2362</v>
      </c>
      <c r="S438">
        <v>249420</v>
      </c>
    </row>
    <row r="439" spans="1:19" x14ac:dyDescent="0.3">
      <c r="A439" t="s">
        <v>16</v>
      </c>
      <c r="B439">
        <f>VLOOKUP(A439,Sheet2!B:F,5,FALSE)</f>
        <v>927</v>
      </c>
      <c r="C439" t="s">
        <v>17</v>
      </c>
      <c r="D439">
        <f>VLOOKUP(C439,Sheet2!C:G,5,FALSE)</f>
        <v>1200</v>
      </c>
      <c r="E439" t="s">
        <v>93</v>
      </c>
      <c r="F439">
        <f>VLOOKUP(E439,Sheet2!D:E,2,FALSE)</f>
        <v>930</v>
      </c>
      <c r="G439" t="s">
        <v>11</v>
      </c>
      <c r="H439" t="str">
        <f t="shared" si="12"/>
        <v>NAVERdveshop2</v>
      </c>
      <c r="I439" t="str">
        <f>"dveshop2"</f>
        <v>dveshop2</v>
      </c>
      <c r="J439">
        <v>13350</v>
      </c>
      <c r="K439" s="1">
        <v>44866</v>
      </c>
      <c r="L439" t="s">
        <v>422</v>
      </c>
      <c r="M439">
        <f t="shared" si="13"/>
        <v>13350</v>
      </c>
      <c r="N439" t="e">
        <f>VLOOKUP(H439,Sheet1!G:H,2,FALSE)</f>
        <v>#N/A</v>
      </c>
      <c r="R439" t="s">
        <v>2363</v>
      </c>
      <c r="S439">
        <v>1565210</v>
      </c>
    </row>
    <row r="440" spans="1:19" x14ac:dyDescent="0.3">
      <c r="A440" t="s">
        <v>8</v>
      </c>
      <c r="B440">
        <f>VLOOKUP(A440,Sheet2!B:F,5,FALSE)</f>
        <v>928</v>
      </c>
      <c r="C440" t="s">
        <v>9</v>
      </c>
      <c r="D440">
        <f>VLOOKUP(C440,Sheet2!C:G,5,FALSE)</f>
        <v>1202</v>
      </c>
      <c r="E440" t="s">
        <v>45</v>
      </c>
      <c r="F440">
        <f>VLOOKUP(E440,Sheet2!D:E,2,FALSE)</f>
        <v>26</v>
      </c>
      <c r="G440" t="s">
        <v>11</v>
      </c>
      <c r="H440" t="str">
        <f t="shared" si="12"/>
        <v>NAVERdwelec</v>
      </c>
      <c r="I440" t="str">
        <f>"dwelec"</f>
        <v>dwelec</v>
      </c>
      <c r="J440">
        <v>307140</v>
      </c>
      <c r="K440" s="1">
        <v>44866</v>
      </c>
      <c r="L440" t="s">
        <v>516</v>
      </c>
      <c r="M440">
        <f t="shared" si="13"/>
        <v>307140</v>
      </c>
      <c r="N440" t="e">
        <f>VLOOKUP(H440,Sheet1!G:H,2,FALSE)</f>
        <v>#N/A</v>
      </c>
      <c r="R440" t="s">
        <v>2364</v>
      </c>
      <c r="S440">
        <v>10275310</v>
      </c>
    </row>
    <row r="441" spans="1:19" x14ac:dyDescent="0.3">
      <c r="A441" t="s">
        <v>8</v>
      </c>
      <c r="B441">
        <f>VLOOKUP(A441,Sheet2!B:F,5,FALSE)</f>
        <v>928</v>
      </c>
      <c r="C441" t="s">
        <v>9</v>
      </c>
      <c r="D441">
        <f>VLOOKUP(C441,Sheet2!C:G,5,FALSE)</f>
        <v>1202</v>
      </c>
      <c r="E441" t="s">
        <v>45</v>
      </c>
      <c r="F441">
        <f>VLOOKUP(E441,Sheet2!D:E,2,FALSE)</f>
        <v>26</v>
      </c>
      <c r="G441" t="s">
        <v>11</v>
      </c>
      <c r="H441" t="str">
        <f t="shared" si="12"/>
        <v>NAVERdydwls3</v>
      </c>
      <c r="I441" t="str">
        <f>"dydwls3"</f>
        <v>dydwls3</v>
      </c>
      <c r="J441">
        <v>808959</v>
      </c>
      <c r="K441" s="1">
        <v>44866</v>
      </c>
      <c r="L441" t="s">
        <v>517</v>
      </c>
      <c r="M441">
        <f t="shared" si="13"/>
        <v>809008</v>
      </c>
      <c r="N441" t="e">
        <f>VLOOKUP(H441,Sheet1!G:H,2,FALSE)</f>
        <v>#N/A</v>
      </c>
      <c r="R441" t="s">
        <v>2365</v>
      </c>
      <c r="S441">
        <v>68195</v>
      </c>
    </row>
    <row r="442" spans="1:19" x14ac:dyDescent="0.3">
      <c r="A442" t="s">
        <v>8</v>
      </c>
      <c r="B442">
        <f>VLOOKUP(A442,Sheet2!B:F,5,FALSE)</f>
        <v>928</v>
      </c>
      <c r="C442" t="s">
        <v>13</v>
      </c>
      <c r="D442">
        <f>VLOOKUP(C442,Sheet2!C:G,5,FALSE)</f>
        <v>1184</v>
      </c>
      <c r="E442" t="s">
        <v>118</v>
      </c>
      <c r="F442">
        <f>VLOOKUP(E442,Sheet2!D:E,2,FALSE)</f>
        <v>201004</v>
      </c>
      <c r="G442" t="s">
        <v>11</v>
      </c>
      <c r="H442" t="str">
        <f t="shared" si="12"/>
        <v>NAVERdyjeen:naver</v>
      </c>
      <c r="I442" t="str">
        <f>"dyjeen:naver"</f>
        <v>dyjeen:naver</v>
      </c>
      <c r="J442">
        <v>670</v>
      </c>
      <c r="K442" s="1">
        <v>44866</v>
      </c>
      <c r="L442" t="s">
        <v>518</v>
      </c>
      <c r="M442">
        <f t="shared" si="13"/>
        <v>670</v>
      </c>
      <c r="N442" t="e">
        <f>VLOOKUP(H442,Sheet1!G:H,2,FALSE)</f>
        <v>#N/A</v>
      </c>
      <c r="R442" t="s">
        <v>2366</v>
      </c>
      <c r="S442">
        <v>939310</v>
      </c>
    </row>
    <row r="443" spans="1:19" x14ac:dyDescent="0.3">
      <c r="A443" t="s">
        <v>8</v>
      </c>
      <c r="B443">
        <f>VLOOKUP(A443,Sheet2!B:F,5,FALSE)</f>
        <v>928</v>
      </c>
      <c r="C443" t="s">
        <v>13</v>
      </c>
      <c r="D443">
        <f>VLOOKUP(C443,Sheet2!C:G,5,FALSE)</f>
        <v>1184</v>
      </c>
      <c r="E443" t="s">
        <v>118</v>
      </c>
      <c r="F443">
        <f>VLOOKUP(E443,Sheet2!D:E,2,FALSE)</f>
        <v>201004</v>
      </c>
      <c r="G443" t="s">
        <v>11</v>
      </c>
      <c r="H443" t="str">
        <f t="shared" si="12"/>
        <v>NAVERdyjeen79</v>
      </c>
      <c r="I443" t="str">
        <f>"dyjeen79"</f>
        <v>dyjeen79</v>
      </c>
      <c r="J443">
        <v>1010</v>
      </c>
      <c r="K443" s="1">
        <v>44866</v>
      </c>
      <c r="L443" t="s">
        <v>519</v>
      </c>
      <c r="M443">
        <f t="shared" si="13"/>
        <v>1010</v>
      </c>
      <c r="N443" t="e">
        <f>VLOOKUP(H443,Sheet1!G:H,2,FALSE)</f>
        <v>#N/A</v>
      </c>
      <c r="R443" t="s">
        <v>2367</v>
      </c>
      <c r="S443">
        <v>980300</v>
      </c>
    </row>
    <row r="444" spans="1:19" x14ac:dyDescent="0.3">
      <c r="A444" t="s">
        <v>41</v>
      </c>
      <c r="B444">
        <f>VLOOKUP(A444,Sheet2!B:F,5,FALSE)</f>
        <v>926</v>
      </c>
      <c r="C444" t="s">
        <v>56</v>
      </c>
      <c r="D444">
        <f>VLOOKUP(C444,Sheet2!C:G,5,FALSE)</f>
        <v>1207</v>
      </c>
      <c r="E444" t="s">
        <v>253</v>
      </c>
      <c r="F444">
        <f>VLOOKUP(E444,Sheet2!D:E,2,FALSE)</f>
        <v>1328</v>
      </c>
      <c r="G444" t="s">
        <v>11</v>
      </c>
      <c r="H444" t="str">
        <f t="shared" si="12"/>
        <v>NAVERdyroller</v>
      </c>
      <c r="I444" t="str">
        <f>"dyroller"</f>
        <v>dyroller</v>
      </c>
      <c r="J444">
        <v>202690</v>
      </c>
      <c r="K444" s="1">
        <v>44866</v>
      </c>
      <c r="L444" t="s">
        <v>520</v>
      </c>
      <c r="M444">
        <f t="shared" si="13"/>
        <v>202690</v>
      </c>
      <c r="N444" t="e">
        <f>VLOOKUP(H444,Sheet1!G:H,2,FALSE)</f>
        <v>#N/A</v>
      </c>
      <c r="R444" t="s">
        <v>2368</v>
      </c>
      <c r="S444">
        <v>78810</v>
      </c>
    </row>
    <row r="445" spans="1:19" x14ac:dyDescent="0.3">
      <c r="A445" t="s">
        <v>16</v>
      </c>
      <c r="B445">
        <f>VLOOKUP(A445,Sheet2!B:F,5,FALSE)</f>
        <v>927</v>
      </c>
      <c r="C445" t="s">
        <v>17</v>
      </c>
      <c r="D445">
        <f>VLOOKUP(C445,Sheet2!C:G,5,FALSE)</f>
        <v>1200</v>
      </c>
      <c r="E445" t="s">
        <v>66</v>
      </c>
      <c r="F445">
        <f>VLOOKUP(E445,Sheet2!D:E,2,FALSE)</f>
        <v>33</v>
      </c>
      <c r="G445" t="s">
        <v>11</v>
      </c>
      <c r="H445" t="str">
        <f t="shared" si="12"/>
        <v>NAVERe9092002</v>
      </c>
      <c r="I445" t="str">
        <f>"e9092002"</f>
        <v>e9092002</v>
      </c>
      <c r="J445">
        <v>2333540</v>
      </c>
      <c r="K445" s="1">
        <v>44866</v>
      </c>
      <c r="L445" t="s">
        <v>521</v>
      </c>
      <c r="M445">
        <f t="shared" si="13"/>
        <v>2333540</v>
      </c>
      <c r="N445" t="e">
        <f>VLOOKUP(H445,Sheet1!G:H,2,FALSE)</f>
        <v>#N/A</v>
      </c>
      <c r="R445" t="s">
        <v>2369</v>
      </c>
      <c r="S445">
        <v>589210</v>
      </c>
    </row>
    <row r="446" spans="1:19" x14ac:dyDescent="0.3">
      <c r="A446" t="s">
        <v>8</v>
      </c>
      <c r="B446">
        <f>VLOOKUP(A446,Sheet2!B:F,5,FALSE)</f>
        <v>928</v>
      </c>
      <c r="C446" t="s">
        <v>13</v>
      </c>
      <c r="D446">
        <f>VLOOKUP(C446,Sheet2!C:G,5,FALSE)</f>
        <v>1184</v>
      </c>
      <c r="E446" t="s">
        <v>115</v>
      </c>
      <c r="F446">
        <f>VLOOKUP(E446,Sheet2!D:E,2,FALSE)</f>
        <v>1548</v>
      </c>
      <c r="G446" t="s">
        <v>11</v>
      </c>
      <c r="H446" t="str">
        <f t="shared" si="12"/>
        <v>NAVEReasyfun3s:naver</v>
      </c>
      <c r="I446" t="str">
        <f>"easyfun3s:naver"</f>
        <v>easyfun3s:naver</v>
      </c>
      <c r="J446">
        <v>1540600</v>
      </c>
      <c r="K446" s="1">
        <v>44866</v>
      </c>
      <c r="L446" t="s">
        <v>522</v>
      </c>
      <c r="M446">
        <f t="shared" si="13"/>
        <v>1540600</v>
      </c>
      <c r="N446" t="e">
        <f>VLOOKUP(H446,Sheet1!G:H,2,FALSE)</f>
        <v>#N/A</v>
      </c>
      <c r="R446" t="s">
        <v>2370</v>
      </c>
      <c r="S446">
        <v>13726780</v>
      </c>
    </row>
    <row r="447" spans="1:19" x14ac:dyDescent="0.3">
      <c r="A447" t="s">
        <v>16</v>
      </c>
      <c r="B447">
        <f>VLOOKUP(A447,Sheet2!B:F,5,FALSE)</f>
        <v>927</v>
      </c>
      <c r="C447" t="s">
        <v>17</v>
      </c>
      <c r="D447">
        <f>VLOOKUP(C447,Sheet2!C:G,5,FALSE)</f>
        <v>1200</v>
      </c>
      <c r="E447" t="s">
        <v>100</v>
      </c>
      <c r="F447">
        <f>VLOOKUP(E447,Sheet2!D:E,2,FALSE)</f>
        <v>201038</v>
      </c>
      <c r="G447" t="s">
        <v>11</v>
      </c>
      <c r="H447" t="str">
        <f t="shared" si="12"/>
        <v>NAVERebaykids</v>
      </c>
      <c r="I447" t="str">
        <f>"ebaykids"</f>
        <v>ebaykids</v>
      </c>
      <c r="J447">
        <v>149600</v>
      </c>
      <c r="K447" s="1">
        <v>44866</v>
      </c>
      <c r="L447" t="s">
        <v>523</v>
      </c>
      <c r="M447">
        <f t="shared" si="13"/>
        <v>149600</v>
      </c>
      <c r="N447" t="e">
        <f>VLOOKUP(H447,Sheet1!G:H,2,FALSE)</f>
        <v>#N/A</v>
      </c>
      <c r="R447" t="s">
        <v>2371</v>
      </c>
      <c r="S447">
        <v>39320</v>
      </c>
    </row>
    <row r="448" spans="1:19" x14ac:dyDescent="0.3">
      <c r="A448" t="s">
        <v>8</v>
      </c>
      <c r="B448">
        <f>VLOOKUP(A448,Sheet2!B:F,5,FALSE)</f>
        <v>928</v>
      </c>
      <c r="C448" t="s">
        <v>9</v>
      </c>
      <c r="D448">
        <f>VLOOKUP(C448,Sheet2!C:G,5,FALSE)</f>
        <v>1202</v>
      </c>
      <c r="E448" t="s">
        <v>220</v>
      </c>
      <c r="F448">
        <f>VLOOKUP(E448,Sheet2!D:E,2,FALSE)</f>
        <v>1211</v>
      </c>
      <c r="G448" t="s">
        <v>11</v>
      </c>
      <c r="H448" t="str">
        <f t="shared" si="12"/>
        <v>NAVERebbysory</v>
      </c>
      <c r="I448" t="str">
        <f>"ebbysory"</f>
        <v>ebbysory</v>
      </c>
      <c r="J448">
        <v>438160</v>
      </c>
      <c r="K448" s="1">
        <v>44866</v>
      </c>
      <c r="L448" t="s">
        <v>524</v>
      </c>
      <c r="M448">
        <f t="shared" si="13"/>
        <v>438160</v>
      </c>
      <c r="N448" t="e">
        <f>VLOOKUP(H448,Sheet1!G:H,2,FALSE)</f>
        <v>#N/A</v>
      </c>
      <c r="R448" t="s">
        <v>2372</v>
      </c>
      <c r="S448">
        <v>588170</v>
      </c>
    </row>
    <row r="449" spans="1:19" x14ac:dyDescent="0.3">
      <c r="A449" t="s">
        <v>41</v>
      </c>
      <c r="B449">
        <f>VLOOKUP(A449,Sheet2!B:F,5,FALSE)</f>
        <v>926</v>
      </c>
      <c r="C449" t="s">
        <v>525</v>
      </c>
      <c r="D449">
        <f>VLOOKUP(C449,Sheet2!C:G,5,FALSE)</f>
        <v>954</v>
      </c>
      <c r="E449" t="s">
        <v>526</v>
      </c>
      <c r="F449">
        <f>VLOOKUP(E449,Sheet2!D:E,2,FALSE)</f>
        <v>200999</v>
      </c>
      <c r="G449" t="s">
        <v>11</v>
      </c>
      <c r="H449" t="str">
        <f t="shared" si="12"/>
        <v>NAVERebinkorea_ad:naver</v>
      </c>
      <c r="I449" t="str">
        <f>"ebinkorea_ad:naver"</f>
        <v>ebinkorea_ad:naver</v>
      </c>
      <c r="J449">
        <v>228839</v>
      </c>
      <c r="K449" s="1">
        <v>44866</v>
      </c>
      <c r="L449" t="s">
        <v>527</v>
      </c>
      <c r="M449">
        <f t="shared" si="13"/>
        <v>188840</v>
      </c>
      <c r="N449" t="e">
        <f>VLOOKUP(H449,Sheet1!G:H,2,FALSE)</f>
        <v>#N/A</v>
      </c>
      <c r="R449" t="s">
        <v>2373</v>
      </c>
      <c r="S449">
        <v>2094130</v>
      </c>
    </row>
    <row r="450" spans="1:19" x14ac:dyDescent="0.3">
      <c r="A450" t="s">
        <v>41</v>
      </c>
      <c r="B450">
        <f>VLOOKUP(A450,Sheet2!B:F,5,FALSE)</f>
        <v>926</v>
      </c>
      <c r="C450" t="s">
        <v>525</v>
      </c>
      <c r="D450">
        <f>VLOOKUP(C450,Sheet2!C:G,5,FALSE)</f>
        <v>954</v>
      </c>
      <c r="E450" t="s">
        <v>526</v>
      </c>
      <c r="F450">
        <f>VLOOKUP(E450,Sheet2!D:E,2,FALSE)</f>
        <v>200999</v>
      </c>
      <c r="G450" t="s">
        <v>11</v>
      </c>
      <c r="H450" t="str">
        <f t="shared" si="12"/>
        <v>NAVERebinkorea2:naver</v>
      </c>
      <c r="I450" t="str">
        <f>"ebinkorea2:naver"</f>
        <v>ebinkorea2:naver</v>
      </c>
      <c r="J450">
        <v>1660550</v>
      </c>
      <c r="K450" s="1">
        <v>44866</v>
      </c>
      <c r="L450" t="s">
        <v>527</v>
      </c>
      <c r="M450">
        <f t="shared" si="13"/>
        <v>1660550</v>
      </c>
      <c r="N450" t="e">
        <f>VLOOKUP(H450,Sheet1!G:H,2,FALSE)</f>
        <v>#N/A</v>
      </c>
      <c r="R450" t="s">
        <v>2374</v>
      </c>
      <c r="S450">
        <v>211370</v>
      </c>
    </row>
    <row r="451" spans="1:19" x14ac:dyDescent="0.3">
      <c r="A451" t="s">
        <v>8</v>
      </c>
      <c r="B451">
        <f>VLOOKUP(A451,Sheet2!B:F,5,FALSE)</f>
        <v>928</v>
      </c>
      <c r="C451" t="s">
        <v>9</v>
      </c>
      <c r="D451">
        <f>VLOOKUP(C451,Sheet2!C:G,5,FALSE)</f>
        <v>1202</v>
      </c>
      <c r="E451" t="s">
        <v>33</v>
      </c>
      <c r="F451">
        <f>VLOOKUP(E451,Sheet2!D:E,2,FALSE)</f>
        <v>933</v>
      </c>
      <c r="G451" t="s">
        <v>11</v>
      </c>
      <c r="H451" t="str">
        <f t="shared" ref="H451:H514" si="14">CONCATENATE(G451,I451)</f>
        <v>NAVERecello</v>
      </c>
      <c r="I451" t="str">
        <f>"ecello"</f>
        <v>ecello</v>
      </c>
      <c r="J451">
        <v>448850</v>
      </c>
      <c r="K451" s="1">
        <v>44866</v>
      </c>
      <c r="L451" t="s">
        <v>528</v>
      </c>
      <c r="M451">
        <f t="shared" ref="M451:M514" si="15">VLOOKUP(H451,R:S,2,FALSE)</f>
        <v>448850</v>
      </c>
      <c r="N451" t="e">
        <f>VLOOKUP(H451,Sheet1!G:H,2,FALSE)</f>
        <v>#N/A</v>
      </c>
      <c r="R451" t="s">
        <v>2375</v>
      </c>
      <c r="S451">
        <v>76890</v>
      </c>
    </row>
    <row r="452" spans="1:19" x14ac:dyDescent="0.3">
      <c r="A452" t="s">
        <v>22</v>
      </c>
      <c r="B452">
        <f>VLOOKUP(A452,Sheet2!B:F,5,FALSE)</f>
        <v>809</v>
      </c>
      <c r="C452" t="s">
        <v>23</v>
      </c>
      <c r="D452">
        <f>VLOOKUP(C452,Sheet2!C:G,5,FALSE)</f>
        <v>810</v>
      </c>
      <c r="E452" t="s">
        <v>529</v>
      </c>
      <c r="F452">
        <f>VLOOKUP(E452,Sheet2!D:E,2,FALSE)</f>
        <v>201053</v>
      </c>
      <c r="G452" t="s">
        <v>11</v>
      </c>
      <c r="H452" t="str">
        <f t="shared" si="14"/>
        <v>NAVERecmall9459</v>
      </c>
      <c r="I452" t="str">
        <f>"ecmall9459"</f>
        <v>ecmall9459</v>
      </c>
      <c r="J452">
        <v>5830</v>
      </c>
      <c r="K452" s="1">
        <v>44866</v>
      </c>
      <c r="L452" t="s">
        <v>530</v>
      </c>
      <c r="M452">
        <f t="shared" si="15"/>
        <v>5830</v>
      </c>
      <c r="N452" t="e">
        <f>VLOOKUP(H452,Sheet1!G:H,2,FALSE)</f>
        <v>#N/A</v>
      </c>
      <c r="R452" t="s">
        <v>2376</v>
      </c>
      <c r="S452">
        <v>101290</v>
      </c>
    </row>
    <row r="453" spans="1:19" x14ac:dyDescent="0.3">
      <c r="A453" t="s">
        <v>41</v>
      </c>
      <c r="B453">
        <f>VLOOKUP(A453,Sheet2!B:F,5,FALSE)</f>
        <v>926</v>
      </c>
      <c r="C453" t="s">
        <v>56</v>
      </c>
      <c r="D453">
        <f>VLOOKUP(C453,Sheet2!C:G,5,FALSE)</f>
        <v>1207</v>
      </c>
      <c r="E453" t="s">
        <v>253</v>
      </c>
      <c r="F453">
        <f>VLOOKUP(E453,Sheet2!D:E,2,FALSE)</f>
        <v>1328</v>
      </c>
      <c r="G453" t="s">
        <v>11</v>
      </c>
      <c r="H453" t="str">
        <f t="shared" si="14"/>
        <v>NAVEReco_dongwha</v>
      </c>
      <c r="I453" t="str">
        <f>"eco_dongwha"</f>
        <v>eco_dongwha</v>
      </c>
      <c r="J453">
        <v>1798460</v>
      </c>
      <c r="K453" s="1">
        <v>44866</v>
      </c>
      <c r="L453" t="s">
        <v>531</v>
      </c>
      <c r="M453">
        <f t="shared" si="15"/>
        <v>798480</v>
      </c>
      <c r="N453" t="e">
        <f>VLOOKUP(H453,Sheet1!G:H,2,FALSE)</f>
        <v>#N/A</v>
      </c>
      <c r="R453" t="s">
        <v>2377</v>
      </c>
      <c r="S453">
        <v>1034910</v>
      </c>
    </row>
    <row r="454" spans="1:19" x14ac:dyDescent="0.3">
      <c r="A454" t="s">
        <v>41</v>
      </c>
      <c r="B454">
        <f>VLOOKUP(A454,Sheet2!B:F,5,FALSE)</f>
        <v>926</v>
      </c>
      <c r="C454" t="s">
        <v>525</v>
      </c>
      <c r="D454">
        <f>VLOOKUP(C454,Sheet2!C:G,5,FALSE)</f>
        <v>954</v>
      </c>
      <c r="E454" t="s">
        <v>526</v>
      </c>
      <c r="F454">
        <f>VLOOKUP(E454,Sheet2!D:E,2,FALSE)</f>
        <v>200999</v>
      </c>
      <c r="G454" t="s">
        <v>11</v>
      </c>
      <c r="H454" t="str">
        <f t="shared" si="14"/>
        <v>NAVEReconnature</v>
      </c>
      <c r="I454" t="str">
        <f>"econnature"</f>
        <v>econnature</v>
      </c>
      <c r="J454">
        <v>1096930</v>
      </c>
      <c r="K454" s="1">
        <v>44866</v>
      </c>
      <c r="L454" t="s">
        <v>532</v>
      </c>
      <c r="M454">
        <f t="shared" si="15"/>
        <v>596940</v>
      </c>
      <c r="N454" t="e">
        <f>VLOOKUP(H454,Sheet1!G:H,2,FALSE)</f>
        <v>#N/A</v>
      </c>
      <c r="R454" t="s">
        <v>2378</v>
      </c>
      <c r="S454">
        <v>693090</v>
      </c>
    </row>
    <row r="455" spans="1:19" x14ac:dyDescent="0.3">
      <c r="A455" t="s">
        <v>8</v>
      </c>
      <c r="B455">
        <f>VLOOKUP(A455,Sheet2!B:F,5,FALSE)</f>
        <v>928</v>
      </c>
      <c r="C455" t="s">
        <v>9</v>
      </c>
      <c r="D455">
        <f>VLOOKUP(C455,Sheet2!C:G,5,FALSE)</f>
        <v>1202</v>
      </c>
      <c r="E455" t="s">
        <v>27</v>
      </c>
      <c r="F455">
        <f>VLOOKUP(E455,Sheet2!D:E,2,FALSE)</f>
        <v>806</v>
      </c>
      <c r="G455" t="s">
        <v>11</v>
      </c>
      <c r="H455" t="str">
        <f t="shared" si="14"/>
        <v>NAVERecoprize</v>
      </c>
      <c r="I455" t="str">
        <f>"ecoprize"</f>
        <v>ecoprize</v>
      </c>
      <c r="J455">
        <v>100</v>
      </c>
      <c r="K455" s="1">
        <v>44866</v>
      </c>
      <c r="L455" t="s">
        <v>533</v>
      </c>
      <c r="M455">
        <f t="shared" si="15"/>
        <v>100</v>
      </c>
      <c r="N455" t="e">
        <f>VLOOKUP(H455,Sheet1!G:H,2,FALSE)</f>
        <v>#N/A</v>
      </c>
      <c r="R455" t="s">
        <v>2379</v>
      </c>
      <c r="S455">
        <v>31550</v>
      </c>
    </row>
    <row r="456" spans="1:19" x14ac:dyDescent="0.3">
      <c r="A456" t="s">
        <v>8</v>
      </c>
      <c r="B456">
        <f>VLOOKUP(A456,Sheet2!B:F,5,FALSE)</f>
        <v>928</v>
      </c>
      <c r="C456" t="s">
        <v>9</v>
      </c>
      <c r="D456">
        <f>VLOOKUP(C456,Sheet2!C:G,5,FALSE)</f>
        <v>1202</v>
      </c>
      <c r="E456" t="s">
        <v>10</v>
      </c>
      <c r="F456">
        <f>VLOOKUP(E456,Sheet2!D:E,2,FALSE)</f>
        <v>939</v>
      </c>
      <c r="G456" t="s">
        <v>11</v>
      </c>
      <c r="H456" t="str">
        <f t="shared" si="14"/>
        <v>NAVERecu3322</v>
      </c>
      <c r="I456" t="str">
        <f>"ecu3322"</f>
        <v>ecu3322</v>
      </c>
      <c r="J456">
        <v>131340</v>
      </c>
      <c r="K456" s="1">
        <v>44866</v>
      </c>
      <c r="L456" t="s">
        <v>534</v>
      </c>
      <c r="M456">
        <f t="shared" si="15"/>
        <v>131340</v>
      </c>
      <c r="N456" t="e">
        <f>VLOOKUP(H456,Sheet1!G:H,2,FALSE)</f>
        <v>#N/A</v>
      </c>
      <c r="R456" t="s">
        <v>2380</v>
      </c>
      <c r="S456">
        <v>154610</v>
      </c>
    </row>
    <row r="457" spans="1:19" x14ac:dyDescent="0.3">
      <c r="A457" t="s">
        <v>16</v>
      </c>
      <c r="B457">
        <f>VLOOKUP(A457,Sheet2!B:F,5,FALSE)</f>
        <v>927</v>
      </c>
      <c r="C457" t="s">
        <v>17</v>
      </c>
      <c r="D457">
        <f>VLOOKUP(C457,Sheet2!C:G,5,FALSE)</f>
        <v>1200</v>
      </c>
      <c r="E457" t="s">
        <v>244</v>
      </c>
      <c r="F457">
        <f>VLOOKUP(E457,Sheet2!D:E,2,FALSE)</f>
        <v>817</v>
      </c>
      <c r="G457" t="s">
        <v>11</v>
      </c>
      <c r="H457" t="str">
        <f t="shared" si="14"/>
        <v>NAVEReden6505</v>
      </c>
      <c r="I457" t="str">
        <f>"eden6505"</f>
        <v>eden6505</v>
      </c>
      <c r="J457">
        <v>16040</v>
      </c>
      <c r="K457" s="1">
        <v>44866</v>
      </c>
      <c r="L457" t="s">
        <v>535</v>
      </c>
      <c r="M457">
        <f t="shared" si="15"/>
        <v>16040</v>
      </c>
      <c r="N457" t="e">
        <f>VLOOKUP(H457,Sheet1!G:H,2,FALSE)</f>
        <v>#N/A</v>
      </c>
      <c r="R457" t="s">
        <v>2381</v>
      </c>
      <c r="S457">
        <v>607180</v>
      </c>
    </row>
    <row r="458" spans="1:19" x14ac:dyDescent="0.3">
      <c r="A458" t="s">
        <v>16</v>
      </c>
      <c r="B458">
        <f>VLOOKUP(A458,Sheet2!B:F,5,FALSE)</f>
        <v>927</v>
      </c>
      <c r="C458" t="s">
        <v>17</v>
      </c>
      <c r="D458">
        <f>VLOOKUP(C458,Sheet2!C:G,5,FALSE)</f>
        <v>1200</v>
      </c>
      <c r="E458" t="s">
        <v>29</v>
      </c>
      <c r="F458">
        <f>VLOOKUP(E458,Sheet2!D:E,2,FALSE)</f>
        <v>1496</v>
      </c>
      <c r="G458" t="s">
        <v>11</v>
      </c>
      <c r="H458" t="str">
        <f t="shared" si="14"/>
        <v>NAVERedendoor</v>
      </c>
      <c r="I458" t="str">
        <f>"edendoor"</f>
        <v>edendoor</v>
      </c>
      <c r="J458">
        <v>2245030</v>
      </c>
      <c r="K458" s="1">
        <v>44866</v>
      </c>
      <c r="L458" t="s">
        <v>536</v>
      </c>
      <c r="M458">
        <f t="shared" si="15"/>
        <v>2245030</v>
      </c>
      <c r="N458" t="e">
        <f>VLOOKUP(H458,Sheet1!G:H,2,FALSE)</f>
        <v>#N/A</v>
      </c>
      <c r="R458" t="s">
        <v>2382</v>
      </c>
      <c r="S458">
        <v>366850</v>
      </c>
    </row>
    <row r="459" spans="1:19" x14ac:dyDescent="0.3">
      <c r="A459" t="s">
        <v>8</v>
      </c>
      <c r="B459">
        <f>VLOOKUP(A459,Sheet2!B:F,5,FALSE)</f>
        <v>928</v>
      </c>
      <c r="C459" t="s">
        <v>9</v>
      </c>
      <c r="D459">
        <f>VLOOKUP(C459,Sheet2!C:G,5,FALSE)</f>
        <v>1202</v>
      </c>
      <c r="E459" t="s">
        <v>37</v>
      </c>
      <c r="F459">
        <f>VLOOKUP(E459,Sheet2!D:E,2,FALSE)</f>
        <v>81</v>
      </c>
      <c r="G459" t="s">
        <v>11</v>
      </c>
      <c r="H459" t="str">
        <f t="shared" si="14"/>
        <v>NAVERedubankhs</v>
      </c>
      <c r="I459" t="str">
        <f>"edubankhs"</f>
        <v>edubankhs</v>
      </c>
      <c r="J459">
        <v>533324</v>
      </c>
      <c r="K459" s="1">
        <v>44866</v>
      </c>
      <c r="L459" t="s">
        <v>537</v>
      </c>
      <c r="M459">
        <f t="shared" si="15"/>
        <v>0</v>
      </c>
      <c r="N459" t="e">
        <f>VLOOKUP(H459,Sheet1!G:H,2,FALSE)</f>
        <v>#N/A</v>
      </c>
      <c r="R459" t="s">
        <v>2383</v>
      </c>
      <c r="S459">
        <v>14199950</v>
      </c>
    </row>
    <row r="460" spans="1:19" x14ac:dyDescent="0.3">
      <c r="A460" t="s">
        <v>8</v>
      </c>
      <c r="B460">
        <f>VLOOKUP(A460,Sheet2!B:F,5,FALSE)</f>
        <v>928</v>
      </c>
      <c r="C460" t="s">
        <v>9</v>
      </c>
      <c r="D460">
        <f>VLOOKUP(C460,Sheet2!C:G,5,FALSE)</f>
        <v>1202</v>
      </c>
      <c r="E460" t="s">
        <v>47</v>
      </c>
      <c r="F460">
        <f>VLOOKUP(E460,Sheet2!D:E,2,FALSE)</f>
        <v>898</v>
      </c>
      <c r="G460" t="s">
        <v>11</v>
      </c>
      <c r="H460" t="str">
        <f t="shared" si="14"/>
        <v>NAVERedufrance</v>
      </c>
      <c r="I460" t="str">
        <f>"edufrance"</f>
        <v>edufrance</v>
      </c>
      <c r="J460">
        <v>449060</v>
      </c>
      <c r="K460" s="1">
        <v>44866</v>
      </c>
      <c r="L460" t="s">
        <v>538</v>
      </c>
      <c r="M460">
        <f t="shared" si="15"/>
        <v>449060</v>
      </c>
      <c r="N460" t="e">
        <f>VLOOKUP(H460,Sheet1!G:H,2,FALSE)</f>
        <v>#N/A</v>
      </c>
      <c r="R460" t="s">
        <v>2384</v>
      </c>
      <c r="S460">
        <v>338550</v>
      </c>
    </row>
    <row r="461" spans="1:19" x14ac:dyDescent="0.3">
      <c r="A461" t="s">
        <v>8</v>
      </c>
      <c r="B461">
        <f>VLOOKUP(A461,Sheet2!B:F,5,FALSE)</f>
        <v>928</v>
      </c>
      <c r="C461" t="s">
        <v>13</v>
      </c>
      <c r="D461">
        <f>VLOOKUP(C461,Sheet2!C:G,5,FALSE)</f>
        <v>1184</v>
      </c>
      <c r="E461" t="s">
        <v>102</v>
      </c>
      <c r="F461">
        <f>VLOOKUP(E461,Sheet2!D:E,2,FALSE)</f>
        <v>917</v>
      </c>
      <c r="G461" t="s">
        <v>11</v>
      </c>
      <c r="H461" t="str">
        <f t="shared" si="14"/>
        <v>NAVERedukenhomepy</v>
      </c>
      <c r="I461" t="str">
        <f>"edukenhomepy"</f>
        <v>edukenhomepy</v>
      </c>
      <c r="J461">
        <v>94290</v>
      </c>
      <c r="K461" s="1">
        <v>44866</v>
      </c>
      <c r="L461" t="s">
        <v>539</v>
      </c>
      <c r="M461">
        <f t="shared" si="15"/>
        <v>94290</v>
      </c>
      <c r="N461" t="e">
        <f>VLOOKUP(H461,Sheet1!G:H,2,FALSE)</f>
        <v>#N/A</v>
      </c>
      <c r="R461" t="s">
        <v>2385</v>
      </c>
      <c r="S461">
        <v>2953510</v>
      </c>
    </row>
    <row r="462" spans="1:19" x14ac:dyDescent="0.3">
      <c r="A462" t="s">
        <v>8</v>
      </c>
      <c r="B462">
        <f>VLOOKUP(A462,Sheet2!B:F,5,FALSE)</f>
        <v>928</v>
      </c>
      <c r="C462" t="s">
        <v>13</v>
      </c>
      <c r="D462">
        <f>VLOOKUP(C462,Sheet2!C:G,5,FALSE)</f>
        <v>1184</v>
      </c>
      <c r="E462" t="s">
        <v>102</v>
      </c>
      <c r="F462">
        <f>VLOOKUP(E462,Sheet2!D:E,2,FALSE)</f>
        <v>917</v>
      </c>
      <c r="G462" t="s">
        <v>11</v>
      </c>
      <c r="H462" t="str">
        <f t="shared" si="14"/>
        <v>NAVEReduplexdh</v>
      </c>
      <c r="I462" t="str">
        <f>"eduplexdh"</f>
        <v>eduplexdh</v>
      </c>
      <c r="J462">
        <v>7050</v>
      </c>
      <c r="K462" s="1">
        <v>44866</v>
      </c>
      <c r="L462" t="s">
        <v>540</v>
      </c>
      <c r="M462">
        <f t="shared" si="15"/>
        <v>7050</v>
      </c>
      <c r="N462" t="e">
        <f>VLOOKUP(H462,Sheet1!G:H,2,FALSE)</f>
        <v>#N/A</v>
      </c>
      <c r="R462" t="s">
        <v>2386</v>
      </c>
      <c r="S462">
        <v>227670</v>
      </c>
    </row>
    <row r="463" spans="1:19" x14ac:dyDescent="0.3">
      <c r="A463" t="s">
        <v>8</v>
      </c>
      <c r="B463">
        <f>VLOOKUP(A463,Sheet2!B:F,5,FALSE)</f>
        <v>928</v>
      </c>
      <c r="C463" t="s">
        <v>9</v>
      </c>
      <c r="D463">
        <f>VLOOKUP(C463,Sheet2!C:G,5,FALSE)</f>
        <v>1202</v>
      </c>
      <c r="E463" t="s">
        <v>110</v>
      </c>
      <c r="F463">
        <f>VLOOKUP(E463,Sheet2!D:E,2,FALSE)</f>
        <v>929</v>
      </c>
      <c r="G463" t="s">
        <v>11</v>
      </c>
      <c r="H463" t="str">
        <f t="shared" si="14"/>
        <v>NAVERedupure</v>
      </c>
      <c r="I463" t="str">
        <f>"edupure"</f>
        <v>edupure</v>
      </c>
      <c r="J463">
        <v>3632670</v>
      </c>
      <c r="K463" s="1">
        <v>44866</v>
      </c>
      <c r="L463" t="s">
        <v>541</v>
      </c>
      <c r="M463">
        <f t="shared" si="15"/>
        <v>3632670</v>
      </c>
      <c r="N463" t="e">
        <f>VLOOKUP(H463,Sheet1!G:H,2,FALSE)</f>
        <v>#N/A</v>
      </c>
      <c r="R463" t="s">
        <v>2387</v>
      </c>
      <c r="S463">
        <v>1350130</v>
      </c>
    </row>
    <row r="464" spans="1:19" x14ac:dyDescent="0.3">
      <c r="A464" t="s">
        <v>8</v>
      </c>
      <c r="B464">
        <f>VLOOKUP(A464,Sheet2!B:F,5,FALSE)</f>
        <v>928</v>
      </c>
      <c r="C464" t="s">
        <v>9</v>
      </c>
      <c r="D464">
        <f>VLOOKUP(C464,Sheet2!C:G,5,FALSE)</f>
        <v>1202</v>
      </c>
      <c r="E464" t="s">
        <v>31</v>
      </c>
      <c r="F464">
        <f>VLOOKUP(E464,Sheet2!D:E,2,FALSE)</f>
        <v>1040</v>
      </c>
      <c r="G464" t="s">
        <v>11</v>
      </c>
      <c r="H464" t="str">
        <f t="shared" si="14"/>
        <v>NAVERedwinrsun</v>
      </c>
      <c r="I464" t="str">
        <f>"edwinrsun"</f>
        <v>edwinrsun</v>
      </c>
      <c r="J464">
        <v>163450</v>
      </c>
      <c r="K464" s="1">
        <v>44866</v>
      </c>
      <c r="L464" t="s">
        <v>542</v>
      </c>
      <c r="M464">
        <f t="shared" si="15"/>
        <v>163450</v>
      </c>
      <c r="N464" t="e">
        <f>VLOOKUP(H464,Sheet1!G:H,2,FALSE)</f>
        <v>#N/A</v>
      </c>
      <c r="R464" t="s">
        <v>2388</v>
      </c>
      <c r="S464">
        <v>913250</v>
      </c>
    </row>
    <row r="465" spans="1:19" x14ac:dyDescent="0.3">
      <c r="A465" t="s">
        <v>8</v>
      </c>
      <c r="B465">
        <f>VLOOKUP(A465,Sheet2!B:F,5,FALSE)</f>
        <v>928</v>
      </c>
      <c r="C465" t="s">
        <v>9</v>
      </c>
      <c r="D465">
        <f>VLOOKUP(C465,Sheet2!C:G,5,FALSE)</f>
        <v>1202</v>
      </c>
      <c r="E465" t="s">
        <v>35</v>
      </c>
      <c r="F465">
        <f>VLOOKUP(E465,Sheet2!D:E,2,FALSE)</f>
        <v>51</v>
      </c>
      <c r="G465" t="s">
        <v>11</v>
      </c>
      <c r="H465" t="str">
        <f t="shared" si="14"/>
        <v>NAVERef2233</v>
      </c>
      <c r="I465" t="str">
        <f>"ef2233"</f>
        <v>ef2233</v>
      </c>
      <c r="J465">
        <v>1059220</v>
      </c>
      <c r="K465" s="1">
        <v>44866</v>
      </c>
      <c r="L465" t="s">
        <v>543</v>
      </c>
      <c r="M465">
        <f t="shared" si="15"/>
        <v>1059220</v>
      </c>
      <c r="N465" t="e">
        <f>VLOOKUP(H465,Sheet1!G:H,2,FALSE)</f>
        <v>#N/A</v>
      </c>
      <c r="R465" t="s">
        <v>2389</v>
      </c>
      <c r="S465">
        <v>70</v>
      </c>
    </row>
    <row r="466" spans="1:19" x14ac:dyDescent="0.3">
      <c r="A466" t="s">
        <v>8</v>
      </c>
      <c r="B466">
        <f>VLOOKUP(A466,Sheet2!B:F,5,FALSE)</f>
        <v>928</v>
      </c>
      <c r="C466" t="s">
        <v>13</v>
      </c>
      <c r="D466">
        <f>VLOOKUP(C466,Sheet2!C:G,5,FALSE)</f>
        <v>1184</v>
      </c>
      <c r="E466" t="s">
        <v>59</v>
      </c>
      <c r="F466">
        <f>VLOOKUP(E466,Sheet2!D:E,2,FALSE)</f>
        <v>9</v>
      </c>
      <c r="G466" t="s">
        <v>11</v>
      </c>
      <c r="H466" t="str">
        <f t="shared" si="14"/>
        <v>NAVERegt</v>
      </c>
      <c r="I466" t="str">
        <f>"egt"</f>
        <v>egt</v>
      </c>
      <c r="J466">
        <v>10700</v>
      </c>
      <c r="K466" s="1">
        <v>44866</v>
      </c>
      <c r="L466" t="s">
        <v>544</v>
      </c>
      <c r="M466">
        <f t="shared" si="15"/>
        <v>10700</v>
      </c>
      <c r="N466" t="e">
        <f>VLOOKUP(H466,Sheet1!G:H,2,FALSE)</f>
        <v>#N/A</v>
      </c>
      <c r="R466" t="s">
        <v>2390</v>
      </c>
      <c r="S466">
        <v>154140</v>
      </c>
    </row>
    <row r="467" spans="1:19" x14ac:dyDescent="0.3">
      <c r="A467" t="s">
        <v>41</v>
      </c>
      <c r="B467">
        <f>VLOOKUP(A467,Sheet2!B:F,5,FALSE)</f>
        <v>926</v>
      </c>
      <c r="C467" t="s">
        <v>56</v>
      </c>
      <c r="D467">
        <f>VLOOKUP(C467,Sheet2!C:G,5,FALSE)</f>
        <v>1207</v>
      </c>
      <c r="E467" t="s">
        <v>57</v>
      </c>
      <c r="F467">
        <f>VLOOKUP(E467,Sheet2!D:E,2,FALSE)</f>
        <v>200982</v>
      </c>
      <c r="G467" t="s">
        <v>11</v>
      </c>
      <c r="H467" t="str">
        <f t="shared" si="14"/>
        <v>NAVERehekadl</v>
      </c>
      <c r="I467" t="str">
        <f>"ehekadl"</f>
        <v>ehekadl</v>
      </c>
      <c r="J467">
        <v>64190</v>
      </c>
      <c r="K467" s="1">
        <v>44866</v>
      </c>
      <c r="L467" t="s">
        <v>545</v>
      </c>
      <c r="M467">
        <f t="shared" si="15"/>
        <v>64190</v>
      </c>
      <c r="N467" t="e">
        <f>VLOOKUP(H467,Sheet1!G:H,2,FALSE)</f>
        <v>#N/A</v>
      </c>
      <c r="R467" t="s">
        <v>2391</v>
      </c>
      <c r="S467">
        <v>6420</v>
      </c>
    </row>
    <row r="468" spans="1:19" x14ac:dyDescent="0.3">
      <c r="A468" t="s">
        <v>8</v>
      </c>
      <c r="B468">
        <f>VLOOKUP(A468,Sheet2!B:F,5,FALSE)</f>
        <v>928</v>
      </c>
      <c r="C468" t="s">
        <v>9</v>
      </c>
      <c r="D468">
        <f>VLOOKUP(C468,Sheet2!C:G,5,FALSE)</f>
        <v>1202</v>
      </c>
      <c r="E468" t="s">
        <v>75</v>
      </c>
      <c r="F468">
        <f>VLOOKUP(E468,Sheet2!D:E,2,FALSE)</f>
        <v>50</v>
      </c>
      <c r="G468" t="s">
        <v>11</v>
      </c>
      <c r="H468" t="str">
        <f t="shared" si="14"/>
        <v>NAVERehfotoa</v>
      </c>
      <c r="I468" t="str">
        <f>"ehfotoa"</f>
        <v>ehfotoa</v>
      </c>
      <c r="J468">
        <v>293880</v>
      </c>
      <c r="K468" s="1">
        <v>44866</v>
      </c>
      <c r="L468" t="s">
        <v>546</v>
      </c>
      <c r="M468">
        <f t="shared" si="15"/>
        <v>259470</v>
      </c>
      <c r="N468" t="e">
        <f>VLOOKUP(H468,Sheet1!G:H,2,FALSE)</f>
        <v>#N/A</v>
      </c>
      <c r="R468" t="s">
        <v>2392</v>
      </c>
      <c r="S468">
        <v>869130</v>
      </c>
    </row>
    <row r="469" spans="1:19" x14ac:dyDescent="0.3">
      <c r="A469" t="s">
        <v>8</v>
      </c>
      <c r="B469">
        <f>VLOOKUP(A469,Sheet2!B:F,5,FALSE)</f>
        <v>928</v>
      </c>
      <c r="C469" t="s">
        <v>9</v>
      </c>
      <c r="D469">
        <f>VLOOKUP(C469,Sheet2!C:G,5,FALSE)</f>
        <v>1202</v>
      </c>
      <c r="E469" t="s">
        <v>27</v>
      </c>
      <c r="F469">
        <f>VLOOKUP(E469,Sheet2!D:E,2,FALSE)</f>
        <v>806</v>
      </c>
      <c r="G469" t="s">
        <v>11</v>
      </c>
      <c r="H469" t="str">
        <f t="shared" si="14"/>
        <v>NAVERehrudtnr1208</v>
      </c>
      <c r="I469" t="str">
        <f>"ehrudtnr1208"</f>
        <v>ehrudtnr1208</v>
      </c>
      <c r="J469">
        <v>28330</v>
      </c>
      <c r="K469" s="1">
        <v>44866</v>
      </c>
      <c r="L469" t="s">
        <v>547</v>
      </c>
      <c r="M469">
        <f t="shared" si="15"/>
        <v>28330</v>
      </c>
      <c r="N469" t="e">
        <f>VLOOKUP(H469,Sheet1!G:H,2,FALSE)</f>
        <v>#N/A</v>
      </c>
      <c r="R469" t="s">
        <v>2393</v>
      </c>
      <c r="S469">
        <v>11800</v>
      </c>
    </row>
    <row r="470" spans="1:19" x14ac:dyDescent="0.3">
      <c r="A470" t="s">
        <v>41</v>
      </c>
      <c r="B470">
        <f>VLOOKUP(A470,Sheet2!B:F,5,FALSE)</f>
        <v>926</v>
      </c>
      <c r="C470" t="s">
        <v>42</v>
      </c>
      <c r="D470">
        <f>VLOOKUP(C470,Sheet2!C:G,5,FALSE)</f>
        <v>964</v>
      </c>
      <c r="E470" t="s">
        <v>43</v>
      </c>
      <c r="F470">
        <f>VLOOKUP(E470,Sheet2!D:E,2,FALSE)</f>
        <v>200998</v>
      </c>
      <c r="G470" t="s">
        <v>11</v>
      </c>
      <c r="H470" t="str">
        <f t="shared" si="14"/>
        <v>NAVERehs645</v>
      </c>
      <c r="I470" t="str">
        <f>"ehs645"</f>
        <v>ehs645</v>
      </c>
      <c r="J470">
        <v>1300</v>
      </c>
      <c r="K470" s="1">
        <v>44866</v>
      </c>
      <c r="L470" t="s">
        <v>548</v>
      </c>
      <c r="M470">
        <f t="shared" si="15"/>
        <v>1300</v>
      </c>
      <c r="N470" t="e">
        <f>VLOOKUP(H470,Sheet1!G:H,2,FALSE)</f>
        <v>#N/A</v>
      </c>
      <c r="R470" t="s">
        <v>2394</v>
      </c>
      <c r="S470">
        <v>215530</v>
      </c>
    </row>
    <row r="471" spans="1:19" x14ac:dyDescent="0.3">
      <c r="A471" t="s">
        <v>8</v>
      </c>
      <c r="B471">
        <f>VLOOKUP(A471,Sheet2!B:F,5,FALSE)</f>
        <v>928</v>
      </c>
      <c r="C471" t="s">
        <v>9</v>
      </c>
      <c r="D471">
        <f>VLOOKUP(C471,Sheet2!C:G,5,FALSE)</f>
        <v>1202</v>
      </c>
      <c r="E471" t="s">
        <v>33</v>
      </c>
      <c r="F471">
        <f>VLOOKUP(E471,Sheet2!D:E,2,FALSE)</f>
        <v>933</v>
      </c>
      <c r="G471" t="s">
        <v>11</v>
      </c>
      <c r="H471" t="str">
        <f t="shared" si="14"/>
        <v>NAVEReicn90</v>
      </c>
      <c r="I471" t="str">
        <f>"eicn90"</f>
        <v>eicn90</v>
      </c>
      <c r="J471">
        <v>635910</v>
      </c>
      <c r="K471" s="1">
        <v>44866</v>
      </c>
      <c r="L471" t="s">
        <v>549</v>
      </c>
      <c r="M471">
        <f t="shared" si="15"/>
        <v>635910</v>
      </c>
      <c r="N471" t="e">
        <f>VLOOKUP(H471,Sheet1!G:H,2,FALSE)</f>
        <v>#N/A</v>
      </c>
      <c r="R471" t="s">
        <v>2395</v>
      </c>
      <c r="S471">
        <v>70</v>
      </c>
    </row>
    <row r="472" spans="1:19" x14ac:dyDescent="0.3">
      <c r="A472" t="s">
        <v>8</v>
      </c>
      <c r="B472">
        <f>VLOOKUP(A472,Sheet2!B:F,5,FALSE)</f>
        <v>928</v>
      </c>
      <c r="C472" t="s">
        <v>9</v>
      </c>
      <c r="D472">
        <f>VLOOKUP(C472,Sheet2!C:G,5,FALSE)</f>
        <v>1202</v>
      </c>
      <c r="E472" t="s">
        <v>20</v>
      </c>
      <c r="F472">
        <f>VLOOKUP(E472,Sheet2!D:E,2,FALSE)</f>
        <v>938</v>
      </c>
      <c r="G472" t="s">
        <v>11</v>
      </c>
      <c r="H472" t="str">
        <f t="shared" si="14"/>
        <v>NAVERejiya70</v>
      </c>
      <c r="I472" t="str">
        <f>"ejiya70"</f>
        <v>ejiya70</v>
      </c>
      <c r="J472">
        <v>1030</v>
      </c>
      <c r="K472" s="1">
        <v>44866</v>
      </c>
      <c r="L472" t="s">
        <v>550</v>
      </c>
      <c r="M472">
        <f t="shared" si="15"/>
        <v>1030</v>
      </c>
      <c r="N472" t="e">
        <f>VLOOKUP(H472,Sheet1!G:H,2,FALSE)</f>
        <v>#N/A</v>
      </c>
      <c r="R472" t="s">
        <v>2396</v>
      </c>
      <c r="S472">
        <v>79950</v>
      </c>
    </row>
    <row r="473" spans="1:19" x14ac:dyDescent="0.3">
      <c r="A473" t="s">
        <v>8</v>
      </c>
      <c r="B473">
        <f>VLOOKUP(A473,Sheet2!B:F,5,FALSE)</f>
        <v>928</v>
      </c>
      <c r="C473" t="s">
        <v>13</v>
      </c>
      <c r="D473">
        <f>VLOOKUP(C473,Sheet2!C:G,5,FALSE)</f>
        <v>1184</v>
      </c>
      <c r="E473" t="s">
        <v>118</v>
      </c>
      <c r="F473">
        <f>VLOOKUP(E473,Sheet2!D:E,2,FALSE)</f>
        <v>201004</v>
      </c>
      <c r="G473" t="s">
        <v>11</v>
      </c>
      <c r="H473" t="str">
        <f t="shared" si="14"/>
        <v>NAVERejrrms3711</v>
      </c>
      <c r="I473" t="str">
        <f>"ejrrms3711"</f>
        <v>ejrrms3711</v>
      </c>
      <c r="J473">
        <v>10370</v>
      </c>
      <c r="K473" s="1">
        <v>44866</v>
      </c>
      <c r="L473" t="s">
        <v>551</v>
      </c>
      <c r="M473">
        <f t="shared" si="15"/>
        <v>10370</v>
      </c>
      <c r="N473" t="e">
        <f>VLOOKUP(H473,Sheet1!G:H,2,FALSE)</f>
        <v>#N/A</v>
      </c>
      <c r="R473" t="s">
        <v>2397</v>
      </c>
      <c r="S473">
        <v>433470</v>
      </c>
    </row>
    <row r="474" spans="1:19" x14ac:dyDescent="0.3">
      <c r="A474" t="s">
        <v>41</v>
      </c>
      <c r="B474">
        <f>VLOOKUP(A474,Sheet2!B:F,5,FALSE)</f>
        <v>926</v>
      </c>
      <c r="C474" t="s">
        <v>56</v>
      </c>
      <c r="D474">
        <f>VLOOKUP(C474,Sheet2!C:G,5,FALSE)</f>
        <v>1207</v>
      </c>
      <c r="E474" t="s">
        <v>64</v>
      </c>
      <c r="F474">
        <f>VLOOKUP(E474,Sheet2!D:E,2,FALSE)</f>
        <v>201011</v>
      </c>
      <c r="G474" t="s">
        <v>11</v>
      </c>
      <c r="H474" t="str">
        <f t="shared" si="14"/>
        <v>NAVERejvusgks77</v>
      </c>
      <c r="I474" t="str">
        <f>"ejvusgks77"</f>
        <v>ejvusgks77</v>
      </c>
      <c r="J474">
        <v>403230</v>
      </c>
      <c r="K474" s="1">
        <v>44866</v>
      </c>
      <c r="L474" t="s">
        <v>552</v>
      </c>
      <c r="M474">
        <f t="shared" si="15"/>
        <v>403230</v>
      </c>
      <c r="N474" t="e">
        <f>VLOOKUP(H474,Sheet1!G:H,2,FALSE)</f>
        <v>#N/A</v>
      </c>
      <c r="R474" t="s">
        <v>2398</v>
      </c>
      <c r="S474">
        <v>840</v>
      </c>
    </row>
    <row r="475" spans="1:19" x14ac:dyDescent="0.3">
      <c r="A475" t="s">
        <v>22</v>
      </c>
      <c r="B475">
        <f>VLOOKUP(A475,Sheet2!B:F,5,FALSE)</f>
        <v>809</v>
      </c>
      <c r="C475" t="s">
        <v>23</v>
      </c>
      <c r="D475">
        <f>VLOOKUP(C475,Sheet2!C:G,5,FALSE)</f>
        <v>810</v>
      </c>
      <c r="E475" t="s">
        <v>106</v>
      </c>
      <c r="F475">
        <f>VLOOKUP(E475,Sheet2!D:E,2,FALSE)</f>
        <v>1349</v>
      </c>
      <c r="G475" t="s">
        <v>11</v>
      </c>
      <c r="H475" t="str">
        <f t="shared" si="14"/>
        <v>NAVERekbeauty</v>
      </c>
      <c r="I475" t="str">
        <f>"ekbeauty"</f>
        <v>ekbeauty</v>
      </c>
      <c r="J475">
        <v>1957840</v>
      </c>
      <c r="K475" s="1">
        <v>44866</v>
      </c>
      <c r="L475" t="s">
        <v>553</v>
      </c>
      <c r="M475">
        <f t="shared" si="15"/>
        <v>1957840</v>
      </c>
      <c r="N475" t="e">
        <f>VLOOKUP(H475,Sheet1!G:H,2,FALSE)</f>
        <v>#N/A</v>
      </c>
      <c r="R475" t="s">
        <v>2399</v>
      </c>
      <c r="S475">
        <v>2706040</v>
      </c>
    </row>
    <row r="476" spans="1:19" x14ac:dyDescent="0.3">
      <c r="A476" t="s">
        <v>8</v>
      </c>
      <c r="B476">
        <f>VLOOKUP(A476,Sheet2!B:F,5,FALSE)</f>
        <v>928</v>
      </c>
      <c r="C476" t="s">
        <v>13</v>
      </c>
      <c r="D476">
        <f>VLOOKUP(C476,Sheet2!C:G,5,FALSE)</f>
        <v>1184</v>
      </c>
      <c r="E476" t="s">
        <v>115</v>
      </c>
      <c r="F476">
        <f>VLOOKUP(E476,Sheet2!D:E,2,FALSE)</f>
        <v>1548</v>
      </c>
      <c r="G476" t="s">
        <v>11</v>
      </c>
      <c r="H476" t="str">
        <f t="shared" si="14"/>
        <v>NAVERekramer</v>
      </c>
      <c r="I476" t="str">
        <f>"ekramer"</f>
        <v>ekramer</v>
      </c>
      <c r="J476">
        <v>77030</v>
      </c>
      <c r="K476" s="1">
        <v>44866</v>
      </c>
      <c r="L476" t="s">
        <v>554</v>
      </c>
      <c r="M476">
        <f t="shared" si="15"/>
        <v>77030</v>
      </c>
      <c r="N476" t="e">
        <f>VLOOKUP(H476,Sheet1!G:H,2,FALSE)</f>
        <v>#N/A</v>
      </c>
      <c r="R476" t="s">
        <v>2400</v>
      </c>
      <c r="S476">
        <v>5766400</v>
      </c>
    </row>
    <row r="477" spans="1:19" x14ac:dyDescent="0.3">
      <c r="A477" t="s">
        <v>8</v>
      </c>
      <c r="B477">
        <f>VLOOKUP(A477,Sheet2!B:F,5,FALSE)</f>
        <v>928</v>
      </c>
      <c r="C477" t="s">
        <v>13</v>
      </c>
      <c r="D477">
        <f>VLOOKUP(C477,Sheet2!C:G,5,FALSE)</f>
        <v>1184</v>
      </c>
      <c r="E477" t="s">
        <v>59</v>
      </c>
      <c r="F477">
        <f>VLOOKUP(E477,Sheet2!D:E,2,FALSE)</f>
        <v>9</v>
      </c>
      <c r="G477" t="s">
        <v>11</v>
      </c>
      <c r="H477" t="str">
        <f t="shared" si="14"/>
        <v>NAVEReksti</v>
      </c>
      <c r="I477" t="str">
        <f>"eksti"</f>
        <v>eksti</v>
      </c>
      <c r="J477">
        <v>33620</v>
      </c>
      <c r="K477" s="1">
        <v>44866</v>
      </c>
      <c r="L477" t="s">
        <v>555</v>
      </c>
      <c r="M477">
        <f t="shared" si="15"/>
        <v>33620</v>
      </c>
      <c r="N477" t="e">
        <f>VLOOKUP(H477,Sheet1!G:H,2,FALSE)</f>
        <v>#N/A</v>
      </c>
      <c r="R477" t="s">
        <v>2401</v>
      </c>
      <c r="S477">
        <v>0</v>
      </c>
    </row>
    <row r="478" spans="1:19" x14ac:dyDescent="0.3">
      <c r="A478" t="s">
        <v>8</v>
      </c>
      <c r="B478">
        <f>VLOOKUP(A478,Sheet2!B:F,5,FALSE)</f>
        <v>928</v>
      </c>
      <c r="C478" t="s">
        <v>13</v>
      </c>
      <c r="D478">
        <f>VLOOKUP(C478,Sheet2!C:G,5,FALSE)</f>
        <v>1184</v>
      </c>
      <c r="E478" t="s">
        <v>335</v>
      </c>
      <c r="F478">
        <f>VLOOKUP(E478,Sheet2!D:E,2,FALSE)</f>
        <v>201090</v>
      </c>
      <c r="G478" t="s">
        <v>11</v>
      </c>
      <c r="H478" t="str">
        <f t="shared" si="14"/>
        <v>NAVEReliestory</v>
      </c>
      <c r="I478" t="str">
        <f>"eliestory"</f>
        <v>eliestory</v>
      </c>
      <c r="J478">
        <v>70340</v>
      </c>
      <c r="K478" s="1">
        <v>44866</v>
      </c>
      <c r="L478" t="s">
        <v>556</v>
      </c>
      <c r="M478">
        <f t="shared" si="15"/>
        <v>70340</v>
      </c>
      <c r="N478" t="e">
        <f>VLOOKUP(H478,Sheet1!G:H,2,FALSE)</f>
        <v>#N/A</v>
      </c>
      <c r="R478" t="s">
        <v>2402</v>
      </c>
      <c r="S478">
        <v>1690</v>
      </c>
    </row>
    <row r="479" spans="1:19" x14ac:dyDescent="0.3">
      <c r="A479" t="s">
        <v>8</v>
      </c>
      <c r="B479">
        <f>VLOOKUP(A479,Sheet2!B:F,5,FALSE)</f>
        <v>928</v>
      </c>
      <c r="C479" t="s">
        <v>9</v>
      </c>
      <c r="D479">
        <f>VLOOKUP(C479,Sheet2!C:G,5,FALSE)</f>
        <v>1202</v>
      </c>
      <c r="E479" t="s">
        <v>45</v>
      </c>
      <c r="F479">
        <f>VLOOKUP(E479,Sheet2!D:E,2,FALSE)</f>
        <v>26</v>
      </c>
      <c r="G479" t="s">
        <v>11</v>
      </c>
      <c r="H479" t="str">
        <f t="shared" si="14"/>
        <v>NAVERelimsky</v>
      </c>
      <c r="I479" t="str">
        <f>"elimsky"</f>
        <v>elimsky</v>
      </c>
      <c r="J479">
        <v>56910</v>
      </c>
      <c r="K479" s="1">
        <v>44866</v>
      </c>
      <c r="L479" t="s">
        <v>557</v>
      </c>
      <c r="M479">
        <f t="shared" si="15"/>
        <v>56910</v>
      </c>
      <c r="N479" t="e">
        <f>VLOOKUP(H479,Sheet1!G:H,2,FALSE)</f>
        <v>#N/A</v>
      </c>
      <c r="R479" t="s">
        <v>2403</v>
      </c>
      <c r="S479">
        <v>950480</v>
      </c>
    </row>
    <row r="480" spans="1:19" x14ac:dyDescent="0.3">
      <c r="A480" t="s">
        <v>8</v>
      </c>
      <c r="B480">
        <f>VLOOKUP(A480,Sheet2!B:F,5,FALSE)</f>
        <v>928</v>
      </c>
      <c r="C480" t="s">
        <v>9</v>
      </c>
      <c r="D480">
        <f>VLOOKUP(C480,Sheet2!C:G,5,FALSE)</f>
        <v>1202</v>
      </c>
      <c r="E480" t="s">
        <v>310</v>
      </c>
      <c r="F480">
        <f>VLOOKUP(E480,Sheet2!D:E,2,FALSE)</f>
        <v>201113</v>
      </c>
      <c r="G480" t="s">
        <v>11</v>
      </c>
      <c r="H480" t="str">
        <f t="shared" si="14"/>
        <v>NAVERelopcorp</v>
      </c>
      <c r="I480" t="str">
        <f>"elopcorp"</f>
        <v>elopcorp</v>
      </c>
      <c r="J480">
        <v>413470</v>
      </c>
      <c r="K480" s="1">
        <v>44866</v>
      </c>
      <c r="L480" t="s">
        <v>558</v>
      </c>
      <c r="M480">
        <f t="shared" si="15"/>
        <v>413470</v>
      </c>
      <c r="N480" t="e">
        <f>VLOOKUP(H480,Sheet1!G:H,2,FALSE)</f>
        <v>#N/A</v>
      </c>
      <c r="R480" t="s">
        <v>2404</v>
      </c>
      <c r="S480">
        <v>586050</v>
      </c>
    </row>
    <row r="481" spans="1:19" x14ac:dyDescent="0.3">
      <c r="A481" t="s">
        <v>8</v>
      </c>
      <c r="B481">
        <f>VLOOKUP(A481,Sheet2!B:F,5,FALSE)</f>
        <v>928</v>
      </c>
      <c r="C481" t="s">
        <v>9</v>
      </c>
      <c r="D481">
        <f>VLOOKUP(C481,Sheet2!C:G,5,FALSE)</f>
        <v>1202</v>
      </c>
      <c r="E481" t="s">
        <v>73</v>
      </c>
      <c r="F481">
        <f>VLOOKUP(E481,Sheet2!D:E,2,FALSE)</f>
        <v>895</v>
      </c>
      <c r="G481" t="s">
        <v>11</v>
      </c>
      <c r="H481" t="str">
        <f t="shared" si="14"/>
        <v>NAVERems123</v>
      </c>
      <c r="I481" t="str">
        <f>"ems123"</f>
        <v>ems123</v>
      </c>
      <c r="J481">
        <v>510930</v>
      </c>
      <c r="K481" s="1">
        <v>44866</v>
      </c>
      <c r="L481" t="s">
        <v>559</v>
      </c>
      <c r="M481">
        <f t="shared" si="15"/>
        <v>510930</v>
      </c>
      <c r="N481" t="e">
        <f>VLOOKUP(H481,Sheet1!G:H,2,FALSE)</f>
        <v>#N/A</v>
      </c>
      <c r="R481" t="s">
        <v>2405</v>
      </c>
      <c r="S481">
        <v>2276680</v>
      </c>
    </row>
    <row r="482" spans="1:19" x14ac:dyDescent="0.3">
      <c r="A482" t="s">
        <v>41</v>
      </c>
      <c r="B482">
        <f>VLOOKUP(A482,Sheet2!B:F,5,FALSE)</f>
        <v>926</v>
      </c>
      <c r="C482" t="s">
        <v>56</v>
      </c>
      <c r="D482">
        <f>VLOOKUP(C482,Sheet2!C:G,5,FALSE)</f>
        <v>1207</v>
      </c>
      <c r="E482" t="s">
        <v>57</v>
      </c>
      <c r="F482">
        <f>VLOOKUP(E482,Sheet2!D:E,2,FALSE)</f>
        <v>200982</v>
      </c>
      <c r="G482" t="s">
        <v>11</v>
      </c>
      <c r="H482" t="str">
        <f t="shared" si="14"/>
        <v>NAVERenertec2010</v>
      </c>
      <c r="I482" t="str">
        <f>"enertec2010"</f>
        <v>enertec2010</v>
      </c>
      <c r="J482">
        <v>48950</v>
      </c>
      <c r="K482" s="1">
        <v>44866</v>
      </c>
      <c r="L482" t="s">
        <v>560</v>
      </c>
      <c r="M482">
        <f t="shared" si="15"/>
        <v>48950</v>
      </c>
      <c r="N482" t="e">
        <f>VLOOKUP(H482,Sheet1!G:H,2,FALSE)</f>
        <v>#N/A</v>
      </c>
      <c r="R482" t="s">
        <v>2406</v>
      </c>
      <c r="S482">
        <v>12240</v>
      </c>
    </row>
    <row r="483" spans="1:19" x14ac:dyDescent="0.3">
      <c r="A483" t="s">
        <v>22</v>
      </c>
      <c r="B483">
        <f>VLOOKUP(A483,Sheet2!B:F,5,FALSE)</f>
        <v>809</v>
      </c>
      <c r="C483" t="s">
        <v>23</v>
      </c>
      <c r="D483">
        <f>VLOOKUP(C483,Sheet2!C:G,5,FALSE)</f>
        <v>810</v>
      </c>
      <c r="E483" t="s">
        <v>106</v>
      </c>
      <c r="F483">
        <f>VLOOKUP(E483,Sheet2!D:E,2,FALSE)</f>
        <v>1349</v>
      </c>
      <c r="G483" t="s">
        <v>11</v>
      </c>
      <c r="H483" t="str">
        <f t="shared" si="14"/>
        <v>NAVERenha</v>
      </c>
      <c r="I483" t="str">
        <f>"enha"</f>
        <v>enha</v>
      </c>
      <c r="J483">
        <v>1460100</v>
      </c>
      <c r="K483" s="1">
        <v>44866</v>
      </c>
      <c r="L483" t="s">
        <v>561</v>
      </c>
      <c r="M483">
        <f t="shared" si="15"/>
        <v>1460100</v>
      </c>
      <c r="N483" t="e">
        <f>VLOOKUP(H483,Sheet1!G:H,2,FALSE)</f>
        <v>#N/A</v>
      </c>
      <c r="R483" t="s">
        <v>2407</v>
      </c>
      <c r="S483">
        <v>1510</v>
      </c>
    </row>
    <row r="484" spans="1:19" x14ac:dyDescent="0.3">
      <c r="A484" t="s">
        <v>8</v>
      </c>
      <c r="B484">
        <f>VLOOKUP(A484,Sheet2!B:F,5,FALSE)</f>
        <v>928</v>
      </c>
      <c r="C484" t="s">
        <v>13</v>
      </c>
      <c r="D484">
        <f>VLOOKUP(C484,Sheet2!C:G,5,FALSE)</f>
        <v>1184</v>
      </c>
      <c r="E484" t="s">
        <v>14</v>
      </c>
      <c r="F484">
        <f>VLOOKUP(E484,Sheet2!D:E,2,FALSE)</f>
        <v>914</v>
      </c>
      <c r="G484" t="s">
        <v>11</v>
      </c>
      <c r="H484" t="str">
        <f t="shared" si="14"/>
        <v>NAVERennongs</v>
      </c>
      <c r="I484" t="str">
        <f>"ennongs"</f>
        <v>ennongs</v>
      </c>
      <c r="J484">
        <v>132910</v>
      </c>
      <c r="K484" s="1">
        <v>44866</v>
      </c>
      <c r="L484" t="s">
        <v>323</v>
      </c>
      <c r="M484">
        <f t="shared" si="15"/>
        <v>132910</v>
      </c>
      <c r="N484" t="e">
        <f>VLOOKUP(H484,Sheet1!G:H,2,FALSE)</f>
        <v>#N/A</v>
      </c>
      <c r="R484" t="s">
        <v>2408</v>
      </c>
      <c r="S484">
        <v>16590</v>
      </c>
    </row>
    <row r="485" spans="1:19" x14ac:dyDescent="0.3">
      <c r="A485" t="s">
        <v>8</v>
      </c>
      <c r="B485">
        <f>VLOOKUP(A485,Sheet2!B:F,5,FALSE)</f>
        <v>928</v>
      </c>
      <c r="C485" t="s">
        <v>13</v>
      </c>
      <c r="D485">
        <f>VLOOKUP(C485,Sheet2!C:G,5,FALSE)</f>
        <v>1184</v>
      </c>
      <c r="E485" t="s">
        <v>118</v>
      </c>
      <c r="F485">
        <f>VLOOKUP(E485,Sheet2!D:E,2,FALSE)</f>
        <v>201004</v>
      </c>
      <c r="G485" t="s">
        <v>11</v>
      </c>
      <c r="H485" t="str">
        <f t="shared" si="14"/>
        <v>NAVERenpos</v>
      </c>
      <c r="I485" t="str">
        <f>"enpos"</f>
        <v>enpos</v>
      </c>
      <c r="J485">
        <v>264530</v>
      </c>
      <c r="K485" s="1">
        <v>44866</v>
      </c>
      <c r="L485" t="s">
        <v>562</v>
      </c>
      <c r="M485">
        <f t="shared" si="15"/>
        <v>264530</v>
      </c>
      <c r="N485" t="e">
        <f>VLOOKUP(H485,Sheet1!G:H,2,FALSE)</f>
        <v>#N/A</v>
      </c>
      <c r="R485" t="s">
        <v>2409</v>
      </c>
      <c r="S485">
        <v>4446870</v>
      </c>
    </row>
    <row r="486" spans="1:19" x14ac:dyDescent="0.3">
      <c r="A486" t="s">
        <v>8</v>
      </c>
      <c r="B486">
        <f>VLOOKUP(A486,Sheet2!B:F,5,FALSE)</f>
        <v>928</v>
      </c>
      <c r="C486" t="s">
        <v>9</v>
      </c>
      <c r="D486">
        <f>VLOOKUP(C486,Sheet2!C:G,5,FALSE)</f>
        <v>1202</v>
      </c>
      <c r="E486" t="s">
        <v>39</v>
      </c>
      <c r="F486">
        <f>VLOOKUP(E486,Sheet2!D:E,2,FALSE)</f>
        <v>25</v>
      </c>
      <c r="G486" t="s">
        <v>11</v>
      </c>
      <c r="H486" t="str">
        <f t="shared" si="14"/>
        <v>NAVEReodml66</v>
      </c>
      <c r="I486" t="str">
        <f>"eodml66"</f>
        <v>eodml66</v>
      </c>
      <c r="J486">
        <v>8560</v>
      </c>
      <c r="K486" s="1">
        <v>44866</v>
      </c>
      <c r="L486" t="s">
        <v>563</v>
      </c>
      <c r="M486">
        <f t="shared" si="15"/>
        <v>8560</v>
      </c>
      <c r="N486" t="e">
        <f>VLOOKUP(H486,Sheet1!G:H,2,FALSE)</f>
        <v>#N/A</v>
      </c>
      <c r="R486" t="s">
        <v>2410</v>
      </c>
      <c r="S486">
        <v>299070</v>
      </c>
    </row>
    <row r="487" spans="1:19" x14ac:dyDescent="0.3">
      <c r="A487" t="s">
        <v>41</v>
      </c>
      <c r="B487">
        <f>VLOOKUP(A487,Sheet2!B:F,5,FALSE)</f>
        <v>926</v>
      </c>
      <c r="C487" t="s">
        <v>56</v>
      </c>
      <c r="D487">
        <f>VLOOKUP(C487,Sheet2!C:G,5,FALSE)</f>
        <v>1207</v>
      </c>
      <c r="E487" t="s">
        <v>253</v>
      </c>
      <c r="F487">
        <f>VLOOKUP(E487,Sheet2!D:E,2,FALSE)</f>
        <v>1328</v>
      </c>
      <c r="G487" t="s">
        <v>11</v>
      </c>
      <c r="H487" t="str">
        <f t="shared" si="14"/>
        <v>NAVEReos122</v>
      </c>
      <c r="I487" t="str">
        <f>"eos122"</f>
        <v>eos122</v>
      </c>
      <c r="J487">
        <v>413910</v>
      </c>
      <c r="K487" s="1">
        <v>44866</v>
      </c>
      <c r="L487" t="s">
        <v>564</v>
      </c>
      <c r="M487">
        <f t="shared" si="15"/>
        <v>413910</v>
      </c>
      <c r="N487" t="e">
        <f>VLOOKUP(H487,Sheet1!G:H,2,FALSE)</f>
        <v>#N/A</v>
      </c>
      <c r="R487" t="s">
        <v>2411</v>
      </c>
      <c r="S487">
        <v>657330</v>
      </c>
    </row>
    <row r="488" spans="1:19" x14ac:dyDescent="0.3">
      <c r="A488" t="s">
        <v>8</v>
      </c>
      <c r="B488">
        <f>VLOOKUP(A488,Sheet2!B:F,5,FALSE)</f>
        <v>928</v>
      </c>
      <c r="C488" t="s">
        <v>13</v>
      </c>
      <c r="D488">
        <f>VLOOKUP(C488,Sheet2!C:G,5,FALSE)</f>
        <v>1184</v>
      </c>
      <c r="E488" t="s">
        <v>59</v>
      </c>
      <c r="F488">
        <f>VLOOKUP(E488,Sheet2!D:E,2,FALSE)</f>
        <v>9</v>
      </c>
      <c r="G488" t="s">
        <v>11</v>
      </c>
      <c r="H488" t="str">
        <f t="shared" si="14"/>
        <v>NAVERepe4102</v>
      </c>
      <c r="I488" t="str">
        <f>"epe4102"</f>
        <v>epe4102</v>
      </c>
      <c r="J488">
        <v>29270</v>
      </c>
      <c r="K488" s="1">
        <v>44866</v>
      </c>
      <c r="L488" t="s">
        <v>565</v>
      </c>
      <c r="M488">
        <f t="shared" si="15"/>
        <v>29270</v>
      </c>
      <c r="N488" t="e">
        <f>VLOOKUP(H488,Sheet1!G:H,2,FALSE)</f>
        <v>#N/A</v>
      </c>
      <c r="R488" t="s">
        <v>2412</v>
      </c>
      <c r="S488">
        <v>3235810</v>
      </c>
    </row>
    <row r="489" spans="1:19" x14ac:dyDescent="0.3">
      <c r="A489" t="s">
        <v>41</v>
      </c>
      <c r="B489">
        <f>VLOOKUP(A489,Sheet2!B:F,5,FALSE)</f>
        <v>926</v>
      </c>
      <c r="C489" t="s">
        <v>56</v>
      </c>
      <c r="D489">
        <f>VLOOKUP(C489,Sheet2!C:G,5,FALSE)</f>
        <v>1207</v>
      </c>
      <c r="E489" t="s">
        <v>253</v>
      </c>
      <c r="F489">
        <f>VLOOKUP(E489,Sheet2!D:E,2,FALSE)</f>
        <v>1328</v>
      </c>
      <c r="G489" t="s">
        <v>11</v>
      </c>
      <c r="H489" t="str">
        <f t="shared" si="14"/>
        <v>NAVERepzl000:naver</v>
      </c>
      <c r="I489" t="str">
        <f>"epzl000:naver"</f>
        <v>epzl000:naver</v>
      </c>
      <c r="J489">
        <v>1223940</v>
      </c>
      <c r="K489" s="1">
        <v>44866</v>
      </c>
      <c r="L489" t="s">
        <v>566</v>
      </c>
      <c r="M489">
        <f t="shared" si="15"/>
        <v>1223940</v>
      </c>
      <c r="N489" t="e">
        <f>VLOOKUP(H489,Sheet1!G:H,2,FALSE)</f>
        <v>#N/A</v>
      </c>
      <c r="R489" t="s">
        <v>2413</v>
      </c>
      <c r="S489">
        <v>4525400</v>
      </c>
    </row>
    <row r="490" spans="1:19" x14ac:dyDescent="0.3">
      <c r="A490" t="s">
        <v>16</v>
      </c>
      <c r="B490">
        <f>VLOOKUP(A490,Sheet2!B:F,5,FALSE)</f>
        <v>927</v>
      </c>
      <c r="C490" t="s">
        <v>17</v>
      </c>
      <c r="D490">
        <f>VLOOKUP(C490,Sheet2!C:G,5,FALSE)</f>
        <v>1200</v>
      </c>
      <c r="E490" t="s">
        <v>371</v>
      </c>
      <c r="F490">
        <f>VLOOKUP(E490,Sheet2!D:E,2,FALSE)</f>
        <v>551</v>
      </c>
      <c r="G490" t="s">
        <v>11</v>
      </c>
      <c r="H490" t="str">
        <f t="shared" si="14"/>
        <v>NAVEReqwreqw</v>
      </c>
      <c r="I490" t="str">
        <f>"eqwreqw"</f>
        <v>eqwreqw</v>
      </c>
      <c r="J490">
        <v>1447880</v>
      </c>
      <c r="K490" s="1">
        <v>44866</v>
      </c>
      <c r="L490" t="s">
        <v>567</v>
      </c>
      <c r="M490">
        <f t="shared" si="15"/>
        <v>1447880</v>
      </c>
      <c r="N490" t="e">
        <f>VLOOKUP(H490,Sheet1!G:H,2,FALSE)</f>
        <v>#N/A</v>
      </c>
      <c r="R490" t="s">
        <v>2414</v>
      </c>
      <c r="S490">
        <v>872480</v>
      </c>
    </row>
    <row r="491" spans="1:19" x14ac:dyDescent="0.3">
      <c r="A491" t="s">
        <v>8</v>
      </c>
      <c r="B491">
        <f>VLOOKUP(A491,Sheet2!B:F,5,FALSE)</f>
        <v>928</v>
      </c>
      <c r="C491" t="s">
        <v>9</v>
      </c>
      <c r="D491">
        <f>VLOOKUP(C491,Sheet2!C:G,5,FALSE)</f>
        <v>1202</v>
      </c>
      <c r="E491" t="s">
        <v>47</v>
      </c>
      <c r="F491">
        <f>VLOOKUP(E491,Sheet2!D:E,2,FALSE)</f>
        <v>898</v>
      </c>
      <c r="G491" t="s">
        <v>11</v>
      </c>
      <c r="H491" t="str">
        <f t="shared" si="14"/>
        <v>NAVEReremall</v>
      </c>
      <c r="I491" t="str">
        <f>"eremall"</f>
        <v>eremall</v>
      </c>
      <c r="J491">
        <v>882930</v>
      </c>
      <c r="K491" s="1">
        <v>44866</v>
      </c>
      <c r="L491" t="s">
        <v>568</v>
      </c>
      <c r="M491">
        <f t="shared" si="15"/>
        <v>882930</v>
      </c>
      <c r="N491" t="e">
        <f>VLOOKUP(H491,Sheet1!G:H,2,FALSE)</f>
        <v>#N/A</v>
      </c>
      <c r="R491" t="s">
        <v>2415</v>
      </c>
      <c r="S491">
        <v>244980</v>
      </c>
    </row>
    <row r="492" spans="1:19" x14ac:dyDescent="0.3">
      <c r="A492" t="s">
        <v>8</v>
      </c>
      <c r="B492">
        <f>VLOOKUP(A492,Sheet2!B:F,5,FALSE)</f>
        <v>928</v>
      </c>
      <c r="C492" t="s">
        <v>13</v>
      </c>
      <c r="D492">
        <f>VLOOKUP(C492,Sheet2!C:G,5,FALSE)</f>
        <v>1184</v>
      </c>
      <c r="E492" t="s">
        <v>14</v>
      </c>
      <c r="F492">
        <f>VLOOKUP(E492,Sheet2!D:E,2,FALSE)</f>
        <v>914</v>
      </c>
      <c r="G492" t="s">
        <v>11</v>
      </c>
      <c r="H492" t="str">
        <f t="shared" si="14"/>
        <v>NAVERericchi</v>
      </c>
      <c r="I492" t="str">
        <f>"ericchi"</f>
        <v>ericchi</v>
      </c>
      <c r="J492">
        <v>2457770</v>
      </c>
      <c r="K492" s="1">
        <v>44866</v>
      </c>
      <c r="L492" t="s">
        <v>569</v>
      </c>
      <c r="M492">
        <f t="shared" si="15"/>
        <v>2457770</v>
      </c>
      <c r="N492" t="e">
        <f>VLOOKUP(H492,Sheet1!G:H,2,FALSE)</f>
        <v>#N/A</v>
      </c>
      <c r="R492" t="s">
        <v>2416</v>
      </c>
      <c r="S492">
        <v>642060</v>
      </c>
    </row>
    <row r="493" spans="1:19" x14ac:dyDescent="0.3">
      <c r="A493" t="s">
        <v>8</v>
      </c>
      <c r="B493">
        <f>VLOOKUP(A493,Sheet2!B:F,5,FALSE)</f>
        <v>928</v>
      </c>
      <c r="C493" t="s">
        <v>13</v>
      </c>
      <c r="D493">
        <f>VLOOKUP(C493,Sheet2!C:G,5,FALSE)</f>
        <v>1184</v>
      </c>
      <c r="E493" t="s">
        <v>335</v>
      </c>
      <c r="F493">
        <f>VLOOKUP(E493,Sheet2!D:E,2,FALSE)</f>
        <v>201090</v>
      </c>
      <c r="G493" t="s">
        <v>11</v>
      </c>
      <c r="H493" t="str">
        <f t="shared" si="14"/>
        <v>NAVEReso01</v>
      </c>
      <c r="I493" t="str">
        <f>"eso01"</f>
        <v>eso01</v>
      </c>
      <c r="J493">
        <v>192330</v>
      </c>
      <c r="K493" s="1">
        <v>44866</v>
      </c>
      <c r="L493" t="s">
        <v>570</v>
      </c>
      <c r="M493">
        <f t="shared" si="15"/>
        <v>192330</v>
      </c>
      <c r="N493" t="e">
        <f>VLOOKUP(H493,Sheet1!G:H,2,FALSE)</f>
        <v>#N/A</v>
      </c>
      <c r="R493" t="s">
        <v>2417</v>
      </c>
      <c r="S493">
        <v>754190</v>
      </c>
    </row>
    <row r="494" spans="1:19" x14ac:dyDescent="0.3">
      <c r="A494" t="s">
        <v>41</v>
      </c>
      <c r="B494">
        <f>VLOOKUP(A494,Sheet2!B:F,5,FALSE)</f>
        <v>926</v>
      </c>
      <c r="C494" t="s">
        <v>56</v>
      </c>
      <c r="D494">
        <f>VLOOKUP(C494,Sheet2!C:G,5,FALSE)</f>
        <v>1207</v>
      </c>
      <c r="E494" t="s">
        <v>57</v>
      </c>
      <c r="F494">
        <f>VLOOKUP(E494,Sheet2!D:E,2,FALSE)</f>
        <v>200982</v>
      </c>
      <c r="G494" t="s">
        <v>11</v>
      </c>
      <c r="H494" t="str">
        <f t="shared" si="14"/>
        <v>NAVERestmusic</v>
      </c>
      <c r="I494" t="str">
        <f>"estmusic"</f>
        <v>estmusic</v>
      </c>
      <c r="J494">
        <v>26600</v>
      </c>
      <c r="K494" s="1">
        <v>44866</v>
      </c>
      <c r="L494" t="s">
        <v>571</v>
      </c>
      <c r="M494">
        <f t="shared" si="15"/>
        <v>26600</v>
      </c>
      <c r="N494" t="e">
        <f>VLOOKUP(H494,Sheet1!G:H,2,FALSE)</f>
        <v>#N/A</v>
      </c>
      <c r="R494" t="s">
        <v>2418</v>
      </c>
      <c r="S494">
        <v>4062750</v>
      </c>
    </row>
    <row r="495" spans="1:19" x14ac:dyDescent="0.3">
      <c r="A495" t="s">
        <v>8</v>
      </c>
      <c r="B495">
        <f>VLOOKUP(A495,Sheet2!B:F,5,FALSE)</f>
        <v>928</v>
      </c>
      <c r="C495" t="s">
        <v>223</v>
      </c>
      <c r="D495">
        <f>VLOOKUP(C495,Sheet2!C:G,5,FALSE)</f>
        <v>966</v>
      </c>
      <c r="E495" t="s">
        <v>224</v>
      </c>
      <c r="F495">
        <f>VLOOKUP(E495,Sheet2!D:E,2,FALSE)</f>
        <v>201008</v>
      </c>
      <c r="G495" t="s">
        <v>11</v>
      </c>
      <c r="H495" t="str">
        <f t="shared" si="14"/>
        <v>NAVERetoosanswer2</v>
      </c>
      <c r="I495" t="str">
        <f>"etoosanswer2"</f>
        <v>etoosanswer2</v>
      </c>
      <c r="J495">
        <v>1255710</v>
      </c>
      <c r="K495" s="1">
        <v>44866</v>
      </c>
      <c r="L495" t="s">
        <v>572</v>
      </c>
      <c r="M495">
        <f t="shared" si="15"/>
        <v>1255710</v>
      </c>
      <c r="N495" t="e">
        <f>VLOOKUP(H495,Sheet1!G:H,2,FALSE)</f>
        <v>#N/A</v>
      </c>
      <c r="R495" t="s">
        <v>2419</v>
      </c>
      <c r="S495">
        <v>576860</v>
      </c>
    </row>
    <row r="496" spans="1:19" x14ac:dyDescent="0.3">
      <c r="A496" t="s">
        <v>8</v>
      </c>
      <c r="B496">
        <f>VLOOKUP(A496,Sheet2!B:F,5,FALSE)</f>
        <v>928</v>
      </c>
      <c r="C496" t="s">
        <v>9</v>
      </c>
      <c r="D496">
        <f>VLOOKUP(C496,Sheet2!C:G,5,FALSE)</f>
        <v>1202</v>
      </c>
      <c r="E496" t="s">
        <v>45</v>
      </c>
      <c r="F496">
        <f>VLOOKUP(E496,Sheet2!D:E,2,FALSE)</f>
        <v>26</v>
      </c>
      <c r="G496" t="s">
        <v>11</v>
      </c>
      <c r="H496" t="str">
        <f t="shared" si="14"/>
        <v>NAVERett0026</v>
      </c>
      <c r="I496" t="str">
        <f>"ett0026"</f>
        <v>ett0026</v>
      </c>
      <c r="J496">
        <v>948960</v>
      </c>
      <c r="K496" s="1">
        <v>44866</v>
      </c>
      <c r="L496" t="s">
        <v>573</v>
      </c>
      <c r="M496">
        <f t="shared" si="15"/>
        <v>948960</v>
      </c>
      <c r="N496" t="e">
        <f>VLOOKUP(H496,Sheet1!G:H,2,FALSE)</f>
        <v>#N/A</v>
      </c>
      <c r="R496" t="s">
        <v>2420</v>
      </c>
      <c r="S496">
        <v>2421000</v>
      </c>
    </row>
    <row r="497" spans="1:19" x14ac:dyDescent="0.3">
      <c r="A497" t="s">
        <v>16</v>
      </c>
      <c r="B497">
        <f>VLOOKUP(A497,Sheet2!B:F,5,FALSE)</f>
        <v>927</v>
      </c>
      <c r="C497" t="s">
        <v>17</v>
      </c>
      <c r="D497">
        <f>VLOOKUP(C497,Sheet2!C:G,5,FALSE)</f>
        <v>1200</v>
      </c>
      <c r="E497" t="s">
        <v>371</v>
      </c>
      <c r="F497">
        <f>VLOOKUP(E497,Sheet2!D:E,2,FALSE)</f>
        <v>551</v>
      </c>
      <c r="G497" t="s">
        <v>11</v>
      </c>
      <c r="H497" t="str">
        <f t="shared" si="14"/>
        <v>NAVEReumkymungu66</v>
      </c>
      <c r="I497" t="str">
        <f>"eumkymungu66"</f>
        <v>eumkymungu66</v>
      </c>
      <c r="J497">
        <v>559160</v>
      </c>
      <c r="K497" s="1">
        <v>44866</v>
      </c>
      <c r="L497" t="s">
        <v>574</v>
      </c>
      <c r="M497">
        <f t="shared" si="15"/>
        <v>562230</v>
      </c>
      <c r="N497" t="e">
        <f>VLOOKUP(H497,Sheet1!G:H,2,FALSE)</f>
        <v>#N/A</v>
      </c>
      <c r="R497" t="s">
        <v>2421</v>
      </c>
      <c r="S497">
        <v>323450</v>
      </c>
    </row>
    <row r="498" spans="1:19" x14ac:dyDescent="0.3">
      <c r="A498" t="s">
        <v>16</v>
      </c>
      <c r="B498">
        <f>VLOOKUP(A498,Sheet2!B:F,5,FALSE)</f>
        <v>927</v>
      </c>
      <c r="C498" t="s">
        <v>17</v>
      </c>
      <c r="D498">
        <f>VLOOKUP(C498,Sheet2!C:G,5,FALSE)</f>
        <v>1200</v>
      </c>
      <c r="E498" t="s">
        <v>137</v>
      </c>
      <c r="F498">
        <f>VLOOKUP(E498,Sheet2!D:E,2,FALSE)</f>
        <v>1012</v>
      </c>
      <c r="G498" t="s">
        <v>11</v>
      </c>
      <c r="H498" t="str">
        <f t="shared" si="14"/>
        <v>NAVEReunha2377</v>
      </c>
      <c r="I498" t="str">
        <f>"eunha2377"</f>
        <v>eunha2377</v>
      </c>
      <c r="J498">
        <v>2234810</v>
      </c>
      <c r="K498" s="1">
        <v>44866</v>
      </c>
      <c r="L498" t="s">
        <v>575</v>
      </c>
      <c r="M498">
        <f t="shared" si="15"/>
        <v>1036390</v>
      </c>
      <c r="N498" t="e">
        <f>VLOOKUP(H498,Sheet1!G:H,2,FALSE)</f>
        <v>#N/A</v>
      </c>
      <c r="R498" t="s">
        <v>2422</v>
      </c>
      <c r="S498">
        <v>2980510</v>
      </c>
    </row>
    <row r="499" spans="1:19" x14ac:dyDescent="0.3">
      <c r="A499" t="s">
        <v>16</v>
      </c>
      <c r="B499">
        <f>VLOOKUP(A499,Sheet2!B:F,5,FALSE)</f>
        <v>927</v>
      </c>
      <c r="C499" t="s">
        <v>17</v>
      </c>
      <c r="D499">
        <f>VLOOKUP(C499,Sheet2!C:G,5,FALSE)</f>
        <v>1200</v>
      </c>
      <c r="E499" t="s">
        <v>93</v>
      </c>
      <c r="F499">
        <f>VLOOKUP(E499,Sheet2!D:E,2,FALSE)</f>
        <v>930</v>
      </c>
      <c r="G499" t="s">
        <v>11</v>
      </c>
      <c r="H499" t="str">
        <f t="shared" si="14"/>
        <v>NAVEReunheejee</v>
      </c>
      <c r="I499" t="str">
        <f>"eunheejee"</f>
        <v>eunheejee</v>
      </c>
      <c r="J499">
        <v>49610</v>
      </c>
      <c r="K499" s="1">
        <v>44866</v>
      </c>
      <c r="L499" t="s">
        <v>576</v>
      </c>
      <c r="M499">
        <f t="shared" si="15"/>
        <v>49610</v>
      </c>
      <c r="N499" t="e">
        <f>VLOOKUP(H499,Sheet1!G:H,2,FALSE)</f>
        <v>#N/A</v>
      </c>
      <c r="R499" t="s">
        <v>2423</v>
      </c>
      <c r="S499">
        <v>14460</v>
      </c>
    </row>
    <row r="500" spans="1:19" x14ac:dyDescent="0.3">
      <c r="A500" t="s">
        <v>16</v>
      </c>
      <c r="B500">
        <f>VLOOKUP(A500,Sheet2!B:F,5,FALSE)</f>
        <v>927</v>
      </c>
      <c r="C500" t="s">
        <v>17</v>
      </c>
      <c r="D500">
        <f>VLOOKUP(C500,Sheet2!C:G,5,FALSE)</f>
        <v>1200</v>
      </c>
      <c r="E500" t="s">
        <v>262</v>
      </c>
      <c r="F500">
        <f>VLOOKUP(E500,Sheet2!D:E,2,FALSE)</f>
        <v>1594</v>
      </c>
      <c r="G500" t="s">
        <v>11</v>
      </c>
      <c r="H500" t="str">
        <f t="shared" si="14"/>
        <v>NAVEReunho9504:naver</v>
      </c>
      <c r="I500" t="str">
        <f>"eunho9504:naver"</f>
        <v>eunho9504:naver</v>
      </c>
      <c r="J500">
        <v>1597070</v>
      </c>
      <c r="K500" s="1">
        <v>44866</v>
      </c>
      <c r="L500" t="s">
        <v>577</v>
      </c>
      <c r="M500">
        <f t="shared" si="15"/>
        <v>1597070</v>
      </c>
      <c r="N500" t="e">
        <f>VLOOKUP(H500,Sheet1!G:H,2,FALSE)</f>
        <v>#N/A</v>
      </c>
      <c r="R500" t="s">
        <v>2424</v>
      </c>
      <c r="S500">
        <v>63010</v>
      </c>
    </row>
    <row r="501" spans="1:19" x14ac:dyDescent="0.3">
      <c r="A501" t="s">
        <v>16</v>
      </c>
      <c r="B501">
        <f>VLOOKUP(A501,Sheet2!B:F,5,FALSE)</f>
        <v>927</v>
      </c>
      <c r="C501" t="s">
        <v>17</v>
      </c>
      <c r="D501">
        <f>VLOOKUP(C501,Sheet2!C:G,5,FALSE)</f>
        <v>1200</v>
      </c>
      <c r="E501" t="s">
        <v>244</v>
      </c>
      <c r="F501">
        <f>VLOOKUP(E501,Sheet2!D:E,2,FALSE)</f>
        <v>817</v>
      </c>
      <c r="G501" t="s">
        <v>11</v>
      </c>
      <c r="H501" t="str">
        <f t="shared" si="14"/>
        <v>NAVEReunjungbbong:naver</v>
      </c>
      <c r="I501" t="str">
        <f>"eunjungbbong:naver"</f>
        <v>eunjungbbong:naver</v>
      </c>
      <c r="J501">
        <v>198460</v>
      </c>
      <c r="K501" s="1">
        <v>44866</v>
      </c>
      <c r="L501" t="s">
        <v>578</v>
      </c>
      <c r="M501">
        <f t="shared" si="15"/>
        <v>198460</v>
      </c>
      <c r="N501" t="e">
        <f>VLOOKUP(H501,Sheet1!G:H,2,FALSE)</f>
        <v>#N/A</v>
      </c>
      <c r="R501" t="s">
        <v>2425</v>
      </c>
      <c r="S501">
        <v>90880</v>
      </c>
    </row>
    <row r="502" spans="1:19" x14ac:dyDescent="0.3">
      <c r="A502" t="s">
        <v>8</v>
      </c>
      <c r="B502">
        <f>VLOOKUP(A502,Sheet2!B:F,5,FALSE)</f>
        <v>928</v>
      </c>
      <c r="C502" t="s">
        <v>13</v>
      </c>
      <c r="D502">
        <f>VLOOKUP(C502,Sheet2!C:G,5,FALSE)</f>
        <v>1184</v>
      </c>
      <c r="E502" t="s">
        <v>59</v>
      </c>
      <c r="F502">
        <f>VLOOKUP(E502,Sheet2!D:E,2,FALSE)</f>
        <v>9</v>
      </c>
      <c r="G502" t="s">
        <v>11</v>
      </c>
      <c r="H502" t="str">
        <f t="shared" si="14"/>
        <v>NAVEReunsung1</v>
      </c>
      <c r="I502" t="str">
        <f>"eunsung1"</f>
        <v>eunsung1</v>
      </c>
      <c r="J502">
        <v>3080</v>
      </c>
      <c r="K502" s="1">
        <v>44866</v>
      </c>
      <c r="L502" t="s">
        <v>579</v>
      </c>
      <c r="M502">
        <f t="shared" si="15"/>
        <v>3080</v>
      </c>
      <c r="N502" t="e">
        <f>VLOOKUP(H502,Sheet1!G:H,2,FALSE)</f>
        <v>#N/A</v>
      </c>
      <c r="R502" t="s">
        <v>2426</v>
      </c>
      <c r="S502">
        <v>818810</v>
      </c>
    </row>
    <row r="503" spans="1:19" x14ac:dyDescent="0.3">
      <c r="A503" t="s">
        <v>16</v>
      </c>
      <c r="B503">
        <f>VLOOKUP(A503,Sheet2!B:F,5,FALSE)</f>
        <v>927</v>
      </c>
      <c r="C503" t="s">
        <v>17</v>
      </c>
      <c r="D503">
        <f>VLOOKUP(C503,Sheet2!C:G,5,FALSE)</f>
        <v>1200</v>
      </c>
      <c r="E503" t="s">
        <v>371</v>
      </c>
      <c r="F503">
        <f>VLOOKUP(E503,Sheet2!D:E,2,FALSE)</f>
        <v>551</v>
      </c>
      <c r="G503" t="s">
        <v>11</v>
      </c>
      <c r="H503" t="str">
        <f t="shared" si="14"/>
        <v>NAVEReurakorea:naver</v>
      </c>
      <c r="I503" t="str">
        <f>"eurakorea:naver"</f>
        <v>eurakorea:naver</v>
      </c>
      <c r="J503">
        <v>210940</v>
      </c>
      <c r="K503" s="1">
        <v>44866</v>
      </c>
      <c r="L503" t="s">
        <v>580</v>
      </c>
      <c r="M503">
        <f t="shared" si="15"/>
        <v>210940</v>
      </c>
      <c r="N503" t="e">
        <f>VLOOKUP(H503,Sheet1!G:H,2,FALSE)</f>
        <v>#N/A</v>
      </c>
      <c r="R503" t="s">
        <v>2427</v>
      </c>
      <c r="S503">
        <v>2150</v>
      </c>
    </row>
    <row r="504" spans="1:19" x14ac:dyDescent="0.3">
      <c r="A504" t="s">
        <v>22</v>
      </c>
      <c r="B504">
        <f>VLOOKUP(A504,Sheet2!B:F,5,FALSE)</f>
        <v>809</v>
      </c>
      <c r="C504" t="s">
        <v>23</v>
      </c>
      <c r="D504">
        <f>VLOOKUP(C504,Sheet2!C:G,5,FALSE)</f>
        <v>810</v>
      </c>
      <c r="E504" t="s">
        <v>86</v>
      </c>
      <c r="F504">
        <f>VLOOKUP(E504,Sheet2!D:E,2,FALSE)</f>
        <v>201021</v>
      </c>
      <c r="G504" t="s">
        <v>11</v>
      </c>
      <c r="H504" t="str">
        <f t="shared" si="14"/>
        <v>NAVEReuropevill</v>
      </c>
      <c r="I504" t="str">
        <f>"europevill"</f>
        <v>europevill</v>
      </c>
      <c r="J504">
        <v>1900420</v>
      </c>
      <c r="K504" s="1">
        <v>44866</v>
      </c>
      <c r="L504" t="s">
        <v>581</v>
      </c>
      <c r="M504">
        <f t="shared" si="15"/>
        <v>1900420</v>
      </c>
      <c r="N504" t="e">
        <f>VLOOKUP(H504,Sheet1!G:H,2,FALSE)</f>
        <v>#N/A</v>
      </c>
      <c r="R504" t="s">
        <v>2428</v>
      </c>
      <c r="S504">
        <v>82310</v>
      </c>
    </row>
    <row r="505" spans="1:19" x14ac:dyDescent="0.3">
      <c r="A505" t="s">
        <v>41</v>
      </c>
      <c r="B505">
        <f>VLOOKUP(A505,Sheet2!B:F,5,FALSE)</f>
        <v>926</v>
      </c>
      <c r="C505" t="s">
        <v>42</v>
      </c>
      <c r="D505">
        <f>VLOOKUP(C505,Sheet2!C:G,5,FALSE)</f>
        <v>964</v>
      </c>
      <c r="E505" t="s">
        <v>43</v>
      </c>
      <c r="F505">
        <f>VLOOKUP(E505,Sheet2!D:E,2,FALSE)</f>
        <v>200998</v>
      </c>
      <c r="G505" t="s">
        <v>11</v>
      </c>
      <c r="H505" t="str">
        <f t="shared" si="14"/>
        <v>NAVEReventoday</v>
      </c>
      <c r="I505" t="str">
        <f>"eventoday"</f>
        <v>eventoday</v>
      </c>
      <c r="J505">
        <v>3340</v>
      </c>
      <c r="K505" s="1">
        <v>44866</v>
      </c>
      <c r="L505" t="s">
        <v>582</v>
      </c>
      <c r="M505" t="e">
        <f t="shared" si="15"/>
        <v>#N/A</v>
      </c>
      <c r="N505" t="str">
        <f>VLOOKUP(H505,Sheet1!G:H,2,FALSE)</f>
        <v>연락두절</v>
      </c>
      <c r="R505" t="s">
        <v>2429</v>
      </c>
      <c r="S505">
        <v>0</v>
      </c>
    </row>
    <row r="506" spans="1:19" x14ac:dyDescent="0.3">
      <c r="A506" t="s">
        <v>8</v>
      </c>
      <c r="B506">
        <f>VLOOKUP(A506,Sheet2!B:F,5,FALSE)</f>
        <v>928</v>
      </c>
      <c r="C506" t="s">
        <v>9</v>
      </c>
      <c r="D506">
        <f>VLOOKUP(C506,Sheet2!C:G,5,FALSE)</f>
        <v>1202</v>
      </c>
      <c r="E506" t="s">
        <v>75</v>
      </c>
      <c r="F506">
        <f>VLOOKUP(E506,Sheet2!D:E,2,FALSE)</f>
        <v>50</v>
      </c>
      <c r="G506" t="s">
        <v>11</v>
      </c>
      <c r="H506" t="str">
        <f t="shared" si="14"/>
        <v>NAVERevercleantek</v>
      </c>
      <c r="I506" t="str">
        <f>"evercleantek"</f>
        <v>evercleantek</v>
      </c>
      <c r="J506">
        <v>1067340</v>
      </c>
      <c r="K506" s="1">
        <v>44866</v>
      </c>
      <c r="L506" t="s">
        <v>583</v>
      </c>
      <c r="M506">
        <f t="shared" si="15"/>
        <v>1067340</v>
      </c>
      <c r="N506" t="e">
        <f>VLOOKUP(H506,Sheet1!G:H,2,FALSE)</f>
        <v>#N/A</v>
      </c>
      <c r="R506" t="s">
        <v>2430</v>
      </c>
      <c r="S506">
        <v>932460</v>
      </c>
    </row>
    <row r="507" spans="1:19" x14ac:dyDescent="0.3">
      <c r="A507" t="s">
        <v>41</v>
      </c>
      <c r="B507">
        <f>VLOOKUP(A507,Sheet2!B:F,5,FALSE)</f>
        <v>926</v>
      </c>
      <c r="C507" t="s">
        <v>42</v>
      </c>
      <c r="D507">
        <f>VLOOKUP(C507,Sheet2!C:G,5,FALSE)</f>
        <v>964</v>
      </c>
      <c r="E507" t="s">
        <v>43</v>
      </c>
      <c r="F507">
        <f>VLOOKUP(E507,Sheet2!D:E,2,FALSE)</f>
        <v>200998</v>
      </c>
      <c r="G507" t="s">
        <v>11</v>
      </c>
      <c r="H507" t="str">
        <f t="shared" si="14"/>
        <v>NAVEReverhousing</v>
      </c>
      <c r="I507" t="str">
        <f>"everhousing"</f>
        <v>everhousing</v>
      </c>
      <c r="J507">
        <v>7520</v>
      </c>
      <c r="K507" s="1">
        <v>44866</v>
      </c>
      <c r="L507" t="s">
        <v>584</v>
      </c>
      <c r="M507">
        <f t="shared" si="15"/>
        <v>7520</v>
      </c>
      <c r="N507" t="e">
        <f>VLOOKUP(H507,Sheet1!G:H,2,FALSE)</f>
        <v>#N/A</v>
      </c>
      <c r="R507" t="s">
        <v>2431</v>
      </c>
      <c r="S507">
        <v>9061590</v>
      </c>
    </row>
    <row r="508" spans="1:19" x14ac:dyDescent="0.3">
      <c r="A508" t="s">
        <v>22</v>
      </c>
      <c r="B508">
        <f>VLOOKUP(A508,Sheet2!B:F,5,FALSE)</f>
        <v>809</v>
      </c>
      <c r="C508" t="s">
        <v>23</v>
      </c>
      <c r="D508">
        <f>VLOOKUP(C508,Sheet2!C:G,5,FALSE)</f>
        <v>810</v>
      </c>
      <c r="E508" t="s">
        <v>106</v>
      </c>
      <c r="F508">
        <f>VLOOKUP(E508,Sheet2!D:E,2,FALSE)</f>
        <v>1349</v>
      </c>
      <c r="G508" t="s">
        <v>11</v>
      </c>
      <c r="H508" t="str">
        <f t="shared" si="14"/>
        <v>NAVERfabbridge00</v>
      </c>
      <c r="I508" t="str">
        <f>"fabbridge00"</f>
        <v>fabbridge00</v>
      </c>
      <c r="J508">
        <v>3210840</v>
      </c>
      <c r="K508" s="1">
        <v>44866</v>
      </c>
      <c r="L508" t="s">
        <v>585</v>
      </c>
      <c r="M508">
        <f t="shared" si="15"/>
        <v>2510860</v>
      </c>
      <c r="N508" t="e">
        <f>VLOOKUP(H508,Sheet1!G:H,2,FALSE)</f>
        <v>#N/A</v>
      </c>
      <c r="R508" t="s">
        <v>2432</v>
      </c>
      <c r="S508">
        <v>133420</v>
      </c>
    </row>
    <row r="509" spans="1:19" x14ac:dyDescent="0.3">
      <c r="A509" t="s">
        <v>16</v>
      </c>
      <c r="B509">
        <f>VLOOKUP(A509,Sheet2!B:F,5,FALSE)</f>
        <v>927</v>
      </c>
      <c r="C509" t="s">
        <v>17</v>
      </c>
      <c r="D509">
        <f>VLOOKUP(C509,Sheet2!C:G,5,FALSE)</f>
        <v>1200</v>
      </c>
      <c r="E509" t="s">
        <v>170</v>
      </c>
      <c r="F509">
        <f>VLOOKUP(E509,Sheet2!D:E,2,FALSE)</f>
        <v>1530</v>
      </c>
      <c r="G509" t="s">
        <v>11</v>
      </c>
      <c r="H509" t="str">
        <f t="shared" si="14"/>
        <v>NAVERfarmtobaby</v>
      </c>
      <c r="I509" t="str">
        <f>"farmtobaby"</f>
        <v>farmtobaby</v>
      </c>
      <c r="J509">
        <v>18092240</v>
      </c>
      <c r="K509" s="1">
        <v>44866</v>
      </c>
      <c r="L509" t="s">
        <v>586</v>
      </c>
      <c r="M509">
        <f t="shared" si="15"/>
        <v>15392270</v>
      </c>
      <c r="N509" t="e">
        <f>VLOOKUP(H509,Sheet1!G:H,2,FALSE)</f>
        <v>#N/A</v>
      </c>
      <c r="R509" t="s">
        <v>2433</v>
      </c>
      <c r="S509">
        <v>202720</v>
      </c>
    </row>
    <row r="510" spans="1:19" x14ac:dyDescent="0.3">
      <c r="A510" t="s">
        <v>8</v>
      </c>
      <c r="B510">
        <f>VLOOKUP(A510,Sheet2!B:F,5,FALSE)</f>
        <v>928</v>
      </c>
      <c r="C510" t="s">
        <v>9</v>
      </c>
      <c r="D510">
        <f>VLOOKUP(C510,Sheet2!C:G,5,FALSE)</f>
        <v>1202</v>
      </c>
      <c r="E510" t="s">
        <v>27</v>
      </c>
      <c r="F510">
        <f>VLOOKUP(E510,Sheet2!D:E,2,FALSE)</f>
        <v>806</v>
      </c>
      <c r="G510" t="s">
        <v>11</v>
      </c>
      <c r="H510" t="str">
        <f t="shared" si="14"/>
        <v>NAVERfbgmlco1234:naver</v>
      </c>
      <c r="I510" t="str">
        <f>"fbgmlco1234:naver"</f>
        <v>fbgmlco1234:naver</v>
      </c>
      <c r="J510">
        <v>228680</v>
      </c>
      <c r="K510" s="1">
        <v>44866</v>
      </c>
      <c r="L510" t="s">
        <v>587</v>
      </c>
      <c r="M510">
        <f t="shared" si="15"/>
        <v>228680</v>
      </c>
      <c r="N510" t="e">
        <f>VLOOKUP(H510,Sheet1!G:H,2,FALSE)</f>
        <v>#N/A</v>
      </c>
      <c r="R510" t="s">
        <v>2434</v>
      </c>
      <c r="S510">
        <v>236010</v>
      </c>
    </row>
    <row r="511" spans="1:19" x14ac:dyDescent="0.3">
      <c r="A511" t="s">
        <v>41</v>
      </c>
      <c r="B511">
        <f>VLOOKUP(A511,Sheet2!B:F,5,FALSE)</f>
        <v>926</v>
      </c>
      <c r="C511" t="s">
        <v>56</v>
      </c>
      <c r="D511">
        <f>VLOOKUP(C511,Sheet2!C:G,5,FALSE)</f>
        <v>1207</v>
      </c>
      <c r="E511" t="s">
        <v>62</v>
      </c>
      <c r="F511">
        <f>VLOOKUP(E511,Sheet2!D:E,2,FALSE)</f>
        <v>201037</v>
      </c>
      <c r="G511" t="s">
        <v>11</v>
      </c>
      <c r="H511" t="str">
        <f t="shared" si="14"/>
        <v>NAVERfdckjh</v>
      </c>
      <c r="I511" t="str">
        <f>"fdckjh"</f>
        <v>fdckjh</v>
      </c>
      <c r="J511">
        <v>61400</v>
      </c>
      <c r="K511" s="1">
        <v>44866</v>
      </c>
      <c r="L511" t="s">
        <v>588</v>
      </c>
      <c r="M511">
        <f t="shared" si="15"/>
        <v>61840</v>
      </c>
      <c r="N511" t="e">
        <f>VLOOKUP(H511,Sheet1!G:H,2,FALSE)</f>
        <v>#N/A</v>
      </c>
      <c r="R511" t="s">
        <v>2435</v>
      </c>
      <c r="S511">
        <v>1897840</v>
      </c>
    </row>
    <row r="512" spans="1:19" x14ac:dyDescent="0.3">
      <c r="A512" t="s">
        <v>22</v>
      </c>
      <c r="B512">
        <f>VLOOKUP(A512,Sheet2!B:F,5,FALSE)</f>
        <v>809</v>
      </c>
      <c r="C512" t="s">
        <v>23</v>
      </c>
      <c r="D512">
        <f>VLOOKUP(C512,Sheet2!C:G,5,FALSE)</f>
        <v>810</v>
      </c>
      <c r="E512" t="s">
        <v>106</v>
      </c>
      <c r="F512">
        <f>VLOOKUP(E512,Sheet2!D:E,2,FALSE)</f>
        <v>1349</v>
      </c>
      <c r="G512" t="s">
        <v>11</v>
      </c>
      <c r="H512" t="str">
        <f t="shared" si="14"/>
        <v>NAVERfdlab</v>
      </c>
      <c r="I512" t="str">
        <f>"fdlab"</f>
        <v>fdlab</v>
      </c>
      <c r="J512">
        <v>140</v>
      </c>
      <c r="K512" s="1">
        <v>44866</v>
      </c>
      <c r="L512" t="s">
        <v>589</v>
      </c>
      <c r="M512">
        <f t="shared" si="15"/>
        <v>140</v>
      </c>
      <c r="N512" t="e">
        <f>VLOOKUP(H512,Sheet1!G:H,2,FALSE)</f>
        <v>#N/A</v>
      </c>
      <c r="R512" t="s">
        <v>2436</v>
      </c>
      <c r="S512">
        <v>40820</v>
      </c>
    </row>
    <row r="513" spans="1:19" x14ac:dyDescent="0.3">
      <c r="A513" t="s">
        <v>41</v>
      </c>
      <c r="B513">
        <f>VLOOKUP(A513,Sheet2!B:F,5,FALSE)</f>
        <v>926</v>
      </c>
      <c r="C513" t="s">
        <v>56</v>
      </c>
      <c r="D513">
        <f>VLOOKUP(C513,Sheet2!C:G,5,FALSE)</f>
        <v>1207</v>
      </c>
      <c r="E513" t="s">
        <v>57</v>
      </c>
      <c r="F513">
        <f>VLOOKUP(E513,Sheet2!D:E,2,FALSE)</f>
        <v>200982</v>
      </c>
      <c r="G513" t="s">
        <v>11</v>
      </c>
      <c r="H513" t="str">
        <f t="shared" si="14"/>
        <v>NAVERfeel9kim:naver</v>
      </c>
      <c r="I513" t="str">
        <f>"feel9kim:naver"</f>
        <v>feel9kim:naver</v>
      </c>
      <c r="J513">
        <v>9960</v>
      </c>
      <c r="K513" s="1">
        <v>44866</v>
      </c>
      <c r="L513" t="s">
        <v>590</v>
      </c>
      <c r="M513">
        <f t="shared" si="15"/>
        <v>9960</v>
      </c>
      <c r="N513" t="e">
        <f>VLOOKUP(H513,Sheet1!G:H,2,FALSE)</f>
        <v>#N/A</v>
      </c>
      <c r="R513" t="s">
        <v>2437</v>
      </c>
      <c r="S513">
        <v>291770</v>
      </c>
    </row>
    <row r="514" spans="1:19" x14ac:dyDescent="0.3">
      <c r="A514" t="s">
        <v>41</v>
      </c>
      <c r="B514">
        <f>VLOOKUP(A514,Sheet2!B:F,5,FALSE)</f>
        <v>926</v>
      </c>
      <c r="C514" t="s">
        <v>56</v>
      </c>
      <c r="D514">
        <f>VLOOKUP(C514,Sheet2!C:G,5,FALSE)</f>
        <v>1207</v>
      </c>
      <c r="E514" t="s">
        <v>62</v>
      </c>
      <c r="F514">
        <f>VLOOKUP(E514,Sheet2!D:E,2,FALSE)</f>
        <v>201037</v>
      </c>
      <c r="G514" t="s">
        <v>11</v>
      </c>
      <c r="H514" t="str">
        <f t="shared" si="14"/>
        <v>NAVERfeelanet</v>
      </c>
      <c r="I514" t="str">
        <f>"feelanet"</f>
        <v>feelanet</v>
      </c>
      <c r="J514">
        <v>694440</v>
      </c>
      <c r="K514" s="1">
        <v>44866</v>
      </c>
      <c r="L514" t="s">
        <v>591</v>
      </c>
      <c r="M514">
        <f t="shared" si="15"/>
        <v>694440</v>
      </c>
      <c r="N514" t="e">
        <f>VLOOKUP(H514,Sheet1!G:H,2,FALSE)</f>
        <v>#N/A</v>
      </c>
      <c r="R514" t="s">
        <v>2438</v>
      </c>
      <c r="S514">
        <v>3133380</v>
      </c>
    </row>
    <row r="515" spans="1:19" x14ac:dyDescent="0.3">
      <c r="A515" t="s">
        <v>41</v>
      </c>
      <c r="B515">
        <f>VLOOKUP(A515,Sheet2!B:F,5,FALSE)</f>
        <v>926</v>
      </c>
      <c r="C515" t="s">
        <v>42</v>
      </c>
      <c r="D515">
        <f>VLOOKUP(C515,Sheet2!C:G,5,FALSE)</f>
        <v>964</v>
      </c>
      <c r="E515" t="s">
        <v>43</v>
      </c>
      <c r="F515">
        <f>VLOOKUP(E515,Sheet2!D:E,2,FALSE)</f>
        <v>200998</v>
      </c>
      <c r="G515" t="s">
        <v>11</v>
      </c>
      <c r="H515" t="str">
        <f t="shared" ref="H515:H578" si="16">CONCATENATE(G515,I515)</f>
        <v>NAVERff7178</v>
      </c>
      <c r="I515" t="str">
        <f>"ff7178"</f>
        <v>ff7178</v>
      </c>
      <c r="J515">
        <v>63590</v>
      </c>
      <c r="K515" s="1">
        <v>44866</v>
      </c>
      <c r="L515" t="s">
        <v>592</v>
      </c>
      <c r="M515">
        <f t="shared" ref="M515:M578" si="17">VLOOKUP(H515,R:S,2,FALSE)</f>
        <v>63590</v>
      </c>
      <c r="N515" t="e">
        <f>VLOOKUP(H515,Sheet1!G:H,2,FALSE)</f>
        <v>#N/A</v>
      </c>
      <c r="R515" t="s">
        <v>2439</v>
      </c>
      <c r="S515">
        <v>1564670</v>
      </c>
    </row>
    <row r="516" spans="1:19" x14ac:dyDescent="0.3">
      <c r="A516" t="s">
        <v>41</v>
      </c>
      <c r="B516">
        <f>VLOOKUP(A516,Sheet2!B:F,5,FALSE)</f>
        <v>926</v>
      </c>
      <c r="C516" t="s">
        <v>56</v>
      </c>
      <c r="D516">
        <f>VLOOKUP(C516,Sheet2!C:G,5,FALSE)</f>
        <v>1207</v>
      </c>
      <c r="E516" t="s">
        <v>62</v>
      </c>
      <c r="F516">
        <f>VLOOKUP(E516,Sheet2!D:E,2,FALSE)</f>
        <v>201037</v>
      </c>
      <c r="G516" t="s">
        <v>11</v>
      </c>
      <c r="H516" t="str">
        <f t="shared" si="16"/>
        <v>NAVERfh777s</v>
      </c>
      <c r="I516" t="str">
        <f>"fh777s"</f>
        <v>fh777s</v>
      </c>
      <c r="J516">
        <v>236650</v>
      </c>
      <c r="K516" s="1">
        <v>44866</v>
      </c>
      <c r="L516" t="s">
        <v>593</v>
      </c>
      <c r="M516">
        <f t="shared" si="17"/>
        <v>236650</v>
      </c>
      <c r="N516" t="e">
        <f>VLOOKUP(H516,Sheet1!G:H,2,FALSE)</f>
        <v>#N/A</v>
      </c>
      <c r="R516" t="s">
        <v>2440</v>
      </c>
      <c r="S516">
        <v>1148173</v>
      </c>
    </row>
    <row r="517" spans="1:19" x14ac:dyDescent="0.3">
      <c r="A517" t="s">
        <v>8</v>
      </c>
      <c r="B517">
        <f>VLOOKUP(A517,Sheet2!B:F,5,FALSE)</f>
        <v>928</v>
      </c>
      <c r="C517" t="s">
        <v>9</v>
      </c>
      <c r="D517">
        <f>VLOOKUP(C517,Sheet2!C:G,5,FALSE)</f>
        <v>1202</v>
      </c>
      <c r="E517" t="s">
        <v>33</v>
      </c>
      <c r="F517">
        <f>VLOOKUP(E517,Sheet2!D:E,2,FALSE)</f>
        <v>933</v>
      </c>
      <c r="G517" t="s">
        <v>11</v>
      </c>
      <c r="H517" t="str">
        <f t="shared" si="16"/>
        <v>NAVERfilterrnd</v>
      </c>
      <c r="I517" t="str">
        <f>"filterrnd"</f>
        <v>filterrnd</v>
      </c>
      <c r="J517">
        <v>2880</v>
      </c>
      <c r="K517" s="1">
        <v>44866</v>
      </c>
      <c r="L517" t="s">
        <v>594</v>
      </c>
      <c r="M517">
        <f t="shared" si="17"/>
        <v>2880</v>
      </c>
      <c r="N517" t="e">
        <f>VLOOKUP(H517,Sheet1!G:H,2,FALSE)</f>
        <v>#N/A</v>
      </c>
      <c r="R517" t="s">
        <v>2441</v>
      </c>
      <c r="S517">
        <v>351040</v>
      </c>
    </row>
    <row r="518" spans="1:19" x14ac:dyDescent="0.3">
      <c r="A518" t="s">
        <v>8</v>
      </c>
      <c r="B518">
        <f>VLOOKUP(A518,Sheet2!B:F,5,FALSE)</f>
        <v>928</v>
      </c>
      <c r="C518" t="s">
        <v>9</v>
      </c>
      <c r="D518">
        <f>VLOOKUP(C518,Sheet2!C:G,5,FALSE)</f>
        <v>1202</v>
      </c>
      <c r="E518" t="s">
        <v>10</v>
      </c>
      <c r="F518">
        <f>VLOOKUP(E518,Sheet2!D:E,2,FALSE)</f>
        <v>939</v>
      </c>
      <c r="G518" t="s">
        <v>11</v>
      </c>
      <c r="H518" t="str">
        <f t="shared" si="16"/>
        <v>NAVERfineco</v>
      </c>
      <c r="I518" t="str">
        <f>"fineco"</f>
        <v>fineco</v>
      </c>
      <c r="J518">
        <v>324990</v>
      </c>
      <c r="K518" s="1">
        <v>44866</v>
      </c>
      <c r="L518" t="s">
        <v>595</v>
      </c>
      <c r="M518">
        <f t="shared" si="17"/>
        <v>324990</v>
      </c>
      <c r="N518" t="e">
        <f>VLOOKUP(H518,Sheet1!G:H,2,FALSE)</f>
        <v>#N/A</v>
      </c>
      <c r="R518" t="s">
        <v>2442</v>
      </c>
      <c r="S518">
        <v>1525980</v>
      </c>
    </row>
    <row r="519" spans="1:19" x14ac:dyDescent="0.3">
      <c r="A519" t="s">
        <v>8</v>
      </c>
      <c r="B519">
        <f>VLOOKUP(A519,Sheet2!B:F,5,FALSE)</f>
        <v>928</v>
      </c>
      <c r="C519" t="s">
        <v>9</v>
      </c>
      <c r="D519">
        <f>VLOOKUP(C519,Sheet2!C:G,5,FALSE)</f>
        <v>1202</v>
      </c>
      <c r="E519" t="s">
        <v>37</v>
      </c>
      <c r="F519">
        <f>VLOOKUP(E519,Sheet2!D:E,2,FALSE)</f>
        <v>81</v>
      </c>
      <c r="G519" t="s">
        <v>11</v>
      </c>
      <c r="H519" t="str">
        <f t="shared" si="16"/>
        <v>NAVERfinex97</v>
      </c>
      <c r="I519" t="str">
        <f>"finex97"</f>
        <v>finex97</v>
      </c>
      <c r="J519">
        <v>678340</v>
      </c>
      <c r="K519" s="1">
        <v>44866</v>
      </c>
      <c r="L519" t="s">
        <v>596</v>
      </c>
      <c r="M519">
        <f t="shared" si="17"/>
        <v>678340</v>
      </c>
      <c r="N519" t="e">
        <f>VLOOKUP(H519,Sheet1!G:H,2,FALSE)</f>
        <v>#N/A</v>
      </c>
      <c r="R519" t="s">
        <v>2443</v>
      </c>
      <c r="S519">
        <v>54370</v>
      </c>
    </row>
    <row r="520" spans="1:19" x14ac:dyDescent="0.3">
      <c r="A520" t="s">
        <v>8</v>
      </c>
      <c r="B520">
        <f>VLOOKUP(A520,Sheet2!B:F,5,FALSE)</f>
        <v>928</v>
      </c>
      <c r="C520" t="s">
        <v>13</v>
      </c>
      <c r="D520">
        <f>VLOOKUP(C520,Sheet2!C:G,5,FALSE)</f>
        <v>1184</v>
      </c>
      <c r="E520" t="s">
        <v>51</v>
      </c>
      <c r="F520">
        <f>VLOOKUP(E520,Sheet2!D:E,2,FALSE)</f>
        <v>1274</v>
      </c>
      <c r="G520" t="s">
        <v>11</v>
      </c>
      <c r="H520" t="str">
        <f t="shared" si="16"/>
        <v>NAVERfingals-jung89:naver</v>
      </c>
      <c r="I520" t="str">
        <f>"fingals-jung89:naver"</f>
        <v>fingals-jung89:naver</v>
      </c>
      <c r="J520">
        <v>860</v>
      </c>
      <c r="K520" s="1">
        <v>44866</v>
      </c>
      <c r="L520" t="s">
        <v>597</v>
      </c>
      <c r="M520">
        <f t="shared" si="17"/>
        <v>860</v>
      </c>
      <c r="N520" t="e">
        <f>VLOOKUP(H520,Sheet1!G:H,2,FALSE)</f>
        <v>#N/A</v>
      </c>
      <c r="R520" t="s">
        <v>2444</v>
      </c>
      <c r="S520">
        <v>1050</v>
      </c>
    </row>
    <row r="521" spans="1:19" x14ac:dyDescent="0.3">
      <c r="A521" t="s">
        <v>8</v>
      </c>
      <c r="B521">
        <f>VLOOKUP(A521,Sheet2!B:F,5,FALSE)</f>
        <v>928</v>
      </c>
      <c r="C521" t="s">
        <v>13</v>
      </c>
      <c r="D521">
        <f>VLOOKUP(C521,Sheet2!C:G,5,FALSE)</f>
        <v>1184</v>
      </c>
      <c r="E521" t="s">
        <v>335</v>
      </c>
      <c r="F521">
        <f>VLOOKUP(E521,Sheet2!D:E,2,FALSE)</f>
        <v>201090</v>
      </c>
      <c r="G521" t="s">
        <v>11</v>
      </c>
      <c r="H521" t="str">
        <f t="shared" si="16"/>
        <v>NAVERfirsteg1:naver</v>
      </c>
      <c r="I521" t="str">
        <f>"firsteg1:naver"</f>
        <v>firsteg1:naver</v>
      </c>
      <c r="J521">
        <v>17660</v>
      </c>
      <c r="K521" s="1">
        <v>44866</v>
      </c>
      <c r="L521" t="s">
        <v>598</v>
      </c>
      <c r="M521">
        <f t="shared" si="17"/>
        <v>17660</v>
      </c>
      <c r="N521" t="e">
        <f>VLOOKUP(H521,Sheet1!G:H,2,FALSE)</f>
        <v>#N/A</v>
      </c>
      <c r="R521" t="s">
        <v>2445</v>
      </c>
      <c r="S521">
        <v>98170</v>
      </c>
    </row>
    <row r="522" spans="1:19" x14ac:dyDescent="0.3">
      <c r="A522" t="s">
        <v>8</v>
      </c>
      <c r="B522">
        <f>VLOOKUP(A522,Sheet2!B:F,5,FALSE)</f>
        <v>928</v>
      </c>
      <c r="C522" t="s">
        <v>13</v>
      </c>
      <c r="D522">
        <f>VLOOKUP(C522,Sheet2!C:G,5,FALSE)</f>
        <v>1184</v>
      </c>
      <c r="E522" t="s">
        <v>14</v>
      </c>
      <c r="F522">
        <f>VLOOKUP(E522,Sheet2!D:E,2,FALSE)</f>
        <v>914</v>
      </c>
      <c r="G522" t="s">
        <v>11</v>
      </c>
      <c r="H522" t="str">
        <f t="shared" si="16"/>
        <v>NAVERfish21c3</v>
      </c>
      <c r="I522" t="str">
        <f>"fish21c3"</f>
        <v>fish21c3</v>
      </c>
      <c r="J522">
        <v>1038380</v>
      </c>
      <c r="K522" s="1">
        <v>44866</v>
      </c>
      <c r="L522" t="s">
        <v>599</v>
      </c>
      <c r="M522">
        <f t="shared" si="17"/>
        <v>1038380</v>
      </c>
      <c r="N522" t="e">
        <f>VLOOKUP(H522,Sheet1!G:H,2,FALSE)</f>
        <v>#N/A</v>
      </c>
      <c r="R522" t="s">
        <v>2446</v>
      </c>
      <c r="S522">
        <v>101590</v>
      </c>
    </row>
    <row r="523" spans="1:19" x14ac:dyDescent="0.3">
      <c r="A523" t="s">
        <v>8</v>
      </c>
      <c r="B523">
        <f>VLOOKUP(A523,Sheet2!B:F,5,FALSE)</f>
        <v>928</v>
      </c>
      <c r="C523" t="s">
        <v>9</v>
      </c>
      <c r="D523">
        <f>VLOOKUP(C523,Sheet2!C:G,5,FALSE)</f>
        <v>1202</v>
      </c>
      <c r="E523" t="s">
        <v>104</v>
      </c>
      <c r="F523">
        <f>VLOOKUP(E523,Sheet2!D:E,2,FALSE)</f>
        <v>201009</v>
      </c>
      <c r="G523" t="s">
        <v>11</v>
      </c>
      <c r="H523" t="str">
        <f t="shared" si="16"/>
        <v>NAVERflat5402</v>
      </c>
      <c r="I523" t="str">
        <f>"flat5402"</f>
        <v>flat5402</v>
      </c>
      <c r="J523">
        <v>195</v>
      </c>
      <c r="K523" s="1">
        <v>44866</v>
      </c>
      <c r="L523" t="s">
        <v>600</v>
      </c>
      <c r="M523" t="e">
        <f t="shared" si="17"/>
        <v>#N/A</v>
      </c>
      <c r="N523" t="e">
        <f>VLOOKUP(H523,Sheet1!G:H,2,FALSE)</f>
        <v>#N/A</v>
      </c>
      <c r="R523" t="s">
        <v>2447</v>
      </c>
      <c r="S523">
        <v>1118220</v>
      </c>
    </row>
    <row r="524" spans="1:19" x14ac:dyDescent="0.3">
      <c r="A524" t="s">
        <v>41</v>
      </c>
      <c r="B524">
        <f>VLOOKUP(A524,Sheet2!B:F,5,FALSE)</f>
        <v>926</v>
      </c>
      <c r="C524" t="s">
        <v>56</v>
      </c>
      <c r="D524">
        <f>VLOOKUP(C524,Sheet2!C:G,5,FALSE)</f>
        <v>1207</v>
      </c>
      <c r="E524" t="s">
        <v>57</v>
      </c>
      <c r="F524">
        <f>VLOOKUP(E524,Sheet2!D:E,2,FALSE)</f>
        <v>200982</v>
      </c>
      <c r="G524" t="s">
        <v>11</v>
      </c>
      <c r="H524" t="str">
        <f t="shared" si="16"/>
        <v>NAVERflc2006</v>
      </c>
      <c r="I524" t="str">
        <f>"flc2006"</f>
        <v>flc2006</v>
      </c>
      <c r="J524">
        <v>24100</v>
      </c>
      <c r="K524" s="1">
        <v>44866</v>
      </c>
      <c r="L524" t="s">
        <v>601</v>
      </c>
      <c r="M524">
        <f t="shared" si="17"/>
        <v>24100</v>
      </c>
      <c r="N524" t="e">
        <f>VLOOKUP(H524,Sheet1!G:H,2,FALSE)</f>
        <v>#N/A</v>
      </c>
      <c r="R524" t="s">
        <v>2448</v>
      </c>
      <c r="S524">
        <v>283810</v>
      </c>
    </row>
    <row r="525" spans="1:19" x14ac:dyDescent="0.3">
      <c r="A525" t="s">
        <v>8</v>
      </c>
      <c r="B525">
        <f>VLOOKUP(A525,Sheet2!B:F,5,FALSE)</f>
        <v>928</v>
      </c>
      <c r="C525" t="s">
        <v>9</v>
      </c>
      <c r="D525">
        <f>VLOOKUP(C525,Sheet2!C:G,5,FALSE)</f>
        <v>1202</v>
      </c>
      <c r="E525" t="s">
        <v>27</v>
      </c>
      <c r="F525">
        <f>VLOOKUP(E525,Sheet2!D:E,2,FALSE)</f>
        <v>806</v>
      </c>
      <c r="G525" t="s">
        <v>11</v>
      </c>
      <c r="H525" t="str">
        <f t="shared" si="16"/>
        <v>NAVERflduddhr:naver</v>
      </c>
      <c r="I525" t="str">
        <f>"flduddhr:naver"</f>
        <v>flduddhr:naver</v>
      </c>
      <c r="J525">
        <v>70</v>
      </c>
      <c r="K525" s="1">
        <v>44866</v>
      </c>
      <c r="L525" t="s">
        <v>602</v>
      </c>
      <c r="M525">
        <f t="shared" si="17"/>
        <v>70</v>
      </c>
      <c r="N525" t="e">
        <f>VLOOKUP(H525,Sheet1!G:H,2,FALSE)</f>
        <v>#N/A</v>
      </c>
      <c r="R525" t="s">
        <v>2449</v>
      </c>
      <c r="S525">
        <v>370080</v>
      </c>
    </row>
    <row r="526" spans="1:19" x14ac:dyDescent="0.3">
      <c r="A526" t="s">
        <v>41</v>
      </c>
      <c r="B526">
        <f>VLOOKUP(A526,Sheet2!B:F,5,FALSE)</f>
        <v>926</v>
      </c>
      <c r="C526" t="s">
        <v>56</v>
      </c>
      <c r="D526">
        <f>VLOOKUP(C526,Sheet2!C:G,5,FALSE)</f>
        <v>1207</v>
      </c>
      <c r="E526" t="s">
        <v>57</v>
      </c>
      <c r="F526">
        <f>VLOOKUP(E526,Sheet2!D:E,2,FALSE)</f>
        <v>200982</v>
      </c>
      <c r="G526" t="s">
        <v>11</v>
      </c>
      <c r="H526" t="str">
        <f t="shared" si="16"/>
        <v>NAVERflowsystem</v>
      </c>
      <c r="I526" t="str">
        <f>"flowsystem"</f>
        <v>flowsystem</v>
      </c>
      <c r="J526">
        <v>980</v>
      </c>
      <c r="K526" s="1">
        <v>44866</v>
      </c>
      <c r="L526" t="s">
        <v>603</v>
      </c>
      <c r="M526">
        <f t="shared" si="17"/>
        <v>980</v>
      </c>
      <c r="N526" t="e">
        <f>VLOOKUP(H526,Sheet1!G:H,2,FALSE)</f>
        <v>#N/A</v>
      </c>
      <c r="R526" t="s">
        <v>2450</v>
      </c>
      <c r="S526">
        <v>416810</v>
      </c>
    </row>
    <row r="527" spans="1:19" x14ac:dyDescent="0.3">
      <c r="A527" t="s">
        <v>8</v>
      </c>
      <c r="B527">
        <f>VLOOKUP(A527,Sheet2!B:F,5,FALSE)</f>
        <v>928</v>
      </c>
      <c r="C527" t="s">
        <v>604</v>
      </c>
      <c r="D527">
        <f>VLOOKUP(C527,Sheet2!C:G,5,FALSE)</f>
        <v>958</v>
      </c>
      <c r="E527" t="s">
        <v>605</v>
      </c>
      <c r="F527">
        <f>VLOOKUP(E527,Sheet2!D:E,2,FALSE)</f>
        <v>1525</v>
      </c>
      <c r="G527" t="s">
        <v>11</v>
      </c>
      <c r="H527" t="str">
        <f t="shared" si="16"/>
        <v>NAVERflyjam</v>
      </c>
      <c r="I527" t="str">
        <f>"flyjam"</f>
        <v>flyjam</v>
      </c>
      <c r="J527">
        <v>607170</v>
      </c>
      <c r="K527" s="1">
        <v>44866</v>
      </c>
      <c r="L527" t="s">
        <v>606</v>
      </c>
      <c r="M527">
        <f t="shared" si="17"/>
        <v>607170</v>
      </c>
      <c r="N527" t="e">
        <f>VLOOKUP(H527,Sheet1!G:H,2,FALSE)</f>
        <v>#N/A</v>
      </c>
      <c r="R527" t="s">
        <v>2451</v>
      </c>
      <c r="S527">
        <v>217300</v>
      </c>
    </row>
    <row r="528" spans="1:19" x14ac:dyDescent="0.3">
      <c r="A528" t="s">
        <v>8</v>
      </c>
      <c r="B528">
        <f>VLOOKUP(A528,Sheet2!B:F,5,FALSE)</f>
        <v>928</v>
      </c>
      <c r="C528" t="s">
        <v>13</v>
      </c>
      <c r="D528">
        <f>VLOOKUP(C528,Sheet2!C:G,5,FALSE)</f>
        <v>1184</v>
      </c>
      <c r="E528" t="s">
        <v>118</v>
      </c>
      <c r="F528">
        <f>VLOOKUP(E528,Sheet2!D:E,2,FALSE)</f>
        <v>201004</v>
      </c>
      <c r="G528" t="s">
        <v>11</v>
      </c>
      <c r="H528" t="str">
        <f t="shared" si="16"/>
        <v>NAVERfnaldocp</v>
      </c>
      <c r="I528" t="str">
        <f>"fnaldocp"</f>
        <v>fnaldocp</v>
      </c>
      <c r="J528">
        <v>51080</v>
      </c>
      <c r="K528" s="1">
        <v>44866</v>
      </c>
      <c r="L528" t="s">
        <v>607</v>
      </c>
      <c r="M528">
        <f t="shared" si="17"/>
        <v>51080</v>
      </c>
      <c r="N528" t="e">
        <f>VLOOKUP(H528,Sheet1!G:H,2,FALSE)</f>
        <v>#N/A</v>
      </c>
      <c r="R528" t="s">
        <v>2452</v>
      </c>
      <c r="S528">
        <v>4709580</v>
      </c>
    </row>
    <row r="529" spans="1:19" x14ac:dyDescent="0.3">
      <c r="A529" t="s">
        <v>41</v>
      </c>
      <c r="B529">
        <f>VLOOKUP(A529,Sheet2!B:F,5,FALSE)</f>
        <v>926</v>
      </c>
      <c r="C529" t="s">
        <v>56</v>
      </c>
      <c r="D529">
        <f>VLOOKUP(C529,Sheet2!C:G,5,FALSE)</f>
        <v>1207</v>
      </c>
      <c r="E529" t="s">
        <v>62</v>
      </c>
      <c r="F529">
        <f>VLOOKUP(E529,Sheet2!D:E,2,FALSE)</f>
        <v>201037</v>
      </c>
      <c r="G529" t="s">
        <v>11</v>
      </c>
      <c r="H529" t="str">
        <f t="shared" si="16"/>
        <v>NAVERfoodnote_mkt</v>
      </c>
      <c r="I529" t="str">
        <f>"foodnote_mkt"</f>
        <v>foodnote_mkt</v>
      </c>
      <c r="J529">
        <v>999980</v>
      </c>
      <c r="K529" s="1">
        <v>44866</v>
      </c>
      <c r="L529" t="s">
        <v>608</v>
      </c>
      <c r="M529">
        <f t="shared" si="17"/>
        <v>0</v>
      </c>
      <c r="N529" t="e">
        <f>VLOOKUP(H529,Sheet1!G:H,2,FALSE)</f>
        <v>#N/A</v>
      </c>
      <c r="R529" t="s">
        <v>2453</v>
      </c>
      <c r="S529">
        <v>240420</v>
      </c>
    </row>
    <row r="530" spans="1:19" x14ac:dyDescent="0.3">
      <c r="A530" t="s">
        <v>8</v>
      </c>
      <c r="B530">
        <f>VLOOKUP(A530,Sheet2!B:F,5,FALSE)</f>
        <v>928</v>
      </c>
      <c r="C530" t="s">
        <v>9</v>
      </c>
      <c r="D530">
        <f>VLOOKUP(C530,Sheet2!C:G,5,FALSE)</f>
        <v>1202</v>
      </c>
      <c r="E530" t="s">
        <v>45</v>
      </c>
      <c r="F530">
        <f>VLOOKUP(E530,Sheet2!D:E,2,FALSE)</f>
        <v>26</v>
      </c>
      <c r="G530" t="s">
        <v>11</v>
      </c>
      <c r="H530" t="str">
        <f t="shared" si="16"/>
        <v>NAVERfoodstoryb:naver</v>
      </c>
      <c r="I530" t="str">
        <f>"foodstoryb:naver"</f>
        <v>foodstoryb:naver</v>
      </c>
      <c r="J530">
        <v>42680</v>
      </c>
      <c r="K530" s="1">
        <v>44866</v>
      </c>
      <c r="L530" t="s">
        <v>609</v>
      </c>
      <c r="M530">
        <f t="shared" si="17"/>
        <v>42680</v>
      </c>
      <c r="N530" t="e">
        <f>VLOOKUP(H530,Sheet1!G:H,2,FALSE)</f>
        <v>#N/A</v>
      </c>
      <c r="R530" t="s">
        <v>2454</v>
      </c>
      <c r="S530">
        <v>75440</v>
      </c>
    </row>
    <row r="531" spans="1:19" x14ac:dyDescent="0.3">
      <c r="A531" t="s">
        <v>8</v>
      </c>
      <c r="B531">
        <f>VLOOKUP(A531,Sheet2!B:F,5,FALSE)</f>
        <v>928</v>
      </c>
      <c r="C531" t="s">
        <v>13</v>
      </c>
      <c r="D531">
        <f>VLOOKUP(C531,Sheet2!C:G,5,FALSE)</f>
        <v>1184</v>
      </c>
      <c r="E531" t="s">
        <v>217</v>
      </c>
      <c r="F531">
        <f>VLOOKUP(E531,Sheet2!D:E,2,FALSE)</f>
        <v>201027</v>
      </c>
      <c r="G531" t="s">
        <v>11</v>
      </c>
      <c r="H531" t="str">
        <f t="shared" si="16"/>
        <v>NAVERfosjys</v>
      </c>
      <c r="I531" t="str">
        <f>"fosjys"</f>
        <v>fosjys</v>
      </c>
      <c r="J531">
        <v>10310</v>
      </c>
      <c r="K531" s="1">
        <v>44866</v>
      </c>
      <c r="L531" t="s">
        <v>610</v>
      </c>
      <c r="M531">
        <f t="shared" si="17"/>
        <v>10310</v>
      </c>
      <c r="N531" t="e">
        <f>VLOOKUP(H531,Sheet1!G:H,2,FALSE)</f>
        <v>#N/A</v>
      </c>
      <c r="R531" t="s">
        <v>2455</v>
      </c>
      <c r="S531">
        <v>208180</v>
      </c>
    </row>
    <row r="532" spans="1:19" x14ac:dyDescent="0.3">
      <c r="A532" t="s">
        <v>8</v>
      </c>
      <c r="B532">
        <f>VLOOKUP(A532,Sheet2!B:F,5,FALSE)</f>
        <v>928</v>
      </c>
      <c r="C532" t="s">
        <v>9</v>
      </c>
      <c r="D532">
        <f>VLOOKUP(C532,Sheet2!C:G,5,FALSE)</f>
        <v>1202</v>
      </c>
      <c r="E532" t="s">
        <v>220</v>
      </c>
      <c r="F532">
        <f>VLOOKUP(E532,Sheet2!D:E,2,FALSE)</f>
        <v>1211</v>
      </c>
      <c r="G532" t="s">
        <v>11</v>
      </c>
      <c r="H532" t="str">
        <f t="shared" si="16"/>
        <v>NAVERfreaksandgeeks:naver</v>
      </c>
      <c r="I532" t="str">
        <f>"freaksandgeeks:naver"</f>
        <v>freaksandgeeks:naver</v>
      </c>
      <c r="J532">
        <v>635090</v>
      </c>
      <c r="K532" s="1">
        <v>44866</v>
      </c>
      <c r="L532" t="s">
        <v>611</v>
      </c>
      <c r="M532">
        <f t="shared" si="17"/>
        <v>726000</v>
      </c>
      <c r="N532" t="e">
        <f>VLOOKUP(H532,Sheet1!G:H,2,FALSE)</f>
        <v>#N/A</v>
      </c>
      <c r="R532" t="s">
        <v>2456</v>
      </c>
      <c r="S532">
        <v>310450</v>
      </c>
    </row>
    <row r="533" spans="1:19" x14ac:dyDescent="0.3">
      <c r="A533" t="s">
        <v>8</v>
      </c>
      <c r="B533">
        <f>VLOOKUP(A533,Sheet2!B:F,5,FALSE)</f>
        <v>928</v>
      </c>
      <c r="C533" t="s">
        <v>223</v>
      </c>
      <c r="D533">
        <f>VLOOKUP(C533,Sheet2!C:G,5,FALSE)</f>
        <v>966</v>
      </c>
      <c r="E533" t="s">
        <v>612</v>
      </c>
      <c r="F533">
        <f>VLOOKUP(E533,Sheet2!D:E,2,FALSE)</f>
        <v>201129</v>
      </c>
      <c r="G533" t="s">
        <v>11</v>
      </c>
      <c r="H533" t="str">
        <f t="shared" si="16"/>
        <v>NAVERfsolution</v>
      </c>
      <c r="I533" t="str">
        <f>"fsolution"</f>
        <v>fsolution</v>
      </c>
      <c r="J533">
        <v>55060222</v>
      </c>
      <c r="K533" s="1">
        <v>44866</v>
      </c>
      <c r="L533" t="s">
        <v>306</v>
      </c>
      <c r="M533">
        <f t="shared" si="17"/>
        <v>36616920</v>
      </c>
      <c r="N533" t="e">
        <f>VLOOKUP(H533,Sheet1!G:H,2,FALSE)</f>
        <v>#N/A</v>
      </c>
      <c r="R533" t="s">
        <v>2457</v>
      </c>
      <c r="S533">
        <v>70890</v>
      </c>
    </row>
    <row r="534" spans="1:19" x14ac:dyDescent="0.3">
      <c r="A534" t="s">
        <v>41</v>
      </c>
      <c r="B534">
        <f>VLOOKUP(A534,Sheet2!B:F,5,FALSE)</f>
        <v>926</v>
      </c>
      <c r="C534" t="s">
        <v>56</v>
      </c>
      <c r="D534">
        <f>VLOOKUP(C534,Sheet2!C:G,5,FALSE)</f>
        <v>1207</v>
      </c>
      <c r="E534" t="s">
        <v>253</v>
      </c>
      <c r="F534">
        <f>VLOOKUP(E534,Sheet2!D:E,2,FALSE)</f>
        <v>1328</v>
      </c>
      <c r="G534" t="s">
        <v>11</v>
      </c>
      <c r="H534" t="str">
        <f t="shared" si="16"/>
        <v>NAVERfuture1123</v>
      </c>
      <c r="I534" t="str">
        <f>"future1123"</f>
        <v>future1123</v>
      </c>
      <c r="J534">
        <v>1823440</v>
      </c>
      <c r="K534" s="1">
        <v>44866</v>
      </c>
      <c r="L534" t="s">
        <v>613</v>
      </c>
      <c r="M534">
        <f t="shared" si="17"/>
        <v>1823440</v>
      </c>
      <c r="N534" t="e">
        <f>VLOOKUP(H534,Sheet1!G:H,2,FALSE)</f>
        <v>#N/A</v>
      </c>
      <c r="R534" t="s">
        <v>2458</v>
      </c>
      <c r="S534">
        <v>80980</v>
      </c>
    </row>
    <row r="535" spans="1:19" x14ac:dyDescent="0.3">
      <c r="A535" t="s">
        <v>16</v>
      </c>
      <c r="B535">
        <f>VLOOKUP(A535,Sheet2!B:F,5,FALSE)</f>
        <v>927</v>
      </c>
      <c r="C535" t="s">
        <v>17</v>
      </c>
      <c r="D535">
        <f>VLOOKUP(C535,Sheet2!C:G,5,FALSE)</f>
        <v>1200</v>
      </c>
      <c r="E535" t="s">
        <v>66</v>
      </c>
      <c r="F535">
        <f>VLOOKUP(E535,Sheet2!D:E,2,FALSE)</f>
        <v>33</v>
      </c>
      <c r="G535" t="s">
        <v>11</v>
      </c>
      <c r="H535" t="str">
        <f t="shared" si="16"/>
        <v>NAVERg2inet</v>
      </c>
      <c r="I535" t="str">
        <f>"g2inet"</f>
        <v>g2inet</v>
      </c>
      <c r="J535">
        <v>1990130</v>
      </c>
      <c r="K535" s="1">
        <v>44866</v>
      </c>
      <c r="L535" t="s">
        <v>614</v>
      </c>
      <c r="M535">
        <f t="shared" si="17"/>
        <v>1990130</v>
      </c>
      <c r="N535" t="e">
        <f>VLOOKUP(H535,Sheet1!G:H,2,FALSE)</f>
        <v>#N/A</v>
      </c>
      <c r="R535" t="s">
        <v>2459</v>
      </c>
      <c r="S535">
        <v>12910</v>
      </c>
    </row>
    <row r="536" spans="1:19" x14ac:dyDescent="0.3">
      <c r="A536" t="s">
        <v>8</v>
      </c>
      <c r="B536">
        <f>VLOOKUP(A536,Sheet2!B:F,5,FALSE)</f>
        <v>928</v>
      </c>
      <c r="C536" t="s">
        <v>13</v>
      </c>
      <c r="D536">
        <f>VLOOKUP(C536,Sheet2!C:G,5,FALSE)</f>
        <v>1184</v>
      </c>
      <c r="E536" t="s">
        <v>51</v>
      </c>
      <c r="F536">
        <f>VLOOKUP(E536,Sheet2!D:E,2,FALSE)</f>
        <v>1274</v>
      </c>
      <c r="G536" t="s">
        <v>11</v>
      </c>
      <c r="H536" t="str">
        <f t="shared" si="16"/>
        <v>NAVERgaga7113</v>
      </c>
      <c r="I536" t="str">
        <f>"gaga7113"</f>
        <v>gaga7113</v>
      </c>
      <c r="J536">
        <v>181140</v>
      </c>
      <c r="K536" s="1">
        <v>44866</v>
      </c>
      <c r="L536" t="s">
        <v>615</v>
      </c>
      <c r="M536">
        <f t="shared" si="17"/>
        <v>181140</v>
      </c>
      <c r="N536" t="e">
        <f>VLOOKUP(H536,Sheet1!G:H,2,FALSE)</f>
        <v>#N/A</v>
      </c>
      <c r="R536" t="s">
        <v>2460</v>
      </c>
      <c r="S536">
        <v>49183</v>
      </c>
    </row>
    <row r="537" spans="1:19" x14ac:dyDescent="0.3">
      <c r="A537" t="s">
        <v>8</v>
      </c>
      <c r="B537">
        <f>VLOOKUP(A537,Sheet2!B:F,5,FALSE)</f>
        <v>928</v>
      </c>
      <c r="C537" t="s">
        <v>9</v>
      </c>
      <c r="D537">
        <f>VLOOKUP(C537,Sheet2!C:G,5,FALSE)</f>
        <v>1202</v>
      </c>
      <c r="E537" t="s">
        <v>35</v>
      </c>
      <c r="F537">
        <f>VLOOKUP(E537,Sheet2!D:E,2,FALSE)</f>
        <v>51</v>
      </c>
      <c r="G537" t="s">
        <v>11</v>
      </c>
      <c r="H537" t="str">
        <f t="shared" si="16"/>
        <v>NAVERgain5766766</v>
      </c>
      <c r="I537" t="str">
        <f>"gain5766766"</f>
        <v>gain5766766</v>
      </c>
      <c r="J537">
        <v>1634420</v>
      </c>
      <c r="K537" s="1">
        <v>44866</v>
      </c>
      <c r="L537" t="s">
        <v>616</v>
      </c>
      <c r="M537" t="e">
        <f t="shared" si="17"/>
        <v>#N/A</v>
      </c>
      <c r="N537" t="str">
        <f>VLOOKUP(H537,Sheet1!G:H,2,FALSE)</f>
        <v>광고주 직접권한삭제</v>
      </c>
      <c r="R537" t="s">
        <v>2461</v>
      </c>
      <c r="S537">
        <v>13959040</v>
      </c>
    </row>
    <row r="538" spans="1:19" x14ac:dyDescent="0.3">
      <c r="A538" t="s">
        <v>8</v>
      </c>
      <c r="B538">
        <f>VLOOKUP(A538,Sheet2!B:F,5,FALSE)</f>
        <v>928</v>
      </c>
      <c r="C538" t="s">
        <v>13</v>
      </c>
      <c r="D538">
        <f>VLOOKUP(C538,Sheet2!C:G,5,FALSE)</f>
        <v>1184</v>
      </c>
      <c r="E538" t="s">
        <v>115</v>
      </c>
      <c r="F538">
        <f>VLOOKUP(E538,Sheet2!D:E,2,FALSE)</f>
        <v>1548</v>
      </c>
      <c r="G538" t="s">
        <v>11</v>
      </c>
      <c r="H538" t="str">
        <f t="shared" si="16"/>
        <v>NAVERgalaxy1234</v>
      </c>
      <c r="I538" t="str">
        <f>"galaxy1234"</f>
        <v>galaxy1234</v>
      </c>
      <c r="J538">
        <v>9670</v>
      </c>
      <c r="K538" s="1">
        <v>44866</v>
      </c>
      <c r="L538" t="s">
        <v>617</v>
      </c>
      <c r="M538">
        <f t="shared" si="17"/>
        <v>9670</v>
      </c>
      <c r="N538" t="e">
        <f>VLOOKUP(H538,Sheet1!G:H,2,FALSE)</f>
        <v>#N/A</v>
      </c>
      <c r="R538" t="s">
        <v>2462</v>
      </c>
      <c r="S538">
        <v>4111390</v>
      </c>
    </row>
    <row r="539" spans="1:19" x14ac:dyDescent="0.3">
      <c r="A539" t="s">
        <v>8</v>
      </c>
      <c r="B539">
        <f>VLOOKUP(A539,Sheet2!B:F,5,FALSE)</f>
        <v>928</v>
      </c>
      <c r="C539" t="s">
        <v>9</v>
      </c>
      <c r="D539">
        <f>VLOOKUP(C539,Sheet2!C:G,5,FALSE)</f>
        <v>1202</v>
      </c>
      <c r="E539" t="s">
        <v>75</v>
      </c>
      <c r="F539">
        <f>VLOOKUP(E539,Sheet2!D:E,2,FALSE)</f>
        <v>50</v>
      </c>
      <c r="G539" t="s">
        <v>11</v>
      </c>
      <c r="H539" t="str">
        <f t="shared" si="16"/>
        <v>NAVERgargadise</v>
      </c>
      <c r="I539" t="str">
        <f>"gargadise"</f>
        <v>gargadise</v>
      </c>
      <c r="J539">
        <v>129220</v>
      </c>
      <c r="K539" s="1">
        <v>44866</v>
      </c>
      <c r="L539" t="s">
        <v>618</v>
      </c>
      <c r="M539">
        <f t="shared" si="17"/>
        <v>129220</v>
      </c>
      <c r="N539" t="e">
        <f>VLOOKUP(H539,Sheet1!G:H,2,FALSE)</f>
        <v>#N/A</v>
      </c>
      <c r="R539" t="s">
        <v>2463</v>
      </c>
      <c r="S539">
        <v>42320</v>
      </c>
    </row>
    <row r="540" spans="1:19" x14ac:dyDescent="0.3">
      <c r="A540" t="s">
        <v>8</v>
      </c>
      <c r="B540">
        <f>VLOOKUP(A540,Sheet2!B:F,5,FALSE)</f>
        <v>928</v>
      </c>
      <c r="C540" t="s">
        <v>9</v>
      </c>
      <c r="D540">
        <f>VLOOKUP(C540,Sheet2!C:G,5,FALSE)</f>
        <v>1202</v>
      </c>
      <c r="E540" t="s">
        <v>37</v>
      </c>
      <c r="F540">
        <f>VLOOKUP(E540,Sheet2!D:E,2,FALSE)</f>
        <v>81</v>
      </c>
      <c r="G540" t="s">
        <v>11</v>
      </c>
      <c r="H540" t="str">
        <f t="shared" si="16"/>
        <v>NAVERgayabrick</v>
      </c>
      <c r="I540" t="str">
        <f>"gayabrick"</f>
        <v>gayabrick</v>
      </c>
      <c r="J540">
        <v>222100</v>
      </c>
      <c r="K540" s="1">
        <v>44866</v>
      </c>
      <c r="L540" t="s">
        <v>619</v>
      </c>
      <c r="M540">
        <f t="shared" si="17"/>
        <v>222100</v>
      </c>
      <c r="N540" t="e">
        <f>VLOOKUP(H540,Sheet1!G:H,2,FALSE)</f>
        <v>#N/A</v>
      </c>
      <c r="R540" t="s">
        <v>2464</v>
      </c>
      <c r="S540">
        <v>2597990</v>
      </c>
    </row>
    <row r="541" spans="1:19" x14ac:dyDescent="0.3">
      <c r="A541" t="s">
        <v>16</v>
      </c>
      <c r="B541">
        <f>VLOOKUP(A541,Sheet2!B:F,5,FALSE)</f>
        <v>927</v>
      </c>
      <c r="C541" t="s">
        <v>17</v>
      </c>
      <c r="D541">
        <f>VLOOKUP(C541,Sheet2!C:G,5,FALSE)</f>
        <v>1200</v>
      </c>
      <c r="E541" t="s">
        <v>96</v>
      </c>
      <c r="F541">
        <f>VLOOKUP(E541,Sheet2!D:E,2,FALSE)</f>
        <v>1271</v>
      </c>
      <c r="G541" t="s">
        <v>11</v>
      </c>
      <c r="H541" t="str">
        <f t="shared" si="16"/>
        <v>NAVERgeniee0321:naver</v>
      </c>
      <c r="I541" t="str">
        <f>"geniee0321:naver"</f>
        <v>geniee0321:naver</v>
      </c>
      <c r="J541">
        <v>194150</v>
      </c>
      <c r="K541" s="1">
        <v>44866</v>
      </c>
      <c r="L541" t="s">
        <v>620</v>
      </c>
      <c r="M541">
        <f t="shared" si="17"/>
        <v>194150</v>
      </c>
      <c r="N541" t="e">
        <f>VLOOKUP(H541,Sheet1!G:H,2,FALSE)</f>
        <v>#N/A</v>
      </c>
      <c r="R541" t="s">
        <v>2465</v>
      </c>
      <c r="S541">
        <v>578080</v>
      </c>
    </row>
    <row r="542" spans="1:19" x14ac:dyDescent="0.3">
      <c r="A542" t="s">
        <v>41</v>
      </c>
      <c r="B542">
        <f>VLOOKUP(A542,Sheet2!B:F,5,FALSE)</f>
        <v>926</v>
      </c>
      <c r="C542" t="s">
        <v>525</v>
      </c>
      <c r="D542">
        <f>VLOOKUP(C542,Sheet2!C:G,5,FALSE)</f>
        <v>954</v>
      </c>
      <c r="E542" t="s">
        <v>526</v>
      </c>
      <c r="F542">
        <f>VLOOKUP(E542,Sheet2!D:E,2,FALSE)</f>
        <v>200999</v>
      </c>
      <c r="G542" t="s">
        <v>11</v>
      </c>
      <c r="H542" t="str">
        <f t="shared" si="16"/>
        <v>NAVERgentil</v>
      </c>
      <c r="I542" t="str">
        <f>"gentil"</f>
        <v>gentil</v>
      </c>
      <c r="J542">
        <v>79862</v>
      </c>
      <c r="K542" s="1">
        <v>44866</v>
      </c>
      <c r="L542" t="s">
        <v>621</v>
      </c>
      <c r="M542">
        <f t="shared" si="17"/>
        <v>83990</v>
      </c>
      <c r="N542" t="e">
        <f>VLOOKUP(H542,Sheet1!G:H,2,FALSE)</f>
        <v>#N/A</v>
      </c>
      <c r="R542" t="s">
        <v>2466</v>
      </c>
      <c r="S542">
        <v>371590</v>
      </c>
    </row>
    <row r="543" spans="1:19" x14ac:dyDescent="0.3">
      <c r="A543" t="s">
        <v>41</v>
      </c>
      <c r="B543">
        <f>VLOOKUP(A543,Sheet2!B:F,5,FALSE)</f>
        <v>926</v>
      </c>
      <c r="C543" t="s">
        <v>56</v>
      </c>
      <c r="D543">
        <f>VLOOKUP(C543,Sheet2!C:G,5,FALSE)</f>
        <v>1207</v>
      </c>
      <c r="E543" t="s">
        <v>57</v>
      </c>
      <c r="F543">
        <f>VLOOKUP(E543,Sheet2!D:E,2,FALSE)</f>
        <v>200982</v>
      </c>
      <c r="G543" t="s">
        <v>11</v>
      </c>
      <c r="H543" t="str">
        <f t="shared" si="16"/>
        <v>NAVERgeotechno55</v>
      </c>
      <c r="I543" t="str">
        <f>"geotechno55"</f>
        <v>geotechno55</v>
      </c>
      <c r="J543">
        <v>25230</v>
      </c>
      <c r="K543" s="1">
        <v>44866</v>
      </c>
      <c r="L543" t="s">
        <v>622</v>
      </c>
      <c r="M543">
        <f t="shared" si="17"/>
        <v>25230</v>
      </c>
      <c r="N543" t="e">
        <f>VLOOKUP(H543,Sheet1!G:H,2,FALSE)</f>
        <v>#N/A</v>
      </c>
      <c r="R543" t="s">
        <v>2467</v>
      </c>
      <c r="S543">
        <v>3923020</v>
      </c>
    </row>
    <row r="544" spans="1:19" x14ac:dyDescent="0.3">
      <c r="A544" t="s">
        <v>8</v>
      </c>
      <c r="B544">
        <f>VLOOKUP(A544,Sheet2!B:F,5,FALSE)</f>
        <v>928</v>
      </c>
      <c r="C544" t="s">
        <v>9</v>
      </c>
      <c r="D544">
        <f>VLOOKUP(C544,Sheet2!C:G,5,FALSE)</f>
        <v>1202</v>
      </c>
      <c r="E544" t="s">
        <v>27</v>
      </c>
      <c r="F544">
        <f>VLOOKUP(E544,Sheet2!D:E,2,FALSE)</f>
        <v>806</v>
      </c>
      <c r="G544" t="s">
        <v>11</v>
      </c>
      <c r="H544" t="str">
        <f t="shared" si="16"/>
        <v>NAVERgf070:naver</v>
      </c>
      <c r="I544" t="str">
        <f>"gf070:naver"</f>
        <v>gf070:naver</v>
      </c>
      <c r="J544">
        <v>700</v>
      </c>
      <c r="K544" s="1">
        <v>44866</v>
      </c>
      <c r="L544" t="s">
        <v>623</v>
      </c>
      <c r="M544">
        <f t="shared" si="17"/>
        <v>700</v>
      </c>
      <c r="N544" t="e">
        <f>VLOOKUP(H544,Sheet1!G:H,2,FALSE)</f>
        <v>#N/A</v>
      </c>
      <c r="R544" t="s">
        <v>2468</v>
      </c>
      <c r="S544">
        <v>159100</v>
      </c>
    </row>
    <row r="545" spans="1:19" x14ac:dyDescent="0.3">
      <c r="A545" t="s">
        <v>8</v>
      </c>
      <c r="B545">
        <f>VLOOKUP(A545,Sheet2!B:F,5,FALSE)</f>
        <v>928</v>
      </c>
      <c r="C545" t="s">
        <v>9</v>
      </c>
      <c r="D545">
        <f>VLOOKUP(C545,Sheet2!C:G,5,FALSE)</f>
        <v>1202</v>
      </c>
      <c r="E545" t="s">
        <v>35</v>
      </c>
      <c r="F545">
        <f>VLOOKUP(E545,Sheet2!D:E,2,FALSE)</f>
        <v>51</v>
      </c>
      <c r="G545" t="s">
        <v>11</v>
      </c>
      <c r="H545" t="str">
        <f t="shared" si="16"/>
        <v>NAVERggaggung</v>
      </c>
      <c r="I545" t="str">
        <f>"ggaggung"</f>
        <v>ggaggung</v>
      </c>
      <c r="J545">
        <v>8720</v>
      </c>
      <c r="K545" s="1">
        <v>44866</v>
      </c>
      <c r="L545" t="s">
        <v>624</v>
      </c>
      <c r="M545">
        <f t="shared" si="17"/>
        <v>8720</v>
      </c>
      <c r="N545" t="e">
        <f>VLOOKUP(H545,Sheet1!G:H,2,FALSE)</f>
        <v>#N/A</v>
      </c>
      <c r="R545" t="s">
        <v>2469</v>
      </c>
      <c r="S545">
        <v>8292730</v>
      </c>
    </row>
    <row r="546" spans="1:19" x14ac:dyDescent="0.3">
      <c r="A546" t="s">
        <v>8</v>
      </c>
      <c r="B546">
        <f>VLOOKUP(A546,Sheet2!B:F,5,FALSE)</f>
        <v>928</v>
      </c>
      <c r="C546" t="s">
        <v>9</v>
      </c>
      <c r="D546">
        <f>VLOOKUP(C546,Sheet2!C:G,5,FALSE)</f>
        <v>1202</v>
      </c>
      <c r="E546" t="s">
        <v>37</v>
      </c>
      <c r="F546">
        <f>VLOOKUP(E546,Sheet2!D:E,2,FALSE)</f>
        <v>81</v>
      </c>
      <c r="G546" t="s">
        <v>11</v>
      </c>
      <c r="H546" t="str">
        <f t="shared" si="16"/>
        <v>NAVERggu3154</v>
      </c>
      <c r="I546" t="str">
        <f>"ggu3154"</f>
        <v>ggu3154</v>
      </c>
      <c r="J546">
        <v>440990</v>
      </c>
      <c r="K546" s="1">
        <v>44866</v>
      </c>
      <c r="L546" t="s">
        <v>625</v>
      </c>
      <c r="M546">
        <f t="shared" si="17"/>
        <v>440990</v>
      </c>
      <c r="N546" t="e">
        <f>VLOOKUP(H546,Sheet1!G:H,2,FALSE)</f>
        <v>#N/A</v>
      </c>
      <c r="R546" t="s">
        <v>2470</v>
      </c>
      <c r="S546">
        <v>12081410</v>
      </c>
    </row>
    <row r="547" spans="1:19" x14ac:dyDescent="0.3">
      <c r="A547" t="s">
        <v>41</v>
      </c>
      <c r="B547">
        <f>VLOOKUP(A547,Sheet2!B:F,5,FALSE)</f>
        <v>926</v>
      </c>
      <c r="C547" t="s">
        <v>56</v>
      </c>
      <c r="D547">
        <f>VLOOKUP(C547,Sheet2!C:G,5,FALSE)</f>
        <v>1207</v>
      </c>
      <c r="E547" t="s">
        <v>253</v>
      </c>
      <c r="F547">
        <f>VLOOKUP(E547,Sheet2!D:E,2,FALSE)</f>
        <v>1328</v>
      </c>
      <c r="G547" t="s">
        <v>11</v>
      </c>
      <c r="H547" t="str">
        <f t="shared" si="16"/>
        <v>NAVERgh9031</v>
      </c>
      <c r="I547" t="str">
        <f>"gh9031"</f>
        <v>gh9031</v>
      </c>
      <c r="J547">
        <v>108920</v>
      </c>
      <c r="K547" s="1">
        <v>44866</v>
      </c>
      <c r="L547" t="s">
        <v>626</v>
      </c>
      <c r="M547">
        <f t="shared" si="17"/>
        <v>108920</v>
      </c>
      <c r="N547" t="e">
        <f>VLOOKUP(H547,Sheet1!G:H,2,FALSE)</f>
        <v>#N/A</v>
      </c>
      <c r="R547" t="s">
        <v>2471</v>
      </c>
      <c r="S547">
        <v>6620</v>
      </c>
    </row>
    <row r="548" spans="1:19" x14ac:dyDescent="0.3">
      <c r="A548" t="s">
        <v>16</v>
      </c>
      <c r="B548">
        <f>VLOOKUP(A548,Sheet2!B:F,5,FALSE)</f>
        <v>927</v>
      </c>
      <c r="C548" t="s">
        <v>17</v>
      </c>
      <c r="D548">
        <f>VLOOKUP(C548,Sheet2!C:G,5,FALSE)</f>
        <v>1200</v>
      </c>
      <c r="E548" t="s">
        <v>229</v>
      </c>
      <c r="F548">
        <f>VLOOKUP(E548,Sheet2!D:E,2,FALSE)</f>
        <v>560</v>
      </c>
      <c r="G548" t="s">
        <v>11</v>
      </c>
      <c r="H548" t="str">
        <f t="shared" si="16"/>
        <v>NAVERghbest</v>
      </c>
      <c r="I548" t="str">
        <f>"ghbest"</f>
        <v>ghbest</v>
      </c>
      <c r="J548">
        <v>261990</v>
      </c>
      <c r="K548" s="1">
        <v>44866</v>
      </c>
      <c r="L548" t="s">
        <v>627</v>
      </c>
      <c r="M548">
        <f t="shared" si="17"/>
        <v>261990</v>
      </c>
      <c r="N548" t="e">
        <f>VLOOKUP(H548,Sheet1!G:H,2,FALSE)</f>
        <v>#N/A</v>
      </c>
      <c r="R548" t="s">
        <v>2472</v>
      </c>
      <c r="S548">
        <v>9888370</v>
      </c>
    </row>
    <row r="549" spans="1:19" x14ac:dyDescent="0.3">
      <c r="A549" t="s">
        <v>41</v>
      </c>
      <c r="B549">
        <f>VLOOKUP(A549,Sheet2!B:F,5,FALSE)</f>
        <v>926</v>
      </c>
      <c r="C549" t="s">
        <v>42</v>
      </c>
      <c r="D549">
        <f>VLOOKUP(C549,Sheet2!C:G,5,FALSE)</f>
        <v>964</v>
      </c>
      <c r="E549" t="s">
        <v>43</v>
      </c>
      <c r="F549">
        <f>VLOOKUP(E549,Sheet2!D:E,2,FALSE)</f>
        <v>200998</v>
      </c>
      <c r="G549" t="s">
        <v>11</v>
      </c>
      <c r="H549" t="str">
        <f t="shared" si="16"/>
        <v>NAVERghlwlsld</v>
      </c>
      <c r="I549" t="str">
        <f>"ghlwlsld"</f>
        <v>ghlwlsld</v>
      </c>
      <c r="J549">
        <v>70</v>
      </c>
      <c r="K549" s="1">
        <v>44866</v>
      </c>
      <c r="L549" t="s">
        <v>628</v>
      </c>
      <c r="M549">
        <f t="shared" si="17"/>
        <v>70</v>
      </c>
      <c r="N549" t="e">
        <f>VLOOKUP(H549,Sheet1!G:H,2,FALSE)</f>
        <v>#N/A</v>
      </c>
      <c r="R549" t="s">
        <v>2473</v>
      </c>
      <c r="S549">
        <v>161560</v>
      </c>
    </row>
    <row r="550" spans="1:19" x14ac:dyDescent="0.3">
      <c r="A550" t="s">
        <v>16</v>
      </c>
      <c r="B550">
        <f>VLOOKUP(A550,Sheet2!B:F,5,FALSE)</f>
        <v>927</v>
      </c>
      <c r="C550" t="s">
        <v>17</v>
      </c>
      <c r="D550">
        <f>VLOOKUP(C550,Sheet2!C:G,5,FALSE)</f>
        <v>1200</v>
      </c>
      <c r="E550" t="s">
        <v>96</v>
      </c>
      <c r="F550">
        <f>VLOOKUP(E550,Sheet2!D:E,2,FALSE)</f>
        <v>1271</v>
      </c>
      <c r="G550" t="s">
        <v>11</v>
      </c>
      <c r="H550" t="str">
        <f t="shared" si="16"/>
        <v>NAVERghlwn2002</v>
      </c>
      <c r="I550" t="str">
        <f>"ghlwn2002"</f>
        <v>ghlwn2002</v>
      </c>
      <c r="J550">
        <v>2200</v>
      </c>
      <c r="K550" s="1">
        <v>44866</v>
      </c>
      <c r="L550" t="s">
        <v>629</v>
      </c>
      <c r="M550">
        <f t="shared" si="17"/>
        <v>2200</v>
      </c>
      <c r="N550" t="e">
        <f>VLOOKUP(H550,Sheet1!G:H,2,FALSE)</f>
        <v>#N/A</v>
      </c>
      <c r="R550" t="s">
        <v>2474</v>
      </c>
      <c r="S550">
        <v>895880</v>
      </c>
    </row>
    <row r="551" spans="1:19" x14ac:dyDescent="0.3">
      <c r="A551" t="s">
        <v>41</v>
      </c>
      <c r="B551">
        <f>VLOOKUP(A551,Sheet2!B:F,5,FALSE)</f>
        <v>926</v>
      </c>
      <c r="C551" t="s">
        <v>56</v>
      </c>
      <c r="D551">
        <f>VLOOKUP(C551,Sheet2!C:G,5,FALSE)</f>
        <v>1207</v>
      </c>
      <c r="E551" t="s">
        <v>62</v>
      </c>
      <c r="F551">
        <f>VLOOKUP(E551,Sheet2!D:E,2,FALSE)</f>
        <v>201037</v>
      </c>
      <c r="G551" t="s">
        <v>11</v>
      </c>
      <c r="H551" t="str">
        <f t="shared" si="16"/>
        <v>NAVERghssksek1</v>
      </c>
      <c r="I551" t="str">
        <f>"ghssksek1"</f>
        <v>ghssksek1</v>
      </c>
      <c r="J551">
        <v>17990</v>
      </c>
      <c r="K551" s="1">
        <v>44866</v>
      </c>
      <c r="L551" t="s">
        <v>630</v>
      </c>
      <c r="M551">
        <f t="shared" si="17"/>
        <v>17990</v>
      </c>
      <c r="N551" t="e">
        <f>VLOOKUP(H551,Sheet1!G:H,2,FALSE)</f>
        <v>#N/A</v>
      </c>
      <c r="R551" t="s">
        <v>2475</v>
      </c>
      <c r="S551">
        <v>36050</v>
      </c>
    </row>
    <row r="552" spans="1:19" x14ac:dyDescent="0.3">
      <c r="A552" t="s">
        <v>8</v>
      </c>
      <c r="B552">
        <f>VLOOKUP(A552,Sheet2!B:F,5,FALSE)</f>
        <v>928</v>
      </c>
      <c r="C552" t="s">
        <v>223</v>
      </c>
      <c r="D552">
        <f>VLOOKUP(C552,Sheet2!C:G,5,FALSE)</f>
        <v>966</v>
      </c>
      <c r="E552" t="s">
        <v>224</v>
      </c>
      <c r="F552">
        <f>VLOOKUP(E552,Sheet2!D:E,2,FALSE)</f>
        <v>201008</v>
      </c>
      <c r="G552" t="s">
        <v>11</v>
      </c>
      <c r="H552" t="str">
        <f t="shared" si="16"/>
        <v>NAVERghyper</v>
      </c>
      <c r="I552" t="str">
        <f>"ghyper"</f>
        <v>ghyper</v>
      </c>
      <c r="J552">
        <v>1382870</v>
      </c>
      <c r="K552" s="1">
        <v>44866</v>
      </c>
      <c r="L552" t="s">
        <v>631</v>
      </c>
      <c r="M552">
        <f t="shared" si="17"/>
        <v>1382870</v>
      </c>
      <c r="N552" t="e">
        <f>VLOOKUP(H552,Sheet1!G:H,2,FALSE)</f>
        <v>#N/A</v>
      </c>
      <c r="R552" t="s">
        <v>2476</v>
      </c>
      <c r="S552">
        <v>44270</v>
      </c>
    </row>
    <row r="553" spans="1:19" x14ac:dyDescent="0.3">
      <c r="A553" t="s">
        <v>8</v>
      </c>
      <c r="B553">
        <f>VLOOKUP(A553,Sheet2!B:F,5,FALSE)</f>
        <v>928</v>
      </c>
      <c r="C553" t="s">
        <v>13</v>
      </c>
      <c r="D553">
        <f>VLOOKUP(C553,Sheet2!C:G,5,FALSE)</f>
        <v>1184</v>
      </c>
      <c r="E553" t="s">
        <v>217</v>
      </c>
      <c r="F553">
        <f>VLOOKUP(E553,Sheet2!D:E,2,FALSE)</f>
        <v>201027</v>
      </c>
      <c r="G553" t="s">
        <v>11</v>
      </c>
      <c r="H553" t="str">
        <f t="shared" si="16"/>
        <v>NAVERgiannaflowers:naver</v>
      </c>
      <c r="I553" t="str">
        <f>"giannaflowers:naver"</f>
        <v>giannaflowers:naver</v>
      </c>
      <c r="J553">
        <v>60443</v>
      </c>
      <c r="K553" s="1">
        <v>44866</v>
      </c>
      <c r="L553" t="s">
        <v>632</v>
      </c>
      <c r="M553">
        <f t="shared" si="17"/>
        <v>60489</v>
      </c>
      <c r="N553" t="e">
        <f>VLOOKUP(H553,Sheet1!G:H,2,FALSE)</f>
        <v>#N/A</v>
      </c>
      <c r="R553" t="s">
        <v>2477</v>
      </c>
      <c r="S553">
        <v>430</v>
      </c>
    </row>
    <row r="554" spans="1:19" x14ac:dyDescent="0.3">
      <c r="A554" t="s">
        <v>41</v>
      </c>
      <c r="B554">
        <f>VLOOKUP(A554,Sheet2!B:F,5,FALSE)</f>
        <v>926</v>
      </c>
      <c r="C554" t="s">
        <v>56</v>
      </c>
      <c r="D554">
        <f>VLOOKUP(C554,Sheet2!C:G,5,FALSE)</f>
        <v>1207</v>
      </c>
      <c r="E554" t="s">
        <v>57</v>
      </c>
      <c r="F554">
        <f>VLOOKUP(E554,Sheet2!D:E,2,FALSE)</f>
        <v>200982</v>
      </c>
      <c r="G554" t="s">
        <v>11</v>
      </c>
      <c r="H554" t="str">
        <f t="shared" si="16"/>
        <v>NAVERgift2627</v>
      </c>
      <c r="I554" t="str">
        <f>"gift2627"</f>
        <v>gift2627</v>
      </c>
      <c r="J554">
        <v>129190</v>
      </c>
      <c r="K554" s="1">
        <v>44866</v>
      </c>
      <c r="L554" t="s">
        <v>633</v>
      </c>
      <c r="M554">
        <f t="shared" si="17"/>
        <v>129190</v>
      </c>
      <c r="N554" t="e">
        <f>VLOOKUP(H554,Sheet1!G:H,2,FALSE)</f>
        <v>#N/A</v>
      </c>
      <c r="R554" t="s">
        <v>2478</v>
      </c>
      <c r="S554">
        <v>7740</v>
      </c>
    </row>
    <row r="555" spans="1:19" x14ac:dyDescent="0.3">
      <c r="A555" t="s">
        <v>16</v>
      </c>
      <c r="B555">
        <f>VLOOKUP(A555,Sheet2!B:F,5,FALSE)</f>
        <v>927</v>
      </c>
      <c r="C555" t="s">
        <v>17</v>
      </c>
      <c r="D555">
        <f>VLOOKUP(C555,Sheet2!C:G,5,FALSE)</f>
        <v>1200</v>
      </c>
      <c r="E555" t="s">
        <v>96</v>
      </c>
      <c r="F555">
        <f>VLOOKUP(E555,Sheet2!D:E,2,FALSE)</f>
        <v>1271</v>
      </c>
      <c r="G555" t="s">
        <v>11</v>
      </c>
      <c r="H555" t="str">
        <f t="shared" si="16"/>
        <v>NAVERgiftcola</v>
      </c>
      <c r="I555" t="str">
        <f>"giftcola"</f>
        <v>giftcola</v>
      </c>
      <c r="J555">
        <v>930680</v>
      </c>
      <c r="K555" s="1">
        <v>44866</v>
      </c>
      <c r="L555" t="s">
        <v>634</v>
      </c>
      <c r="M555">
        <f t="shared" si="17"/>
        <v>930680</v>
      </c>
      <c r="N555" t="e">
        <f>VLOOKUP(H555,Sheet1!G:H,2,FALSE)</f>
        <v>#N/A</v>
      </c>
      <c r="R555" t="s">
        <v>2479</v>
      </c>
      <c r="S555">
        <v>88350</v>
      </c>
    </row>
    <row r="556" spans="1:19" x14ac:dyDescent="0.3">
      <c r="A556" t="s">
        <v>16</v>
      </c>
      <c r="B556">
        <f>VLOOKUP(A556,Sheet2!B:F,5,FALSE)</f>
        <v>927</v>
      </c>
      <c r="C556" t="s">
        <v>17</v>
      </c>
      <c r="D556">
        <f>VLOOKUP(C556,Sheet2!C:G,5,FALSE)</f>
        <v>1200</v>
      </c>
      <c r="E556" t="s">
        <v>100</v>
      </c>
      <c r="F556">
        <f>VLOOKUP(E556,Sheet2!D:E,2,FALSE)</f>
        <v>201038</v>
      </c>
      <c r="G556" t="s">
        <v>11</v>
      </c>
      <c r="H556" t="str">
        <f t="shared" si="16"/>
        <v>NAVERgisan031:naver</v>
      </c>
      <c r="I556" t="str">
        <f>"gisan031:naver"</f>
        <v>gisan031:naver</v>
      </c>
      <c r="J556">
        <v>202020</v>
      </c>
      <c r="K556" s="1">
        <v>44866</v>
      </c>
      <c r="L556" t="s">
        <v>635</v>
      </c>
      <c r="M556">
        <f t="shared" si="17"/>
        <v>202020</v>
      </c>
      <c r="N556" t="e">
        <f>VLOOKUP(H556,Sheet1!G:H,2,FALSE)</f>
        <v>#N/A</v>
      </c>
      <c r="R556" t="s">
        <v>2480</v>
      </c>
      <c r="S556">
        <v>40850</v>
      </c>
    </row>
    <row r="557" spans="1:19" x14ac:dyDescent="0.3">
      <c r="A557" t="s">
        <v>8</v>
      </c>
      <c r="B557">
        <f>VLOOKUP(A557,Sheet2!B:F,5,FALSE)</f>
        <v>928</v>
      </c>
      <c r="C557" t="s">
        <v>13</v>
      </c>
      <c r="D557">
        <f>VLOOKUP(C557,Sheet2!C:G,5,FALSE)</f>
        <v>1184</v>
      </c>
      <c r="E557" t="s">
        <v>14</v>
      </c>
      <c r="F557">
        <f>VLOOKUP(E557,Sheet2!D:E,2,FALSE)</f>
        <v>914</v>
      </c>
      <c r="G557" t="s">
        <v>11</v>
      </c>
      <c r="H557" t="str">
        <f t="shared" si="16"/>
        <v>NAVERgj0829</v>
      </c>
      <c r="I557" t="str">
        <f>"gj0829"</f>
        <v>gj0829</v>
      </c>
      <c r="J557">
        <v>227960</v>
      </c>
      <c r="K557" s="1">
        <v>44866</v>
      </c>
      <c r="L557" t="s">
        <v>323</v>
      </c>
      <c r="M557">
        <f t="shared" si="17"/>
        <v>227960</v>
      </c>
      <c r="N557" t="e">
        <f>VLOOKUP(H557,Sheet1!G:H,2,FALSE)</f>
        <v>#N/A</v>
      </c>
      <c r="R557" t="s">
        <v>2481</v>
      </c>
      <c r="S557">
        <v>47180</v>
      </c>
    </row>
    <row r="558" spans="1:19" x14ac:dyDescent="0.3">
      <c r="A558" t="s">
        <v>16</v>
      </c>
      <c r="B558">
        <f>VLOOKUP(A558,Sheet2!B:F,5,FALSE)</f>
        <v>927</v>
      </c>
      <c r="C558" t="s">
        <v>17</v>
      </c>
      <c r="D558">
        <f>VLOOKUP(C558,Sheet2!C:G,5,FALSE)</f>
        <v>1200</v>
      </c>
      <c r="E558" t="s">
        <v>262</v>
      </c>
      <c r="F558">
        <f>VLOOKUP(E558,Sheet2!D:E,2,FALSE)</f>
        <v>1594</v>
      </c>
      <c r="G558" t="s">
        <v>11</v>
      </c>
      <c r="H558" t="str">
        <f t="shared" si="16"/>
        <v>NAVERgjdlsdhr1</v>
      </c>
      <c r="I558" t="str">
        <f>"gjdlsdhr1"</f>
        <v>gjdlsdhr1</v>
      </c>
      <c r="J558">
        <v>47270</v>
      </c>
      <c r="K558" s="1">
        <v>44866</v>
      </c>
      <c r="L558" t="s">
        <v>636</v>
      </c>
      <c r="M558">
        <f t="shared" si="17"/>
        <v>47270</v>
      </c>
      <c r="N558" t="e">
        <f>VLOOKUP(H558,Sheet1!G:H,2,FALSE)</f>
        <v>#N/A</v>
      </c>
      <c r="R558" t="s">
        <v>2482</v>
      </c>
      <c r="S558">
        <v>1395460</v>
      </c>
    </row>
    <row r="559" spans="1:19" x14ac:dyDescent="0.3">
      <c r="A559" t="s">
        <v>8</v>
      </c>
      <c r="B559">
        <f>VLOOKUP(A559,Sheet2!B:F,5,FALSE)</f>
        <v>928</v>
      </c>
      <c r="C559" t="s">
        <v>13</v>
      </c>
      <c r="D559">
        <f>VLOOKUP(C559,Sheet2!C:G,5,FALSE)</f>
        <v>1184</v>
      </c>
      <c r="E559" t="s">
        <v>14</v>
      </c>
      <c r="F559">
        <f>VLOOKUP(E559,Sheet2!D:E,2,FALSE)</f>
        <v>914</v>
      </c>
      <c r="G559" t="s">
        <v>11</v>
      </c>
      <c r="H559" t="str">
        <f t="shared" si="16"/>
        <v>NAVERgjgosi</v>
      </c>
      <c r="I559" t="str">
        <f>"gjgosi"</f>
        <v>gjgosi</v>
      </c>
      <c r="J559">
        <v>1185670</v>
      </c>
      <c r="K559" s="1">
        <v>44866</v>
      </c>
      <c r="L559" t="s">
        <v>637</v>
      </c>
      <c r="M559">
        <f t="shared" si="17"/>
        <v>1185670</v>
      </c>
      <c r="N559" t="e">
        <f>VLOOKUP(H559,Sheet1!G:H,2,FALSE)</f>
        <v>#N/A</v>
      </c>
      <c r="R559" t="s">
        <v>2483</v>
      </c>
      <c r="S559">
        <v>630</v>
      </c>
    </row>
    <row r="560" spans="1:19" x14ac:dyDescent="0.3">
      <c r="A560" t="s">
        <v>8</v>
      </c>
      <c r="B560">
        <f>VLOOKUP(A560,Sheet2!B:F,5,FALSE)</f>
        <v>928</v>
      </c>
      <c r="C560" t="s">
        <v>13</v>
      </c>
      <c r="D560">
        <f>VLOOKUP(C560,Sheet2!C:G,5,FALSE)</f>
        <v>1184</v>
      </c>
      <c r="E560" t="s">
        <v>115</v>
      </c>
      <c r="F560">
        <f>VLOOKUP(E560,Sheet2!D:E,2,FALSE)</f>
        <v>1548</v>
      </c>
      <c r="G560" t="s">
        <v>11</v>
      </c>
      <c r="H560" t="str">
        <f t="shared" si="16"/>
        <v>NAVERgkfl1938</v>
      </c>
      <c r="I560" t="str">
        <f>"gkfl1938"</f>
        <v>gkfl1938</v>
      </c>
      <c r="J560">
        <v>60210</v>
      </c>
      <c r="K560" s="1">
        <v>44866</v>
      </c>
      <c r="L560" t="s">
        <v>638</v>
      </c>
      <c r="M560">
        <f t="shared" si="17"/>
        <v>60210</v>
      </c>
      <c r="N560" t="e">
        <f>VLOOKUP(H560,Sheet1!G:H,2,FALSE)</f>
        <v>#N/A</v>
      </c>
      <c r="R560" t="s">
        <v>2484</v>
      </c>
      <c r="S560">
        <v>1590830</v>
      </c>
    </row>
    <row r="561" spans="1:19" x14ac:dyDescent="0.3">
      <c r="A561" t="s">
        <v>8</v>
      </c>
      <c r="B561">
        <f>VLOOKUP(A561,Sheet2!B:F,5,FALSE)</f>
        <v>928</v>
      </c>
      <c r="C561" t="s">
        <v>9</v>
      </c>
      <c r="D561">
        <f>VLOOKUP(C561,Sheet2!C:G,5,FALSE)</f>
        <v>1202</v>
      </c>
      <c r="E561" t="s">
        <v>47</v>
      </c>
      <c r="F561">
        <f>VLOOKUP(E561,Sheet2!D:E,2,FALSE)</f>
        <v>898</v>
      </c>
      <c r="G561" t="s">
        <v>11</v>
      </c>
      <c r="H561" t="str">
        <f t="shared" si="16"/>
        <v>NAVERgksqh88</v>
      </c>
      <c r="I561" t="str">
        <f>"gksqh88"</f>
        <v>gksqh88</v>
      </c>
      <c r="J561">
        <v>115180</v>
      </c>
      <c r="K561" s="1">
        <v>44866</v>
      </c>
      <c r="L561" t="s">
        <v>639</v>
      </c>
      <c r="M561">
        <f t="shared" si="17"/>
        <v>115180</v>
      </c>
      <c r="N561" t="e">
        <f>VLOOKUP(H561,Sheet1!G:H,2,FALSE)</f>
        <v>#N/A</v>
      </c>
      <c r="R561" t="s">
        <v>2485</v>
      </c>
      <c r="S561">
        <v>1355450</v>
      </c>
    </row>
    <row r="562" spans="1:19" x14ac:dyDescent="0.3">
      <c r="A562" t="s">
        <v>8</v>
      </c>
      <c r="B562">
        <f>VLOOKUP(A562,Sheet2!B:F,5,FALSE)</f>
        <v>928</v>
      </c>
      <c r="C562" t="s">
        <v>9</v>
      </c>
      <c r="D562">
        <f>VLOOKUP(C562,Sheet2!C:G,5,FALSE)</f>
        <v>1202</v>
      </c>
      <c r="E562" t="s">
        <v>27</v>
      </c>
      <c r="F562">
        <f>VLOOKUP(E562,Sheet2!D:E,2,FALSE)</f>
        <v>806</v>
      </c>
      <c r="G562" t="s">
        <v>11</v>
      </c>
      <c r="H562" t="str">
        <f t="shared" si="16"/>
        <v>NAVERgksrudwn</v>
      </c>
      <c r="I562" t="str">
        <f>"gksrudwn"</f>
        <v>gksrudwn</v>
      </c>
      <c r="J562">
        <v>850</v>
      </c>
      <c r="K562" s="1">
        <v>44866</v>
      </c>
      <c r="L562" t="s">
        <v>640</v>
      </c>
      <c r="M562">
        <f t="shared" si="17"/>
        <v>850</v>
      </c>
      <c r="N562" t="e">
        <f>VLOOKUP(H562,Sheet1!G:H,2,FALSE)</f>
        <v>#N/A</v>
      </c>
      <c r="R562" t="s">
        <v>2486</v>
      </c>
      <c r="S562">
        <v>2442630</v>
      </c>
    </row>
    <row r="563" spans="1:19" x14ac:dyDescent="0.3">
      <c r="A563" t="s">
        <v>16</v>
      </c>
      <c r="B563">
        <f>VLOOKUP(A563,Sheet2!B:F,5,FALSE)</f>
        <v>927</v>
      </c>
      <c r="C563" t="s">
        <v>17</v>
      </c>
      <c r="D563">
        <f>VLOOKUP(C563,Sheet2!C:G,5,FALSE)</f>
        <v>1200</v>
      </c>
      <c r="E563" t="s">
        <v>96</v>
      </c>
      <c r="F563">
        <f>VLOOKUP(E563,Sheet2!D:E,2,FALSE)</f>
        <v>1271</v>
      </c>
      <c r="G563" t="s">
        <v>11</v>
      </c>
      <c r="H563" t="str">
        <f t="shared" si="16"/>
        <v>NAVERgkwjd5872</v>
      </c>
      <c r="I563" t="str">
        <f>"gkwjd5872"</f>
        <v>gkwjd5872</v>
      </c>
      <c r="J563">
        <v>2725960</v>
      </c>
      <c r="K563" s="1">
        <v>44866</v>
      </c>
      <c r="L563" t="s">
        <v>641</v>
      </c>
      <c r="M563">
        <f t="shared" si="17"/>
        <v>2725960</v>
      </c>
      <c r="N563" t="e">
        <f>VLOOKUP(H563,Sheet1!G:H,2,FALSE)</f>
        <v>#N/A</v>
      </c>
      <c r="R563" t="s">
        <v>2487</v>
      </c>
      <c r="S563">
        <v>40310</v>
      </c>
    </row>
    <row r="564" spans="1:19" x14ac:dyDescent="0.3">
      <c r="A564" t="s">
        <v>8</v>
      </c>
      <c r="B564">
        <f>VLOOKUP(A564,Sheet2!B:F,5,FALSE)</f>
        <v>928</v>
      </c>
      <c r="C564" t="s">
        <v>13</v>
      </c>
      <c r="D564">
        <f>VLOOKUP(C564,Sheet2!C:G,5,FALSE)</f>
        <v>1184</v>
      </c>
      <c r="E564" t="s">
        <v>14</v>
      </c>
      <c r="F564">
        <f>VLOOKUP(E564,Sheet2!D:E,2,FALSE)</f>
        <v>914</v>
      </c>
      <c r="G564" t="s">
        <v>11</v>
      </c>
      <c r="H564" t="str">
        <f t="shared" si="16"/>
        <v>NAVERgkwlgns1</v>
      </c>
      <c r="I564" t="str">
        <f>"gkwlgns1"</f>
        <v>gkwlgns1</v>
      </c>
      <c r="J564">
        <v>301460</v>
      </c>
      <c r="K564" s="1">
        <v>44866</v>
      </c>
      <c r="L564" t="s">
        <v>323</v>
      </c>
      <c r="M564">
        <f t="shared" si="17"/>
        <v>301460</v>
      </c>
      <c r="N564" t="e">
        <f>VLOOKUP(H564,Sheet1!G:H,2,FALSE)</f>
        <v>#N/A</v>
      </c>
      <c r="R564" t="s">
        <v>2488</v>
      </c>
      <c r="S564">
        <v>4382180</v>
      </c>
    </row>
    <row r="565" spans="1:19" x14ac:dyDescent="0.3">
      <c r="A565" t="s">
        <v>8</v>
      </c>
      <c r="B565">
        <f>VLOOKUP(A565,Sheet2!B:F,5,FALSE)</f>
        <v>928</v>
      </c>
      <c r="C565" t="s">
        <v>13</v>
      </c>
      <c r="D565">
        <f>VLOOKUP(C565,Sheet2!C:G,5,FALSE)</f>
        <v>1184</v>
      </c>
      <c r="E565" t="s">
        <v>51</v>
      </c>
      <c r="F565">
        <f>VLOOKUP(E565,Sheet2!D:E,2,FALSE)</f>
        <v>1274</v>
      </c>
      <c r="G565" t="s">
        <v>11</v>
      </c>
      <c r="H565" t="str">
        <f t="shared" si="16"/>
        <v>NAVERgladstudio</v>
      </c>
      <c r="I565" t="str">
        <f>"gladstudio"</f>
        <v>gladstudio</v>
      </c>
      <c r="J565">
        <v>420</v>
      </c>
      <c r="K565" s="1">
        <v>44866</v>
      </c>
      <c r="L565" t="s">
        <v>642</v>
      </c>
      <c r="M565">
        <f t="shared" si="17"/>
        <v>420</v>
      </c>
      <c r="N565" t="e">
        <f>VLOOKUP(H565,Sheet1!G:H,2,FALSE)</f>
        <v>#N/A</v>
      </c>
      <c r="R565" t="s">
        <v>2489</v>
      </c>
      <c r="S565">
        <v>216680</v>
      </c>
    </row>
    <row r="566" spans="1:19" x14ac:dyDescent="0.3">
      <c r="A566" t="s">
        <v>8</v>
      </c>
      <c r="B566">
        <f>VLOOKUP(A566,Sheet2!B:F,5,FALSE)</f>
        <v>928</v>
      </c>
      <c r="C566" t="s">
        <v>13</v>
      </c>
      <c r="D566">
        <f>VLOOKUP(C566,Sheet2!C:G,5,FALSE)</f>
        <v>1184</v>
      </c>
      <c r="E566" t="s">
        <v>14</v>
      </c>
      <c r="F566">
        <f>VLOOKUP(E566,Sheet2!D:E,2,FALSE)</f>
        <v>914</v>
      </c>
      <c r="G566" t="s">
        <v>11</v>
      </c>
      <c r="H566" t="str">
        <f t="shared" si="16"/>
        <v>NAVERgloscom</v>
      </c>
      <c r="I566" t="str">
        <f>"gloscom"</f>
        <v>gloscom</v>
      </c>
      <c r="J566">
        <v>10640</v>
      </c>
      <c r="K566" s="1">
        <v>44866</v>
      </c>
      <c r="L566" t="s">
        <v>643</v>
      </c>
      <c r="M566">
        <f t="shared" si="17"/>
        <v>10640</v>
      </c>
      <c r="N566" t="e">
        <f>VLOOKUP(H566,Sheet1!G:H,2,FALSE)</f>
        <v>#N/A</v>
      </c>
      <c r="R566" t="s">
        <v>2490</v>
      </c>
      <c r="S566">
        <v>70680</v>
      </c>
    </row>
    <row r="567" spans="1:19" x14ac:dyDescent="0.3">
      <c r="A567" t="s">
        <v>41</v>
      </c>
      <c r="B567">
        <f>VLOOKUP(A567,Sheet2!B:F,5,FALSE)</f>
        <v>926</v>
      </c>
      <c r="C567" t="s">
        <v>56</v>
      </c>
      <c r="D567">
        <f>VLOOKUP(C567,Sheet2!C:G,5,FALSE)</f>
        <v>1207</v>
      </c>
      <c r="E567" t="s">
        <v>57</v>
      </c>
      <c r="F567">
        <f>VLOOKUP(E567,Sheet2!D:E,2,FALSE)</f>
        <v>200982</v>
      </c>
      <c r="G567" t="s">
        <v>11</v>
      </c>
      <c r="H567" t="str">
        <f t="shared" si="16"/>
        <v>NAVERgluten</v>
      </c>
      <c r="I567" t="str">
        <f>"gluten"</f>
        <v>gluten</v>
      </c>
      <c r="J567">
        <v>1780680</v>
      </c>
      <c r="K567" s="1">
        <v>44866</v>
      </c>
      <c r="L567" t="s">
        <v>644</v>
      </c>
      <c r="M567">
        <f t="shared" si="17"/>
        <v>1780680</v>
      </c>
      <c r="N567" t="e">
        <f>VLOOKUP(H567,Sheet1!G:H,2,FALSE)</f>
        <v>#N/A</v>
      </c>
      <c r="R567" t="s">
        <v>2491</v>
      </c>
      <c r="S567">
        <v>738270</v>
      </c>
    </row>
    <row r="568" spans="1:19" x14ac:dyDescent="0.3">
      <c r="A568" t="s">
        <v>8</v>
      </c>
      <c r="B568">
        <f>VLOOKUP(A568,Sheet2!B:F,5,FALSE)</f>
        <v>928</v>
      </c>
      <c r="C568" t="s">
        <v>13</v>
      </c>
      <c r="D568">
        <f>VLOOKUP(C568,Sheet2!C:G,5,FALSE)</f>
        <v>1184</v>
      </c>
      <c r="E568" t="s">
        <v>51</v>
      </c>
      <c r="F568">
        <f>VLOOKUP(E568,Sheet2!D:E,2,FALSE)</f>
        <v>1274</v>
      </c>
      <c r="G568" t="s">
        <v>11</v>
      </c>
      <c r="H568" t="str">
        <f t="shared" si="16"/>
        <v>NAVERgmf0523</v>
      </c>
      <c r="I568" t="str">
        <f>"gmf0523"</f>
        <v>gmf0523</v>
      </c>
      <c r="J568">
        <v>280</v>
      </c>
      <c r="K568" s="1">
        <v>44866</v>
      </c>
      <c r="L568" t="s">
        <v>645</v>
      </c>
      <c r="M568">
        <f t="shared" si="17"/>
        <v>280</v>
      </c>
      <c r="N568" t="e">
        <f>VLOOKUP(H568,Sheet1!G:H,2,FALSE)</f>
        <v>#N/A</v>
      </c>
      <c r="R568" t="s">
        <v>2492</v>
      </c>
      <c r="S568">
        <v>177160</v>
      </c>
    </row>
    <row r="569" spans="1:19" x14ac:dyDescent="0.3">
      <c r="A569" t="s">
        <v>8</v>
      </c>
      <c r="B569">
        <f>VLOOKUP(A569,Sheet2!B:F,5,FALSE)</f>
        <v>928</v>
      </c>
      <c r="C569" t="s">
        <v>13</v>
      </c>
      <c r="D569">
        <f>VLOOKUP(C569,Sheet2!C:G,5,FALSE)</f>
        <v>1184</v>
      </c>
      <c r="E569" t="s">
        <v>51</v>
      </c>
      <c r="F569">
        <f>VLOOKUP(E569,Sheet2!D:E,2,FALSE)</f>
        <v>1274</v>
      </c>
      <c r="G569" t="s">
        <v>11</v>
      </c>
      <c r="H569" t="str">
        <f t="shared" si="16"/>
        <v>NAVERgmq1004</v>
      </c>
      <c r="I569" t="str">
        <f>"gmq1004"</f>
        <v>gmq1004</v>
      </c>
      <c r="J569">
        <v>140</v>
      </c>
      <c r="K569" s="1">
        <v>44866</v>
      </c>
      <c r="L569" t="s">
        <v>646</v>
      </c>
      <c r="M569">
        <f t="shared" si="17"/>
        <v>140</v>
      </c>
      <c r="N569" t="e">
        <f>VLOOKUP(H569,Sheet1!G:H,2,FALSE)</f>
        <v>#N/A</v>
      </c>
      <c r="R569" t="s">
        <v>2493</v>
      </c>
      <c r="S569">
        <v>197940</v>
      </c>
    </row>
    <row r="570" spans="1:19" x14ac:dyDescent="0.3">
      <c r="A570" t="s">
        <v>8</v>
      </c>
      <c r="B570">
        <f>VLOOKUP(A570,Sheet2!B:F,5,FALSE)</f>
        <v>928</v>
      </c>
      <c r="C570" t="s">
        <v>9</v>
      </c>
      <c r="D570">
        <f>VLOOKUP(C570,Sheet2!C:G,5,FALSE)</f>
        <v>1202</v>
      </c>
      <c r="E570" t="s">
        <v>33</v>
      </c>
      <c r="F570">
        <f>VLOOKUP(E570,Sheet2!D:E,2,FALSE)</f>
        <v>933</v>
      </c>
      <c r="G570" t="s">
        <v>11</v>
      </c>
      <c r="H570" t="str">
        <f t="shared" si="16"/>
        <v>NAVERgo2maple</v>
      </c>
      <c r="I570" t="str">
        <f>"go2maple"</f>
        <v>go2maple</v>
      </c>
      <c r="J570">
        <v>6860</v>
      </c>
      <c r="K570" s="1">
        <v>44866</v>
      </c>
      <c r="L570" t="s">
        <v>647</v>
      </c>
      <c r="M570">
        <f t="shared" si="17"/>
        <v>6860</v>
      </c>
      <c r="N570" t="e">
        <f>VLOOKUP(H570,Sheet1!G:H,2,FALSE)</f>
        <v>#N/A</v>
      </c>
      <c r="R570" t="s">
        <v>2494</v>
      </c>
      <c r="S570">
        <v>54190</v>
      </c>
    </row>
    <row r="571" spans="1:19" x14ac:dyDescent="0.3">
      <c r="A571" t="s">
        <v>8</v>
      </c>
      <c r="B571">
        <f>VLOOKUP(A571,Sheet2!B:F,5,FALSE)</f>
        <v>928</v>
      </c>
      <c r="C571" t="s">
        <v>9</v>
      </c>
      <c r="D571">
        <f>VLOOKUP(C571,Sheet2!C:G,5,FALSE)</f>
        <v>1202</v>
      </c>
      <c r="E571" t="s">
        <v>75</v>
      </c>
      <c r="F571">
        <f>VLOOKUP(E571,Sheet2!D:E,2,FALSE)</f>
        <v>50</v>
      </c>
      <c r="G571" t="s">
        <v>11</v>
      </c>
      <c r="H571" t="str">
        <f t="shared" si="16"/>
        <v>NAVERgogo9016</v>
      </c>
      <c r="I571" t="str">
        <f>"gogo9016"</f>
        <v>gogo9016</v>
      </c>
      <c r="J571">
        <v>5293450</v>
      </c>
      <c r="K571" s="1">
        <v>44866</v>
      </c>
      <c r="L571" t="s">
        <v>648</v>
      </c>
      <c r="M571">
        <f t="shared" si="17"/>
        <v>5293450</v>
      </c>
      <c r="N571" t="e">
        <f>VLOOKUP(H571,Sheet1!G:H,2,FALSE)</f>
        <v>#N/A</v>
      </c>
      <c r="R571" t="s">
        <v>2495</v>
      </c>
      <c r="S571">
        <v>10980</v>
      </c>
    </row>
    <row r="572" spans="1:19" x14ac:dyDescent="0.3">
      <c r="A572" t="s">
        <v>8</v>
      </c>
      <c r="B572">
        <f>VLOOKUP(A572,Sheet2!B:F,5,FALSE)</f>
        <v>928</v>
      </c>
      <c r="C572" t="s">
        <v>9</v>
      </c>
      <c r="D572">
        <f>VLOOKUP(C572,Sheet2!C:G,5,FALSE)</f>
        <v>1202</v>
      </c>
      <c r="E572" t="s">
        <v>45</v>
      </c>
      <c r="F572">
        <f>VLOOKUP(E572,Sheet2!D:E,2,FALSE)</f>
        <v>26</v>
      </c>
      <c r="G572" t="s">
        <v>11</v>
      </c>
      <c r="H572" t="str">
        <f t="shared" si="16"/>
        <v>NAVERgold-future:naver</v>
      </c>
      <c r="I572" t="str">
        <f>"gold-future:naver"</f>
        <v>gold-future:naver</v>
      </c>
      <c r="J572">
        <v>23039460</v>
      </c>
      <c r="K572" s="1">
        <v>44866</v>
      </c>
      <c r="L572" t="s">
        <v>649</v>
      </c>
      <c r="M572">
        <f t="shared" si="17"/>
        <v>22039480</v>
      </c>
      <c r="N572" t="e">
        <f>VLOOKUP(H572,Sheet1!G:H,2,FALSE)</f>
        <v>#N/A</v>
      </c>
      <c r="R572" t="s">
        <v>2496</v>
      </c>
      <c r="S572">
        <v>871920</v>
      </c>
    </row>
    <row r="573" spans="1:19" x14ac:dyDescent="0.3">
      <c r="A573" t="s">
        <v>8</v>
      </c>
      <c r="B573">
        <f>VLOOKUP(A573,Sheet2!B:F,5,FALSE)</f>
        <v>928</v>
      </c>
      <c r="C573" t="s">
        <v>9</v>
      </c>
      <c r="D573">
        <f>VLOOKUP(C573,Sheet2!C:G,5,FALSE)</f>
        <v>1202</v>
      </c>
      <c r="E573" t="s">
        <v>37</v>
      </c>
      <c r="F573">
        <f>VLOOKUP(E573,Sheet2!D:E,2,FALSE)</f>
        <v>81</v>
      </c>
      <c r="G573" t="s">
        <v>11</v>
      </c>
      <c r="H573" t="str">
        <f t="shared" si="16"/>
        <v>NAVERgoldenpalace</v>
      </c>
      <c r="I573" t="str">
        <f>"goldenpalace"</f>
        <v>goldenpalace</v>
      </c>
      <c r="J573">
        <v>2224048</v>
      </c>
      <c r="K573" s="1">
        <v>44866</v>
      </c>
      <c r="L573" t="s">
        <v>650</v>
      </c>
      <c r="M573">
        <f t="shared" si="17"/>
        <v>1357400</v>
      </c>
      <c r="N573" t="e">
        <f>VLOOKUP(H573,Sheet1!G:H,2,FALSE)</f>
        <v>#N/A</v>
      </c>
      <c r="R573" t="s">
        <v>2497</v>
      </c>
      <c r="S573">
        <v>19080</v>
      </c>
    </row>
    <row r="574" spans="1:19" x14ac:dyDescent="0.3">
      <c r="A574" t="s">
        <v>8</v>
      </c>
      <c r="B574">
        <f>VLOOKUP(A574,Sheet2!B:F,5,FALSE)</f>
        <v>928</v>
      </c>
      <c r="C574" t="s">
        <v>9</v>
      </c>
      <c r="D574">
        <f>VLOOKUP(C574,Sheet2!C:G,5,FALSE)</f>
        <v>1202</v>
      </c>
      <c r="E574" t="s">
        <v>10</v>
      </c>
      <c r="F574">
        <f>VLOOKUP(E574,Sheet2!D:E,2,FALSE)</f>
        <v>939</v>
      </c>
      <c r="G574" t="s">
        <v>11</v>
      </c>
      <c r="H574" t="str">
        <f t="shared" si="16"/>
        <v>NAVERgoldstar7747</v>
      </c>
      <c r="I574" t="str">
        <f>"goldstar7747"</f>
        <v>goldstar7747</v>
      </c>
      <c r="J574">
        <v>799700</v>
      </c>
      <c r="K574" s="1">
        <v>44866</v>
      </c>
      <c r="L574" t="s">
        <v>651</v>
      </c>
      <c r="M574">
        <f t="shared" si="17"/>
        <v>799700</v>
      </c>
      <c r="N574" t="e">
        <f>VLOOKUP(H574,Sheet1!G:H,2,FALSE)</f>
        <v>#N/A</v>
      </c>
      <c r="R574" t="s">
        <v>2498</v>
      </c>
      <c r="S574">
        <v>48500</v>
      </c>
    </row>
    <row r="575" spans="1:19" x14ac:dyDescent="0.3">
      <c r="A575" t="s">
        <v>8</v>
      </c>
      <c r="B575">
        <f>VLOOKUP(A575,Sheet2!B:F,5,FALSE)</f>
        <v>928</v>
      </c>
      <c r="C575" t="s">
        <v>9</v>
      </c>
      <c r="D575">
        <f>VLOOKUP(C575,Sheet2!C:G,5,FALSE)</f>
        <v>1202</v>
      </c>
      <c r="E575" t="s">
        <v>75</v>
      </c>
      <c r="F575">
        <f>VLOOKUP(E575,Sheet2!D:E,2,FALSE)</f>
        <v>50</v>
      </c>
      <c r="G575" t="s">
        <v>11</v>
      </c>
      <c r="H575" t="str">
        <f t="shared" si="16"/>
        <v>NAVERgombo56:naver</v>
      </c>
      <c r="I575" t="str">
        <f>"gombo56:naver"</f>
        <v>gombo56:naver</v>
      </c>
      <c r="J575">
        <v>244880</v>
      </c>
      <c r="K575" s="1">
        <v>44866</v>
      </c>
      <c r="L575" t="s">
        <v>400</v>
      </c>
      <c r="M575">
        <f t="shared" si="17"/>
        <v>244880</v>
      </c>
      <c r="N575" t="e">
        <f>VLOOKUP(H575,Sheet1!G:H,2,FALSE)</f>
        <v>#N/A</v>
      </c>
      <c r="R575" t="s">
        <v>2499</v>
      </c>
      <c r="S575">
        <v>3070</v>
      </c>
    </row>
    <row r="576" spans="1:19" x14ac:dyDescent="0.3">
      <c r="A576" t="s">
        <v>8</v>
      </c>
      <c r="B576">
        <f>VLOOKUP(A576,Sheet2!B:F,5,FALSE)</f>
        <v>928</v>
      </c>
      <c r="C576" t="s">
        <v>9</v>
      </c>
      <c r="D576">
        <f>VLOOKUP(C576,Sheet2!C:G,5,FALSE)</f>
        <v>1202</v>
      </c>
      <c r="E576" t="s">
        <v>31</v>
      </c>
      <c r="F576">
        <f>VLOOKUP(E576,Sheet2!D:E,2,FALSE)</f>
        <v>1040</v>
      </c>
      <c r="G576" t="s">
        <v>11</v>
      </c>
      <c r="H576" t="str">
        <f t="shared" si="16"/>
        <v>NAVERgongdangi047:naver</v>
      </c>
      <c r="I576" t="str">
        <f>"gongdangi047:naver"</f>
        <v>gongdangi047:naver</v>
      </c>
      <c r="J576">
        <v>137000</v>
      </c>
      <c r="K576" s="1">
        <v>44866</v>
      </c>
      <c r="L576" t="s">
        <v>652</v>
      </c>
      <c r="M576">
        <f t="shared" si="17"/>
        <v>137000</v>
      </c>
      <c r="N576" t="e">
        <f>VLOOKUP(H576,Sheet1!G:H,2,FALSE)</f>
        <v>#N/A</v>
      </c>
      <c r="R576" t="s">
        <v>2500</v>
      </c>
      <c r="S576">
        <v>3860</v>
      </c>
    </row>
    <row r="577" spans="1:19" x14ac:dyDescent="0.3">
      <c r="A577" t="s">
        <v>22</v>
      </c>
      <c r="B577">
        <f>VLOOKUP(A577,Sheet2!B:F,5,FALSE)</f>
        <v>809</v>
      </c>
      <c r="C577" t="s">
        <v>23</v>
      </c>
      <c r="D577">
        <f>VLOOKUP(C577,Sheet2!C:G,5,FALSE)</f>
        <v>810</v>
      </c>
      <c r="E577" t="s">
        <v>24</v>
      </c>
      <c r="F577">
        <f>VLOOKUP(E577,Sheet2!D:E,2,FALSE)</f>
        <v>201032</v>
      </c>
      <c r="G577" t="s">
        <v>11</v>
      </c>
      <c r="H577" t="str">
        <f t="shared" si="16"/>
        <v>NAVERgony0211</v>
      </c>
      <c r="I577" t="str">
        <f>"gony0211"</f>
        <v>gony0211</v>
      </c>
      <c r="J577">
        <v>42860</v>
      </c>
      <c r="K577" s="1">
        <v>44866</v>
      </c>
      <c r="L577" t="s">
        <v>653</v>
      </c>
      <c r="M577">
        <f t="shared" si="17"/>
        <v>42860</v>
      </c>
      <c r="N577" t="e">
        <f>VLOOKUP(H577,Sheet1!G:H,2,FALSE)</f>
        <v>#N/A</v>
      </c>
      <c r="R577" t="s">
        <v>2501</v>
      </c>
      <c r="S577">
        <v>62906500</v>
      </c>
    </row>
    <row r="578" spans="1:19" x14ac:dyDescent="0.3">
      <c r="A578" t="s">
        <v>16</v>
      </c>
      <c r="B578">
        <f>VLOOKUP(A578,Sheet2!B:F,5,FALSE)</f>
        <v>927</v>
      </c>
      <c r="C578" t="s">
        <v>17</v>
      </c>
      <c r="D578">
        <f>VLOOKUP(C578,Sheet2!C:G,5,FALSE)</f>
        <v>1200</v>
      </c>
      <c r="E578" t="s">
        <v>170</v>
      </c>
      <c r="F578">
        <f>VLOOKUP(E578,Sheet2!D:E,2,FALSE)</f>
        <v>1530</v>
      </c>
      <c r="G578" t="s">
        <v>11</v>
      </c>
      <c r="H578" t="str">
        <f t="shared" si="16"/>
        <v>NAVERgoodsesang</v>
      </c>
      <c r="I578" t="str">
        <f>"goodsesang"</f>
        <v>goodsesang</v>
      </c>
      <c r="J578">
        <v>255920</v>
      </c>
      <c r="K578" s="1">
        <v>44866</v>
      </c>
      <c r="L578" t="s">
        <v>654</v>
      </c>
      <c r="M578">
        <f t="shared" si="17"/>
        <v>255920</v>
      </c>
      <c r="N578" t="e">
        <f>VLOOKUP(H578,Sheet1!G:H,2,FALSE)</f>
        <v>#N/A</v>
      </c>
      <c r="R578" t="s">
        <v>2502</v>
      </c>
      <c r="S578">
        <v>266510</v>
      </c>
    </row>
    <row r="579" spans="1:19" x14ac:dyDescent="0.3">
      <c r="A579" t="s">
        <v>16</v>
      </c>
      <c r="B579">
        <f>VLOOKUP(A579,Sheet2!B:F,5,FALSE)</f>
        <v>927</v>
      </c>
      <c r="C579" t="s">
        <v>17</v>
      </c>
      <c r="D579">
        <f>VLOOKUP(C579,Sheet2!C:G,5,FALSE)</f>
        <v>1200</v>
      </c>
      <c r="E579" t="s">
        <v>371</v>
      </c>
      <c r="F579">
        <f>VLOOKUP(E579,Sheet2!D:E,2,FALSE)</f>
        <v>551</v>
      </c>
      <c r="G579" t="s">
        <v>11</v>
      </c>
      <c r="H579" t="str">
        <f t="shared" ref="H579:H642" si="18">CONCATENATE(G579,I579)</f>
        <v>NAVERgoooda</v>
      </c>
      <c r="I579" t="str">
        <f>"goooda"</f>
        <v>goooda</v>
      </c>
      <c r="J579">
        <v>4240</v>
      </c>
      <c r="K579" s="1">
        <v>44866</v>
      </c>
      <c r="L579" t="s">
        <v>655</v>
      </c>
      <c r="M579">
        <f t="shared" ref="M579:M642" si="19">VLOOKUP(H579,R:S,2,FALSE)</f>
        <v>4240</v>
      </c>
      <c r="N579" t="e">
        <f>VLOOKUP(H579,Sheet1!G:H,2,FALSE)</f>
        <v>#N/A</v>
      </c>
      <c r="R579" t="s">
        <v>2503</v>
      </c>
      <c r="S579">
        <v>700</v>
      </c>
    </row>
    <row r="580" spans="1:19" x14ac:dyDescent="0.3">
      <c r="A580" t="s">
        <v>16</v>
      </c>
      <c r="B580">
        <f>VLOOKUP(A580,Sheet2!B:F,5,FALSE)</f>
        <v>927</v>
      </c>
      <c r="C580" t="s">
        <v>17</v>
      </c>
      <c r="D580">
        <f>VLOOKUP(C580,Sheet2!C:G,5,FALSE)</f>
        <v>1200</v>
      </c>
      <c r="E580" t="s">
        <v>170</v>
      </c>
      <c r="F580">
        <f>VLOOKUP(E580,Sheet2!D:E,2,FALSE)</f>
        <v>1530</v>
      </c>
      <c r="G580" t="s">
        <v>11</v>
      </c>
      <c r="H580" t="str">
        <f t="shared" si="18"/>
        <v>NAVERgozipfood</v>
      </c>
      <c r="I580" t="str">
        <f>"gozipfood"</f>
        <v>gozipfood</v>
      </c>
      <c r="J580">
        <v>4198210</v>
      </c>
      <c r="K580" s="1">
        <v>44866</v>
      </c>
      <c r="L580" t="s">
        <v>656</v>
      </c>
      <c r="M580">
        <f t="shared" si="19"/>
        <v>4198210</v>
      </c>
      <c r="N580" t="e">
        <f>VLOOKUP(H580,Sheet1!G:H,2,FALSE)</f>
        <v>#N/A</v>
      </c>
      <c r="R580" t="s">
        <v>2504</v>
      </c>
      <c r="S580">
        <v>37990</v>
      </c>
    </row>
    <row r="581" spans="1:19" x14ac:dyDescent="0.3">
      <c r="A581" t="s">
        <v>16</v>
      </c>
      <c r="B581">
        <f>VLOOKUP(A581,Sheet2!B:F,5,FALSE)</f>
        <v>927</v>
      </c>
      <c r="C581" t="s">
        <v>17</v>
      </c>
      <c r="D581">
        <f>VLOOKUP(C581,Sheet2!C:G,5,FALSE)</f>
        <v>1200</v>
      </c>
      <c r="E581" t="s">
        <v>244</v>
      </c>
      <c r="F581">
        <f>VLOOKUP(E581,Sheet2!D:E,2,FALSE)</f>
        <v>817</v>
      </c>
      <c r="G581" t="s">
        <v>11</v>
      </c>
      <c r="H581" t="str">
        <f t="shared" si="18"/>
        <v>NAVERgraducks</v>
      </c>
      <c r="I581" t="str">
        <f>"graducks"</f>
        <v>graducks</v>
      </c>
      <c r="J581">
        <v>41510</v>
      </c>
      <c r="K581" s="1">
        <v>44866</v>
      </c>
      <c r="L581" t="s">
        <v>657</v>
      </c>
      <c r="M581">
        <f t="shared" si="19"/>
        <v>41510</v>
      </c>
      <c r="N581" t="e">
        <f>VLOOKUP(H581,Sheet1!G:H,2,FALSE)</f>
        <v>#N/A</v>
      </c>
      <c r="R581" t="s">
        <v>2505</v>
      </c>
      <c r="S581">
        <v>88470</v>
      </c>
    </row>
    <row r="582" spans="1:19" x14ac:dyDescent="0.3">
      <c r="A582" t="s">
        <v>8</v>
      </c>
      <c r="B582">
        <f>VLOOKUP(A582,Sheet2!B:F,5,FALSE)</f>
        <v>928</v>
      </c>
      <c r="C582" t="s">
        <v>13</v>
      </c>
      <c r="D582">
        <f>VLOOKUP(C582,Sheet2!C:G,5,FALSE)</f>
        <v>1184</v>
      </c>
      <c r="E582" t="s">
        <v>51</v>
      </c>
      <c r="F582">
        <f>VLOOKUP(E582,Sheet2!D:E,2,FALSE)</f>
        <v>1274</v>
      </c>
      <c r="G582" t="s">
        <v>11</v>
      </c>
      <c r="H582" t="str">
        <f t="shared" si="18"/>
        <v>NAVERgreattao1</v>
      </c>
      <c r="I582" t="str">
        <f>"greattao1"</f>
        <v>greattao1</v>
      </c>
      <c r="J582">
        <v>4230420</v>
      </c>
      <c r="K582" s="1">
        <v>44866</v>
      </c>
      <c r="L582" t="s">
        <v>658</v>
      </c>
      <c r="M582">
        <f t="shared" si="19"/>
        <v>4230420</v>
      </c>
      <c r="N582" t="e">
        <f>VLOOKUP(H582,Sheet1!G:H,2,FALSE)</f>
        <v>#N/A</v>
      </c>
      <c r="R582" t="s">
        <v>2506</v>
      </c>
      <c r="S582">
        <v>0</v>
      </c>
    </row>
    <row r="583" spans="1:19" x14ac:dyDescent="0.3">
      <c r="A583" t="s">
        <v>8</v>
      </c>
      <c r="B583">
        <f>VLOOKUP(A583,Sheet2!B:F,5,FALSE)</f>
        <v>928</v>
      </c>
      <c r="C583" t="s">
        <v>9</v>
      </c>
      <c r="D583">
        <f>VLOOKUP(C583,Sheet2!C:G,5,FALSE)</f>
        <v>1202</v>
      </c>
      <c r="E583" t="s">
        <v>39</v>
      </c>
      <c r="F583">
        <f>VLOOKUP(E583,Sheet2!D:E,2,FALSE)</f>
        <v>25</v>
      </c>
      <c r="G583" t="s">
        <v>11</v>
      </c>
      <c r="H583" t="str">
        <f t="shared" si="18"/>
        <v>NAVERgreen12</v>
      </c>
      <c r="I583" t="str">
        <f>"green12"</f>
        <v>green12</v>
      </c>
      <c r="J583">
        <v>726430</v>
      </c>
      <c r="K583" s="1">
        <v>44866</v>
      </c>
      <c r="L583" t="s">
        <v>659</v>
      </c>
      <c r="M583">
        <f t="shared" si="19"/>
        <v>726430</v>
      </c>
      <c r="N583" t="e">
        <f>VLOOKUP(H583,Sheet1!G:H,2,FALSE)</f>
        <v>#N/A</v>
      </c>
      <c r="R583" t="s">
        <v>2507</v>
      </c>
      <c r="S583">
        <v>225930</v>
      </c>
    </row>
    <row r="584" spans="1:19" x14ac:dyDescent="0.3">
      <c r="A584" t="s">
        <v>8</v>
      </c>
      <c r="B584">
        <f>VLOOKUP(A584,Sheet2!B:F,5,FALSE)</f>
        <v>928</v>
      </c>
      <c r="C584" t="s">
        <v>9</v>
      </c>
      <c r="D584">
        <f>VLOOKUP(C584,Sheet2!C:G,5,FALSE)</f>
        <v>1202</v>
      </c>
      <c r="E584" t="s">
        <v>73</v>
      </c>
      <c r="F584">
        <f>VLOOKUP(E584,Sheet2!D:E,2,FALSE)</f>
        <v>895</v>
      </c>
      <c r="G584" t="s">
        <v>11</v>
      </c>
      <c r="H584" t="str">
        <f t="shared" si="18"/>
        <v>NAVERgreenbay</v>
      </c>
      <c r="I584" t="str">
        <f>"greenbay"</f>
        <v>greenbay</v>
      </c>
      <c r="J584">
        <v>182890</v>
      </c>
      <c r="K584" s="1">
        <v>44866</v>
      </c>
      <c r="L584" t="s">
        <v>660</v>
      </c>
      <c r="M584" t="e">
        <f t="shared" si="19"/>
        <v>#N/A</v>
      </c>
      <c r="N584" t="str">
        <f>VLOOKUP(H584,Sheet1!G:H,2,FALSE)</f>
        <v>광고주 연락두절</v>
      </c>
      <c r="R584" t="s">
        <v>2508</v>
      </c>
      <c r="S584">
        <v>15250</v>
      </c>
    </row>
    <row r="585" spans="1:19" x14ac:dyDescent="0.3">
      <c r="A585" t="s">
        <v>8</v>
      </c>
      <c r="B585">
        <f>VLOOKUP(A585,Sheet2!B:F,5,FALSE)</f>
        <v>928</v>
      </c>
      <c r="C585" t="s">
        <v>13</v>
      </c>
      <c r="D585">
        <f>VLOOKUP(C585,Sheet2!C:G,5,FALSE)</f>
        <v>1184</v>
      </c>
      <c r="E585" t="s">
        <v>661</v>
      </c>
      <c r="F585">
        <f>VLOOKUP(E585,Sheet2!D:E,2,FALSE)</f>
        <v>200969</v>
      </c>
      <c r="G585" t="s">
        <v>11</v>
      </c>
      <c r="H585" t="str">
        <f t="shared" si="18"/>
        <v>NAVERgreencross</v>
      </c>
      <c r="I585" t="str">
        <f>"greencross"</f>
        <v>greencross</v>
      </c>
      <c r="J585">
        <v>31367538</v>
      </c>
      <c r="K585" s="1">
        <v>44866</v>
      </c>
      <c r="L585" t="s">
        <v>662</v>
      </c>
      <c r="M585">
        <f t="shared" si="19"/>
        <v>19307580</v>
      </c>
      <c r="N585" t="e">
        <f>VLOOKUP(H585,Sheet1!G:H,2,FALSE)</f>
        <v>#N/A</v>
      </c>
      <c r="R585" t="s">
        <v>2509</v>
      </c>
      <c r="S585">
        <v>67650</v>
      </c>
    </row>
    <row r="586" spans="1:19" x14ac:dyDescent="0.3">
      <c r="A586" t="s">
        <v>16</v>
      </c>
      <c r="B586">
        <f>VLOOKUP(A586,Sheet2!B:F,5,FALSE)</f>
        <v>927</v>
      </c>
      <c r="C586" t="s">
        <v>17</v>
      </c>
      <c r="D586">
        <f>VLOOKUP(C586,Sheet2!C:G,5,FALSE)</f>
        <v>1200</v>
      </c>
      <c r="E586" t="s">
        <v>96</v>
      </c>
      <c r="F586">
        <f>VLOOKUP(E586,Sheet2!D:E,2,FALSE)</f>
        <v>1271</v>
      </c>
      <c r="G586" t="s">
        <v>11</v>
      </c>
      <c r="H586" t="str">
        <f t="shared" si="18"/>
        <v>NAVERgreenfood1008:naver</v>
      </c>
      <c r="I586" t="str">
        <f>"greenfood1008:naver"</f>
        <v>greenfood1008:naver</v>
      </c>
      <c r="J586">
        <v>7324540</v>
      </c>
      <c r="K586" s="1">
        <v>44866</v>
      </c>
      <c r="L586" t="s">
        <v>663</v>
      </c>
      <c r="M586">
        <f t="shared" si="19"/>
        <v>7420500</v>
      </c>
      <c r="N586" t="e">
        <f>VLOOKUP(H586,Sheet1!G:H,2,FALSE)</f>
        <v>#N/A</v>
      </c>
      <c r="R586" t="s">
        <v>2510</v>
      </c>
      <c r="S586">
        <v>114860</v>
      </c>
    </row>
    <row r="587" spans="1:19" x14ac:dyDescent="0.3">
      <c r="A587" t="s">
        <v>8</v>
      </c>
      <c r="B587">
        <f>VLOOKUP(A587,Sheet2!B:F,5,FALSE)</f>
        <v>928</v>
      </c>
      <c r="C587" t="s">
        <v>9</v>
      </c>
      <c r="D587">
        <f>VLOOKUP(C587,Sheet2!C:G,5,FALSE)</f>
        <v>1202</v>
      </c>
      <c r="E587" t="s">
        <v>27</v>
      </c>
      <c r="F587">
        <f>VLOOKUP(E587,Sheet2!D:E,2,FALSE)</f>
        <v>806</v>
      </c>
      <c r="G587" t="s">
        <v>11</v>
      </c>
      <c r="H587" t="str">
        <f t="shared" si="18"/>
        <v>NAVERgreenpeople</v>
      </c>
      <c r="I587" t="str">
        <f>"greenpeople"</f>
        <v>greenpeople</v>
      </c>
      <c r="J587">
        <v>119160</v>
      </c>
      <c r="K587" s="1">
        <v>44866</v>
      </c>
      <c r="L587" t="s">
        <v>664</v>
      </c>
      <c r="M587">
        <f t="shared" si="19"/>
        <v>119160</v>
      </c>
      <c r="N587" t="e">
        <f>VLOOKUP(H587,Sheet1!G:H,2,FALSE)</f>
        <v>#N/A</v>
      </c>
      <c r="R587" t="s">
        <v>2511</v>
      </c>
      <c r="S587">
        <v>503890</v>
      </c>
    </row>
    <row r="588" spans="1:19" x14ac:dyDescent="0.3">
      <c r="A588" t="s">
        <v>8</v>
      </c>
      <c r="B588">
        <f>VLOOKUP(A588,Sheet2!B:F,5,FALSE)</f>
        <v>928</v>
      </c>
      <c r="C588" t="s">
        <v>13</v>
      </c>
      <c r="D588">
        <f>VLOOKUP(C588,Sheet2!C:G,5,FALSE)</f>
        <v>1184</v>
      </c>
      <c r="E588" t="s">
        <v>51</v>
      </c>
      <c r="F588">
        <f>VLOOKUP(E588,Sheet2!D:E,2,FALSE)</f>
        <v>1274</v>
      </c>
      <c r="G588" t="s">
        <v>11</v>
      </c>
      <c r="H588" t="str">
        <f t="shared" si="18"/>
        <v>NAVERgrutugy827</v>
      </c>
      <c r="I588" t="str">
        <f>"grutugy827"</f>
        <v>grutugy827</v>
      </c>
      <c r="J588">
        <v>117310</v>
      </c>
      <c r="K588" s="1">
        <v>44866</v>
      </c>
      <c r="L588" t="s">
        <v>665</v>
      </c>
      <c r="M588">
        <f t="shared" si="19"/>
        <v>117310</v>
      </c>
      <c r="N588" t="e">
        <f>VLOOKUP(H588,Sheet1!G:H,2,FALSE)</f>
        <v>#N/A</v>
      </c>
      <c r="R588" t="s">
        <v>2512</v>
      </c>
      <c r="S588">
        <v>2809780</v>
      </c>
    </row>
    <row r="589" spans="1:19" x14ac:dyDescent="0.3">
      <c r="A589" t="s">
        <v>8</v>
      </c>
      <c r="B589">
        <f>VLOOKUP(A589,Sheet2!B:F,5,FALSE)</f>
        <v>928</v>
      </c>
      <c r="C589" t="s">
        <v>9</v>
      </c>
      <c r="D589">
        <f>VLOOKUP(C589,Sheet2!C:G,5,FALSE)</f>
        <v>1202</v>
      </c>
      <c r="E589" t="s">
        <v>10</v>
      </c>
      <c r="F589">
        <f>VLOOKUP(E589,Sheet2!D:E,2,FALSE)</f>
        <v>939</v>
      </c>
      <c r="G589" t="s">
        <v>11</v>
      </c>
      <c r="H589" t="str">
        <f t="shared" si="18"/>
        <v>NAVERgshousing</v>
      </c>
      <c r="I589" t="str">
        <f>"gshousing"</f>
        <v>gshousing</v>
      </c>
      <c r="J589">
        <v>651530</v>
      </c>
      <c r="K589" s="1">
        <v>44866</v>
      </c>
      <c r="L589" t="s">
        <v>666</v>
      </c>
      <c r="M589">
        <f t="shared" si="19"/>
        <v>651530</v>
      </c>
      <c r="N589" t="e">
        <f>VLOOKUP(H589,Sheet1!G:H,2,FALSE)</f>
        <v>#N/A</v>
      </c>
      <c r="R589" t="s">
        <v>2513</v>
      </c>
      <c r="S589">
        <v>6544250</v>
      </c>
    </row>
    <row r="590" spans="1:19" x14ac:dyDescent="0.3">
      <c r="A590" t="s">
        <v>8</v>
      </c>
      <c r="B590">
        <f>VLOOKUP(A590,Sheet2!B:F,5,FALSE)</f>
        <v>928</v>
      </c>
      <c r="C590" t="s">
        <v>9</v>
      </c>
      <c r="D590">
        <f>VLOOKUP(C590,Sheet2!C:G,5,FALSE)</f>
        <v>1202</v>
      </c>
      <c r="E590" t="s">
        <v>27</v>
      </c>
      <c r="F590">
        <f>VLOOKUP(E590,Sheet2!D:E,2,FALSE)</f>
        <v>806</v>
      </c>
      <c r="G590" t="s">
        <v>11</v>
      </c>
      <c r="H590" t="str">
        <f t="shared" si="18"/>
        <v>NAVERguard727</v>
      </c>
      <c r="I590" t="str">
        <f>"guard727"</f>
        <v>guard727</v>
      </c>
      <c r="J590">
        <v>31210</v>
      </c>
      <c r="K590" s="1">
        <v>44866</v>
      </c>
      <c r="L590" t="s">
        <v>667</v>
      </c>
      <c r="M590">
        <f t="shared" si="19"/>
        <v>31210</v>
      </c>
      <c r="N590" t="e">
        <f>VLOOKUP(H590,Sheet1!G:H,2,FALSE)</f>
        <v>#N/A</v>
      </c>
      <c r="R590" t="s">
        <v>2514</v>
      </c>
      <c r="S590">
        <v>17010</v>
      </c>
    </row>
    <row r="591" spans="1:19" x14ac:dyDescent="0.3">
      <c r="A591" t="s">
        <v>8</v>
      </c>
      <c r="B591">
        <f>VLOOKUP(A591,Sheet2!B:F,5,FALSE)</f>
        <v>928</v>
      </c>
      <c r="C591" t="s">
        <v>9</v>
      </c>
      <c r="D591">
        <f>VLOOKUP(C591,Sheet2!C:G,5,FALSE)</f>
        <v>1202</v>
      </c>
      <c r="E591" t="s">
        <v>27</v>
      </c>
      <c r="F591">
        <f>VLOOKUP(E591,Sheet2!D:E,2,FALSE)</f>
        <v>806</v>
      </c>
      <c r="G591" t="s">
        <v>11</v>
      </c>
      <c r="H591" t="str">
        <f t="shared" si="18"/>
        <v>NAVERguard727:naver</v>
      </c>
      <c r="I591" t="str">
        <f>"guard727:naver"</f>
        <v>guard727:naver</v>
      </c>
      <c r="J591">
        <v>2420130</v>
      </c>
      <c r="K591" s="1">
        <v>44866</v>
      </c>
      <c r="L591" t="s">
        <v>667</v>
      </c>
      <c r="M591">
        <f t="shared" si="19"/>
        <v>2420130</v>
      </c>
      <c r="N591" t="e">
        <f>VLOOKUP(H591,Sheet1!G:H,2,FALSE)</f>
        <v>#N/A</v>
      </c>
      <c r="R591" t="s">
        <v>2515</v>
      </c>
      <c r="S591">
        <v>292860</v>
      </c>
    </row>
    <row r="592" spans="1:19" x14ac:dyDescent="0.3">
      <c r="A592" t="s">
        <v>8</v>
      </c>
      <c r="B592">
        <f>VLOOKUP(A592,Sheet2!B:F,5,FALSE)</f>
        <v>928</v>
      </c>
      <c r="C592" t="s">
        <v>9</v>
      </c>
      <c r="D592">
        <f>VLOOKUP(C592,Sheet2!C:G,5,FALSE)</f>
        <v>1202</v>
      </c>
      <c r="E592" t="s">
        <v>39</v>
      </c>
      <c r="F592">
        <f>VLOOKUP(E592,Sheet2!D:E,2,FALSE)</f>
        <v>25</v>
      </c>
      <c r="G592" t="s">
        <v>11</v>
      </c>
      <c r="H592" t="str">
        <f t="shared" si="18"/>
        <v>NAVERgueam:naver</v>
      </c>
      <c r="I592" t="str">
        <f>"gueam:naver"</f>
        <v>gueam:naver</v>
      </c>
      <c r="J592">
        <v>181890</v>
      </c>
      <c r="K592" s="1">
        <v>44866</v>
      </c>
      <c r="L592" t="s">
        <v>668</v>
      </c>
      <c r="M592">
        <f t="shared" si="19"/>
        <v>181890</v>
      </c>
      <c r="N592" t="e">
        <f>VLOOKUP(H592,Sheet1!G:H,2,FALSE)</f>
        <v>#N/A</v>
      </c>
      <c r="R592" t="s">
        <v>2516</v>
      </c>
      <c r="S592">
        <v>91120</v>
      </c>
    </row>
    <row r="593" spans="1:19" x14ac:dyDescent="0.3">
      <c r="A593" t="s">
        <v>16</v>
      </c>
      <c r="B593">
        <f>VLOOKUP(A593,Sheet2!B:F,5,FALSE)</f>
        <v>927</v>
      </c>
      <c r="C593" t="s">
        <v>17</v>
      </c>
      <c r="D593">
        <f>VLOOKUP(C593,Sheet2!C:G,5,FALSE)</f>
        <v>1200</v>
      </c>
      <c r="E593" t="s">
        <v>290</v>
      </c>
      <c r="F593">
        <f>VLOOKUP(E593,Sheet2!D:E,2,FALSE)</f>
        <v>556</v>
      </c>
      <c r="G593" t="s">
        <v>11</v>
      </c>
      <c r="H593" t="str">
        <f t="shared" si="18"/>
        <v>NAVERgulbisusan</v>
      </c>
      <c r="I593" t="str">
        <f>"gulbisusan"</f>
        <v>gulbisusan</v>
      </c>
      <c r="J593">
        <v>750</v>
      </c>
      <c r="K593" s="1">
        <v>44866</v>
      </c>
      <c r="L593" t="s">
        <v>669</v>
      </c>
      <c r="M593">
        <f t="shared" si="19"/>
        <v>750</v>
      </c>
      <c r="N593" t="e">
        <f>VLOOKUP(H593,Sheet1!G:H,2,FALSE)</f>
        <v>#N/A</v>
      </c>
      <c r="R593" t="s">
        <v>2517</v>
      </c>
      <c r="S593">
        <v>2905510</v>
      </c>
    </row>
    <row r="594" spans="1:19" x14ac:dyDescent="0.3">
      <c r="A594" t="s">
        <v>8</v>
      </c>
      <c r="B594">
        <f>VLOOKUP(A594,Sheet2!B:F,5,FALSE)</f>
        <v>928</v>
      </c>
      <c r="C594" t="s">
        <v>9</v>
      </c>
      <c r="D594">
        <f>VLOOKUP(C594,Sheet2!C:G,5,FALSE)</f>
        <v>1202</v>
      </c>
      <c r="E594" t="s">
        <v>27</v>
      </c>
      <c r="F594">
        <f>VLOOKUP(E594,Sheet2!D:E,2,FALSE)</f>
        <v>806</v>
      </c>
      <c r="G594" t="s">
        <v>11</v>
      </c>
      <c r="H594" t="str">
        <f t="shared" si="18"/>
        <v>NAVERguts0879:naver</v>
      </c>
      <c r="I594" t="str">
        <f>"guts0879:naver"</f>
        <v>guts0879:naver</v>
      </c>
      <c r="J594">
        <v>180870</v>
      </c>
      <c r="K594" s="1">
        <v>44866</v>
      </c>
      <c r="L594" t="s">
        <v>109</v>
      </c>
      <c r="M594">
        <f t="shared" si="19"/>
        <v>180870</v>
      </c>
      <c r="N594" t="e">
        <f>VLOOKUP(H594,Sheet1!G:H,2,FALSE)</f>
        <v>#N/A</v>
      </c>
      <c r="R594" t="s">
        <v>2518</v>
      </c>
      <c r="S594">
        <v>19940</v>
      </c>
    </row>
    <row r="595" spans="1:19" x14ac:dyDescent="0.3">
      <c r="A595" t="s">
        <v>8</v>
      </c>
      <c r="B595">
        <f>VLOOKUP(A595,Sheet2!B:F,5,FALSE)</f>
        <v>928</v>
      </c>
      <c r="C595" t="s">
        <v>13</v>
      </c>
      <c r="D595">
        <f>VLOOKUP(C595,Sheet2!C:G,5,FALSE)</f>
        <v>1184</v>
      </c>
      <c r="E595" t="s">
        <v>102</v>
      </c>
      <c r="F595">
        <f>VLOOKUP(E595,Sheet2!D:E,2,FALSE)</f>
        <v>917</v>
      </c>
      <c r="G595" t="s">
        <v>11</v>
      </c>
      <c r="H595" t="str">
        <f t="shared" si="18"/>
        <v>NAVERgweduplex</v>
      </c>
      <c r="I595" t="str">
        <f>"gweduplex"</f>
        <v>gweduplex</v>
      </c>
      <c r="J595">
        <v>18520</v>
      </c>
      <c r="K595" s="1">
        <v>44866</v>
      </c>
      <c r="L595" t="s">
        <v>670</v>
      </c>
      <c r="M595">
        <f t="shared" si="19"/>
        <v>18520</v>
      </c>
      <c r="N595" t="e">
        <f>VLOOKUP(H595,Sheet1!G:H,2,FALSE)</f>
        <v>#N/A</v>
      </c>
      <c r="R595" t="s">
        <v>2519</v>
      </c>
      <c r="S595">
        <v>435460</v>
      </c>
    </row>
    <row r="596" spans="1:19" x14ac:dyDescent="0.3">
      <c r="A596" t="s">
        <v>8</v>
      </c>
      <c r="B596">
        <f>VLOOKUP(A596,Sheet2!B:F,5,FALSE)</f>
        <v>928</v>
      </c>
      <c r="C596" t="s">
        <v>167</v>
      </c>
      <c r="D596">
        <f>VLOOKUP(C596,Sheet2!C:G,5,FALSE)</f>
        <v>935</v>
      </c>
      <c r="E596" t="s">
        <v>168</v>
      </c>
      <c r="F596">
        <f>VLOOKUP(E596,Sheet2!D:E,2,FALSE)</f>
        <v>2</v>
      </c>
      <c r="G596" t="s">
        <v>11</v>
      </c>
      <c r="H596" t="str">
        <f t="shared" si="18"/>
        <v>NAVERgyl</v>
      </c>
      <c r="I596" t="str">
        <f>"gyl"</f>
        <v>gyl</v>
      </c>
      <c r="J596">
        <v>13495460</v>
      </c>
      <c r="K596" s="1">
        <v>44866</v>
      </c>
      <c r="L596" t="s">
        <v>671</v>
      </c>
      <c r="M596">
        <f t="shared" si="19"/>
        <v>13495460</v>
      </c>
      <c r="N596" t="e">
        <f>VLOOKUP(H596,Sheet1!G:H,2,FALSE)</f>
        <v>#N/A</v>
      </c>
      <c r="R596" t="s">
        <v>2520</v>
      </c>
      <c r="S596">
        <v>368450</v>
      </c>
    </row>
    <row r="597" spans="1:19" x14ac:dyDescent="0.3">
      <c r="A597" t="s">
        <v>16</v>
      </c>
      <c r="B597">
        <f>VLOOKUP(A597,Sheet2!B:F,5,FALSE)</f>
        <v>927</v>
      </c>
      <c r="C597" t="s">
        <v>17</v>
      </c>
      <c r="D597">
        <f>VLOOKUP(C597,Sheet2!C:G,5,FALSE)</f>
        <v>1200</v>
      </c>
      <c r="E597" t="s">
        <v>262</v>
      </c>
      <c r="F597">
        <f>VLOOKUP(E597,Sheet2!D:E,2,FALSE)</f>
        <v>1594</v>
      </c>
      <c r="G597" t="s">
        <v>11</v>
      </c>
      <c r="H597" t="str">
        <f t="shared" si="18"/>
        <v>NAVERgyo74:naver</v>
      </c>
      <c r="I597" t="str">
        <f>"gyo74:naver"</f>
        <v>gyo74:naver</v>
      </c>
      <c r="J597">
        <v>3065810</v>
      </c>
      <c r="K597" s="1">
        <v>44866</v>
      </c>
      <c r="L597" t="s">
        <v>672</v>
      </c>
      <c r="M597">
        <f t="shared" si="19"/>
        <v>3065810</v>
      </c>
      <c r="N597" t="e">
        <f>VLOOKUP(H597,Sheet1!G:H,2,FALSE)</f>
        <v>#N/A</v>
      </c>
      <c r="R597" t="s">
        <v>2521</v>
      </c>
      <c r="S597">
        <v>101767000</v>
      </c>
    </row>
    <row r="598" spans="1:19" x14ac:dyDescent="0.3">
      <c r="A598" t="s">
        <v>41</v>
      </c>
      <c r="B598">
        <f>VLOOKUP(A598,Sheet2!B:F,5,FALSE)</f>
        <v>926</v>
      </c>
      <c r="C598" t="s">
        <v>56</v>
      </c>
      <c r="D598">
        <f>VLOOKUP(C598,Sheet2!C:G,5,FALSE)</f>
        <v>1207</v>
      </c>
      <c r="E598" t="s">
        <v>57</v>
      </c>
      <c r="F598">
        <f>VLOOKUP(E598,Sheet2!D:E,2,FALSE)</f>
        <v>200982</v>
      </c>
      <c r="G598" t="s">
        <v>11</v>
      </c>
      <c r="H598" t="str">
        <f t="shared" si="18"/>
        <v>NAVERgyx2077</v>
      </c>
      <c r="I598" t="str">
        <f>"gyx2077"</f>
        <v>gyx2077</v>
      </c>
      <c r="J598">
        <v>6330</v>
      </c>
      <c r="K598" s="1">
        <v>44866</v>
      </c>
      <c r="L598" t="s">
        <v>673</v>
      </c>
      <c r="M598">
        <f t="shared" si="19"/>
        <v>6330</v>
      </c>
      <c r="N598" t="e">
        <f>VLOOKUP(H598,Sheet1!G:H,2,FALSE)</f>
        <v>#N/A</v>
      </c>
      <c r="R598" t="s">
        <v>2522</v>
      </c>
      <c r="S598">
        <v>24090</v>
      </c>
    </row>
    <row r="599" spans="1:19" x14ac:dyDescent="0.3">
      <c r="A599" t="s">
        <v>16</v>
      </c>
      <c r="B599">
        <f>VLOOKUP(A599,Sheet2!B:F,5,FALSE)</f>
        <v>927</v>
      </c>
      <c r="C599" t="s">
        <v>17</v>
      </c>
      <c r="D599">
        <f>VLOOKUP(C599,Sheet2!C:G,5,FALSE)</f>
        <v>1200</v>
      </c>
      <c r="E599" t="s">
        <v>170</v>
      </c>
      <c r="F599">
        <f>VLOOKUP(E599,Sheet2!D:E,2,FALSE)</f>
        <v>1530</v>
      </c>
      <c r="G599" t="s">
        <v>11</v>
      </c>
      <c r="H599" t="str">
        <f t="shared" si="18"/>
        <v>NAVERh4h</v>
      </c>
      <c r="I599" t="str">
        <f>"h4h"</f>
        <v>h4h</v>
      </c>
      <c r="J599">
        <v>716010</v>
      </c>
      <c r="K599" s="1">
        <v>44866</v>
      </c>
      <c r="L599" t="s">
        <v>674</v>
      </c>
      <c r="M599">
        <f t="shared" si="19"/>
        <v>716010</v>
      </c>
      <c r="N599" t="e">
        <f>VLOOKUP(H599,Sheet1!G:H,2,FALSE)</f>
        <v>#N/A</v>
      </c>
      <c r="R599" t="s">
        <v>2523</v>
      </c>
      <c r="S599">
        <v>928860</v>
      </c>
    </row>
    <row r="600" spans="1:19" x14ac:dyDescent="0.3">
      <c r="A600" t="s">
        <v>8</v>
      </c>
      <c r="B600">
        <f>VLOOKUP(A600,Sheet2!B:F,5,FALSE)</f>
        <v>928</v>
      </c>
      <c r="C600" t="s">
        <v>13</v>
      </c>
      <c r="D600">
        <f>VLOOKUP(C600,Sheet2!C:G,5,FALSE)</f>
        <v>1184</v>
      </c>
      <c r="E600" t="s">
        <v>115</v>
      </c>
      <c r="F600">
        <f>VLOOKUP(E600,Sheet2!D:E,2,FALSE)</f>
        <v>1548</v>
      </c>
      <c r="G600" t="s">
        <v>11</v>
      </c>
      <c r="H600" t="str">
        <f t="shared" si="18"/>
        <v>NAVERhadabin092</v>
      </c>
      <c r="I600" t="str">
        <f>"hadabin092"</f>
        <v>hadabin092</v>
      </c>
      <c r="J600">
        <v>440240</v>
      </c>
      <c r="K600" s="1">
        <v>44866</v>
      </c>
      <c r="L600" t="s">
        <v>675</v>
      </c>
      <c r="M600">
        <f t="shared" si="19"/>
        <v>440240</v>
      </c>
      <c r="N600" t="e">
        <f>VLOOKUP(H600,Sheet1!G:H,2,FALSE)</f>
        <v>#N/A</v>
      </c>
      <c r="R600" t="s">
        <v>2524</v>
      </c>
      <c r="S600">
        <v>50</v>
      </c>
    </row>
    <row r="601" spans="1:19" x14ac:dyDescent="0.3">
      <c r="A601" t="s">
        <v>8</v>
      </c>
      <c r="B601">
        <f>VLOOKUP(A601,Sheet2!B:F,5,FALSE)</f>
        <v>928</v>
      </c>
      <c r="C601" t="s">
        <v>9</v>
      </c>
      <c r="D601">
        <f>VLOOKUP(C601,Sheet2!C:G,5,FALSE)</f>
        <v>1202</v>
      </c>
      <c r="E601" t="s">
        <v>45</v>
      </c>
      <c r="F601">
        <f>VLOOKUP(E601,Sheet2!D:E,2,FALSE)</f>
        <v>26</v>
      </c>
      <c r="G601" t="s">
        <v>11</v>
      </c>
      <c r="H601" t="str">
        <f t="shared" si="18"/>
        <v>NAVERhaircastle</v>
      </c>
      <c r="I601" t="str">
        <f>"haircastle"</f>
        <v>haircastle</v>
      </c>
      <c r="J601">
        <v>7714812</v>
      </c>
      <c r="K601" s="1">
        <v>44866</v>
      </c>
      <c r="L601" t="s">
        <v>676</v>
      </c>
      <c r="M601">
        <f t="shared" si="19"/>
        <v>7746830</v>
      </c>
      <c r="N601" t="e">
        <f>VLOOKUP(H601,Sheet1!G:H,2,FALSE)</f>
        <v>#N/A</v>
      </c>
      <c r="R601" t="s">
        <v>2525</v>
      </c>
      <c r="S601">
        <v>78050</v>
      </c>
    </row>
    <row r="602" spans="1:19" x14ac:dyDescent="0.3">
      <c r="A602" t="s">
        <v>16</v>
      </c>
      <c r="B602">
        <f>VLOOKUP(A602,Sheet2!B:F,5,FALSE)</f>
        <v>927</v>
      </c>
      <c r="C602" t="s">
        <v>17</v>
      </c>
      <c r="D602">
        <f>VLOOKUP(C602,Sheet2!C:G,5,FALSE)</f>
        <v>1200</v>
      </c>
      <c r="E602" t="s">
        <v>78</v>
      </c>
      <c r="F602">
        <f>VLOOKUP(E602,Sheet2!D:E,2,FALSE)</f>
        <v>57</v>
      </c>
      <c r="G602" t="s">
        <v>11</v>
      </c>
      <c r="H602" t="str">
        <f t="shared" si="18"/>
        <v>NAVERhakkch:naver</v>
      </c>
      <c r="I602" t="str">
        <f>"hakkch:naver"</f>
        <v>hakkch:naver</v>
      </c>
      <c r="J602">
        <v>111780</v>
      </c>
      <c r="K602" s="1">
        <v>44866</v>
      </c>
      <c r="L602" t="s">
        <v>677</v>
      </c>
      <c r="M602">
        <f t="shared" si="19"/>
        <v>111960</v>
      </c>
      <c r="N602" t="e">
        <f>VLOOKUP(H602,Sheet1!G:H,2,FALSE)</f>
        <v>#N/A</v>
      </c>
      <c r="R602" t="s">
        <v>2526</v>
      </c>
      <c r="S602">
        <v>479520</v>
      </c>
    </row>
    <row r="603" spans="1:19" x14ac:dyDescent="0.3">
      <c r="A603" t="s">
        <v>8</v>
      </c>
      <c r="B603">
        <f>VLOOKUP(A603,Sheet2!B:F,5,FALSE)</f>
        <v>928</v>
      </c>
      <c r="C603" t="s">
        <v>9</v>
      </c>
      <c r="D603">
        <f>VLOOKUP(C603,Sheet2!C:G,5,FALSE)</f>
        <v>1202</v>
      </c>
      <c r="E603" t="s">
        <v>20</v>
      </c>
      <c r="F603">
        <f>VLOOKUP(E603,Sheet2!D:E,2,FALSE)</f>
        <v>938</v>
      </c>
      <c r="G603" t="s">
        <v>11</v>
      </c>
      <c r="H603" t="str">
        <f t="shared" si="18"/>
        <v>NAVERhamann</v>
      </c>
      <c r="I603" t="str">
        <f>"hamann"</f>
        <v>hamann</v>
      </c>
      <c r="J603">
        <v>21870</v>
      </c>
      <c r="K603" s="1">
        <v>44866</v>
      </c>
      <c r="L603" t="s">
        <v>678</v>
      </c>
      <c r="M603">
        <f t="shared" si="19"/>
        <v>21870</v>
      </c>
      <c r="N603" t="e">
        <f>VLOOKUP(H603,Sheet1!G:H,2,FALSE)</f>
        <v>#N/A</v>
      </c>
      <c r="R603" t="s">
        <v>2527</v>
      </c>
      <c r="S603">
        <v>5340630</v>
      </c>
    </row>
    <row r="604" spans="1:19" x14ac:dyDescent="0.3">
      <c r="A604" t="s">
        <v>22</v>
      </c>
      <c r="B604">
        <f>VLOOKUP(A604,Sheet2!B:F,5,FALSE)</f>
        <v>809</v>
      </c>
      <c r="C604" t="s">
        <v>679</v>
      </c>
      <c r="D604">
        <f>VLOOKUP(C604,Sheet2!C:G,5,FALSE)</f>
        <v>980</v>
      </c>
      <c r="E604" t="s">
        <v>680</v>
      </c>
      <c r="F604">
        <f>VLOOKUP(E604,Sheet2!D:E,2,FALSE)</f>
        <v>200938</v>
      </c>
      <c r="G604" t="s">
        <v>11</v>
      </c>
      <c r="H604" t="str">
        <f t="shared" si="18"/>
        <v>NAVERhana40003:naver</v>
      </c>
      <c r="I604" t="str">
        <f>"hana40003:naver"</f>
        <v>hana40003:naver</v>
      </c>
      <c r="J604">
        <v>1097410</v>
      </c>
      <c r="K604" s="1">
        <v>44866</v>
      </c>
      <c r="L604" t="s">
        <v>681</v>
      </c>
      <c r="M604">
        <f t="shared" si="19"/>
        <v>1097410</v>
      </c>
      <c r="N604" t="e">
        <f>VLOOKUP(H604,Sheet1!G:H,2,FALSE)</f>
        <v>#N/A</v>
      </c>
      <c r="R604" t="s">
        <v>2528</v>
      </c>
      <c r="S604">
        <v>1762890</v>
      </c>
    </row>
    <row r="605" spans="1:19" x14ac:dyDescent="0.3">
      <c r="A605" t="s">
        <v>8</v>
      </c>
      <c r="B605">
        <f>VLOOKUP(A605,Sheet2!B:F,5,FALSE)</f>
        <v>928</v>
      </c>
      <c r="C605" t="s">
        <v>9</v>
      </c>
      <c r="D605">
        <f>VLOOKUP(C605,Sheet2!C:G,5,FALSE)</f>
        <v>1202</v>
      </c>
      <c r="E605" t="s">
        <v>37</v>
      </c>
      <c r="F605">
        <f>VLOOKUP(E605,Sheet2!D:E,2,FALSE)</f>
        <v>81</v>
      </c>
      <c r="G605" t="s">
        <v>11</v>
      </c>
      <c r="H605" t="str">
        <f t="shared" si="18"/>
        <v>NAVERhanamail11:naver</v>
      </c>
      <c r="I605" t="str">
        <f>"hanamail11:naver"</f>
        <v>hanamail11:naver</v>
      </c>
      <c r="J605">
        <v>116640</v>
      </c>
      <c r="K605" s="1">
        <v>44866</v>
      </c>
      <c r="L605" t="s">
        <v>682</v>
      </c>
      <c r="M605">
        <f t="shared" si="19"/>
        <v>116640</v>
      </c>
      <c r="N605" t="e">
        <f>VLOOKUP(H605,Sheet1!G:H,2,FALSE)</f>
        <v>#N/A</v>
      </c>
      <c r="R605" t="s">
        <v>2529</v>
      </c>
      <c r="S605">
        <v>1491170</v>
      </c>
    </row>
    <row r="606" spans="1:19" x14ac:dyDescent="0.3">
      <c r="A606" t="s">
        <v>41</v>
      </c>
      <c r="B606">
        <f>VLOOKUP(A606,Sheet2!B:F,5,FALSE)</f>
        <v>926</v>
      </c>
      <c r="C606" t="s">
        <v>56</v>
      </c>
      <c r="D606">
        <f>VLOOKUP(C606,Sheet2!C:G,5,FALSE)</f>
        <v>1207</v>
      </c>
      <c r="E606" t="s">
        <v>253</v>
      </c>
      <c r="F606">
        <f>VLOOKUP(E606,Sheet2!D:E,2,FALSE)</f>
        <v>1328</v>
      </c>
      <c r="G606" t="s">
        <v>11</v>
      </c>
      <c r="H606" t="str">
        <f t="shared" si="18"/>
        <v>NAVERhanarosb</v>
      </c>
      <c r="I606" t="str">
        <f>"hanarosb"</f>
        <v>hanarosb</v>
      </c>
      <c r="J606">
        <v>13834060</v>
      </c>
      <c r="K606" s="1">
        <v>44866</v>
      </c>
      <c r="L606" t="s">
        <v>683</v>
      </c>
      <c r="M606">
        <f t="shared" si="19"/>
        <v>13834060</v>
      </c>
      <c r="N606" t="e">
        <f>VLOOKUP(H606,Sheet1!G:H,2,FALSE)</f>
        <v>#N/A</v>
      </c>
      <c r="R606" t="s">
        <v>2530</v>
      </c>
      <c r="S606">
        <v>529220</v>
      </c>
    </row>
    <row r="607" spans="1:19" x14ac:dyDescent="0.3">
      <c r="A607" t="s">
        <v>8</v>
      </c>
      <c r="B607">
        <f>VLOOKUP(A607,Sheet2!B:F,5,FALSE)</f>
        <v>928</v>
      </c>
      <c r="C607" t="s">
        <v>9</v>
      </c>
      <c r="D607">
        <f>VLOOKUP(C607,Sheet2!C:G,5,FALSE)</f>
        <v>1202</v>
      </c>
      <c r="E607" t="s">
        <v>73</v>
      </c>
      <c r="F607">
        <f>VLOOKUP(E607,Sheet2!D:E,2,FALSE)</f>
        <v>895</v>
      </c>
      <c r="G607" t="s">
        <v>11</v>
      </c>
      <c r="H607" t="str">
        <f t="shared" si="18"/>
        <v>NAVERhanbada</v>
      </c>
      <c r="I607" t="str">
        <f>"hanbada"</f>
        <v>hanbada</v>
      </c>
      <c r="J607">
        <v>246440</v>
      </c>
      <c r="K607" s="1">
        <v>44866</v>
      </c>
      <c r="L607" t="s">
        <v>684</v>
      </c>
      <c r="M607">
        <f t="shared" si="19"/>
        <v>246440</v>
      </c>
      <c r="N607" t="e">
        <f>VLOOKUP(H607,Sheet1!G:H,2,FALSE)</f>
        <v>#N/A</v>
      </c>
      <c r="R607" t="s">
        <v>2531</v>
      </c>
      <c r="S607">
        <v>1719030</v>
      </c>
    </row>
    <row r="608" spans="1:19" x14ac:dyDescent="0.3">
      <c r="A608" t="s">
        <v>41</v>
      </c>
      <c r="B608">
        <f>VLOOKUP(A608,Sheet2!B:F,5,FALSE)</f>
        <v>926</v>
      </c>
      <c r="C608" t="s">
        <v>56</v>
      </c>
      <c r="D608">
        <f>VLOOKUP(C608,Sheet2!C:G,5,FALSE)</f>
        <v>1207</v>
      </c>
      <c r="E608" t="s">
        <v>64</v>
      </c>
      <c r="F608">
        <f>VLOOKUP(E608,Sheet2!D:E,2,FALSE)</f>
        <v>201011</v>
      </c>
      <c r="G608" t="s">
        <v>11</v>
      </c>
      <c r="H608" t="str">
        <f t="shared" si="18"/>
        <v>NAVERhanbeakcar</v>
      </c>
      <c r="I608" t="str">
        <f>"hanbeakcar"</f>
        <v>hanbeakcar</v>
      </c>
      <c r="J608">
        <v>192612</v>
      </c>
      <c r="K608" s="1">
        <v>44866</v>
      </c>
      <c r="L608" t="s">
        <v>685</v>
      </c>
      <c r="M608">
        <f t="shared" si="19"/>
        <v>192656</v>
      </c>
      <c r="N608" t="e">
        <f>VLOOKUP(H608,Sheet1!G:H,2,FALSE)</f>
        <v>#N/A</v>
      </c>
      <c r="R608" t="s">
        <v>2532</v>
      </c>
      <c r="S608">
        <v>519670</v>
      </c>
    </row>
    <row r="609" spans="1:19" x14ac:dyDescent="0.3">
      <c r="A609" t="s">
        <v>8</v>
      </c>
      <c r="B609">
        <f>VLOOKUP(A609,Sheet2!B:F,5,FALSE)</f>
        <v>928</v>
      </c>
      <c r="C609" t="s">
        <v>9</v>
      </c>
      <c r="D609">
        <f>VLOOKUP(C609,Sheet2!C:G,5,FALSE)</f>
        <v>1202</v>
      </c>
      <c r="E609" t="s">
        <v>73</v>
      </c>
      <c r="F609">
        <f>VLOOKUP(E609,Sheet2!D:E,2,FALSE)</f>
        <v>895</v>
      </c>
      <c r="G609" t="s">
        <v>11</v>
      </c>
      <c r="H609" t="str">
        <f t="shared" si="18"/>
        <v>NAVERhanbit1055</v>
      </c>
      <c r="I609" t="str">
        <f>"hanbit1055"</f>
        <v>hanbit1055</v>
      </c>
      <c r="J609">
        <v>12750</v>
      </c>
      <c r="K609" s="1">
        <v>44866</v>
      </c>
      <c r="L609" t="s">
        <v>686</v>
      </c>
      <c r="M609">
        <f t="shared" si="19"/>
        <v>12750</v>
      </c>
      <c r="N609" t="e">
        <f>VLOOKUP(H609,Sheet1!G:H,2,FALSE)</f>
        <v>#N/A</v>
      </c>
      <c r="R609" t="s">
        <v>2533</v>
      </c>
      <c r="S609">
        <v>56240</v>
      </c>
    </row>
    <row r="610" spans="1:19" x14ac:dyDescent="0.3">
      <c r="A610" t="s">
        <v>41</v>
      </c>
      <c r="B610">
        <f>VLOOKUP(A610,Sheet2!B:F,5,FALSE)</f>
        <v>926</v>
      </c>
      <c r="C610" t="s">
        <v>56</v>
      </c>
      <c r="D610">
        <f>VLOOKUP(C610,Sheet2!C:G,5,FALSE)</f>
        <v>1207</v>
      </c>
      <c r="E610" t="s">
        <v>156</v>
      </c>
      <c r="F610">
        <f>VLOOKUP(E610,Sheet2!D:E,2,FALSE)</f>
        <v>201103</v>
      </c>
      <c r="G610" t="s">
        <v>11</v>
      </c>
      <c r="H610" t="str">
        <f t="shared" si="18"/>
        <v>NAVERhanda032:naver</v>
      </c>
      <c r="I610" t="str">
        <f>"handa032:naver"</f>
        <v>handa032:naver</v>
      </c>
      <c r="J610">
        <v>180170</v>
      </c>
      <c r="K610" s="1">
        <v>44866</v>
      </c>
      <c r="L610" t="s">
        <v>687</v>
      </c>
      <c r="M610">
        <f t="shared" si="19"/>
        <v>180170</v>
      </c>
      <c r="N610" t="e">
        <f>VLOOKUP(H610,Sheet1!G:H,2,FALSE)</f>
        <v>#N/A</v>
      </c>
      <c r="R610" t="s">
        <v>2534</v>
      </c>
      <c r="S610">
        <v>700</v>
      </c>
    </row>
    <row r="611" spans="1:19" x14ac:dyDescent="0.3">
      <c r="A611" t="s">
        <v>8</v>
      </c>
      <c r="B611">
        <f>VLOOKUP(A611,Sheet2!B:F,5,FALSE)</f>
        <v>928</v>
      </c>
      <c r="C611" t="s">
        <v>9</v>
      </c>
      <c r="D611">
        <f>VLOOKUP(C611,Sheet2!C:G,5,FALSE)</f>
        <v>1202</v>
      </c>
      <c r="E611" t="s">
        <v>391</v>
      </c>
      <c r="F611">
        <f>VLOOKUP(E611,Sheet2!D:E,2,FALSE)</f>
        <v>1216</v>
      </c>
      <c r="G611" t="s">
        <v>11</v>
      </c>
      <c r="H611" t="str">
        <f t="shared" si="18"/>
        <v>NAVERhandaroo</v>
      </c>
      <c r="I611" t="str">
        <f>"handaroo"</f>
        <v>handaroo</v>
      </c>
      <c r="J611">
        <v>133680</v>
      </c>
      <c r="K611" s="1">
        <v>44866</v>
      </c>
      <c r="L611" t="s">
        <v>688</v>
      </c>
      <c r="M611">
        <f t="shared" si="19"/>
        <v>133680</v>
      </c>
      <c r="N611" t="e">
        <f>VLOOKUP(H611,Sheet1!G:H,2,FALSE)</f>
        <v>#N/A</v>
      </c>
      <c r="R611" t="s">
        <v>2535</v>
      </c>
      <c r="S611">
        <v>2041860</v>
      </c>
    </row>
    <row r="612" spans="1:19" x14ac:dyDescent="0.3">
      <c r="A612" t="s">
        <v>8</v>
      </c>
      <c r="B612">
        <f>VLOOKUP(A612,Sheet2!B:F,5,FALSE)</f>
        <v>928</v>
      </c>
      <c r="C612" t="s">
        <v>9</v>
      </c>
      <c r="D612">
        <f>VLOOKUP(C612,Sheet2!C:G,5,FALSE)</f>
        <v>1202</v>
      </c>
      <c r="E612" t="s">
        <v>47</v>
      </c>
      <c r="F612">
        <f>VLOOKUP(E612,Sheet2!D:E,2,FALSE)</f>
        <v>898</v>
      </c>
      <c r="G612" t="s">
        <v>11</v>
      </c>
      <c r="H612" t="str">
        <f t="shared" si="18"/>
        <v>NAVERhandys</v>
      </c>
      <c r="I612" t="str">
        <f>"handys"</f>
        <v>handys</v>
      </c>
      <c r="J612">
        <v>10772550</v>
      </c>
      <c r="K612" s="1">
        <v>44866</v>
      </c>
      <c r="L612" t="s">
        <v>689</v>
      </c>
      <c r="M612">
        <f t="shared" si="19"/>
        <v>6172580</v>
      </c>
      <c r="N612" t="e">
        <f>VLOOKUP(H612,Sheet1!G:H,2,FALSE)</f>
        <v>#N/A</v>
      </c>
      <c r="R612" t="s">
        <v>2536</v>
      </c>
      <c r="S612">
        <v>25280</v>
      </c>
    </row>
    <row r="613" spans="1:19" x14ac:dyDescent="0.3">
      <c r="A613" t="s">
        <v>8</v>
      </c>
      <c r="B613">
        <f>VLOOKUP(A613,Sheet2!B:F,5,FALSE)</f>
        <v>928</v>
      </c>
      <c r="C613" t="s">
        <v>9</v>
      </c>
      <c r="D613">
        <f>VLOOKUP(C613,Sheet2!C:G,5,FALSE)</f>
        <v>1202</v>
      </c>
      <c r="E613" t="s">
        <v>47</v>
      </c>
      <c r="F613">
        <f>VLOOKUP(E613,Sheet2!D:E,2,FALSE)</f>
        <v>898</v>
      </c>
      <c r="G613" t="s">
        <v>11</v>
      </c>
      <c r="H613" t="str">
        <f t="shared" si="18"/>
        <v>NAVERhanelecon</v>
      </c>
      <c r="I613" t="str">
        <f>"hanelecon"</f>
        <v>hanelecon</v>
      </c>
      <c r="J613">
        <v>801390</v>
      </c>
      <c r="K613" s="1">
        <v>44866</v>
      </c>
      <c r="L613" t="s">
        <v>690</v>
      </c>
      <c r="M613">
        <f t="shared" si="19"/>
        <v>801390</v>
      </c>
      <c r="N613" t="e">
        <f>VLOOKUP(H613,Sheet1!G:H,2,FALSE)</f>
        <v>#N/A</v>
      </c>
      <c r="R613" t="s">
        <v>2537</v>
      </c>
      <c r="S613">
        <v>31790</v>
      </c>
    </row>
    <row r="614" spans="1:19" x14ac:dyDescent="0.3">
      <c r="A614" t="s">
        <v>8</v>
      </c>
      <c r="B614">
        <f>VLOOKUP(A614,Sheet2!B:F,5,FALSE)</f>
        <v>928</v>
      </c>
      <c r="C614" t="s">
        <v>9</v>
      </c>
      <c r="D614">
        <f>VLOOKUP(C614,Sheet2!C:G,5,FALSE)</f>
        <v>1202</v>
      </c>
      <c r="E614" t="s">
        <v>110</v>
      </c>
      <c r="F614">
        <f>VLOOKUP(E614,Sheet2!D:E,2,FALSE)</f>
        <v>929</v>
      </c>
      <c r="G614" t="s">
        <v>11</v>
      </c>
      <c r="H614" t="str">
        <f t="shared" si="18"/>
        <v>NAVERhangil4204</v>
      </c>
      <c r="I614" t="str">
        <f>"hangil4204"</f>
        <v>hangil4204</v>
      </c>
      <c r="J614">
        <v>3429530</v>
      </c>
      <c r="K614" s="1">
        <v>44866</v>
      </c>
      <c r="L614" t="s">
        <v>691</v>
      </c>
      <c r="M614">
        <f t="shared" si="19"/>
        <v>3429530</v>
      </c>
      <c r="N614" t="e">
        <f>VLOOKUP(H614,Sheet1!G:H,2,FALSE)</f>
        <v>#N/A</v>
      </c>
      <c r="R614" t="s">
        <v>2538</v>
      </c>
      <c r="S614">
        <v>596390</v>
      </c>
    </row>
    <row r="615" spans="1:19" x14ac:dyDescent="0.3">
      <c r="A615" t="s">
        <v>8</v>
      </c>
      <c r="B615">
        <f>VLOOKUP(A615,Sheet2!B:F,5,FALSE)</f>
        <v>928</v>
      </c>
      <c r="C615" t="s">
        <v>9</v>
      </c>
      <c r="D615">
        <f>VLOOKUP(C615,Sheet2!C:G,5,FALSE)</f>
        <v>1202</v>
      </c>
      <c r="E615" t="s">
        <v>20</v>
      </c>
      <c r="F615">
        <f>VLOOKUP(E615,Sheet2!D:E,2,FALSE)</f>
        <v>938</v>
      </c>
      <c r="G615" t="s">
        <v>11</v>
      </c>
      <c r="H615" t="str">
        <f t="shared" si="18"/>
        <v>NAVERhangilcare</v>
      </c>
      <c r="I615" t="str">
        <f>"hangilcare"</f>
        <v>hangilcare</v>
      </c>
      <c r="J615">
        <v>1965450</v>
      </c>
      <c r="K615" s="1">
        <v>44866</v>
      </c>
      <c r="L615" t="s">
        <v>692</v>
      </c>
      <c r="M615">
        <f t="shared" si="19"/>
        <v>1965450</v>
      </c>
      <c r="N615" t="e">
        <f>VLOOKUP(H615,Sheet1!G:H,2,FALSE)</f>
        <v>#N/A</v>
      </c>
      <c r="R615" t="s">
        <v>2539</v>
      </c>
      <c r="S615">
        <v>90420</v>
      </c>
    </row>
    <row r="616" spans="1:19" x14ac:dyDescent="0.3">
      <c r="A616" t="s">
        <v>8</v>
      </c>
      <c r="B616">
        <f>VLOOKUP(A616,Sheet2!B:F,5,FALSE)</f>
        <v>928</v>
      </c>
      <c r="C616" t="s">
        <v>9</v>
      </c>
      <c r="D616">
        <f>VLOOKUP(C616,Sheet2!C:G,5,FALSE)</f>
        <v>1202</v>
      </c>
      <c r="E616" t="s">
        <v>75</v>
      </c>
      <c r="F616">
        <f>VLOOKUP(E616,Sheet2!D:E,2,FALSE)</f>
        <v>50</v>
      </c>
      <c r="G616" t="s">
        <v>11</v>
      </c>
      <c r="H616" t="str">
        <f t="shared" si="18"/>
        <v>NAVERhanhosoo</v>
      </c>
      <c r="I616" t="str">
        <f>"hanhosoo"</f>
        <v>hanhosoo</v>
      </c>
      <c r="J616">
        <v>1468720</v>
      </c>
      <c r="K616" s="1">
        <v>44866</v>
      </c>
      <c r="L616" t="s">
        <v>693</v>
      </c>
      <c r="M616">
        <f t="shared" si="19"/>
        <v>1468720</v>
      </c>
      <c r="N616" t="e">
        <f>VLOOKUP(H616,Sheet1!G:H,2,FALSE)</f>
        <v>#N/A</v>
      </c>
      <c r="R616" t="s">
        <v>2540</v>
      </c>
      <c r="S616">
        <v>1580</v>
      </c>
    </row>
    <row r="617" spans="1:19" x14ac:dyDescent="0.3">
      <c r="A617" t="s">
        <v>41</v>
      </c>
      <c r="B617">
        <f>VLOOKUP(A617,Sheet2!B:F,5,FALSE)</f>
        <v>926</v>
      </c>
      <c r="C617" t="s">
        <v>56</v>
      </c>
      <c r="D617">
        <f>VLOOKUP(C617,Sheet2!C:G,5,FALSE)</f>
        <v>1207</v>
      </c>
      <c r="E617" t="s">
        <v>64</v>
      </c>
      <c r="F617">
        <f>VLOOKUP(E617,Sheet2!D:E,2,FALSE)</f>
        <v>201011</v>
      </c>
      <c r="G617" t="s">
        <v>11</v>
      </c>
      <c r="H617" t="str">
        <f t="shared" si="18"/>
        <v>NAVERhanil5424</v>
      </c>
      <c r="I617" t="str">
        <f>"hanil5424"</f>
        <v>hanil5424</v>
      </c>
      <c r="J617">
        <v>221780</v>
      </c>
      <c r="K617" s="1">
        <v>44866</v>
      </c>
      <c r="L617" t="s">
        <v>694</v>
      </c>
      <c r="M617">
        <f t="shared" si="19"/>
        <v>221780</v>
      </c>
      <c r="N617" t="str">
        <f>VLOOKUP(H617,Sheet1!G:H,2,FALSE)</f>
        <v>타 바이럴업체 통해 소개로 진행했던 계정,해당 업체와 바이럴사 계약기간이 끝나 피이관 있을수있음, 광고주소통 없이  바이럴업체 담당자와 소통</v>
      </c>
      <c r="R617" t="s">
        <v>2541</v>
      </c>
      <c r="S617">
        <v>46620</v>
      </c>
    </row>
    <row r="618" spans="1:19" x14ac:dyDescent="0.3">
      <c r="A618" t="s">
        <v>8</v>
      </c>
      <c r="B618">
        <f>VLOOKUP(A618,Sheet2!B:F,5,FALSE)</f>
        <v>928</v>
      </c>
      <c r="C618" t="s">
        <v>9</v>
      </c>
      <c r="D618">
        <f>VLOOKUP(C618,Sheet2!C:G,5,FALSE)</f>
        <v>1202</v>
      </c>
      <c r="E618" t="s">
        <v>27</v>
      </c>
      <c r="F618">
        <f>VLOOKUP(E618,Sheet2!D:E,2,FALSE)</f>
        <v>806</v>
      </c>
      <c r="G618" t="s">
        <v>11</v>
      </c>
      <c r="H618" t="str">
        <f t="shared" si="18"/>
        <v>NAVERhanilm</v>
      </c>
      <c r="I618" t="str">
        <f>"hanilm"</f>
        <v>hanilm</v>
      </c>
      <c r="J618">
        <v>154990</v>
      </c>
      <c r="K618" s="1">
        <v>44866</v>
      </c>
      <c r="L618" t="s">
        <v>695</v>
      </c>
      <c r="M618">
        <f t="shared" si="19"/>
        <v>154990</v>
      </c>
      <c r="N618" t="e">
        <f>VLOOKUP(H618,Sheet1!G:H,2,FALSE)</f>
        <v>#N/A</v>
      </c>
      <c r="R618" t="s">
        <v>2542</v>
      </c>
      <c r="S618">
        <v>1719500</v>
      </c>
    </row>
    <row r="619" spans="1:19" x14ac:dyDescent="0.3">
      <c r="A619" t="s">
        <v>8</v>
      </c>
      <c r="B619">
        <f>VLOOKUP(A619,Sheet2!B:F,5,FALSE)</f>
        <v>928</v>
      </c>
      <c r="C619" t="s">
        <v>9</v>
      </c>
      <c r="D619">
        <f>VLOOKUP(C619,Sheet2!C:G,5,FALSE)</f>
        <v>1202</v>
      </c>
      <c r="E619" t="s">
        <v>27</v>
      </c>
      <c r="F619">
        <f>VLOOKUP(E619,Sheet2!D:E,2,FALSE)</f>
        <v>806</v>
      </c>
      <c r="G619" t="s">
        <v>11</v>
      </c>
      <c r="H619" t="str">
        <f t="shared" si="18"/>
        <v>NAVERhanjiechul12</v>
      </c>
      <c r="I619" t="str">
        <f>"hanjiechul12"</f>
        <v>hanjiechul12</v>
      </c>
      <c r="J619">
        <v>663300</v>
      </c>
      <c r="K619" s="1">
        <v>44866</v>
      </c>
      <c r="L619" t="s">
        <v>696</v>
      </c>
      <c r="M619">
        <f t="shared" si="19"/>
        <v>664330</v>
      </c>
      <c r="N619" t="e">
        <f>VLOOKUP(H619,Sheet1!G:H,2,FALSE)</f>
        <v>#N/A</v>
      </c>
      <c r="R619" t="s">
        <v>2543</v>
      </c>
      <c r="S619">
        <v>691060</v>
      </c>
    </row>
    <row r="620" spans="1:19" x14ac:dyDescent="0.3">
      <c r="A620" t="s">
        <v>8</v>
      </c>
      <c r="B620">
        <f>VLOOKUP(A620,Sheet2!B:F,5,FALSE)</f>
        <v>928</v>
      </c>
      <c r="C620" t="s">
        <v>9</v>
      </c>
      <c r="D620">
        <f>VLOOKUP(C620,Sheet2!C:G,5,FALSE)</f>
        <v>1202</v>
      </c>
      <c r="E620" t="s">
        <v>10</v>
      </c>
      <c r="F620">
        <f>VLOOKUP(E620,Sheet2!D:E,2,FALSE)</f>
        <v>939</v>
      </c>
      <c r="G620" t="s">
        <v>11</v>
      </c>
      <c r="H620" t="str">
        <f t="shared" si="18"/>
        <v>NAVERhanju888</v>
      </c>
      <c r="I620" t="str">
        <f>"hanju888"</f>
        <v>hanju888</v>
      </c>
      <c r="J620">
        <v>5260</v>
      </c>
      <c r="K620" s="1">
        <v>44866</v>
      </c>
      <c r="L620" t="s">
        <v>697</v>
      </c>
      <c r="M620">
        <f t="shared" si="19"/>
        <v>5260</v>
      </c>
      <c r="N620" t="e">
        <f>VLOOKUP(H620,Sheet1!G:H,2,FALSE)</f>
        <v>#N/A</v>
      </c>
      <c r="R620" t="s">
        <v>2544</v>
      </c>
      <c r="S620">
        <v>560450</v>
      </c>
    </row>
    <row r="621" spans="1:19" x14ac:dyDescent="0.3">
      <c r="A621" t="s">
        <v>41</v>
      </c>
      <c r="B621">
        <f>VLOOKUP(A621,Sheet2!B:F,5,FALSE)</f>
        <v>926</v>
      </c>
      <c r="C621" t="s">
        <v>42</v>
      </c>
      <c r="D621">
        <f>VLOOKUP(C621,Sheet2!C:G,5,FALSE)</f>
        <v>964</v>
      </c>
      <c r="E621" t="s">
        <v>43</v>
      </c>
      <c r="F621">
        <f>VLOOKUP(E621,Sheet2!D:E,2,FALSE)</f>
        <v>200998</v>
      </c>
      <c r="G621" t="s">
        <v>11</v>
      </c>
      <c r="H621" t="str">
        <f t="shared" si="18"/>
        <v>NAVERhanjucns</v>
      </c>
      <c r="I621" t="str">
        <f>"hanjucns"</f>
        <v>hanjucns</v>
      </c>
      <c r="J621">
        <v>50</v>
      </c>
      <c r="K621" s="1">
        <v>44866</v>
      </c>
      <c r="L621" t="s">
        <v>698</v>
      </c>
      <c r="M621">
        <f t="shared" si="19"/>
        <v>50</v>
      </c>
      <c r="N621" t="e">
        <f>VLOOKUP(H621,Sheet1!G:H,2,FALSE)</f>
        <v>#N/A</v>
      </c>
      <c r="R621" t="s">
        <v>2545</v>
      </c>
      <c r="S621">
        <v>0</v>
      </c>
    </row>
    <row r="622" spans="1:19" x14ac:dyDescent="0.3">
      <c r="A622" t="s">
        <v>8</v>
      </c>
      <c r="B622">
        <f>VLOOKUP(A622,Sheet2!B:F,5,FALSE)</f>
        <v>928</v>
      </c>
      <c r="C622" t="s">
        <v>13</v>
      </c>
      <c r="D622">
        <f>VLOOKUP(C622,Sheet2!C:G,5,FALSE)</f>
        <v>1184</v>
      </c>
      <c r="E622" t="s">
        <v>14</v>
      </c>
      <c r="F622">
        <f>VLOOKUP(E622,Sheet2!D:E,2,FALSE)</f>
        <v>914</v>
      </c>
      <c r="G622" t="s">
        <v>11</v>
      </c>
      <c r="H622" t="str">
        <f t="shared" si="18"/>
        <v>NAVERhanky000</v>
      </c>
      <c r="I622" t="str">
        <f>"hanky000"</f>
        <v>hanky000</v>
      </c>
      <c r="J622">
        <v>252740</v>
      </c>
      <c r="K622" s="1">
        <v>44866</v>
      </c>
      <c r="L622" t="s">
        <v>323</v>
      </c>
      <c r="M622">
        <f t="shared" si="19"/>
        <v>252740</v>
      </c>
      <c r="N622" t="e">
        <f>VLOOKUP(H622,Sheet1!G:H,2,FALSE)</f>
        <v>#N/A</v>
      </c>
      <c r="R622" t="s">
        <v>2546</v>
      </c>
      <c r="S622">
        <v>280870</v>
      </c>
    </row>
    <row r="623" spans="1:19" x14ac:dyDescent="0.3">
      <c r="A623" t="s">
        <v>8</v>
      </c>
      <c r="B623">
        <f>VLOOKUP(A623,Sheet2!B:F,5,FALSE)</f>
        <v>928</v>
      </c>
      <c r="C623" t="s">
        <v>9</v>
      </c>
      <c r="D623">
        <f>VLOOKUP(C623,Sheet2!C:G,5,FALSE)</f>
        <v>1202</v>
      </c>
      <c r="E623" t="s">
        <v>10</v>
      </c>
      <c r="F623">
        <f>VLOOKUP(E623,Sheet2!D:E,2,FALSE)</f>
        <v>939</v>
      </c>
      <c r="G623" t="s">
        <v>11</v>
      </c>
      <c r="H623" t="str">
        <f t="shared" si="18"/>
        <v>NAVERhanmac</v>
      </c>
      <c r="I623" t="str">
        <f>"hanmac"</f>
        <v>hanmac</v>
      </c>
      <c r="J623">
        <v>526180</v>
      </c>
      <c r="K623" s="1">
        <v>44866</v>
      </c>
      <c r="L623" t="s">
        <v>699</v>
      </c>
      <c r="M623">
        <f t="shared" si="19"/>
        <v>526180</v>
      </c>
      <c r="N623" t="e">
        <f>VLOOKUP(H623,Sheet1!G:H,2,FALSE)</f>
        <v>#N/A</v>
      </c>
      <c r="R623" t="s">
        <v>2547</v>
      </c>
      <c r="S623">
        <v>282300</v>
      </c>
    </row>
    <row r="624" spans="1:19" x14ac:dyDescent="0.3">
      <c r="A624" t="s">
        <v>8</v>
      </c>
      <c r="B624">
        <f>VLOOKUP(A624,Sheet2!B:F,5,FALSE)</f>
        <v>928</v>
      </c>
      <c r="C624" t="s">
        <v>9</v>
      </c>
      <c r="D624">
        <f>VLOOKUP(C624,Sheet2!C:G,5,FALSE)</f>
        <v>1202</v>
      </c>
      <c r="E624" t="s">
        <v>10</v>
      </c>
      <c r="F624">
        <f>VLOOKUP(E624,Sheet2!D:E,2,FALSE)</f>
        <v>939</v>
      </c>
      <c r="G624" t="s">
        <v>11</v>
      </c>
      <c r="H624" t="str">
        <f t="shared" si="18"/>
        <v>NAVERhanmacit</v>
      </c>
      <c r="I624" t="str">
        <f>"hanmacit"</f>
        <v>hanmacit</v>
      </c>
      <c r="J624">
        <v>283570</v>
      </c>
      <c r="K624" s="1">
        <v>44866</v>
      </c>
      <c r="L624" t="s">
        <v>700</v>
      </c>
      <c r="M624">
        <f t="shared" si="19"/>
        <v>283570</v>
      </c>
      <c r="N624" t="e">
        <f>VLOOKUP(H624,Sheet1!G:H,2,FALSE)</f>
        <v>#N/A</v>
      </c>
      <c r="R624" t="s">
        <v>2548</v>
      </c>
      <c r="S624">
        <v>180340</v>
      </c>
    </row>
    <row r="625" spans="1:19" x14ac:dyDescent="0.3">
      <c r="A625" t="s">
        <v>16</v>
      </c>
      <c r="B625">
        <f>VLOOKUP(A625,Sheet2!B:F,5,FALSE)</f>
        <v>927</v>
      </c>
      <c r="C625" t="s">
        <v>17</v>
      </c>
      <c r="D625">
        <f>VLOOKUP(C625,Sheet2!C:G,5,FALSE)</f>
        <v>1200</v>
      </c>
      <c r="E625" t="s">
        <v>100</v>
      </c>
      <c r="F625">
        <f>VLOOKUP(E625,Sheet2!D:E,2,FALSE)</f>
        <v>201038</v>
      </c>
      <c r="G625" t="s">
        <v>11</v>
      </c>
      <c r="H625" t="str">
        <f t="shared" si="18"/>
        <v>NAVERhannanmary:naver</v>
      </c>
      <c r="I625" t="str">
        <f>"hannanmary:naver"</f>
        <v>hannanmary:naver</v>
      </c>
      <c r="J625">
        <v>51780</v>
      </c>
      <c r="K625" s="1">
        <v>44866</v>
      </c>
      <c r="L625" t="s">
        <v>701</v>
      </c>
      <c r="M625">
        <f t="shared" si="19"/>
        <v>51780</v>
      </c>
      <c r="N625" t="e">
        <f>VLOOKUP(H625,Sheet1!G:H,2,FALSE)</f>
        <v>#N/A</v>
      </c>
      <c r="R625" t="s">
        <v>2549</v>
      </c>
      <c r="S625">
        <v>20440</v>
      </c>
    </row>
    <row r="626" spans="1:19" x14ac:dyDescent="0.3">
      <c r="A626" t="s">
        <v>8</v>
      </c>
      <c r="B626">
        <f>VLOOKUP(A626,Sheet2!B:F,5,FALSE)</f>
        <v>928</v>
      </c>
      <c r="C626" t="s">
        <v>9</v>
      </c>
      <c r="D626">
        <f>VLOOKUP(C626,Sheet2!C:G,5,FALSE)</f>
        <v>1202</v>
      </c>
      <c r="E626" t="s">
        <v>10</v>
      </c>
      <c r="F626">
        <f>VLOOKUP(E626,Sheet2!D:E,2,FALSE)</f>
        <v>939</v>
      </c>
      <c r="G626" t="s">
        <v>11</v>
      </c>
      <c r="H626" t="str">
        <f t="shared" si="18"/>
        <v>NAVERhansmile</v>
      </c>
      <c r="I626" t="str">
        <f>"hansmile"</f>
        <v>hansmile</v>
      </c>
      <c r="J626">
        <v>142200</v>
      </c>
      <c r="K626" s="1">
        <v>44866</v>
      </c>
      <c r="L626" t="s">
        <v>702</v>
      </c>
      <c r="M626">
        <f t="shared" si="19"/>
        <v>142200</v>
      </c>
      <c r="N626" t="e">
        <f>VLOOKUP(H626,Sheet1!G:H,2,FALSE)</f>
        <v>#N/A</v>
      </c>
      <c r="R626" t="s">
        <v>2550</v>
      </c>
      <c r="S626">
        <v>16810</v>
      </c>
    </row>
    <row r="627" spans="1:19" x14ac:dyDescent="0.3">
      <c r="A627" t="s">
        <v>176</v>
      </c>
      <c r="B627">
        <f>VLOOKUP(A627,Sheet2!B:F,5,FALSE)</f>
        <v>1204</v>
      </c>
      <c r="C627" t="s">
        <v>177</v>
      </c>
      <c r="D627">
        <f>VLOOKUP(C627,Sheet2!C:G,5,FALSE)</f>
        <v>1205</v>
      </c>
      <c r="E627" t="s">
        <v>178</v>
      </c>
      <c r="F627">
        <f>VLOOKUP(E627,Sheet2!D:E,2,FALSE)</f>
        <v>201073</v>
      </c>
      <c r="G627" t="s">
        <v>11</v>
      </c>
      <c r="H627" t="str">
        <f t="shared" si="18"/>
        <v>NAVERhanssem</v>
      </c>
      <c r="I627" t="str">
        <f>"hanssem"</f>
        <v>hanssem</v>
      </c>
      <c r="J627">
        <v>203743070</v>
      </c>
      <c r="K627" s="1">
        <v>44866</v>
      </c>
      <c r="L627" t="s">
        <v>703</v>
      </c>
      <c r="M627">
        <f t="shared" si="19"/>
        <v>203743070</v>
      </c>
      <c r="N627" t="e">
        <f>VLOOKUP(H627,Sheet1!G:H,2,FALSE)</f>
        <v>#N/A</v>
      </c>
      <c r="R627" t="s">
        <v>2551</v>
      </c>
      <c r="S627">
        <v>14770</v>
      </c>
    </row>
    <row r="628" spans="1:19" x14ac:dyDescent="0.3">
      <c r="A628" t="s">
        <v>41</v>
      </c>
      <c r="B628">
        <f>VLOOKUP(A628,Sheet2!B:F,5,FALSE)</f>
        <v>926</v>
      </c>
      <c r="C628" t="s">
        <v>42</v>
      </c>
      <c r="D628">
        <f>VLOOKUP(C628,Sheet2!C:G,5,FALSE)</f>
        <v>964</v>
      </c>
      <c r="E628" t="s">
        <v>704</v>
      </c>
      <c r="F628">
        <f>VLOOKUP(E628,Sheet2!D:E,2,FALSE)</f>
        <v>1616</v>
      </c>
      <c r="G628" t="s">
        <v>11</v>
      </c>
      <c r="H628" t="str">
        <f t="shared" si="18"/>
        <v>NAVERhantom</v>
      </c>
      <c r="I628" t="str">
        <f>"hantom"</f>
        <v>hantom</v>
      </c>
      <c r="J628">
        <v>70</v>
      </c>
      <c r="K628" s="1">
        <v>44866</v>
      </c>
      <c r="L628" t="s">
        <v>705</v>
      </c>
      <c r="M628">
        <f t="shared" si="19"/>
        <v>70</v>
      </c>
      <c r="N628" t="e">
        <f>VLOOKUP(H628,Sheet1!G:H,2,FALSE)</f>
        <v>#N/A</v>
      </c>
      <c r="R628" t="s">
        <v>2552</v>
      </c>
      <c r="S628">
        <v>4320</v>
      </c>
    </row>
    <row r="629" spans="1:19" x14ac:dyDescent="0.3">
      <c r="A629" t="s">
        <v>16</v>
      </c>
      <c r="B629">
        <f>VLOOKUP(A629,Sheet2!B:F,5,FALSE)</f>
        <v>927</v>
      </c>
      <c r="C629" t="s">
        <v>17</v>
      </c>
      <c r="D629">
        <f>VLOOKUP(C629,Sheet2!C:G,5,FALSE)</f>
        <v>1200</v>
      </c>
      <c r="E629" t="s">
        <v>244</v>
      </c>
      <c r="F629">
        <f>VLOOKUP(E629,Sheet2!D:E,2,FALSE)</f>
        <v>817</v>
      </c>
      <c r="G629" t="s">
        <v>11</v>
      </c>
      <c r="H629" t="str">
        <f t="shared" si="18"/>
        <v>NAVERhanvittm</v>
      </c>
      <c r="I629" t="str">
        <f>"hanvittm"</f>
        <v>hanvittm</v>
      </c>
      <c r="J629">
        <v>1630410</v>
      </c>
      <c r="K629" s="1">
        <v>44866</v>
      </c>
      <c r="L629" t="s">
        <v>706</v>
      </c>
      <c r="M629">
        <f t="shared" si="19"/>
        <v>1630410</v>
      </c>
      <c r="N629" t="e">
        <f>VLOOKUP(H629,Sheet1!G:H,2,FALSE)</f>
        <v>#N/A</v>
      </c>
      <c r="R629" t="s">
        <v>2553</v>
      </c>
      <c r="S629">
        <v>27290</v>
      </c>
    </row>
    <row r="630" spans="1:19" x14ac:dyDescent="0.3">
      <c r="A630" t="s">
        <v>8</v>
      </c>
      <c r="B630">
        <f>VLOOKUP(A630,Sheet2!B:F,5,FALSE)</f>
        <v>928</v>
      </c>
      <c r="C630" t="s">
        <v>9</v>
      </c>
      <c r="D630">
        <f>VLOOKUP(C630,Sheet2!C:G,5,FALSE)</f>
        <v>1202</v>
      </c>
      <c r="E630" t="s">
        <v>73</v>
      </c>
      <c r="F630">
        <f>VLOOKUP(E630,Sheet2!D:E,2,FALSE)</f>
        <v>895</v>
      </c>
      <c r="G630" t="s">
        <v>11</v>
      </c>
      <c r="H630" t="str">
        <f t="shared" si="18"/>
        <v>NAVERhanyangbrick</v>
      </c>
      <c r="I630" t="str">
        <f>"hanyangbrick"</f>
        <v>hanyangbrick</v>
      </c>
      <c r="J630">
        <v>81600</v>
      </c>
      <c r="K630" s="1">
        <v>44866</v>
      </c>
      <c r="L630" t="s">
        <v>707</v>
      </c>
      <c r="M630">
        <f t="shared" si="19"/>
        <v>81600</v>
      </c>
      <c r="N630" t="e">
        <f>VLOOKUP(H630,Sheet1!G:H,2,FALSE)</f>
        <v>#N/A</v>
      </c>
      <c r="R630" t="s">
        <v>2554</v>
      </c>
      <c r="S630">
        <v>0</v>
      </c>
    </row>
    <row r="631" spans="1:19" x14ac:dyDescent="0.3">
      <c r="A631" t="s">
        <v>16</v>
      </c>
      <c r="B631">
        <f>VLOOKUP(A631,Sheet2!B:F,5,FALSE)</f>
        <v>927</v>
      </c>
      <c r="C631" t="s">
        <v>17</v>
      </c>
      <c r="D631">
        <f>VLOOKUP(C631,Sheet2!C:G,5,FALSE)</f>
        <v>1200</v>
      </c>
      <c r="E631" t="s">
        <v>100</v>
      </c>
      <c r="F631">
        <f>VLOOKUP(E631,Sheet2!D:E,2,FALSE)</f>
        <v>201038</v>
      </c>
      <c r="G631" t="s">
        <v>11</v>
      </c>
      <c r="H631" t="str">
        <f t="shared" si="18"/>
        <v>NAVERhappy04225</v>
      </c>
      <c r="I631" t="str">
        <f>"happy04225"</f>
        <v>happy04225</v>
      </c>
      <c r="J631">
        <v>168020</v>
      </c>
      <c r="K631" s="1">
        <v>44866</v>
      </c>
      <c r="L631" t="s">
        <v>708</v>
      </c>
      <c r="M631">
        <f t="shared" si="19"/>
        <v>172610</v>
      </c>
      <c r="N631" t="e">
        <f>VLOOKUP(H631,Sheet1!G:H,2,FALSE)</f>
        <v>#N/A</v>
      </c>
      <c r="R631" t="s">
        <v>2555</v>
      </c>
      <c r="S631">
        <v>6010340</v>
      </c>
    </row>
    <row r="632" spans="1:19" x14ac:dyDescent="0.3">
      <c r="A632" t="s">
        <v>8</v>
      </c>
      <c r="B632">
        <f>VLOOKUP(A632,Sheet2!B:F,5,FALSE)</f>
        <v>928</v>
      </c>
      <c r="C632" t="s">
        <v>9</v>
      </c>
      <c r="D632">
        <f>VLOOKUP(C632,Sheet2!C:G,5,FALSE)</f>
        <v>1202</v>
      </c>
      <c r="E632" t="s">
        <v>27</v>
      </c>
      <c r="F632">
        <f>VLOOKUP(E632,Sheet2!D:E,2,FALSE)</f>
        <v>806</v>
      </c>
      <c r="G632" t="s">
        <v>11</v>
      </c>
      <c r="H632" t="str">
        <f t="shared" si="18"/>
        <v>NAVERhappyblind</v>
      </c>
      <c r="I632" t="str">
        <f>"happyblind"</f>
        <v>happyblind</v>
      </c>
      <c r="J632">
        <v>66500</v>
      </c>
      <c r="K632" s="1">
        <v>44866</v>
      </c>
      <c r="L632" t="s">
        <v>709</v>
      </c>
      <c r="M632">
        <f t="shared" si="19"/>
        <v>66500</v>
      </c>
      <c r="N632" t="e">
        <f>VLOOKUP(H632,Sheet1!G:H,2,FALSE)</f>
        <v>#N/A</v>
      </c>
      <c r="R632" t="s">
        <v>2556</v>
      </c>
      <c r="S632">
        <v>223040</v>
      </c>
    </row>
    <row r="633" spans="1:19" x14ac:dyDescent="0.3">
      <c r="A633" t="s">
        <v>41</v>
      </c>
      <c r="B633">
        <f>VLOOKUP(A633,Sheet2!B:F,5,FALSE)</f>
        <v>926</v>
      </c>
      <c r="C633" t="s">
        <v>42</v>
      </c>
      <c r="D633">
        <f>VLOOKUP(C633,Sheet2!C:G,5,FALSE)</f>
        <v>964</v>
      </c>
      <c r="E633" t="s">
        <v>43</v>
      </c>
      <c r="F633">
        <f>VLOOKUP(E633,Sheet2!D:E,2,FALSE)</f>
        <v>200998</v>
      </c>
      <c r="G633" t="s">
        <v>11</v>
      </c>
      <c r="H633" t="str">
        <f t="shared" si="18"/>
        <v>NAVERhappygo5969</v>
      </c>
      <c r="I633" t="str">
        <f>"happygo5969"</f>
        <v>happygo5969</v>
      </c>
      <c r="J633">
        <v>5100</v>
      </c>
      <c r="K633" s="1">
        <v>44866</v>
      </c>
      <c r="L633" t="s">
        <v>710</v>
      </c>
      <c r="M633">
        <f t="shared" si="19"/>
        <v>5100</v>
      </c>
      <c r="N633" t="e">
        <f>VLOOKUP(H633,Sheet1!G:H,2,FALSE)</f>
        <v>#N/A</v>
      </c>
      <c r="R633" t="s">
        <v>2557</v>
      </c>
      <c r="S633">
        <v>6750</v>
      </c>
    </row>
    <row r="634" spans="1:19" x14ac:dyDescent="0.3">
      <c r="A634" t="s">
        <v>41</v>
      </c>
      <c r="B634">
        <f>VLOOKUP(A634,Sheet2!B:F,5,FALSE)</f>
        <v>926</v>
      </c>
      <c r="C634" t="s">
        <v>56</v>
      </c>
      <c r="D634">
        <f>VLOOKUP(C634,Sheet2!C:G,5,FALSE)</f>
        <v>1207</v>
      </c>
      <c r="E634" t="s">
        <v>57</v>
      </c>
      <c r="F634">
        <f>VLOOKUP(E634,Sheet2!D:E,2,FALSE)</f>
        <v>200982</v>
      </c>
      <c r="G634" t="s">
        <v>11</v>
      </c>
      <c r="H634" t="str">
        <f t="shared" si="18"/>
        <v>NAVERhappylimo</v>
      </c>
      <c r="I634" t="str">
        <f>"happylimo"</f>
        <v>happylimo</v>
      </c>
      <c r="J634">
        <v>12080</v>
      </c>
      <c r="K634" s="1">
        <v>44866</v>
      </c>
      <c r="L634" t="s">
        <v>711</v>
      </c>
      <c r="M634">
        <f t="shared" si="19"/>
        <v>12080</v>
      </c>
      <c r="N634" t="e">
        <f>VLOOKUP(H634,Sheet1!G:H,2,FALSE)</f>
        <v>#N/A</v>
      </c>
      <c r="R634" t="s">
        <v>2558</v>
      </c>
      <c r="S634">
        <v>36320</v>
      </c>
    </row>
    <row r="635" spans="1:19" x14ac:dyDescent="0.3">
      <c r="A635" t="s">
        <v>16</v>
      </c>
      <c r="B635">
        <f>VLOOKUP(A635,Sheet2!B:F,5,FALSE)</f>
        <v>927</v>
      </c>
      <c r="C635" t="s">
        <v>17</v>
      </c>
      <c r="D635">
        <f>VLOOKUP(C635,Sheet2!C:G,5,FALSE)</f>
        <v>1200</v>
      </c>
      <c r="E635" t="s">
        <v>96</v>
      </c>
      <c r="F635">
        <f>VLOOKUP(E635,Sheet2!D:E,2,FALSE)</f>
        <v>1271</v>
      </c>
      <c r="G635" t="s">
        <v>11</v>
      </c>
      <c r="H635" t="str">
        <f t="shared" si="18"/>
        <v>NAVERhar1125</v>
      </c>
      <c r="I635" t="str">
        <f>"har1125"</f>
        <v>har1125</v>
      </c>
      <c r="J635">
        <v>364270</v>
      </c>
      <c r="K635" s="1">
        <v>44866</v>
      </c>
      <c r="L635" t="s">
        <v>712</v>
      </c>
      <c r="M635">
        <f t="shared" si="19"/>
        <v>364270</v>
      </c>
      <c r="N635" t="e">
        <f>VLOOKUP(H635,Sheet1!G:H,2,FALSE)</f>
        <v>#N/A</v>
      </c>
      <c r="R635" t="s">
        <v>2559</v>
      </c>
      <c r="S635">
        <v>282390</v>
      </c>
    </row>
    <row r="636" spans="1:19" x14ac:dyDescent="0.3">
      <c r="A636" t="s">
        <v>16</v>
      </c>
      <c r="B636">
        <f>VLOOKUP(A636,Sheet2!B:F,5,FALSE)</f>
        <v>927</v>
      </c>
      <c r="C636" t="s">
        <v>17</v>
      </c>
      <c r="D636">
        <f>VLOOKUP(C636,Sheet2!C:G,5,FALSE)</f>
        <v>1200</v>
      </c>
      <c r="E636" t="s">
        <v>78</v>
      </c>
      <c r="F636">
        <f>VLOOKUP(E636,Sheet2!D:E,2,FALSE)</f>
        <v>57</v>
      </c>
      <c r="G636" t="s">
        <v>11</v>
      </c>
      <c r="H636" t="str">
        <f t="shared" si="18"/>
        <v>NAVERhatsplus</v>
      </c>
      <c r="I636" t="str">
        <f>"hatsplus"</f>
        <v>hatsplus</v>
      </c>
      <c r="J636">
        <v>4530</v>
      </c>
      <c r="K636" s="1">
        <v>44866</v>
      </c>
      <c r="L636" t="s">
        <v>713</v>
      </c>
      <c r="M636" t="e">
        <f t="shared" si="19"/>
        <v>#N/A</v>
      </c>
      <c r="N636" t="str">
        <f>VLOOKUP(H636,Sheet1!G:H,2,FALSE)</f>
        <v>필요시에만 광고주 직접운영</v>
      </c>
      <c r="R636" t="s">
        <v>2560</v>
      </c>
      <c r="S636">
        <v>58850</v>
      </c>
    </row>
    <row r="637" spans="1:19" x14ac:dyDescent="0.3">
      <c r="A637" t="s">
        <v>16</v>
      </c>
      <c r="B637">
        <f>VLOOKUP(A637,Sheet2!B:F,5,FALSE)</f>
        <v>927</v>
      </c>
      <c r="C637" t="s">
        <v>17</v>
      </c>
      <c r="D637">
        <f>VLOOKUP(C637,Sheet2!C:G,5,FALSE)</f>
        <v>1200</v>
      </c>
      <c r="E637" t="s">
        <v>100</v>
      </c>
      <c r="F637">
        <f>VLOOKUP(E637,Sheet2!D:E,2,FALSE)</f>
        <v>201038</v>
      </c>
      <c r="G637" t="s">
        <v>11</v>
      </c>
      <c r="H637" t="str">
        <f t="shared" si="18"/>
        <v>NAVERhavaran:naver</v>
      </c>
      <c r="I637" t="str">
        <f>"havaran:naver"</f>
        <v>havaran:naver</v>
      </c>
      <c r="J637">
        <v>25870</v>
      </c>
      <c r="K637" s="1">
        <v>44866</v>
      </c>
      <c r="L637" t="s">
        <v>714</v>
      </c>
      <c r="M637">
        <f t="shared" si="19"/>
        <v>25870</v>
      </c>
      <c r="N637" t="e">
        <f>VLOOKUP(H637,Sheet1!G:H,2,FALSE)</f>
        <v>#N/A</v>
      </c>
      <c r="R637" t="s">
        <v>2561</v>
      </c>
      <c r="S637">
        <v>180</v>
      </c>
    </row>
    <row r="638" spans="1:19" x14ac:dyDescent="0.3">
      <c r="A638" t="s">
        <v>8</v>
      </c>
      <c r="B638">
        <f>VLOOKUP(A638,Sheet2!B:F,5,FALSE)</f>
        <v>928</v>
      </c>
      <c r="C638" t="s">
        <v>13</v>
      </c>
      <c r="D638">
        <f>VLOOKUP(C638,Sheet2!C:G,5,FALSE)</f>
        <v>1184</v>
      </c>
      <c r="E638" t="s">
        <v>335</v>
      </c>
      <c r="F638">
        <f>VLOOKUP(E638,Sheet2!D:E,2,FALSE)</f>
        <v>201090</v>
      </c>
      <c r="G638" t="s">
        <v>11</v>
      </c>
      <c r="H638" t="str">
        <f t="shared" si="18"/>
        <v>NAVERhcn1004</v>
      </c>
      <c r="I638" t="str">
        <f>"hcn1004"</f>
        <v>hcn1004</v>
      </c>
      <c r="J638">
        <v>4980</v>
      </c>
      <c r="K638" s="1">
        <v>44866</v>
      </c>
      <c r="L638" t="s">
        <v>715</v>
      </c>
      <c r="M638">
        <f t="shared" si="19"/>
        <v>4980</v>
      </c>
      <c r="N638" t="e">
        <f>VLOOKUP(H638,Sheet1!G:H,2,FALSE)</f>
        <v>#N/A</v>
      </c>
      <c r="R638" t="s">
        <v>2562</v>
      </c>
      <c r="S638">
        <v>3800</v>
      </c>
    </row>
    <row r="639" spans="1:19" x14ac:dyDescent="0.3">
      <c r="A639" t="s">
        <v>8</v>
      </c>
      <c r="B639">
        <f>VLOOKUP(A639,Sheet2!B:F,5,FALSE)</f>
        <v>928</v>
      </c>
      <c r="C639" t="s">
        <v>13</v>
      </c>
      <c r="D639">
        <f>VLOOKUP(C639,Sheet2!C:G,5,FALSE)</f>
        <v>1184</v>
      </c>
      <c r="E639" t="s">
        <v>335</v>
      </c>
      <c r="F639">
        <f>VLOOKUP(E639,Sheet2!D:E,2,FALSE)</f>
        <v>201090</v>
      </c>
      <c r="G639" t="s">
        <v>11</v>
      </c>
      <c r="H639" t="str">
        <f t="shared" si="18"/>
        <v>NAVERhcn777</v>
      </c>
      <c r="I639" t="str">
        <f>"hcn777"</f>
        <v>hcn777</v>
      </c>
      <c r="J639">
        <v>55900</v>
      </c>
      <c r="K639" s="1">
        <v>44866</v>
      </c>
      <c r="L639" t="s">
        <v>716</v>
      </c>
      <c r="M639">
        <f t="shared" si="19"/>
        <v>55900</v>
      </c>
      <c r="N639" t="e">
        <f>VLOOKUP(H639,Sheet1!G:H,2,FALSE)</f>
        <v>#N/A</v>
      </c>
      <c r="R639" t="s">
        <v>2563</v>
      </c>
      <c r="S639">
        <v>687850</v>
      </c>
    </row>
    <row r="640" spans="1:19" x14ac:dyDescent="0.3">
      <c r="A640" t="s">
        <v>8</v>
      </c>
      <c r="B640">
        <f>VLOOKUP(A640,Sheet2!B:F,5,FALSE)</f>
        <v>928</v>
      </c>
      <c r="C640" t="s">
        <v>9</v>
      </c>
      <c r="D640">
        <f>VLOOKUP(C640,Sheet2!C:G,5,FALSE)</f>
        <v>1202</v>
      </c>
      <c r="E640" t="s">
        <v>10</v>
      </c>
      <c r="F640">
        <f>VLOOKUP(E640,Sheet2!D:E,2,FALSE)</f>
        <v>939</v>
      </c>
      <c r="G640" t="s">
        <v>11</v>
      </c>
      <c r="H640" t="str">
        <f t="shared" si="18"/>
        <v>NAVERhdkim5066</v>
      </c>
      <c r="I640" t="str">
        <f>"hdkim5066"</f>
        <v>hdkim5066</v>
      </c>
      <c r="J640">
        <v>2971640</v>
      </c>
      <c r="K640" s="1">
        <v>44866</v>
      </c>
      <c r="L640" t="s">
        <v>717</v>
      </c>
      <c r="M640">
        <f t="shared" si="19"/>
        <v>2971640</v>
      </c>
      <c r="N640" t="e">
        <f>VLOOKUP(H640,Sheet1!G:H,2,FALSE)</f>
        <v>#N/A</v>
      </c>
      <c r="R640" t="s">
        <v>2564</v>
      </c>
      <c r="S640">
        <v>8890940</v>
      </c>
    </row>
    <row r="641" spans="1:19" x14ac:dyDescent="0.3">
      <c r="A641" t="s">
        <v>8</v>
      </c>
      <c r="B641">
        <f>VLOOKUP(A641,Sheet2!B:F,5,FALSE)</f>
        <v>928</v>
      </c>
      <c r="C641" t="s">
        <v>9</v>
      </c>
      <c r="D641">
        <f>VLOOKUP(C641,Sheet2!C:G,5,FALSE)</f>
        <v>1202</v>
      </c>
      <c r="E641" t="s">
        <v>33</v>
      </c>
      <c r="F641">
        <f>VLOOKUP(E641,Sheet2!D:E,2,FALSE)</f>
        <v>933</v>
      </c>
      <c r="G641" t="s">
        <v>11</v>
      </c>
      <c r="H641" t="str">
        <f t="shared" si="18"/>
        <v>NAVERhdyachts</v>
      </c>
      <c r="I641" t="str">
        <f>"hdyachts"</f>
        <v>hdyachts</v>
      </c>
      <c r="J641">
        <v>432200</v>
      </c>
      <c r="K641" s="1">
        <v>44866</v>
      </c>
      <c r="L641" t="s">
        <v>718</v>
      </c>
      <c r="M641">
        <f t="shared" si="19"/>
        <v>432200</v>
      </c>
      <c r="N641" t="e">
        <f>VLOOKUP(H641,Sheet1!G:H,2,FALSE)</f>
        <v>#N/A</v>
      </c>
      <c r="R641" t="s">
        <v>2565</v>
      </c>
      <c r="S641">
        <v>68310</v>
      </c>
    </row>
    <row r="642" spans="1:19" x14ac:dyDescent="0.3">
      <c r="A642" t="s">
        <v>8</v>
      </c>
      <c r="B642">
        <f>VLOOKUP(A642,Sheet2!B:F,5,FALSE)</f>
        <v>928</v>
      </c>
      <c r="C642" t="s">
        <v>9</v>
      </c>
      <c r="D642">
        <f>VLOOKUP(C642,Sheet2!C:G,5,FALSE)</f>
        <v>1202</v>
      </c>
      <c r="E642" t="s">
        <v>33</v>
      </c>
      <c r="F642">
        <f>VLOOKUP(E642,Sheet2!D:E,2,FALSE)</f>
        <v>933</v>
      </c>
      <c r="G642" t="s">
        <v>11</v>
      </c>
      <c r="H642" t="str">
        <f t="shared" si="18"/>
        <v>NAVERhealinghc</v>
      </c>
      <c r="I642" t="str">
        <f>"healinghc"</f>
        <v>healinghc</v>
      </c>
      <c r="J642">
        <v>4000</v>
      </c>
      <c r="K642" s="1">
        <v>44866</v>
      </c>
      <c r="L642" t="s">
        <v>719</v>
      </c>
      <c r="M642">
        <f t="shared" si="19"/>
        <v>4000</v>
      </c>
      <c r="N642" t="e">
        <f>VLOOKUP(H642,Sheet1!G:H,2,FALSE)</f>
        <v>#N/A</v>
      </c>
      <c r="R642" t="s">
        <v>2566</v>
      </c>
      <c r="S642">
        <v>568074</v>
      </c>
    </row>
    <row r="643" spans="1:19" x14ac:dyDescent="0.3">
      <c r="A643" t="s">
        <v>8</v>
      </c>
      <c r="B643">
        <f>VLOOKUP(A643,Sheet2!B:F,5,FALSE)</f>
        <v>928</v>
      </c>
      <c r="C643" t="s">
        <v>13</v>
      </c>
      <c r="D643">
        <f>VLOOKUP(C643,Sheet2!C:G,5,FALSE)</f>
        <v>1184</v>
      </c>
      <c r="E643" t="s">
        <v>102</v>
      </c>
      <c r="F643">
        <f>VLOOKUP(E643,Sheet2!D:E,2,FALSE)</f>
        <v>917</v>
      </c>
      <c r="G643" t="s">
        <v>11</v>
      </c>
      <c r="H643" t="str">
        <f t="shared" ref="H643:H706" si="20">CONCATENATE(G643,I643)</f>
        <v>NAVERheavysteak</v>
      </c>
      <c r="I643" t="str">
        <f>"heavysteak"</f>
        <v>heavysteak</v>
      </c>
      <c r="J643">
        <v>636120</v>
      </c>
      <c r="K643" s="1">
        <v>44866</v>
      </c>
      <c r="L643" t="s">
        <v>720</v>
      </c>
      <c r="M643">
        <f t="shared" ref="M643:M706" si="21">VLOOKUP(H643,R:S,2,FALSE)</f>
        <v>650300</v>
      </c>
      <c r="N643" t="e">
        <f>VLOOKUP(H643,Sheet1!G:H,2,FALSE)</f>
        <v>#N/A</v>
      </c>
      <c r="R643" t="s">
        <v>2567</v>
      </c>
      <c r="S643">
        <v>34730</v>
      </c>
    </row>
    <row r="644" spans="1:19" x14ac:dyDescent="0.3">
      <c r="A644" t="s">
        <v>8</v>
      </c>
      <c r="B644">
        <f>VLOOKUP(A644,Sheet2!B:F,5,FALSE)</f>
        <v>928</v>
      </c>
      <c r="C644" t="s">
        <v>9</v>
      </c>
      <c r="D644">
        <f>VLOOKUP(C644,Sheet2!C:G,5,FALSE)</f>
        <v>1202</v>
      </c>
      <c r="E644" t="s">
        <v>75</v>
      </c>
      <c r="F644">
        <f>VLOOKUP(E644,Sheet2!D:E,2,FALSE)</f>
        <v>50</v>
      </c>
      <c r="G644" t="s">
        <v>11</v>
      </c>
      <c r="H644" t="str">
        <f t="shared" si="20"/>
        <v>NAVERhee0987</v>
      </c>
      <c r="I644" t="str">
        <f>"hee0987"</f>
        <v>hee0987</v>
      </c>
      <c r="J644">
        <v>912950</v>
      </c>
      <c r="K644" s="1">
        <v>44866</v>
      </c>
      <c r="L644" t="s">
        <v>721</v>
      </c>
      <c r="M644">
        <f t="shared" si="21"/>
        <v>912950</v>
      </c>
      <c r="N644" t="e">
        <f>VLOOKUP(H644,Sheet1!G:H,2,FALSE)</f>
        <v>#N/A</v>
      </c>
      <c r="R644" t="s">
        <v>2568</v>
      </c>
      <c r="S644">
        <v>2405530</v>
      </c>
    </row>
    <row r="645" spans="1:19" x14ac:dyDescent="0.3">
      <c r="A645" t="s">
        <v>8</v>
      </c>
      <c r="B645">
        <f>VLOOKUP(A645,Sheet2!B:F,5,FALSE)</f>
        <v>928</v>
      </c>
      <c r="C645" t="s">
        <v>9</v>
      </c>
      <c r="D645">
        <f>VLOOKUP(C645,Sheet2!C:G,5,FALSE)</f>
        <v>1202</v>
      </c>
      <c r="E645" t="s">
        <v>10</v>
      </c>
      <c r="F645">
        <f>VLOOKUP(E645,Sheet2!D:E,2,FALSE)</f>
        <v>939</v>
      </c>
      <c r="G645" t="s">
        <v>11</v>
      </c>
      <c r="H645" t="str">
        <f t="shared" si="20"/>
        <v>NAVERheejunstyle1:naver</v>
      </c>
      <c r="I645" t="str">
        <f>"heejunstyle1:naver"</f>
        <v>heejunstyle1:naver</v>
      </c>
      <c r="J645">
        <v>79900</v>
      </c>
      <c r="K645" s="1">
        <v>44866</v>
      </c>
      <c r="L645" t="s">
        <v>722</v>
      </c>
      <c r="M645">
        <f t="shared" si="21"/>
        <v>79900</v>
      </c>
      <c r="N645" t="e">
        <f>VLOOKUP(H645,Sheet1!G:H,2,FALSE)</f>
        <v>#N/A</v>
      </c>
      <c r="R645" t="s">
        <v>2569</v>
      </c>
      <c r="S645">
        <v>473930</v>
      </c>
    </row>
    <row r="646" spans="1:19" x14ac:dyDescent="0.3">
      <c r="A646" t="s">
        <v>8</v>
      </c>
      <c r="B646">
        <f>VLOOKUP(A646,Sheet2!B:F,5,FALSE)</f>
        <v>928</v>
      </c>
      <c r="C646" t="s">
        <v>9</v>
      </c>
      <c r="D646">
        <f>VLOOKUP(C646,Sheet2!C:G,5,FALSE)</f>
        <v>1202</v>
      </c>
      <c r="E646" t="s">
        <v>47</v>
      </c>
      <c r="F646">
        <f>VLOOKUP(E646,Sheet2!D:E,2,FALSE)</f>
        <v>898</v>
      </c>
      <c r="G646" t="s">
        <v>11</v>
      </c>
      <c r="H646" t="str">
        <f t="shared" si="20"/>
        <v>NAVERheidian7</v>
      </c>
      <c r="I646" t="str">
        <f>"heidian7"</f>
        <v>heidian7</v>
      </c>
      <c r="J646">
        <v>3260</v>
      </c>
      <c r="K646" s="1">
        <v>44866</v>
      </c>
      <c r="L646" t="s">
        <v>723</v>
      </c>
      <c r="M646" t="e">
        <f t="shared" si="21"/>
        <v>#N/A</v>
      </c>
      <c r="N646" t="e">
        <f>VLOOKUP(H646,Sheet1!G:H,2,FALSE)</f>
        <v>#N/A</v>
      </c>
      <c r="R646" t="s">
        <v>2570</v>
      </c>
      <c r="S646">
        <v>44690</v>
      </c>
    </row>
    <row r="647" spans="1:19" x14ac:dyDescent="0.3">
      <c r="A647" t="s">
        <v>16</v>
      </c>
      <c r="B647">
        <f>VLOOKUP(A647,Sheet2!B:F,5,FALSE)</f>
        <v>927</v>
      </c>
      <c r="C647" t="s">
        <v>17</v>
      </c>
      <c r="D647">
        <f>VLOOKUP(C647,Sheet2!C:G,5,FALSE)</f>
        <v>1200</v>
      </c>
      <c r="E647" t="s">
        <v>371</v>
      </c>
      <c r="F647">
        <f>VLOOKUP(E647,Sheet2!D:E,2,FALSE)</f>
        <v>551</v>
      </c>
      <c r="G647" t="s">
        <v>11</v>
      </c>
      <c r="H647" t="str">
        <f t="shared" si="20"/>
        <v>NAVERheim220505</v>
      </c>
      <c r="I647" t="str">
        <f>"heim220505"</f>
        <v>heim220505</v>
      </c>
      <c r="J647">
        <v>652030</v>
      </c>
      <c r="K647" s="1">
        <v>44866</v>
      </c>
      <c r="L647" t="s">
        <v>724</v>
      </c>
      <c r="M647">
        <f t="shared" si="21"/>
        <v>697340</v>
      </c>
      <c r="N647" t="e">
        <f>VLOOKUP(H647,Sheet1!G:H,2,FALSE)</f>
        <v>#N/A</v>
      </c>
      <c r="R647" t="s">
        <v>2571</v>
      </c>
      <c r="S647">
        <v>8360</v>
      </c>
    </row>
    <row r="648" spans="1:19" x14ac:dyDescent="0.3">
      <c r="A648" t="s">
        <v>8</v>
      </c>
      <c r="B648">
        <f>VLOOKUP(A648,Sheet2!B:F,5,FALSE)</f>
        <v>928</v>
      </c>
      <c r="C648" t="s">
        <v>9</v>
      </c>
      <c r="D648">
        <f>VLOOKUP(C648,Sheet2!C:G,5,FALSE)</f>
        <v>1202</v>
      </c>
      <c r="E648" t="s">
        <v>27</v>
      </c>
      <c r="F648">
        <f>VLOOKUP(E648,Sheet2!D:E,2,FALSE)</f>
        <v>806</v>
      </c>
      <c r="G648" t="s">
        <v>11</v>
      </c>
      <c r="H648" t="str">
        <f t="shared" si="20"/>
        <v>NAVERhejkayla:naver</v>
      </c>
      <c r="I648" t="str">
        <f>"hejkayla:naver"</f>
        <v>hejkayla:naver</v>
      </c>
      <c r="J648">
        <v>139380</v>
      </c>
      <c r="K648" s="1">
        <v>44866</v>
      </c>
      <c r="L648" t="s">
        <v>725</v>
      </c>
      <c r="M648">
        <f t="shared" si="21"/>
        <v>139380</v>
      </c>
      <c r="N648" t="e">
        <f>VLOOKUP(H648,Sheet1!G:H,2,FALSE)</f>
        <v>#N/A</v>
      </c>
      <c r="R648" t="s">
        <v>2572</v>
      </c>
      <c r="S648">
        <v>5830</v>
      </c>
    </row>
    <row r="649" spans="1:19" x14ac:dyDescent="0.3">
      <c r="A649" t="s">
        <v>22</v>
      </c>
      <c r="B649">
        <f>VLOOKUP(A649,Sheet2!B:F,5,FALSE)</f>
        <v>809</v>
      </c>
      <c r="C649" t="s">
        <v>23</v>
      </c>
      <c r="D649">
        <f>VLOOKUP(C649,Sheet2!C:G,5,FALSE)</f>
        <v>810</v>
      </c>
      <c r="E649" t="s">
        <v>428</v>
      </c>
      <c r="F649">
        <f>VLOOKUP(E649,Sheet2!D:E,2,FALSE)</f>
        <v>201062</v>
      </c>
      <c r="G649" t="s">
        <v>11</v>
      </c>
      <c r="H649" t="str">
        <f t="shared" si="20"/>
        <v>NAVERhelloph20:naver</v>
      </c>
      <c r="I649" t="str">
        <f>"helloph20:naver"</f>
        <v>helloph20:naver</v>
      </c>
      <c r="J649">
        <v>81190</v>
      </c>
      <c r="K649" s="1">
        <v>44866</v>
      </c>
      <c r="L649" t="s">
        <v>726</v>
      </c>
      <c r="M649">
        <f t="shared" si="21"/>
        <v>81190</v>
      </c>
      <c r="N649" t="e">
        <f>VLOOKUP(H649,Sheet1!G:H,2,FALSE)</f>
        <v>#N/A</v>
      </c>
      <c r="R649" t="s">
        <v>2573</v>
      </c>
      <c r="S649">
        <v>3630</v>
      </c>
    </row>
    <row r="650" spans="1:19" x14ac:dyDescent="0.3">
      <c r="A650" t="s">
        <v>8</v>
      </c>
      <c r="B650">
        <f>VLOOKUP(A650,Sheet2!B:F,5,FALSE)</f>
        <v>928</v>
      </c>
      <c r="C650" t="s">
        <v>9</v>
      </c>
      <c r="D650">
        <f>VLOOKUP(C650,Sheet2!C:G,5,FALSE)</f>
        <v>1202</v>
      </c>
      <c r="E650" t="s">
        <v>45</v>
      </c>
      <c r="F650">
        <f>VLOOKUP(E650,Sheet2!D:E,2,FALSE)</f>
        <v>26</v>
      </c>
      <c r="G650" t="s">
        <v>11</v>
      </c>
      <c r="H650" t="str">
        <f t="shared" si="20"/>
        <v>NAVERhera2555</v>
      </c>
      <c r="I650" t="str">
        <f>"hera2555"</f>
        <v>hera2555</v>
      </c>
      <c r="J650">
        <v>2226440</v>
      </c>
      <c r="K650" s="1">
        <v>44866</v>
      </c>
      <c r="L650" t="s">
        <v>727</v>
      </c>
      <c r="M650">
        <f t="shared" si="21"/>
        <v>2226490</v>
      </c>
      <c r="N650" t="e">
        <f>VLOOKUP(H650,Sheet1!G:H,2,FALSE)</f>
        <v>#N/A</v>
      </c>
      <c r="R650" t="s">
        <v>2574</v>
      </c>
      <c r="S650">
        <v>884340</v>
      </c>
    </row>
    <row r="651" spans="1:19" x14ac:dyDescent="0.3">
      <c r="A651" t="s">
        <v>8</v>
      </c>
      <c r="B651">
        <f>VLOOKUP(A651,Sheet2!B:F,5,FALSE)</f>
        <v>928</v>
      </c>
      <c r="C651" t="s">
        <v>9</v>
      </c>
      <c r="D651">
        <f>VLOOKUP(C651,Sheet2!C:G,5,FALSE)</f>
        <v>1202</v>
      </c>
      <c r="E651" t="s">
        <v>27</v>
      </c>
      <c r="F651">
        <f>VLOOKUP(E651,Sheet2!D:E,2,FALSE)</f>
        <v>806</v>
      </c>
      <c r="G651" t="s">
        <v>11</v>
      </c>
      <c r="H651" t="str">
        <f t="shared" si="20"/>
        <v>NAVERherbmolly514</v>
      </c>
      <c r="I651" t="str">
        <f>"herbmolly514"</f>
        <v>herbmolly514</v>
      </c>
      <c r="J651">
        <v>100240</v>
      </c>
      <c r="K651" s="1">
        <v>44866</v>
      </c>
      <c r="L651" t="s">
        <v>728</v>
      </c>
      <c r="M651">
        <f t="shared" si="21"/>
        <v>100240</v>
      </c>
      <c r="N651" t="e">
        <f>VLOOKUP(H651,Sheet1!G:H,2,FALSE)</f>
        <v>#N/A</v>
      </c>
      <c r="R651" t="s">
        <v>2575</v>
      </c>
      <c r="S651">
        <v>15190</v>
      </c>
    </row>
    <row r="652" spans="1:19" x14ac:dyDescent="0.3">
      <c r="A652" t="s">
        <v>8</v>
      </c>
      <c r="B652">
        <f>VLOOKUP(A652,Sheet2!B:F,5,FALSE)</f>
        <v>928</v>
      </c>
      <c r="C652" t="s">
        <v>9</v>
      </c>
      <c r="D652">
        <f>VLOOKUP(C652,Sheet2!C:G,5,FALSE)</f>
        <v>1202</v>
      </c>
      <c r="E652" t="s">
        <v>27</v>
      </c>
      <c r="F652">
        <f>VLOOKUP(E652,Sheet2!D:E,2,FALSE)</f>
        <v>806</v>
      </c>
      <c r="G652" t="s">
        <v>11</v>
      </c>
      <c r="H652" t="str">
        <f t="shared" si="20"/>
        <v>NAVERherbrapa</v>
      </c>
      <c r="I652" t="str">
        <f>"herbrapa"</f>
        <v>herbrapa</v>
      </c>
      <c r="J652">
        <v>441890</v>
      </c>
      <c r="K652" s="1">
        <v>44866</v>
      </c>
      <c r="L652" t="s">
        <v>729</v>
      </c>
      <c r="M652">
        <f t="shared" si="21"/>
        <v>441890</v>
      </c>
      <c r="N652" t="e">
        <f>VLOOKUP(H652,Sheet1!G:H,2,FALSE)</f>
        <v>#N/A</v>
      </c>
      <c r="R652" t="s">
        <v>2576</v>
      </c>
      <c r="S652">
        <v>67770</v>
      </c>
    </row>
    <row r="653" spans="1:19" x14ac:dyDescent="0.3">
      <c r="A653" t="s">
        <v>8</v>
      </c>
      <c r="B653">
        <f>VLOOKUP(A653,Sheet2!B:F,5,FALSE)</f>
        <v>928</v>
      </c>
      <c r="C653" t="s">
        <v>9</v>
      </c>
      <c r="D653">
        <f>VLOOKUP(C653,Sheet2!C:G,5,FALSE)</f>
        <v>1202</v>
      </c>
      <c r="E653" t="s">
        <v>47</v>
      </c>
      <c r="F653">
        <f>VLOOKUP(E653,Sheet2!D:E,2,FALSE)</f>
        <v>898</v>
      </c>
      <c r="G653" t="s">
        <v>11</v>
      </c>
      <c r="H653" t="str">
        <f t="shared" si="20"/>
        <v>NAVERherbvill</v>
      </c>
      <c r="I653" t="str">
        <f>"herbvill"</f>
        <v>herbvill</v>
      </c>
      <c r="J653">
        <v>3210</v>
      </c>
      <c r="K653" s="1">
        <v>44866</v>
      </c>
      <c r="L653" t="s">
        <v>730</v>
      </c>
      <c r="M653">
        <f t="shared" si="21"/>
        <v>3210</v>
      </c>
      <c r="N653" t="e">
        <f>VLOOKUP(H653,Sheet1!G:H,2,FALSE)</f>
        <v>#N/A</v>
      </c>
      <c r="R653" t="s">
        <v>2577</v>
      </c>
      <c r="S653">
        <v>8710</v>
      </c>
    </row>
    <row r="654" spans="1:19" x14ac:dyDescent="0.3">
      <c r="A654" t="s">
        <v>8</v>
      </c>
      <c r="B654">
        <f>VLOOKUP(A654,Sheet2!B:F,5,FALSE)</f>
        <v>928</v>
      </c>
      <c r="C654" t="s">
        <v>9</v>
      </c>
      <c r="D654">
        <f>VLOOKUP(C654,Sheet2!C:G,5,FALSE)</f>
        <v>1202</v>
      </c>
      <c r="E654" t="s">
        <v>10</v>
      </c>
      <c r="F654">
        <f>VLOOKUP(E654,Sheet2!D:E,2,FALSE)</f>
        <v>939</v>
      </c>
      <c r="G654" t="s">
        <v>11</v>
      </c>
      <c r="H654" t="str">
        <f t="shared" si="20"/>
        <v>NAVERhesed931</v>
      </c>
      <c r="I654" t="str">
        <f>"hesed931"</f>
        <v>hesed931</v>
      </c>
      <c r="J654">
        <v>1018980</v>
      </c>
      <c r="K654" s="1">
        <v>44866</v>
      </c>
      <c r="L654" t="s">
        <v>731</v>
      </c>
      <c r="M654">
        <f t="shared" si="21"/>
        <v>1018980</v>
      </c>
      <c r="N654" t="e">
        <f>VLOOKUP(H654,Sheet1!G:H,2,FALSE)</f>
        <v>#N/A</v>
      </c>
      <c r="R654" t="s">
        <v>2578</v>
      </c>
      <c r="S654">
        <v>10860</v>
      </c>
    </row>
    <row r="655" spans="1:19" x14ac:dyDescent="0.3">
      <c r="A655" t="s">
        <v>8</v>
      </c>
      <c r="B655">
        <f>VLOOKUP(A655,Sheet2!B:F,5,FALSE)</f>
        <v>928</v>
      </c>
      <c r="C655" t="s">
        <v>9</v>
      </c>
      <c r="D655">
        <f>VLOOKUP(C655,Sheet2!C:G,5,FALSE)</f>
        <v>1202</v>
      </c>
      <c r="E655" t="s">
        <v>27</v>
      </c>
      <c r="F655">
        <f>VLOOKUP(E655,Sheet2!D:E,2,FALSE)</f>
        <v>806</v>
      </c>
      <c r="G655" t="s">
        <v>11</v>
      </c>
      <c r="H655" t="str">
        <f t="shared" si="20"/>
        <v>NAVERheshms</v>
      </c>
      <c r="I655" t="str">
        <f>"heshms"</f>
        <v>heshms</v>
      </c>
      <c r="J655">
        <v>3792000</v>
      </c>
      <c r="K655" s="1">
        <v>44866</v>
      </c>
      <c r="L655" t="s">
        <v>732</v>
      </c>
      <c r="M655">
        <f t="shared" si="21"/>
        <v>3792000</v>
      </c>
      <c r="N655" t="e">
        <f>VLOOKUP(H655,Sheet1!G:H,2,FALSE)</f>
        <v>#N/A</v>
      </c>
      <c r="R655" t="s">
        <v>2579</v>
      </c>
      <c r="S655">
        <v>14907160</v>
      </c>
    </row>
    <row r="656" spans="1:19" x14ac:dyDescent="0.3">
      <c r="A656" t="s">
        <v>8</v>
      </c>
      <c r="B656">
        <f>VLOOKUP(A656,Sheet2!B:F,5,FALSE)</f>
        <v>928</v>
      </c>
      <c r="C656" t="s">
        <v>9</v>
      </c>
      <c r="D656">
        <f>VLOOKUP(C656,Sheet2!C:G,5,FALSE)</f>
        <v>1202</v>
      </c>
      <c r="E656" t="s">
        <v>45</v>
      </c>
      <c r="F656">
        <f>VLOOKUP(E656,Sheet2!D:E,2,FALSE)</f>
        <v>26</v>
      </c>
      <c r="G656" t="s">
        <v>11</v>
      </c>
      <c r="H656" t="str">
        <f t="shared" si="20"/>
        <v>NAVERhewanma</v>
      </c>
      <c r="I656" t="str">
        <f>"hewanma"</f>
        <v>hewanma</v>
      </c>
      <c r="J656">
        <v>390750</v>
      </c>
      <c r="K656" s="1">
        <v>44866</v>
      </c>
      <c r="L656" t="s">
        <v>733</v>
      </c>
      <c r="M656">
        <f t="shared" si="21"/>
        <v>390750</v>
      </c>
      <c r="N656" t="e">
        <f>VLOOKUP(H656,Sheet1!G:H,2,FALSE)</f>
        <v>#N/A</v>
      </c>
      <c r="R656" t="s">
        <v>2580</v>
      </c>
      <c r="S656">
        <v>6836220</v>
      </c>
    </row>
    <row r="657" spans="1:19" x14ac:dyDescent="0.3">
      <c r="A657" t="s">
        <v>41</v>
      </c>
      <c r="B657">
        <f>VLOOKUP(A657,Sheet2!B:F,5,FALSE)</f>
        <v>926</v>
      </c>
      <c r="C657" t="s">
        <v>56</v>
      </c>
      <c r="D657">
        <f>VLOOKUP(C657,Sheet2!C:G,5,FALSE)</f>
        <v>1207</v>
      </c>
      <c r="E657" t="s">
        <v>62</v>
      </c>
      <c r="F657">
        <f>VLOOKUP(E657,Sheet2!D:E,2,FALSE)</f>
        <v>201037</v>
      </c>
      <c r="G657" t="s">
        <v>11</v>
      </c>
      <c r="H657" t="str">
        <f t="shared" si="20"/>
        <v>NAVERheydaystudio</v>
      </c>
      <c r="I657" t="str">
        <f>"heydaystudio"</f>
        <v>heydaystudio</v>
      </c>
      <c r="J657">
        <v>22943</v>
      </c>
      <c r="K657" s="1">
        <v>44866</v>
      </c>
      <c r="L657" t="s">
        <v>734</v>
      </c>
      <c r="M657">
        <f t="shared" si="21"/>
        <v>22993</v>
      </c>
      <c r="N657" t="e">
        <f>VLOOKUP(H657,Sheet1!G:H,2,FALSE)</f>
        <v>#N/A</v>
      </c>
      <c r="R657" t="s">
        <v>2581</v>
      </c>
      <c r="S657">
        <v>830</v>
      </c>
    </row>
    <row r="658" spans="1:19" x14ac:dyDescent="0.3">
      <c r="A658" t="s">
        <v>41</v>
      </c>
      <c r="B658">
        <f>VLOOKUP(A658,Sheet2!B:F,5,FALSE)</f>
        <v>926</v>
      </c>
      <c r="C658" t="s">
        <v>56</v>
      </c>
      <c r="D658">
        <f>VLOOKUP(C658,Sheet2!C:G,5,FALSE)</f>
        <v>1207</v>
      </c>
      <c r="E658" t="s">
        <v>253</v>
      </c>
      <c r="F658">
        <f>VLOOKUP(E658,Sheet2!D:E,2,FALSE)</f>
        <v>1328</v>
      </c>
      <c r="G658" t="s">
        <v>11</v>
      </c>
      <c r="H658" t="str">
        <f t="shared" si="20"/>
        <v>NAVERheypay</v>
      </c>
      <c r="I658" t="str">
        <f>"heypay"</f>
        <v>heypay</v>
      </c>
      <c r="J658">
        <v>4770</v>
      </c>
      <c r="K658" s="1">
        <v>44866</v>
      </c>
      <c r="L658" t="s">
        <v>735</v>
      </c>
      <c r="M658" t="e">
        <f t="shared" si="21"/>
        <v>#N/A</v>
      </c>
      <c r="N658" t="e">
        <f>VLOOKUP(H658,Sheet1!G:H,2,FALSE)</f>
        <v>#N/A</v>
      </c>
      <c r="R658" t="s">
        <v>2582</v>
      </c>
      <c r="S658">
        <v>13220</v>
      </c>
    </row>
    <row r="659" spans="1:19" x14ac:dyDescent="0.3">
      <c r="A659" t="s">
        <v>8</v>
      </c>
      <c r="B659">
        <f>VLOOKUP(A659,Sheet2!B:F,5,FALSE)</f>
        <v>928</v>
      </c>
      <c r="C659" t="s">
        <v>9</v>
      </c>
      <c r="D659">
        <f>VLOOKUP(C659,Sheet2!C:G,5,FALSE)</f>
        <v>1202</v>
      </c>
      <c r="E659" t="s">
        <v>220</v>
      </c>
      <c r="F659">
        <f>VLOOKUP(E659,Sheet2!D:E,2,FALSE)</f>
        <v>1211</v>
      </c>
      <c r="G659" t="s">
        <v>11</v>
      </c>
      <c r="H659" t="str">
        <f t="shared" si="20"/>
        <v>NAVERhgd</v>
      </c>
      <c r="I659" t="str">
        <f>"hgd"</f>
        <v>hgd</v>
      </c>
      <c r="J659">
        <v>87800</v>
      </c>
      <c r="K659" s="1">
        <v>44866</v>
      </c>
      <c r="L659" t="s">
        <v>221</v>
      </c>
      <c r="M659">
        <f t="shared" si="21"/>
        <v>87800</v>
      </c>
      <c r="N659" t="e">
        <f>VLOOKUP(H659,Sheet1!G:H,2,FALSE)</f>
        <v>#N/A</v>
      </c>
      <c r="R659" t="s">
        <v>2583</v>
      </c>
      <c r="S659">
        <v>239260</v>
      </c>
    </row>
    <row r="660" spans="1:19" x14ac:dyDescent="0.3">
      <c r="A660" t="s">
        <v>8</v>
      </c>
      <c r="B660">
        <f>VLOOKUP(A660,Sheet2!B:F,5,FALSE)</f>
        <v>928</v>
      </c>
      <c r="C660" t="s">
        <v>13</v>
      </c>
      <c r="D660">
        <f>VLOOKUP(C660,Sheet2!C:G,5,FALSE)</f>
        <v>1184</v>
      </c>
      <c r="E660" t="s">
        <v>51</v>
      </c>
      <c r="F660">
        <f>VLOOKUP(E660,Sheet2!D:E,2,FALSE)</f>
        <v>1274</v>
      </c>
      <c r="G660" t="s">
        <v>11</v>
      </c>
      <c r="H660" t="str">
        <f t="shared" si="20"/>
        <v>NAVERhgy7715</v>
      </c>
      <c r="I660" t="str">
        <f>"hgy7715"</f>
        <v>hgy7715</v>
      </c>
      <c r="J660">
        <v>13400</v>
      </c>
      <c r="K660" s="1">
        <v>44866</v>
      </c>
      <c r="L660" t="s">
        <v>736</v>
      </c>
      <c r="M660">
        <f t="shared" si="21"/>
        <v>13400</v>
      </c>
      <c r="N660" t="e">
        <f>VLOOKUP(H660,Sheet1!G:H,2,FALSE)</f>
        <v>#N/A</v>
      </c>
      <c r="R660" t="s">
        <v>2584</v>
      </c>
      <c r="S660">
        <v>15720</v>
      </c>
    </row>
    <row r="661" spans="1:19" x14ac:dyDescent="0.3">
      <c r="A661" t="s">
        <v>8</v>
      </c>
      <c r="B661">
        <f>VLOOKUP(A661,Sheet2!B:F,5,FALSE)</f>
        <v>928</v>
      </c>
      <c r="C661" t="s">
        <v>9</v>
      </c>
      <c r="D661">
        <f>VLOOKUP(C661,Sheet2!C:G,5,FALSE)</f>
        <v>1202</v>
      </c>
      <c r="E661" t="s">
        <v>142</v>
      </c>
      <c r="F661">
        <f>VLOOKUP(E661,Sheet2!D:E,2,FALSE)</f>
        <v>652</v>
      </c>
      <c r="G661" t="s">
        <v>11</v>
      </c>
      <c r="H661" t="str">
        <f t="shared" si="20"/>
        <v>NAVERhhj4500709:naver</v>
      </c>
      <c r="I661" t="str">
        <f>"hhj4500709:naver"</f>
        <v>hhj4500709:naver</v>
      </c>
      <c r="J661">
        <v>123070</v>
      </c>
      <c r="K661" s="1">
        <v>44866</v>
      </c>
      <c r="L661" t="s">
        <v>737</v>
      </c>
      <c r="M661">
        <f t="shared" si="21"/>
        <v>123070</v>
      </c>
      <c r="N661" t="e">
        <f>VLOOKUP(H661,Sheet1!G:H,2,FALSE)</f>
        <v>#N/A</v>
      </c>
      <c r="R661" t="s">
        <v>2585</v>
      </c>
      <c r="S661">
        <v>119520</v>
      </c>
    </row>
    <row r="662" spans="1:19" x14ac:dyDescent="0.3">
      <c r="A662" t="s">
        <v>8</v>
      </c>
      <c r="B662">
        <f>VLOOKUP(A662,Sheet2!B:F,5,FALSE)</f>
        <v>928</v>
      </c>
      <c r="C662" t="s">
        <v>13</v>
      </c>
      <c r="D662">
        <f>VLOOKUP(C662,Sheet2!C:G,5,FALSE)</f>
        <v>1184</v>
      </c>
      <c r="E662" t="s">
        <v>51</v>
      </c>
      <c r="F662">
        <f>VLOOKUP(E662,Sheet2!D:E,2,FALSE)</f>
        <v>1274</v>
      </c>
      <c r="G662" t="s">
        <v>11</v>
      </c>
      <c r="H662" t="str">
        <f t="shared" si="20"/>
        <v>NAVERhhs2042</v>
      </c>
      <c r="I662" t="str">
        <f>"hhs2042"</f>
        <v>hhs2042</v>
      </c>
      <c r="J662">
        <v>127160</v>
      </c>
      <c r="K662" s="1">
        <v>44866</v>
      </c>
      <c r="L662" t="s">
        <v>738</v>
      </c>
      <c r="M662">
        <f t="shared" si="21"/>
        <v>127160</v>
      </c>
      <c r="N662" t="e">
        <f>VLOOKUP(H662,Sheet1!G:H,2,FALSE)</f>
        <v>#N/A</v>
      </c>
      <c r="R662" t="s">
        <v>2586</v>
      </c>
      <c r="S662">
        <v>550</v>
      </c>
    </row>
    <row r="663" spans="1:19" x14ac:dyDescent="0.3">
      <c r="A663" t="s">
        <v>8</v>
      </c>
      <c r="B663">
        <f>VLOOKUP(A663,Sheet2!B:F,5,FALSE)</f>
        <v>928</v>
      </c>
      <c r="C663" t="s">
        <v>13</v>
      </c>
      <c r="D663">
        <f>VLOOKUP(C663,Sheet2!C:G,5,FALSE)</f>
        <v>1184</v>
      </c>
      <c r="E663" t="s">
        <v>217</v>
      </c>
      <c r="F663">
        <f>VLOOKUP(E663,Sheet2!D:E,2,FALSE)</f>
        <v>201027</v>
      </c>
      <c r="G663" t="s">
        <v>11</v>
      </c>
      <c r="H663" t="str">
        <f t="shared" si="20"/>
        <v>NAVERhhy701</v>
      </c>
      <c r="I663" t="str">
        <f>"hhy701"</f>
        <v>hhy701</v>
      </c>
      <c r="J663">
        <v>56590</v>
      </c>
      <c r="K663" s="1">
        <v>44866</v>
      </c>
      <c r="L663" t="s">
        <v>739</v>
      </c>
      <c r="M663">
        <f t="shared" si="21"/>
        <v>56590</v>
      </c>
      <c r="N663" t="e">
        <f>VLOOKUP(H663,Sheet1!G:H,2,FALSE)</f>
        <v>#N/A</v>
      </c>
      <c r="R663" t="s">
        <v>2587</v>
      </c>
      <c r="S663">
        <v>210</v>
      </c>
    </row>
    <row r="664" spans="1:19" x14ac:dyDescent="0.3">
      <c r="A664" t="s">
        <v>16</v>
      </c>
      <c r="B664">
        <f>VLOOKUP(A664,Sheet2!B:F,5,FALSE)</f>
        <v>927</v>
      </c>
      <c r="C664" t="s">
        <v>17</v>
      </c>
      <c r="D664">
        <f>VLOOKUP(C664,Sheet2!C:G,5,FALSE)</f>
        <v>1200</v>
      </c>
      <c r="E664" t="s">
        <v>100</v>
      </c>
      <c r="F664">
        <f>VLOOKUP(E664,Sheet2!D:E,2,FALSE)</f>
        <v>201038</v>
      </c>
      <c r="G664" t="s">
        <v>11</v>
      </c>
      <c r="H664" t="str">
        <f t="shared" si="20"/>
        <v>NAVERhibirx:naver</v>
      </c>
      <c r="I664" t="str">
        <f>"hibirx:naver"</f>
        <v>hibirx:naver</v>
      </c>
      <c r="J664">
        <v>93100</v>
      </c>
      <c r="K664" s="1">
        <v>44866</v>
      </c>
      <c r="L664" t="s">
        <v>740</v>
      </c>
      <c r="M664">
        <f t="shared" si="21"/>
        <v>93100</v>
      </c>
      <c r="N664" t="e">
        <f>VLOOKUP(H664,Sheet1!G:H,2,FALSE)</f>
        <v>#N/A</v>
      </c>
      <c r="R664" t="s">
        <v>2588</v>
      </c>
      <c r="S664">
        <v>1400680</v>
      </c>
    </row>
    <row r="665" spans="1:19" x14ac:dyDescent="0.3">
      <c r="A665" t="s">
        <v>8</v>
      </c>
      <c r="B665">
        <f>VLOOKUP(A665,Sheet2!B:F,5,FALSE)</f>
        <v>928</v>
      </c>
      <c r="C665" t="s">
        <v>9</v>
      </c>
      <c r="D665">
        <f>VLOOKUP(C665,Sheet2!C:G,5,FALSE)</f>
        <v>1202</v>
      </c>
      <c r="E665" t="s">
        <v>27</v>
      </c>
      <c r="F665">
        <f>VLOOKUP(E665,Sheet2!D:E,2,FALSE)</f>
        <v>806</v>
      </c>
      <c r="G665" t="s">
        <v>11</v>
      </c>
      <c r="H665" t="str">
        <f t="shared" si="20"/>
        <v>NAVERhifist</v>
      </c>
      <c r="I665" t="str">
        <f>"hifist"</f>
        <v>hifist</v>
      </c>
      <c r="J665">
        <v>1427890</v>
      </c>
      <c r="K665" s="1">
        <v>44866</v>
      </c>
      <c r="L665" t="s">
        <v>741</v>
      </c>
      <c r="M665">
        <f t="shared" si="21"/>
        <v>1427890</v>
      </c>
      <c r="N665" t="e">
        <f>VLOOKUP(H665,Sheet1!G:H,2,FALSE)</f>
        <v>#N/A</v>
      </c>
      <c r="R665" t="s">
        <v>2589</v>
      </c>
      <c r="S665">
        <v>19520</v>
      </c>
    </row>
    <row r="666" spans="1:19" x14ac:dyDescent="0.3">
      <c r="A666" t="s">
        <v>8</v>
      </c>
      <c r="B666">
        <f>VLOOKUP(A666,Sheet2!B:F,5,FALSE)</f>
        <v>928</v>
      </c>
      <c r="C666" t="s">
        <v>9</v>
      </c>
      <c r="D666">
        <f>VLOOKUP(C666,Sheet2!C:G,5,FALSE)</f>
        <v>1202</v>
      </c>
      <c r="E666" t="s">
        <v>10</v>
      </c>
      <c r="F666">
        <f>VLOOKUP(E666,Sheet2!D:E,2,FALSE)</f>
        <v>939</v>
      </c>
      <c r="G666" t="s">
        <v>11</v>
      </c>
      <c r="H666" t="str">
        <f t="shared" si="20"/>
        <v>NAVERhighcog</v>
      </c>
      <c r="I666" t="str">
        <f>"highcog"</f>
        <v>highcog</v>
      </c>
      <c r="J666">
        <v>780</v>
      </c>
      <c r="K666" s="1">
        <v>44866</v>
      </c>
      <c r="L666" t="s">
        <v>742</v>
      </c>
      <c r="M666">
        <f t="shared" si="21"/>
        <v>780</v>
      </c>
      <c r="N666" t="e">
        <f>VLOOKUP(H666,Sheet1!G:H,2,FALSE)</f>
        <v>#N/A</v>
      </c>
      <c r="R666" t="s">
        <v>2590</v>
      </c>
      <c r="S666">
        <v>1186390</v>
      </c>
    </row>
    <row r="667" spans="1:19" x14ac:dyDescent="0.3">
      <c r="A667" t="s">
        <v>16</v>
      </c>
      <c r="B667">
        <f>VLOOKUP(A667,Sheet2!B:F,5,FALSE)</f>
        <v>927</v>
      </c>
      <c r="C667" t="s">
        <v>17</v>
      </c>
      <c r="D667">
        <f>VLOOKUP(C667,Sheet2!C:G,5,FALSE)</f>
        <v>1200</v>
      </c>
      <c r="E667" t="s">
        <v>29</v>
      </c>
      <c r="F667">
        <f>VLOOKUP(E667,Sheet2!D:E,2,FALSE)</f>
        <v>1496</v>
      </c>
      <c r="G667" t="s">
        <v>11</v>
      </c>
      <c r="H667" t="str">
        <f t="shared" si="20"/>
        <v>NAVERhighend12</v>
      </c>
      <c r="I667" t="str">
        <f>"highend12"</f>
        <v>highend12</v>
      </c>
      <c r="J667">
        <v>1570390</v>
      </c>
      <c r="K667" s="1">
        <v>44866</v>
      </c>
      <c r="L667" t="s">
        <v>743</v>
      </c>
      <c r="M667">
        <f t="shared" si="21"/>
        <v>1570390</v>
      </c>
      <c r="N667" t="e">
        <f>VLOOKUP(H667,Sheet1!G:H,2,FALSE)</f>
        <v>#N/A</v>
      </c>
      <c r="R667" t="s">
        <v>2591</v>
      </c>
      <c r="S667">
        <v>3125720</v>
      </c>
    </row>
    <row r="668" spans="1:19" x14ac:dyDescent="0.3">
      <c r="A668" t="s">
        <v>16</v>
      </c>
      <c r="B668">
        <f>VLOOKUP(A668,Sheet2!B:F,5,FALSE)</f>
        <v>927</v>
      </c>
      <c r="C668" t="s">
        <v>17</v>
      </c>
      <c r="D668">
        <f>VLOOKUP(C668,Sheet2!C:G,5,FALSE)</f>
        <v>1200</v>
      </c>
      <c r="E668" t="s">
        <v>53</v>
      </c>
      <c r="F668">
        <f>VLOOKUP(E668,Sheet2!D:E,2,FALSE)</f>
        <v>201080</v>
      </c>
      <c r="G668" t="s">
        <v>11</v>
      </c>
      <c r="H668" t="str">
        <f t="shared" si="20"/>
        <v>NAVERhijooseong</v>
      </c>
      <c r="I668" t="str">
        <f>"hijooseong"</f>
        <v>hijooseong</v>
      </c>
      <c r="J668">
        <v>233610</v>
      </c>
      <c r="K668" s="1">
        <v>44866</v>
      </c>
      <c r="L668" t="s">
        <v>744</v>
      </c>
      <c r="M668">
        <f t="shared" si="21"/>
        <v>233940</v>
      </c>
      <c r="N668" t="e">
        <f>VLOOKUP(H668,Sheet1!G:H,2,FALSE)</f>
        <v>#N/A</v>
      </c>
      <c r="R668" t="s">
        <v>2592</v>
      </c>
      <c r="S668">
        <v>77543840</v>
      </c>
    </row>
    <row r="669" spans="1:19" x14ac:dyDescent="0.3">
      <c r="A669" t="s">
        <v>16</v>
      </c>
      <c r="B669">
        <f>VLOOKUP(A669,Sheet2!B:F,5,FALSE)</f>
        <v>927</v>
      </c>
      <c r="C669" t="s">
        <v>17</v>
      </c>
      <c r="D669">
        <f>VLOOKUP(C669,Sheet2!C:G,5,FALSE)</f>
        <v>1200</v>
      </c>
      <c r="E669" t="s">
        <v>137</v>
      </c>
      <c r="F669">
        <f>VLOOKUP(E669,Sheet2!D:E,2,FALSE)</f>
        <v>1012</v>
      </c>
      <c r="G669" t="s">
        <v>11</v>
      </c>
      <c r="H669" t="str">
        <f t="shared" si="20"/>
        <v>NAVERhil11</v>
      </c>
      <c r="I669" t="str">
        <f>"hil11"</f>
        <v>hil11</v>
      </c>
      <c r="J669">
        <v>265540</v>
      </c>
      <c r="K669" s="1">
        <v>44866</v>
      </c>
      <c r="L669" t="s">
        <v>745</v>
      </c>
      <c r="M669">
        <f t="shared" si="21"/>
        <v>265540</v>
      </c>
      <c r="N669" t="e">
        <f>VLOOKUP(H669,Sheet1!G:H,2,FALSE)</f>
        <v>#N/A</v>
      </c>
      <c r="R669" t="s">
        <v>2593</v>
      </c>
      <c r="S669">
        <v>15850</v>
      </c>
    </row>
    <row r="670" spans="1:19" x14ac:dyDescent="0.3">
      <c r="A670" t="s">
        <v>16</v>
      </c>
      <c r="B670">
        <f>VLOOKUP(A670,Sheet2!B:F,5,FALSE)</f>
        <v>927</v>
      </c>
      <c r="C670" t="s">
        <v>17</v>
      </c>
      <c r="D670">
        <f>VLOOKUP(C670,Sheet2!C:G,5,FALSE)</f>
        <v>1200</v>
      </c>
      <c r="E670" t="s">
        <v>446</v>
      </c>
      <c r="F670">
        <f>VLOOKUP(E670,Sheet2!D:E,2,FALSE)</f>
        <v>566</v>
      </c>
      <c r="G670" t="s">
        <v>11</v>
      </c>
      <c r="H670" t="str">
        <f t="shared" si="20"/>
        <v>NAVERhipgirl01</v>
      </c>
      <c r="I670" t="str">
        <f>"hipgirl01"</f>
        <v>hipgirl01</v>
      </c>
      <c r="J670">
        <v>317760</v>
      </c>
      <c r="K670" s="1">
        <v>44866</v>
      </c>
      <c r="L670" t="s">
        <v>746</v>
      </c>
      <c r="M670">
        <f t="shared" si="21"/>
        <v>9420</v>
      </c>
      <c r="N670" t="e">
        <f>VLOOKUP(H670,Sheet1!G:H,2,FALSE)</f>
        <v>#N/A</v>
      </c>
      <c r="R670" t="s">
        <v>2594</v>
      </c>
      <c r="S670">
        <v>701190</v>
      </c>
    </row>
    <row r="671" spans="1:19" x14ac:dyDescent="0.3">
      <c r="A671" t="s">
        <v>8</v>
      </c>
      <c r="B671">
        <f>VLOOKUP(A671,Sheet2!B:F,5,FALSE)</f>
        <v>928</v>
      </c>
      <c r="C671" t="s">
        <v>9</v>
      </c>
      <c r="D671">
        <f>VLOOKUP(C671,Sheet2!C:G,5,FALSE)</f>
        <v>1202</v>
      </c>
      <c r="E671" t="s">
        <v>75</v>
      </c>
      <c r="F671">
        <f>VLOOKUP(E671,Sheet2!D:E,2,FALSE)</f>
        <v>50</v>
      </c>
      <c r="G671" t="s">
        <v>11</v>
      </c>
      <c r="H671" t="str">
        <f t="shared" si="20"/>
        <v>NAVERhiplay2021:naver</v>
      </c>
      <c r="I671" t="str">
        <f>"hiplay2021:naver"</f>
        <v>hiplay2021:naver</v>
      </c>
      <c r="J671">
        <v>2409055</v>
      </c>
      <c r="K671" s="1">
        <v>44866</v>
      </c>
      <c r="L671" t="s">
        <v>747</v>
      </c>
      <c r="M671">
        <f t="shared" si="21"/>
        <v>1975730</v>
      </c>
      <c r="N671" t="e">
        <f>VLOOKUP(H671,Sheet1!G:H,2,FALSE)</f>
        <v>#N/A</v>
      </c>
      <c r="R671" t="s">
        <v>2595</v>
      </c>
      <c r="S671">
        <v>157780</v>
      </c>
    </row>
    <row r="672" spans="1:19" x14ac:dyDescent="0.3">
      <c r="A672" t="s">
        <v>8</v>
      </c>
      <c r="B672">
        <f>VLOOKUP(A672,Sheet2!B:F,5,FALSE)</f>
        <v>928</v>
      </c>
      <c r="C672" t="s">
        <v>9</v>
      </c>
      <c r="D672">
        <f>VLOOKUP(C672,Sheet2!C:G,5,FALSE)</f>
        <v>1202</v>
      </c>
      <c r="E672" t="s">
        <v>45</v>
      </c>
      <c r="F672">
        <f>VLOOKUP(E672,Sheet2!D:E,2,FALSE)</f>
        <v>26</v>
      </c>
      <c r="G672" t="s">
        <v>11</v>
      </c>
      <c r="H672" t="str">
        <f t="shared" si="20"/>
        <v>NAVERhitee</v>
      </c>
      <c r="I672" t="str">
        <f>"hitee"</f>
        <v>hitee</v>
      </c>
      <c r="J672">
        <v>93823840</v>
      </c>
      <c r="K672" s="1">
        <v>44866</v>
      </c>
      <c r="L672" t="s">
        <v>748</v>
      </c>
      <c r="M672">
        <f t="shared" si="21"/>
        <v>92823860</v>
      </c>
      <c r="N672" t="e">
        <f>VLOOKUP(H672,Sheet1!G:H,2,FALSE)</f>
        <v>#N/A</v>
      </c>
      <c r="R672" t="s">
        <v>2596</v>
      </c>
      <c r="S672">
        <v>165990</v>
      </c>
    </row>
    <row r="673" spans="1:19" x14ac:dyDescent="0.3">
      <c r="A673" t="s">
        <v>8</v>
      </c>
      <c r="B673">
        <f>VLOOKUP(A673,Sheet2!B:F,5,FALSE)</f>
        <v>928</v>
      </c>
      <c r="C673" t="s">
        <v>9</v>
      </c>
      <c r="D673">
        <f>VLOOKUP(C673,Sheet2!C:G,5,FALSE)</f>
        <v>1202</v>
      </c>
      <c r="E673" t="s">
        <v>20</v>
      </c>
      <c r="F673">
        <f>VLOOKUP(E673,Sheet2!D:E,2,FALSE)</f>
        <v>938</v>
      </c>
      <c r="G673" t="s">
        <v>11</v>
      </c>
      <c r="H673" t="str">
        <f t="shared" si="20"/>
        <v>NAVERhitmade</v>
      </c>
      <c r="I673" t="str">
        <f>"hitmade"</f>
        <v>hitmade</v>
      </c>
      <c r="J673">
        <v>32270</v>
      </c>
      <c r="K673" s="1">
        <v>44866</v>
      </c>
      <c r="L673" t="s">
        <v>749</v>
      </c>
      <c r="M673">
        <f t="shared" si="21"/>
        <v>32270</v>
      </c>
      <c r="N673" t="e">
        <f>VLOOKUP(H673,Sheet1!G:H,2,FALSE)</f>
        <v>#N/A</v>
      </c>
      <c r="R673" t="s">
        <v>2597</v>
      </c>
      <c r="S673">
        <v>14220</v>
      </c>
    </row>
    <row r="674" spans="1:19" x14ac:dyDescent="0.3">
      <c r="A674" t="s">
        <v>8</v>
      </c>
      <c r="B674">
        <f>VLOOKUP(A674,Sheet2!B:F,5,FALSE)</f>
        <v>928</v>
      </c>
      <c r="C674" t="s">
        <v>13</v>
      </c>
      <c r="D674">
        <f>VLOOKUP(C674,Sheet2!C:G,5,FALSE)</f>
        <v>1184</v>
      </c>
      <c r="E674" t="s">
        <v>14</v>
      </c>
      <c r="F674">
        <f>VLOOKUP(E674,Sheet2!D:E,2,FALSE)</f>
        <v>914</v>
      </c>
      <c r="G674" t="s">
        <v>11</v>
      </c>
      <c r="H674" t="str">
        <f t="shared" si="20"/>
        <v>NAVERhj167428</v>
      </c>
      <c r="I674" t="str">
        <f>"hj167428"</f>
        <v>hj167428</v>
      </c>
      <c r="J674">
        <v>11880</v>
      </c>
      <c r="K674" s="1">
        <v>44866</v>
      </c>
      <c r="L674" t="s">
        <v>750</v>
      </c>
      <c r="M674">
        <f t="shared" si="21"/>
        <v>11880</v>
      </c>
      <c r="N674" t="e">
        <f>VLOOKUP(H674,Sheet1!G:H,2,FALSE)</f>
        <v>#N/A</v>
      </c>
      <c r="R674" t="s">
        <v>2598</v>
      </c>
      <c r="S674">
        <v>962060</v>
      </c>
    </row>
    <row r="675" spans="1:19" x14ac:dyDescent="0.3">
      <c r="A675" t="s">
        <v>8</v>
      </c>
      <c r="B675">
        <f>VLOOKUP(A675,Sheet2!B:F,5,FALSE)</f>
        <v>928</v>
      </c>
      <c r="C675" t="s">
        <v>9</v>
      </c>
      <c r="D675">
        <f>VLOOKUP(C675,Sheet2!C:G,5,FALSE)</f>
        <v>1202</v>
      </c>
      <c r="E675" t="s">
        <v>75</v>
      </c>
      <c r="F675">
        <f>VLOOKUP(E675,Sheet2!D:E,2,FALSE)</f>
        <v>50</v>
      </c>
      <c r="G675" t="s">
        <v>11</v>
      </c>
      <c r="H675" t="str">
        <f t="shared" si="20"/>
        <v>NAVERhjdnp</v>
      </c>
      <c r="I675" t="str">
        <f>"hjdnp"</f>
        <v>hjdnp</v>
      </c>
      <c r="J675">
        <v>726870</v>
      </c>
      <c r="K675" s="1">
        <v>44866</v>
      </c>
      <c r="L675" t="s">
        <v>751</v>
      </c>
      <c r="M675">
        <f t="shared" si="21"/>
        <v>731380</v>
      </c>
      <c r="N675" t="e">
        <f>VLOOKUP(H675,Sheet1!G:H,2,FALSE)</f>
        <v>#N/A</v>
      </c>
      <c r="R675" t="s">
        <v>2599</v>
      </c>
      <c r="S675">
        <v>7600</v>
      </c>
    </row>
    <row r="676" spans="1:19" x14ac:dyDescent="0.3">
      <c r="A676" t="s">
        <v>8</v>
      </c>
      <c r="B676">
        <f>VLOOKUP(A676,Sheet2!B:F,5,FALSE)</f>
        <v>928</v>
      </c>
      <c r="C676" t="s">
        <v>13</v>
      </c>
      <c r="D676">
        <f>VLOOKUP(C676,Sheet2!C:G,5,FALSE)</f>
        <v>1184</v>
      </c>
      <c r="E676" t="s">
        <v>102</v>
      </c>
      <c r="F676">
        <f>VLOOKUP(E676,Sheet2!D:E,2,FALSE)</f>
        <v>917</v>
      </c>
      <c r="G676" t="s">
        <v>11</v>
      </c>
      <c r="H676" t="str">
        <f t="shared" si="20"/>
        <v>NAVERhjglass</v>
      </c>
      <c r="I676" t="str">
        <f>"hjglass"</f>
        <v>hjglass</v>
      </c>
      <c r="J676">
        <v>1066230</v>
      </c>
      <c r="K676" s="1">
        <v>44866</v>
      </c>
      <c r="L676" t="s">
        <v>752</v>
      </c>
      <c r="M676">
        <f t="shared" si="21"/>
        <v>1066230</v>
      </c>
      <c r="N676" t="e">
        <f>VLOOKUP(H676,Sheet1!G:H,2,FALSE)</f>
        <v>#N/A</v>
      </c>
      <c r="R676" t="s">
        <v>2600</v>
      </c>
      <c r="S676">
        <v>2310</v>
      </c>
    </row>
    <row r="677" spans="1:19" x14ac:dyDescent="0.3">
      <c r="A677" t="s">
        <v>8</v>
      </c>
      <c r="B677">
        <f>VLOOKUP(A677,Sheet2!B:F,5,FALSE)</f>
        <v>928</v>
      </c>
      <c r="C677" t="s">
        <v>13</v>
      </c>
      <c r="D677">
        <f>VLOOKUP(C677,Sheet2!C:G,5,FALSE)</f>
        <v>1184</v>
      </c>
      <c r="E677" t="s">
        <v>14</v>
      </c>
      <c r="F677">
        <f>VLOOKUP(E677,Sheet2!D:E,2,FALSE)</f>
        <v>914</v>
      </c>
      <c r="G677" t="s">
        <v>11</v>
      </c>
      <c r="H677" t="str">
        <f t="shared" si="20"/>
        <v>NAVERhkkey</v>
      </c>
      <c r="I677" t="str">
        <f>"hkkey"</f>
        <v>hkkey</v>
      </c>
      <c r="J677">
        <v>179230</v>
      </c>
      <c r="K677" s="1">
        <v>44866</v>
      </c>
      <c r="L677" t="s">
        <v>753</v>
      </c>
      <c r="M677">
        <f t="shared" si="21"/>
        <v>179230</v>
      </c>
      <c r="N677" t="e">
        <f>VLOOKUP(H677,Sheet1!G:H,2,FALSE)</f>
        <v>#N/A</v>
      </c>
      <c r="R677" t="s">
        <v>2601</v>
      </c>
      <c r="S677">
        <v>1810</v>
      </c>
    </row>
    <row r="678" spans="1:19" x14ac:dyDescent="0.3">
      <c r="A678" t="s">
        <v>8</v>
      </c>
      <c r="B678">
        <f>VLOOKUP(A678,Sheet2!B:F,5,FALSE)</f>
        <v>928</v>
      </c>
      <c r="C678" t="s">
        <v>9</v>
      </c>
      <c r="D678">
        <f>VLOOKUP(C678,Sheet2!C:G,5,FALSE)</f>
        <v>1202</v>
      </c>
      <c r="E678" t="s">
        <v>122</v>
      </c>
      <c r="F678">
        <f>VLOOKUP(E678,Sheet2!D:E,2,FALSE)</f>
        <v>251</v>
      </c>
      <c r="G678" t="s">
        <v>11</v>
      </c>
      <c r="H678" t="str">
        <f t="shared" si="20"/>
        <v>NAVERhl4gwe</v>
      </c>
      <c r="I678" t="str">
        <f>"hl4gwe"</f>
        <v>hl4gwe</v>
      </c>
      <c r="J678">
        <v>1262320</v>
      </c>
      <c r="K678" s="1">
        <v>44866</v>
      </c>
      <c r="L678" t="s">
        <v>754</v>
      </c>
      <c r="M678">
        <f t="shared" si="21"/>
        <v>1262320</v>
      </c>
      <c r="N678" t="e">
        <f>VLOOKUP(H678,Sheet1!G:H,2,FALSE)</f>
        <v>#N/A</v>
      </c>
      <c r="R678" t="s">
        <v>2602</v>
      </c>
      <c r="S678">
        <v>74550</v>
      </c>
    </row>
    <row r="679" spans="1:19" x14ac:dyDescent="0.3">
      <c r="A679" t="s">
        <v>8</v>
      </c>
      <c r="B679">
        <f>VLOOKUP(A679,Sheet2!B:F,5,FALSE)</f>
        <v>928</v>
      </c>
      <c r="C679" t="s">
        <v>13</v>
      </c>
      <c r="D679">
        <f>VLOOKUP(C679,Sheet2!C:G,5,FALSE)</f>
        <v>1184</v>
      </c>
      <c r="E679" t="s">
        <v>14</v>
      </c>
      <c r="F679">
        <f>VLOOKUP(E679,Sheet2!D:E,2,FALSE)</f>
        <v>914</v>
      </c>
      <c r="G679" t="s">
        <v>11</v>
      </c>
      <c r="H679" t="str">
        <f t="shared" si="20"/>
        <v>NAVERhm_mk3</v>
      </c>
      <c r="I679" t="str">
        <f>"hm_mk3"</f>
        <v>hm_mk3</v>
      </c>
      <c r="J679">
        <v>3876020</v>
      </c>
      <c r="K679" s="1">
        <v>44866</v>
      </c>
      <c r="L679" t="s">
        <v>755</v>
      </c>
      <c r="M679">
        <f t="shared" si="21"/>
        <v>3876020</v>
      </c>
      <c r="N679" t="e">
        <f>VLOOKUP(H679,Sheet1!G:H,2,FALSE)</f>
        <v>#N/A</v>
      </c>
      <c r="R679" t="s">
        <v>2603</v>
      </c>
      <c r="S679">
        <v>61330</v>
      </c>
    </row>
    <row r="680" spans="1:19" x14ac:dyDescent="0.3">
      <c r="A680" t="s">
        <v>41</v>
      </c>
      <c r="B680">
        <f>VLOOKUP(A680,Sheet2!B:F,5,FALSE)</f>
        <v>926</v>
      </c>
      <c r="C680" t="s">
        <v>525</v>
      </c>
      <c r="D680">
        <f>VLOOKUP(C680,Sheet2!C:G,5,FALSE)</f>
        <v>954</v>
      </c>
      <c r="E680" t="s">
        <v>526</v>
      </c>
      <c r="F680">
        <f>VLOOKUP(E680,Sheet2!D:E,2,FALSE)</f>
        <v>200999</v>
      </c>
      <c r="G680" t="s">
        <v>11</v>
      </c>
      <c r="H680" t="str">
        <f t="shared" si="20"/>
        <v>NAVERhm75</v>
      </c>
      <c r="I680" t="str">
        <f>"hm75"</f>
        <v>hm75</v>
      </c>
      <c r="J680">
        <v>2683240</v>
      </c>
      <c r="K680" s="1">
        <v>44866</v>
      </c>
      <c r="L680" t="s">
        <v>756</v>
      </c>
      <c r="M680">
        <f t="shared" si="21"/>
        <v>2683240</v>
      </c>
      <c r="N680" t="e">
        <f>VLOOKUP(H680,Sheet1!G:H,2,FALSE)</f>
        <v>#N/A</v>
      </c>
      <c r="R680" t="s">
        <v>2604</v>
      </c>
      <c r="S680">
        <v>2876720</v>
      </c>
    </row>
    <row r="681" spans="1:19" x14ac:dyDescent="0.3">
      <c r="A681" t="s">
        <v>8</v>
      </c>
      <c r="B681">
        <f>VLOOKUP(A681,Sheet2!B:F,5,FALSE)</f>
        <v>928</v>
      </c>
      <c r="C681" t="s">
        <v>9</v>
      </c>
      <c r="D681">
        <f>VLOOKUP(C681,Sheet2!C:G,5,FALSE)</f>
        <v>1202</v>
      </c>
      <c r="E681" t="s">
        <v>39</v>
      </c>
      <c r="F681">
        <f>VLOOKUP(E681,Sheet2!D:E,2,FALSE)</f>
        <v>25</v>
      </c>
      <c r="G681" t="s">
        <v>11</v>
      </c>
      <c r="H681" t="str">
        <f t="shared" si="20"/>
        <v>NAVERhmhm223</v>
      </c>
      <c r="I681" t="str">
        <f>"hmhm223"</f>
        <v>hmhm223</v>
      </c>
      <c r="J681">
        <v>541320</v>
      </c>
      <c r="K681" s="1">
        <v>44866</v>
      </c>
      <c r="L681" t="s">
        <v>757</v>
      </c>
      <c r="M681">
        <f t="shared" si="21"/>
        <v>541320</v>
      </c>
      <c r="N681" t="e">
        <f>VLOOKUP(H681,Sheet1!G:H,2,FALSE)</f>
        <v>#N/A</v>
      </c>
      <c r="R681" t="s">
        <v>2605</v>
      </c>
      <c r="S681">
        <v>909160</v>
      </c>
    </row>
    <row r="682" spans="1:19" x14ac:dyDescent="0.3">
      <c r="A682" t="s">
        <v>8</v>
      </c>
      <c r="B682">
        <f>VLOOKUP(A682,Sheet2!B:F,5,FALSE)</f>
        <v>928</v>
      </c>
      <c r="C682" t="s">
        <v>13</v>
      </c>
      <c r="D682">
        <f>VLOOKUP(C682,Sheet2!C:G,5,FALSE)</f>
        <v>1184</v>
      </c>
      <c r="E682" t="s">
        <v>118</v>
      </c>
      <c r="F682">
        <f>VLOOKUP(E682,Sheet2!D:E,2,FALSE)</f>
        <v>201004</v>
      </c>
      <c r="G682" t="s">
        <v>11</v>
      </c>
      <c r="H682" t="str">
        <f t="shared" si="20"/>
        <v>NAVERhmland</v>
      </c>
      <c r="I682" t="str">
        <f>"hmland"</f>
        <v>hmland</v>
      </c>
      <c r="J682">
        <v>66170</v>
      </c>
      <c r="K682" s="1">
        <v>44866</v>
      </c>
      <c r="L682" t="s">
        <v>758</v>
      </c>
      <c r="M682">
        <f t="shared" si="21"/>
        <v>66170</v>
      </c>
      <c r="N682" t="e">
        <f>VLOOKUP(H682,Sheet1!G:H,2,FALSE)</f>
        <v>#N/A</v>
      </c>
      <c r="R682" t="s">
        <v>2606</v>
      </c>
      <c r="S682">
        <v>7569550</v>
      </c>
    </row>
    <row r="683" spans="1:19" x14ac:dyDescent="0.3">
      <c r="A683" t="s">
        <v>8</v>
      </c>
      <c r="B683">
        <f>VLOOKUP(A683,Sheet2!B:F,5,FALSE)</f>
        <v>928</v>
      </c>
      <c r="C683" t="s">
        <v>9</v>
      </c>
      <c r="D683">
        <f>VLOOKUP(C683,Sheet2!C:G,5,FALSE)</f>
        <v>1202</v>
      </c>
      <c r="E683" t="s">
        <v>31</v>
      </c>
      <c r="F683">
        <f>VLOOKUP(E683,Sheet2!D:E,2,FALSE)</f>
        <v>1040</v>
      </c>
      <c r="G683" t="s">
        <v>11</v>
      </c>
      <c r="H683" t="str">
        <f t="shared" si="20"/>
        <v>NAVERhnmedi</v>
      </c>
      <c r="I683" t="str">
        <f>"hnmedi"</f>
        <v>hnmedi</v>
      </c>
      <c r="J683">
        <v>247010</v>
      </c>
      <c r="K683" s="1">
        <v>44866</v>
      </c>
      <c r="L683" t="s">
        <v>759</v>
      </c>
      <c r="M683">
        <f t="shared" si="21"/>
        <v>247010</v>
      </c>
      <c r="N683" t="e">
        <f>VLOOKUP(H683,Sheet1!G:H,2,FALSE)</f>
        <v>#N/A</v>
      </c>
      <c r="R683" t="s">
        <v>2607</v>
      </c>
      <c r="S683">
        <v>697790</v>
      </c>
    </row>
    <row r="684" spans="1:19" x14ac:dyDescent="0.3">
      <c r="A684" t="s">
        <v>16</v>
      </c>
      <c r="B684">
        <f>VLOOKUP(A684,Sheet2!B:F,5,FALSE)</f>
        <v>927</v>
      </c>
      <c r="C684" t="s">
        <v>17</v>
      </c>
      <c r="D684">
        <f>VLOOKUP(C684,Sheet2!C:G,5,FALSE)</f>
        <v>1200</v>
      </c>
      <c r="E684" t="s">
        <v>371</v>
      </c>
      <c r="F684">
        <f>VLOOKUP(E684,Sheet2!D:E,2,FALSE)</f>
        <v>551</v>
      </c>
      <c r="G684" t="s">
        <v>11</v>
      </c>
      <c r="H684" t="str">
        <f t="shared" si="20"/>
        <v>NAVERhome1005</v>
      </c>
      <c r="I684" t="str">
        <f>"home1005"</f>
        <v>home1005</v>
      </c>
      <c r="J684">
        <v>289940</v>
      </c>
      <c r="K684" s="1">
        <v>44866</v>
      </c>
      <c r="L684" t="s">
        <v>760</v>
      </c>
      <c r="M684">
        <f t="shared" si="21"/>
        <v>289940</v>
      </c>
      <c r="N684" t="e">
        <f>VLOOKUP(H684,Sheet1!G:H,2,FALSE)</f>
        <v>#N/A</v>
      </c>
      <c r="R684" t="s">
        <v>2608</v>
      </c>
      <c r="S684">
        <v>127180</v>
      </c>
    </row>
    <row r="685" spans="1:19" x14ac:dyDescent="0.3">
      <c r="A685" t="s">
        <v>16</v>
      </c>
      <c r="B685">
        <f>VLOOKUP(A685,Sheet2!B:F,5,FALSE)</f>
        <v>927</v>
      </c>
      <c r="C685" t="s">
        <v>17</v>
      </c>
      <c r="D685">
        <f>VLOOKUP(C685,Sheet2!C:G,5,FALSE)</f>
        <v>1200</v>
      </c>
      <c r="E685" t="s">
        <v>137</v>
      </c>
      <c r="F685">
        <f>VLOOKUP(E685,Sheet2!D:E,2,FALSE)</f>
        <v>1012</v>
      </c>
      <c r="G685" t="s">
        <v>11</v>
      </c>
      <c r="H685" t="str">
        <f t="shared" si="20"/>
        <v>NAVERhomeinfarm:naver</v>
      </c>
      <c r="I685" t="str">
        <f>"homeinfarm:naver"</f>
        <v>homeinfarm:naver</v>
      </c>
      <c r="J685">
        <v>27670</v>
      </c>
      <c r="K685" s="1">
        <v>44866</v>
      </c>
      <c r="L685" t="s">
        <v>761</v>
      </c>
      <c r="M685">
        <f t="shared" si="21"/>
        <v>27800</v>
      </c>
      <c r="N685" t="e">
        <f>VLOOKUP(H685,Sheet1!G:H,2,FALSE)</f>
        <v>#N/A</v>
      </c>
      <c r="R685" t="s">
        <v>2609</v>
      </c>
      <c r="S685">
        <v>26430</v>
      </c>
    </row>
    <row r="686" spans="1:19" x14ac:dyDescent="0.3">
      <c r="A686" t="s">
        <v>16</v>
      </c>
      <c r="B686">
        <f>VLOOKUP(A686,Sheet2!B:F,5,FALSE)</f>
        <v>927</v>
      </c>
      <c r="C686" t="s">
        <v>17</v>
      </c>
      <c r="D686">
        <f>VLOOKUP(C686,Sheet2!C:G,5,FALSE)</f>
        <v>1200</v>
      </c>
      <c r="E686" t="s">
        <v>93</v>
      </c>
      <c r="F686">
        <f>VLOOKUP(E686,Sheet2!D:E,2,FALSE)</f>
        <v>930</v>
      </c>
      <c r="G686" t="s">
        <v>11</v>
      </c>
      <c r="H686" t="str">
        <f t="shared" si="20"/>
        <v>NAVERhomsys88</v>
      </c>
      <c r="I686" t="str">
        <f>"homsys88"</f>
        <v>homsys88</v>
      </c>
      <c r="J686">
        <v>5690120</v>
      </c>
      <c r="K686" s="1">
        <v>44866</v>
      </c>
      <c r="L686" t="s">
        <v>762</v>
      </c>
      <c r="M686">
        <f t="shared" si="21"/>
        <v>5695360</v>
      </c>
      <c r="N686" t="e">
        <f>VLOOKUP(H686,Sheet1!G:H,2,FALSE)</f>
        <v>#N/A</v>
      </c>
      <c r="R686" t="s">
        <v>2610</v>
      </c>
      <c r="S686">
        <v>19950</v>
      </c>
    </row>
    <row r="687" spans="1:19" x14ac:dyDescent="0.3">
      <c r="A687" t="s">
        <v>8</v>
      </c>
      <c r="B687">
        <f>VLOOKUP(A687,Sheet2!B:F,5,FALSE)</f>
        <v>928</v>
      </c>
      <c r="C687" t="s">
        <v>9</v>
      </c>
      <c r="D687">
        <f>VLOOKUP(C687,Sheet2!C:G,5,FALSE)</f>
        <v>1202</v>
      </c>
      <c r="E687" t="s">
        <v>37</v>
      </c>
      <c r="F687">
        <f>VLOOKUP(E687,Sheet2!D:E,2,FALSE)</f>
        <v>81</v>
      </c>
      <c r="G687" t="s">
        <v>11</v>
      </c>
      <c r="H687" t="str">
        <f t="shared" si="20"/>
        <v>NAVERhonestu</v>
      </c>
      <c r="I687" t="str">
        <f>"honestu"</f>
        <v>honestu</v>
      </c>
      <c r="J687">
        <v>996150</v>
      </c>
      <c r="K687" s="1">
        <v>44866</v>
      </c>
      <c r="L687" t="s">
        <v>763</v>
      </c>
      <c r="M687">
        <f t="shared" si="21"/>
        <v>996150</v>
      </c>
      <c r="N687" t="e">
        <f>VLOOKUP(H687,Sheet1!G:H,2,FALSE)</f>
        <v>#N/A</v>
      </c>
      <c r="R687" t="s">
        <v>2611</v>
      </c>
      <c r="S687">
        <v>0</v>
      </c>
    </row>
    <row r="688" spans="1:19" x14ac:dyDescent="0.3">
      <c r="A688" t="s">
        <v>8</v>
      </c>
      <c r="B688">
        <f>VLOOKUP(A688,Sheet2!B:F,5,FALSE)</f>
        <v>928</v>
      </c>
      <c r="C688" t="s">
        <v>9</v>
      </c>
      <c r="D688">
        <f>VLOOKUP(C688,Sheet2!C:G,5,FALSE)</f>
        <v>1202</v>
      </c>
      <c r="E688" t="s">
        <v>45</v>
      </c>
      <c r="F688">
        <f>VLOOKUP(E688,Sheet2!D:E,2,FALSE)</f>
        <v>26</v>
      </c>
      <c r="G688" t="s">
        <v>11</v>
      </c>
      <c r="H688" t="str">
        <f t="shared" si="20"/>
        <v>NAVERhong242</v>
      </c>
      <c r="I688" t="str">
        <f>"hong242"</f>
        <v>hong242</v>
      </c>
      <c r="J688">
        <v>928200</v>
      </c>
      <c r="K688" s="1">
        <v>44866</v>
      </c>
      <c r="L688" t="s">
        <v>764</v>
      </c>
      <c r="M688">
        <f t="shared" si="21"/>
        <v>928200</v>
      </c>
      <c r="N688" t="e">
        <f>VLOOKUP(H688,Sheet1!G:H,2,FALSE)</f>
        <v>#N/A</v>
      </c>
      <c r="R688" t="s">
        <v>2612</v>
      </c>
      <c r="S688">
        <v>61660</v>
      </c>
    </row>
    <row r="689" spans="1:19" x14ac:dyDescent="0.3">
      <c r="A689" t="s">
        <v>16</v>
      </c>
      <c r="B689">
        <f>VLOOKUP(A689,Sheet2!B:F,5,FALSE)</f>
        <v>927</v>
      </c>
      <c r="C689" t="s">
        <v>17</v>
      </c>
      <c r="D689">
        <f>VLOOKUP(C689,Sheet2!C:G,5,FALSE)</f>
        <v>1200</v>
      </c>
      <c r="E689" t="s">
        <v>244</v>
      </c>
      <c r="F689">
        <f>VLOOKUP(E689,Sheet2!D:E,2,FALSE)</f>
        <v>817</v>
      </c>
      <c r="G689" t="s">
        <v>11</v>
      </c>
      <c r="H689" t="str">
        <f t="shared" si="20"/>
        <v>NAVERhongtax</v>
      </c>
      <c r="I689" t="str">
        <f>"hongtax"</f>
        <v>hongtax</v>
      </c>
      <c r="J689">
        <v>120</v>
      </c>
      <c r="K689" s="1">
        <v>44866</v>
      </c>
      <c r="L689" t="s">
        <v>765</v>
      </c>
      <c r="M689">
        <f t="shared" si="21"/>
        <v>120</v>
      </c>
      <c r="N689" t="e">
        <f>VLOOKUP(H689,Sheet1!G:H,2,FALSE)</f>
        <v>#N/A</v>
      </c>
      <c r="R689" t="s">
        <v>2613</v>
      </c>
      <c r="S689">
        <v>156940</v>
      </c>
    </row>
    <row r="690" spans="1:19" x14ac:dyDescent="0.3">
      <c r="A690" t="s">
        <v>8</v>
      </c>
      <c r="B690">
        <f>VLOOKUP(A690,Sheet2!B:F,5,FALSE)</f>
        <v>928</v>
      </c>
      <c r="C690" t="s">
        <v>13</v>
      </c>
      <c r="D690">
        <f>VLOOKUP(C690,Sheet2!C:G,5,FALSE)</f>
        <v>1184</v>
      </c>
      <c r="E690" t="s">
        <v>14</v>
      </c>
      <c r="F690">
        <f>VLOOKUP(E690,Sheet2!D:E,2,FALSE)</f>
        <v>914</v>
      </c>
      <c r="G690" t="s">
        <v>11</v>
      </c>
      <c r="H690" t="str">
        <f t="shared" si="20"/>
        <v>NAVERhoo_ad</v>
      </c>
      <c r="I690" t="str">
        <f>"hoo_ad"</f>
        <v>hoo_ad</v>
      </c>
      <c r="J690">
        <v>7581840</v>
      </c>
      <c r="K690" s="1">
        <v>44866</v>
      </c>
      <c r="L690" t="s">
        <v>323</v>
      </c>
      <c r="M690">
        <f t="shared" si="21"/>
        <v>7581840</v>
      </c>
      <c r="N690" t="e">
        <f>VLOOKUP(H690,Sheet1!G:H,2,FALSE)</f>
        <v>#N/A</v>
      </c>
      <c r="R690" t="s">
        <v>2614</v>
      </c>
      <c r="S690">
        <v>1622870</v>
      </c>
    </row>
    <row r="691" spans="1:19" x14ac:dyDescent="0.3">
      <c r="A691" t="s">
        <v>8</v>
      </c>
      <c r="B691">
        <f>VLOOKUP(A691,Sheet2!B:F,5,FALSE)</f>
        <v>928</v>
      </c>
      <c r="C691" t="s">
        <v>13</v>
      </c>
      <c r="D691">
        <f>VLOOKUP(C691,Sheet2!C:G,5,FALSE)</f>
        <v>1184</v>
      </c>
      <c r="E691" t="s">
        <v>14</v>
      </c>
      <c r="F691">
        <f>VLOOKUP(E691,Sheet2!D:E,2,FALSE)</f>
        <v>914</v>
      </c>
      <c r="G691" t="s">
        <v>11</v>
      </c>
      <c r="H691" t="str">
        <f t="shared" si="20"/>
        <v>NAVERhoocheonan</v>
      </c>
      <c r="I691" t="str">
        <f>"hoocheonan"</f>
        <v>hoocheonan</v>
      </c>
      <c r="J691">
        <v>401050</v>
      </c>
      <c r="K691" s="1">
        <v>44866</v>
      </c>
      <c r="L691" t="s">
        <v>323</v>
      </c>
      <c r="M691">
        <f t="shared" si="21"/>
        <v>401050</v>
      </c>
      <c r="N691" t="e">
        <f>VLOOKUP(H691,Sheet1!G:H,2,FALSE)</f>
        <v>#N/A</v>
      </c>
      <c r="R691" t="s">
        <v>2615</v>
      </c>
      <c r="S691">
        <v>1759730</v>
      </c>
    </row>
    <row r="692" spans="1:19" x14ac:dyDescent="0.3">
      <c r="A692" t="s">
        <v>8</v>
      </c>
      <c r="B692">
        <f>VLOOKUP(A692,Sheet2!B:F,5,FALSE)</f>
        <v>928</v>
      </c>
      <c r="C692" t="s">
        <v>13</v>
      </c>
      <c r="D692">
        <f>VLOOKUP(C692,Sheet2!C:G,5,FALSE)</f>
        <v>1184</v>
      </c>
      <c r="E692" t="s">
        <v>14</v>
      </c>
      <c r="F692">
        <f>VLOOKUP(E692,Sheet2!D:E,2,FALSE)</f>
        <v>914</v>
      </c>
      <c r="G692" t="s">
        <v>11</v>
      </c>
      <c r="H692" t="str">
        <f t="shared" si="20"/>
        <v>NAVERhooclinicps</v>
      </c>
      <c r="I692" t="str">
        <f>"hooclinicps"</f>
        <v>hooclinicps</v>
      </c>
      <c r="J692">
        <v>1170960</v>
      </c>
      <c r="K692" s="1">
        <v>44866</v>
      </c>
      <c r="L692" t="s">
        <v>323</v>
      </c>
      <c r="M692">
        <f t="shared" si="21"/>
        <v>1170960</v>
      </c>
      <c r="N692" t="e">
        <f>VLOOKUP(H692,Sheet1!G:H,2,FALSE)</f>
        <v>#N/A</v>
      </c>
      <c r="R692" t="s">
        <v>2616</v>
      </c>
      <c r="S692">
        <v>93220</v>
      </c>
    </row>
    <row r="693" spans="1:19" x14ac:dyDescent="0.3">
      <c r="A693" t="s">
        <v>8</v>
      </c>
      <c r="B693">
        <f>VLOOKUP(A693,Sheet2!B:F,5,FALSE)</f>
        <v>928</v>
      </c>
      <c r="C693" t="s">
        <v>13</v>
      </c>
      <c r="D693">
        <f>VLOOKUP(C693,Sheet2!C:G,5,FALSE)</f>
        <v>1184</v>
      </c>
      <c r="E693" t="s">
        <v>14</v>
      </c>
      <c r="F693">
        <f>VLOOKUP(E693,Sheet2!D:E,2,FALSE)</f>
        <v>914</v>
      </c>
      <c r="G693" t="s">
        <v>11</v>
      </c>
      <c r="H693" t="str">
        <f t="shared" si="20"/>
        <v>NAVERhoogumi</v>
      </c>
      <c r="I693" t="str">
        <f>"hoogumi"</f>
        <v>hoogumi</v>
      </c>
      <c r="J693">
        <v>348020</v>
      </c>
      <c r="K693" s="1">
        <v>44866</v>
      </c>
      <c r="L693" t="s">
        <v>323</v>
      </c>
      <c r="M693">
        <f t="shared" si="21"/>
        <v>348020</v>
      </c>
      <c r="N693" t="e">
        <f>VLOOKUP(H693,Sheet1!G:H,2,FALSE)</f>
        <v>#N/A</v>
      </c>
      <c r="R693" t="s">
        <v>2617</v>
      </c>
      <c r="S693">
        <v>139930</v>
      </c>
    </row>
    <row r="694" spans="1:19" x14ac:dyDescent="0.3">
      <c r="A694" t="s">
        <v>8</v>
      </c>
      <c r="B694">
        <f>VLOOKUP(A694,Sheet2!B:F,5,FALSE)</f>
        <v>928</v>
      </c>
      <c r="C694" t="s">
        <v>13</v>
      </c>
      <c r="D694">
        <f>VLOOKUP(C694,Sheet2!C:G,5,FALSE)</f>
        <v>1184</v>
      </c>
      <c r="E694" t="s">
        <v>14</v>
      </c>
      <c r="F694">
        <f>VLOOKUP(E694,Sheet2!D:E,2,FALSE)</f>
        <v>914</v>
      </c>
      <c r="G694" t="s">
        <v>11</v>
      </c>
      <c r="H694" t="str">
        <f t="shared" si="20"/>
        <v>NAVERhooilsan</v>
      </c>
      <c r="I694" t="str">
        <f>"hooilsan"</f>
        <v>hooilsan</v>
      </c>
      <c r="J694">
        <v>809950</v>
      </c>
      <c r="K694" s="1">
        <v>44866</v>
      </c>
      <c r="L694" t="s">
        <v>323</v>
      </c>
      <c r="M694">
        <f t="shared" si="21"/>
        <v>809950</v>
      </c>
      <c r="N694" t="e">
        <f>VLOOKUP(H694,Sheet1!G:H,2,FALSE)</f>
        <v>#N/A</v>
      </c>
      <c r="R694" t="s">
        <v>2618</v>
      </c>
      <c r="S694">
        <v>4080</v>
      </c>
    </row>
    <row r="695" spans="1:19" x14ac:dyDescent="0.3">
      <c r="A695" t="s">
        <v>8</v>
      </c>
      <c r="B695">
        <f>VLOOKUP(A695,Sheet2!B:F,5,FALSE)</f>
        <v>928</v>
      </c>
      <c r="C695" t="s">
        <v>13</v>
      </c>
      <c r="D695">
        <f>VLOOKUP(C695,Sheet2!C:G,5,FALSE)</f>
        <v>1184</v>
      </c>
      <c r="E695" t="s">
        <v>14</v>
      </c>
      <c r="F695">
        <f>VLOOKUP(E695,Sheet2!D:E,2,FALSE)</f>
        <v>914</v>
      </c>
      <c r="G695" t="s">
        <v>11</v>
      </c>
      <c r="H695" t="str">
        <f t="shared" si="20"/>
        <v>NAVERhoojj123</v>
      </c>
      <c r="I695" t="str">
        <f>"hoojj123"</f>
        <v>hoojj123</v>
      </c>
      <c r="J695">
        <v>231190</v>
      </c>
      <c r="K695" s="1">
        <v>44866</v>
      </c>
      <c r="L695" t="s">
        <v>323</v>
      </c>
      <c r="M695">
        <f t="shared" si="21"/>
        <v>231190</v>
      </c>
      <c r="N695" t="e">
        <f>VLOOKUP(H695,Sheet1!G:H,2,FALSE)</f>
        <v>#N/A</v>
      </c>
      <c r="R695" t="s">
        <v>2619</v>
      </c>
      <c r="S695">
        <v>4220</v>
      </c>
    </row>
    <row r="696" spans="1:19" x14ac:dyDescent="0.3">
      <c r="A696" t="s">
        <v>8</v>
      </c>
      <c r="B696">
        <f>VLOOKUP(A696,Sheet2!B:F,5,FALSE)</f>
        <v>928</v>
      </c>
      <c r="C696" t="s">
        <v>13</v>
      </c>
      <c r="D696">
        <f>VLOOKUP(C696,Sheet2!C:G,5,FALSE)</f>
        <v>1184</v>
      </c>
      <c r="E696" t="s">
        <v>14</v>
      </c>
      <c r="F696">
        <f>VLOOKUP(E696,Sheet2!D:E,2,FALSE)</f>
        <v>914</v>
      </c>
      <c r="G696" t="s">
        <v>11</v>
      </c>
      <c r="H696" t="str">
        <f t="shared" si="20"/>
        <v>NAVERhoonowon</v>
      </c>
      <c r="I696" t="str">
        <f>"hoonowon"</f>
        <v>hoonowon</v>
      </c>
      <c r="J696">
        <v>1695330</v>
      </c>
      <c r="K696" s="1">
        <v>44866</v>
      </c>
      <c r="L696" t="s">
        <v>323</v>
      </c>
      <c r="M696">
        <f t="shared" si="21"/>
        <v>1695330</v>
      </c>
      <c r="N696" t="e">
        <f>VLOOKUP(H696,Sheet1!G:H,2,FALSE)</f>
        <v>#N/A</v>
      </c>
      <c r="R696" t="s">
        <v>2620</v>
      </c>
      <c r="S696">
        <v>5758990</v>
      </c>
    </row>
    <row r="697" spans="1:19" x14ac:dyDescent="0.3">
      <c r="A697" t="s">
        <v>8</v>
      </c>
      <c r="B697">
        <f>VLOOKUP(A697,Sheet2!B:F,5,FALSE)</f>
        <v>928</v>
      </c>
      <c r="C697" t="s">
        <v>13</v>
      </c>
      <c r="D697">
        <f>VLOOKUP(C697,Sheet2!C:G,5,FALSE)</f>
        <v>1184</v>
      </c>
      <c r="E697" t="s">
        <v>14</v>
      </c>
      <c r="F697">
        <f>VLOOKUP(E697,Sheet2!D:E,2,FALSE)</f>
        <v>914</v>
      </c>
      <c r="G697" t="s">
        <v>11</v>
      </c>
      <c r="H697" t="str">
        <f t="shared" si="20"/>
        <v>NAVERhoosillim</v>
      </c>
      <c r="I697" t="str">
        <f>"hoosillim"</f>
        <v>hoosillim</v>
      </c>
      <c r="J697">
        <v>539270</v>
      </c>
      <c r="K697" s="1">
        <v>44866</v>
      </c>
      <c r="L697" t="s">
        <v>323</v>
      </c>
      <c r="M697">
        <f t="shared" si="21"/>
        <v>539270</v>
      </c>
      <c r="N697" t="e">
        <f>VLOOKUP(H697,Sheet1!G:H,2,FALSE)</f>
        <v>#N/A</v>
      </c>
      <c r="R697" t="s">
        <v>2621</v>
      </c>
      <c r="S697">
        <v>150060</v>
      </c>
    </row>
    <row r="698" spans="1:19" x14ac:dyDescent="0.3">
      <c r="A698" t="s">
        <v>16</v>
      </c>
      <c r="B698">
        <f>VLOOKUP(A698,Sheet2!B:F,5,FALSE)</f>
        <v>927</v>
      </c>
      <c r="C698" t="s">
        <v>17</v>
      </c>
      <c r="D698">
        <f>VLOOKUP(C698,Sheet2!C:G,5,FALSE)</f>
        <v>1200</v>
      </c>
      <c r="E698" t="s">
        <v>66</v>
      </c>
      <c r="F698">
        <f>VLOOKUP(E698,Sheet2!D:E,2,FALSE)</f>
        <v>33</v>
      </c>
      <c r="G698" t="s">
        <v>11</v>
      </c>
      <c r="H698" t="str">
        <f t="shared" si="20"/>
        <v>NAVERhopefulroof:naver</v>
      </c>
      <c r="I698" t="str">
        <f>"hopefulroof:naver"</f>
        <v>hopefulroof:naver</v>
      </c>
      <c r="J698">
        <v>732100</v>
      </c>
      <c r="K698" s="1">
        <v>44866</v>
      </c>
      <c r="L698" t="s">
        <v>766</v>
      </c>
      <c r="M698">
        <f t="shared" si="21"/>
        <v>732100</v>
      </c>
      <c r="N698" t="e">
        <f>VLOOKUP(H698,Sheet1!G:H,2,FALSE)</f>
        <v>#N/A</v>
      </c>
      <c r="R698" t="s">
        <v>2622</v>
      </c>
      <c r="S698">
        <v>245290</v>
      </c>
    </row>
    <row r="699" spans="1:19" x14ac:dyDescent="0.3">
      <c r="A699" t="s">
        <v>16</v>
      </c>
      <c r="B699">
        <f>VLOOKUP(A699,Sheet2!B:F,5,FALSE)</f>
        <v>927</v>
      </c>
      <c r="C699" t="s">
        <v>17</v>
      </c>
      <c r="D699">
        <f>VLOOKUP(C699,Sheet2!C:G,5,FALSE)</f>
        <v>1200</v>
      </c>
      <c r="E699" t="s">
        <v>371</v>
      </c>
      <c r="F699">
        <f>VLOOKUP(E699,Sheet2!D:E,2,FALSE)</f>
        <v>551</v>
      </c>
      <c r="G699" t="s">
        <v>11</v>
      </c>
      <c r="H699" t="str">
        <f t="shared" si="20"/>
        <v>NAVERhowo2005:naver</v>
      </c>
      <c r="I699" t="str">
        <f>"howo2005:naver"</f>
        <v>howo2005:naver</v>
      </c>
      <c r="J699">
        <v>814240</v>
      </c>
      <c r="K699" s="1">
        <v>44866</v>
      </c>
      <c r="L699" t="s">
        <v>767</v>
      </c>
      <c r="M699">
        <f t="shared" si="21"/>
        <v>814240</v>
      </c>
      <c r="N699" t="e">
        <f>VLOOKUP(H699,Sheet1!G:H,2,FALSE)</f>
        <v>#N/A</v>
      </c>
      <c r="R699" t="s">
        <v>2623</v>
      </c>
      <c r="S699">
        <v>947290</v>
      </c>
    </row>
    <row r="700" spans="1:19" x14ac:dyDescent="0.3">
      <c r="A700" t="s">
        <v>8</v>
      </c>
      <c r="B700">
        <f>VLOOKUP(A700,Sheet2!B:F,5,FALSE)</f>
        <v>928</v>
      </c>
      <c r="C700" t="s">
        <v>9</v>
      </c>
      <c r="D700">
        <f>VLOOKUP(C700,Sheet2!C:G,5,FALSE)</f>
        <v>1202</v>
      </c>
      <c r="E700" t="s">
        <v>142</v>
      </c>
      <c r="F700">
        <f>VLOOKUP(E700,Sheet2!D:E,2,FALSE)</f>
        <v>652</v>
      </c>
      <c r="G700" t="s">
        <v>11</v>
      </c>
      <c r="H700" t="str">
        <f t="shared" si="20"/>
        <v>NAVERhs_fashion</v>
      </c>
      <c r="I700" t="str">
        <f>"hs_fashion"</f>
        <v>hs_fashion</v>
      </c>
      <c r="J700">
        <v>699980</v>
      </c>
      <c r="K700" s="1">
        <v>44866</v>
      </c>
      <c r="L700" t="s">
        <v>768</v>
      </c>
      <c r="M700">
        <f t="shared" si="21"/>
        <v>0</v>
      </c>
      <c r="N700" t="e">
        <f>VLOOKUP(H700,Sheet1!G:H,2,FALSE)</f>
        <v>#N/A</v>
      </c>
      <c r="R700" t="s">
        <v>2624</v>
      </c>
      <c r="S700">
        <v>245680</v>
      </c>
    </row>
    <row r="701" spans="1:19" x14ac:dyDescent="0.3">
      <c r="A701" t="s">
        <v>8</v>
      </c>
      <c r="B701">
        <f>VLOOKUP(A701,Sheet2!B:F,5,FALSE)</f>
        <v>928</v>
      </c>
      <c r="C701" t="s">
        <v>13</v>
      </c>
      <c r="D701">
        <f>VLOOKUP(C701,Sheet2!C:G,5,FALSE)</f>
        <v>1184</v>
      </c>
      <c r="E701" t="s">
        <v>217</v>
      </c>
      <c r="F701">
        <f>VLOOKUP(E701,Sheet2!D:E,2,FALSE)</f>
        <v>201027</v>
      </c>
      <c r="G701" t="s">
        <v>11</v>
      </c>
      <c r="H701" t="str">
        <f t="shared" si="20"/>
        <v>NAVERhs14210</v>
      </c>
      <c r="I701" t="str">
        <f>"hs14210"</f>
        <v>hs14210</v>
      </c>
      <c r="J701">
        <v>13060</v>
      </c>
      <c r="K701" s="1">
        <v>44866</v>
      </c>
      <c r="L701" t="s">
        <v>769</v>
      </c>
      <c r="M701">
        <f t="shared" si="21"/>
        <v>13060</v>
      </c>
      <c r="N701" t="e">
        <f>VLOOKUP(H701,Sheet1!G:H,2,FALSE)</f>
        <v>#N/A</v>
      </c>
      <c r="R701" t="s">
        <v>2625</v>
      </c>
      <c r="S701">
        <v>275670</v>
      </c>
    </row>
    <row r="702" spans="1:19" x14ac:dyDescent="0.3">
      <c r="A702" t="s">
        <v>8</v>
      </c>
      <c r="B702">
        <f>VLOOKUP(A702,Sheet2!B:F,5,FALSE)</f>
        <v>928</v>
      </c>
      <c r="C702" t="s">
        <v>9</v>
      </c>
      <c r="D702">
        <f>VLOOKUP(C702,Sheet2!C:G,5,FALSE)</f>
        <v>1202</v>
      </c>
      <c r="E702" t="s">
        <v>39</v>
      </c>
      <c r="F702">
        <f>VLOOKUP(E702,Sheet2!D:E,2,FALSE)</f>
        <v>25</v>
      </c>
      <c r="G702" t="s">
        <v>11</v>
      </c>
      <c r="H702" t="str">
        <f t="shared" si="20"/>
        <v>NAVERhsd4139</v>
      </c>
      <c r="I702" t="str">
        <f>"hsd4139"</f>
        <v>hsd4139</v>
      </c>
      <c r="J702">
        <v>298980</v>
      </c>
      <c r="K702" s="1">
        <v>44866</v>
      </c>
      <c r="L702" t="s">
        <v>770</v>
      </c>
      <c r="M702">
        <f t="shared" si="21"/>
        <v>298980</v>
      </c>
      <c r="N702" t="e">
        <f>VLOOKUP(H702,Sheet1!G:H,2,FALSE)</f>
        <v>#N/A</v>
      </c>
      <c r="R702" t="s">
        <v>2626</v>
      </c>
      <c r="S702">
        <v>5227510</v>
      </c>
    </row>
    <row r="703" spans="1:19" x14ac:dyDescent="0.3">
      <c r="A703" t="s">
        <v>16</v>
      </c>
      <c r="B703">
        <f>VLOOKUP(A703,Sheet2!B:F,5,FALSE)</f>
        <v>927</v>
      </c>
      <c r="C703" t="s">
        <v>17</v>
      </c>
      <c r="D703">
        <f>VLOOKUP(C703,Sheet2!C:G,5,FALSE)</f>
        <v>1200</v>
      </c>
      <c r="E703" t="s">
        <v>244</v>
      </c>
      <c r="F703">
        <f>VLOOKUP(E703,Sheet2!D:E,2,FALSE)</f>
        <v>817</v>
      </c>
      <c r="G703" t="s">
        <v>11</v>
      </c>
      <c r="H703" t="str">
        <f t="shared" si="20"/>
        <v>NAVERhsenergy</v>
      </c>
      <c r="I703" t="str">
        <f>"hsenergy"</f>
        <v>hsenergy</v>
      </c>
      <c r="J703">
        <v>6900</v>
      </c>
      <c r="K703" s="1">
        <v>44866</v>
      </c>
      <c r="L703" t="s">
        <v>771</v>
      </c>
      <c r="M703">
        <f t="shared" si="21"/>
        <v>6900</v>
      </c>
      <c r="N703" t="e">
        <f>VLOOKUP(H703,Sheet1!G:H,2,FALSE)</f>
        <v>#N/A</v>
      </c>
      <c r="R703" t="s">
        <v>2627</v>
      </c>
      <c r="S703">
        <v>2486810</v>
      </c>
    </row>
    <row r="704" spans="1:19" x14ac:dyDescent="0.3">
      <c r="A704" t="s">
        <v>8</v>
      </c>
      <c r="B704">
        <f>VLOOKUP(A704,Sheet2!B:F,5,FALSE)</f>
        <v>928</v>
      </c>
      <c r="C704" t="s">
        <v>9</v>
      </c>
      <c r="D704">
        <f>VLOOKUP(C704,Sheet2!C:G,5,FALSE)</f>
        <v>1202</v>
      </c>
      <c r="E704" t="s">
        <v>110</v>
      </c>
      <c r="F704">
        <f>VLOOKUP(E704,Sheet2!D:E,2,FALSE)</f>
        <v>929</v>
      </c>
      <c r="G704" t="s">
        <v>11</v>
      </c>
      <c r="H704" t="str">
        <f t="shared" si="20"/>
        <v>NAVERhso5321</v>
      </c>
      <c r="I704" t="str">
        <f>"hso5321"</f>
        <v>hso5321</v>
      </c>
      <c r="J704">
        <v>6750020</v>
      </c>
      <c r="K704" s="1">
        <v>44866</v>
      </c>
      <c r="L704" t="s">
        <v>772</v>
      </c>
      <c r="M704">
        <f t="shared" si="21"/>
        <v>6750020</v>
      </c>
      <c r="N704" t="e">
        <f>VLOOKUP(H704,Sheet1!G:H,2,FALSE)</f>
        <v>#N/A</v>
      </c>
      <c r="R704" t="s">
        <v>2628</v>
      </c>
      <c r="S704">
        <v>130640</v>
      </c>
    </row>
    <row r="705" spans="1:19" x14ac:dyDescent="0.3">
      <c r="A705" t="s">
        <v>8</v>
      </c>
      <c r="B705">
        <f>VLOOKUP(A705,Sheet2!B:F,5,FALSE)</f>
        <v>928</v>
      </c>
      <c r="C705" t="s">
        <v>9</v>
      </c>
      <c r="D705">
        <f>VLOOKUP(C705,Sheet2!C:G,5,FALSE)</f>
        <v>1202</v>
      </c>
      <c r="E705" t="s">
        <v>39</v>
      </c>
      <c r="F705">
        <f>VLOOKUP(E705,Sheet2!D:E,2,FALSE)</f>
        <v>25</v>
      </c>
      <c r="G705" t="s">
        <v>11</v>
      </c>
      <c r="H705" t="str">
        <f t="shared" si="20"/>
        <v>NAVERhssci</v>
      </c>
      <c r="I705" t="str">
        <f>"hssci"</f>
        <v>hssci</v>
      </c>
      <c r="J705">
        <v>185310</v>
      </c>
      <c r="K705" s="1">
        <v>44866</v>
      </c>
      <c r="L705" t="s">
        <v>773</v>
      </c>
      <c r="M705">
        <f t="shared" si="21"/>
        <v>185310</v>
      </c>
      <c r="N705" t="e">
        <f>VLOOKUP(H705,Sheet1!G:H,2,FALSE)</f>
        <v>#N/A</v>
      </c>
      <c r="R705" t="s">
        <v>2629</v>
      </c>
      <c r="S705">
        <v>14570</v>
      </c>
    </row>
    <row r="706" spans="1:19" x14ac:dyDescent="0.3">
      <c r="A706" t="s">
        <v>16</v>
      </c>
      <c r="B706">
        <f>VLOOKUP(A706,Sheet2!B:F,5,FALSE)</f>
        <v>927</v>
      </c>
      <c r="C706" t="s">
        <v>17</v>
      </c>
      <c r="D706">
        <f>VLOOKUP(C706,Sheet2!C:G,5,FALSE)</f>
        <v>1200</v>
      </c>
      <c r="E706" t="s">
        <v>437</v>
      </c>
      <c r="F706">
        <f>VLOOKUP(E706,Sheet2!D:E,2,FALSE)</f>
        <v>201118</v>
      </c>
      <c r="G706" t="s">
        <v>11</v>
      </c>
      <c r="H706" t="str">
        <f t="shared" si="20"/>
        <v>NAVERhsy881203:naver</v>
      </c>
      <c r="I706" t="str">
        <f>"hsy881203:naver"</f>
        <v>hsy881203:naver</v>
      </c>
      <c r="J706">
        <v>96114</v>
      </c>
      <c r="K706" s="1">
        <v>44866</v>
      </c>
      <c r="L706" t="s">
        <v>774</v>
      </c>
      <c r="M706">
        <f t="shared" si="21"/>
        <v>101530</v>
      </c>
      <c r="N706" t="e">
        <f>VLOOKUP(H706,Sheet1!G:H,2,FALSE)</f>
        <v>#N/A</v>
      </c>
      <c r="R706" t="s">
        <v>2630</v>
      </c>
      <c r="S706">
        <v>62900</v>
      </c>
    </row>
    <row r="707" spans="1:19" x14ac:dyDescent="0.3">
      <c r="A707" t="s">
        <v>8</v>
      </c>
      <c r="B707">
        <f>VLOOKUP(A707,Sheet2!B:F,5,FALSE)</f>
        <v>928</v>
      </c>
      <c r="C707" t="s">
        <v>9</v>
      </c>
      <c r="D707">
        <f>VLOOKUP(C707,Sheet2!C:G,5,FALSE)</f>
        <v>1202</v>
      </c>
      <c r="E707" t="s">
        <v>33</v>
      </c>
      <c r="F707">
        <f>VLOOKUP(E707,Sheet2!D:E,2,FALSE)</f>
        <v>933</v>
      </c>
      <c r="G707" t="s">
        <v>11</v>
      </c>
      <c r="H707" t="str">
        <f t="shared" ref="H707:H770" si="22">CONCATENATE(G707,I707)</f>
        <v>NAVERhu3753</v>
      </c>
      <c r="I707" t="str">
        <f>"hu3753"</f>
        <v>hu3753</v>
      </c>
      <c r="J707">
        <v>378540</v>
      </c>
      <c r="K707" s="1">
        <v>44866</v>
      </c>
      <c r="L707" t="s">
        <v>775</v>
      </c>
      <c r="M707">
        <f t="shared" ref="M707:M770" si="23">VLOOKUP(H707,R:S,2,FALSE)</f>
        <v>378540</v>
      </c>
      <c r="N707" t="e">
        <f>VLOOKUP(H707,Sheet1!G:H,2,FALSE)</f>
        <v>#N/A</v>
      </c>
      <c r="R707" t="s">
        <v>2631</v>
      </c>
      <c r="S707">
        <v>686620</v>
      </c>
    </row>
    <row r="708" spans="1:19" x14ac:dyDescent="0.3">
      <c r="A708" t="s">
        <v>16</v>
      </c>
      <c r="B708">
        <f>VLOOKUP(A708,Sheet2!B:F,5,FALSE)</f>
        <v>927</v>
      </c>
      <c r="C708" t="s">
        <v>17</v>
      </c>
      <c r="D708">
        <f>VLOOKUP(C708,Sheet2!C:G,5,FALSE)</f>
        <v>1200</v>
      </c>
      <c r="E708" t="s">
        <v>96</v>
      </c>
      <c r="F708">
        <f>VLOOKUP(E708,Sheet2!D:E,2,FALSE)</f>
        <v>1271</v>
      </c>
      <c r="G708" t="s">
        <v>11</v>
      </c>
      <c r="H708" t="str">
        <f t="shared" si="22"/>
        <v>NAVERhunk</v>
      </c>
      <c r="I708" t="str">
        <f>"hunk"</f>
        <v>hunk</v>
      </c>
      <c r="J708">
        <v>174470</v>
      </c>
      <c r="K708" s="1">
        <v>44866</v>
      </c>
      <c r="L708" t="s">
        <v>776</v>
      </c>
      <c r="M708">
        <f t="shared" si="23"/>
        <v>174470</v>
      </c>
      <c r="N708" t="e">
        <f>VLOOKUP(H708,Sheet1!G:H,2,FALSE)</f>
        <v>#N/A</v>
      </c>
      <c r="R708" t="s">
        <v>2632</v>
      </c>
      <c r="S708">
        <v>13358580</v>
      </c>
    </row>
    <row r="709" spans="1:19" x14ac:dyDescent="0.3">
      <c r="A709" t="s">
        <v>176</v>
      </c>
      <c r="B709">
        <f>VLOOKUP(A709,Sheet2!B:F,5,FALSE)</f>
        <v>1204</v>
      </c>
      <c r="C709" t="s">
        <v>177</v>
      </c>
      <c r="D709">
        <f>VLOOKUP(C709,Sheet2!C:G,5,FALSE)</f>
        <v>1205</v>
      </c>
      <c r="E709" t="s">
        <v>178</v>
      </c>
      <c r="F709">
        <f>VLOOKUP(E709,Sheet2!D:E,2,FALSE)</f>
        <v>201073</v>
      </c>
      <c r="G709" t="s">
        <v>11</v>
      </c>
      <c r="H709" t="str">
        <f t="shared" si="22"/>
        <v>NAVERhuonsnatural</v>
      </c>
      <c r="I709" t="str">
        <f>"huonsnatural"</f>
        <v>huonsnatural</v>
      </c>
      <c r="J709">
        <v>7364110</v>
      </c>
      <c r="K709" s="1">
        <v>44866</v>
      </c>
      <c r="L709" t="s">
        <v>777</v>
      </c>
      <c r="M709">
        <f t="shared" si="23"/>
        <v>6164140</v>
      </c>
      <c r="N709" t="e">
        <f>VLOOKUP(H709,Sheet1!G:H,2,FALSE)</f>
        <v>#N/A</v>
      </c>
      <c r="R709" t="s">
        <v>2633</v>
      </c>
      <c r="S709">
        <v>198380</v>
      </c>
    </row>
    <row r="710" spans="1:19" x14ac:dyDescent="0.3">
      <c r="A710" t="s">
        <v>16</v>
      </c>
      <c r="B710">
        <f>VLOOKUP(A710,Sheet2!B:F,5,FALSE)</f>
        <v>927</v>
      </c>
      <c r="C710" t="s">
        <v>17</v>
      </c>
      <c r="D710">
        <f>VLOOKUP(C710,Sheet2!C:G,5,FALSE)</f>
        <v>1200</v>
      </c>
      <c r="E710" t="s">
        <v>170</v>
      </c>
      <c r="F710">
        <f>VLOOKUP(E710,Sheet2!D:E,2,FALSE)</f>
        <v>1530</v>
      </c>
      <c r="G710" t="s">
        <v>11</v>
      </c>
      <c r="H710" t="str">
        <f t="shared" si="22"/>
        <v>NAVERhvglobal</v>
      </c>
      <c r="I710" t="str">
        <f>"hvglobal"</f>
        <v>hvglobal</v>
      </c>
      <c r="J710">
        <v>430790</v>
      </c>
      <c r="K710" s="1">
        <v>44866</v>
      </c>
      <c r="L710" t="s">
        <v>778</v>
      </c>
      <c r="M710">
        <f t="shared" si="23"/>
        <v>430790</v>
      </c>
      <c r="N710" t="e">
        <f>VLOOKUP(H710,Sheet1!G:H,2,FALSE)</f>
        <v>#N/A</v>
      </c>
      <c r="R710" t="s">
        <v>2634</v>
      </c>
      <c r="S710">
        <v>1469010</v>
      </c>
    </row>
    <row r="711" spans="1:19" x14ac:dyDescent="0.3">
      <c r="A711" t="s">
        <v>8</v>
      </c>
      <c r="B711">
        <f>VLOOKUP(A711,Sheet2!B:F,5,FALSE)</f>
        <v>928</v>
      </c>
      <c r="C711" t="s">
        <v>9</v>
      </c>
      <c r="D711">
        <f>VLOOKUP(C711,Sheet2!C:G,5,FALSE)</f>
        <v>1202</v>
      </c>
      <c r="E711" t="s">
        <v>47</v>
      </c>
      <c r="F711">
        <f>VLOOKUP(E711,Sheet2!D:E,2,FALSE)</f>
        <v>898</v>
      </c>
      <c r="G711" t="s">
        <v>11</v>
      </c>
      <c r="H711" t="str">
        <f t="shared" si="22"/>
        <v>NAVERhwanhae</v>
      </c>
      <c r="I711" t="str">
        <f>"hwanhae"</f>
        <v>hwanhae</v>
      </c>
      <c r="J711">
        <v>263250</v>
      </c>
      <c r="K711" s="1">
        <v>44866</v>
      </c>
      <c r="L711" t="s">
        <v>779</v>
      </c>
      <c r="M711">
        <f t="shared" si="23"/>
        <v>263250</v>
      </c>
      <c r="N711" t="e">
        <f>VLOOKUP(H711,Sheet1!G:H,2,FALSE)</f>
        <v>#N/A</v>
      </c>
      <c r="R711" t="s">
        <v>2635</v>
      </c>
      <c r="S711">
        <v>504219</v>
      </c>
    </row>
    <row r="712" spans="1:19" x14ac:dyDescent="0.3">
      <c r="A712" t="s">
        <v>8</v>
      </c>
      <c r="B712">
        <f>VLOOKUP(A712,Sheet2!B:F,5,FALSE)</f>
        <v>928</v>
      </c>
      <c r="C712" t="s">
        <v>9</v>
      </c>
      <c r="D712">
        <f>VLOOKUP(C712,Sheet2!C:G,5,FALSE)</f>
        <v>1202</v>
      </c>
      <c r="E712" t="s">
        <v>27</v>
      </c>
      <c r="F712">
        <f>VLOOKUP(E712,Sheet2!D:E,2,FALSE)</f>
        <v>806</v>
      </c>
      <c r="G712" t="s">
        <v>11</v>
      </c>
      <c r="H712" t="str">
        <f t="shared" si="22"/>
        <v>NAVERhwicurry555:naver</v>
      </c>
      <c r="I712" t="str">
        <f>"hwicurry555:naver"</f>
        <v>hwicurry555:naver</v>
      </c>
      <c r="J712">
        <v>1084090</v>
      </c>
      <c r="K712" s="1">
        <v>44866</v>
      </c>
      <c r="L712" t="s">
        <v>780</v>
      </c>
      <c r="M712">
        <f t="shared" si="23"/>
        <v>384110</v>
      </c>
      <c r="N712" t="e">
        <f>VLOOKUP(H712,Sheet1!G:H,2,FALSE)</f>
        <v>#N/A</v>
      </c>
      <c r="R712" t="s">
        <v>2636</v>
      </c>
      <c r="S712">
        <v>276140</v>
      </c>
    </row>
    <row r="713" spans="1:19" x14ac:dyDescent="0.3">
      <c r="A713" t="s">
        <v>8</v>
      </c>
      <c r="B713">
        <f>VLOOKUP(A713,Sheet2!B:F,5,FALSE)</f>
        <v>928</v>
      </c>
      <c r="C713" t="s">
        <v>9</v>
      </c>
      <c r="D713">
        <f>VLOOKUP(C713,Sheet2!C:G,5,FALSE)</f>
        <v>1202</v>
      </c>
      <c r="E713" t="s">
        <v>110</v>
      </c>
      <c r="F713">
        <f>VLOOKUP(E713,Sheet2!D:E,2,FALSE)</f>
        <v>929</v>
      </c>
      <c r="G713" t="s">
        <v>11</v>
      </c>
      <c r="H713" t="str">
        <f t="shared" si="22"/>
        <v>NAVERhyo350</v>
      </c>
      <c r="I713" t="str">
        <f>"hyo350"</f>
        <v>hyo350</v>
      </c>
      <c r="J713">
        <v>991480</v>
      </c>
      <c r="K713" s="1">
        <v>44866</v>
      </c>
      <c r="L713" t="s">
        <v>781</v>
      </c>
      <c r="M713">
        <f t="shared" si="23"/>
        <v>991480</v>
      </c>
      <c r="N713" t="e">
        <f>VLOOKUP(H713,Sheet1!G:H,2,FALSE)</f>
        <v>#N/A</v>
      </c>
      <c r="R713" t="s">
        <v>2637</v>
      </c>
      <c r="S713">
        <v>3820</v>
      </c>
    </row>
    <row r="714" spans="1:19" x14ac:dyDescent="0.3">
      <c r="A714" t="s">
        <v>8</v>
      </c>
      <c r="B714">
        <f>VLOOKUP(A714,Sheet2!B:F,5,FALSE)</f>
        <v>928</v>
      </c>
      <c r="C714" t="s">
        <v>9</v>
      </c>
      <c r="D714">
        <f>VLOOKUP(C714,Sheet2!C:G,5,FALSE)</f>
        <v>1202</v>
      </c>
      <c r="E714" t="s">
        <v>37</v>
      </c>
      <c r="F714">
        <f>VLOOKUP(E714,Sheet2!D:E,2,FALSE)</f>
        <v>81</v>
      </c>
      <c r="G714" t="s">
        <v>11</v>
      </c>
      <c r="H714" t="str">
        <f t="shared" si="22"/>
        <v>NAVERhyoun59</v>
      </c>
      <c r="I714" t="str">
        <f>"hyoun59"</f>
        <v>hyoun59</v>
      </c>
      <c r="J714">
        <v>2631570</v>
      </c>
      <c r="K714" s="1">
        <v>44866</v>
      </c>
      <c r="L714" t="s">
        <v>782</v>
      </c>
      <c r="M714">
        <f t="shared" si="23"/>
        <v>2631570</v>
      </c>
      <c r="N714" t="e">
        <f>VLOOKUP(H714,Sheet1!G:H,2,FALSE)</f>
        <v>#N/A</v>
      </c>
      <c r="R714" t="s">
        <v>2638</v>
      </c>
      <c r="S714">
        <v>2717880</v>
      </c>
    </row>
    <row r="715" spans="1:19" x14ac:dyDescent="0.3">
      <c r="A715" t="s">
        <v>8</v>
      </c>
      <c r="B715">
        <f>VLOOKUP(A715,Sheet2!B:F,5,FALSE)</f>
        <v>928</v>
      </c>
      <c r="C715" t="s">
        <v>223</v>
      </c>
      <c r="D715">
        <f>VLOOKUP(C715,Sheet2!C:G,5,FALSE)</f>
        <v>966</v>
      </c>
      <c r="E715" t="s">
        <v>224</v>
      </c>
      <c r="F715">
        <f>VLOOKUP(E715,Sheet2!D:E,2,FALSE)</f>
        <v>201008</v>
      </c>
      <c r="G715" t="s">
        <v>11</v>
      </c>
      <c r="H715" t="str">
        <f t="shared" si="22"/>
        <v>NAVERhypergate</v>
      </c>
      <c r="I715" t="str">
        <f>"hypergate"</f>
        <v>hypergate</v>
      </c>
      <c r="J715">
        <v>22873850</v>
      </c>
      <c r="K715" s="1">
        <v>44866</v>
      </c>
      <c r="L715" t="s">
        <v>631</v>
      </c>
      <c r="M715">
        <f t="shared" si="23"/>
        <v>20673870</v>
      </c>
      <c r="N715" t="e">
        <f>VLOOKUP(H715,Sheet1!G:H,2,FALSE)</f>
        <v>#N/A</v>
      </c>
      <c r="R715" t="s">
        <v>2639</v>
      </c>
      <c r="S715">
        <v>31170</v>
      </c>
    </row>
    <row r="716" spans="1:19" x14ac:dyDescent="0.3">
      <c r="A716" t="s">
        <v>8</v>
      </c>
      <c r="B716">
        <f>VLOOKUP(A716,Sheet2!B:F,5,FALSE)</f>
        <v>928</v>
      </c>
      <c r="C716" t="s">
        <v>9</v>
      </c>
      <c r="D716">
        <f>VLOOKUP(C716,Sheet2!C:G,5,FALSE)</f>
        <v>1202</v>
      </c>
      <c r="E716" t="s">
        <v>35</v>
      </c>
      <c r="F716">
        <f>VLOOKUP(E716,Sheet2!D:E,2,FALSE)</f>
        <v>51</v>
      </c>
      <c r="G716" t="s">
        <v>11</v>
      </c>
      <c r="H716" t="str">
        <f t="shared" si="22"/>
        <v>NAVERhyun63krkr</v>
      </c>
      <c r="I716" t="str">
        <f>"hyun63krkr"</f>
        <v>hyun63krkr</v>
      </c>
      <c r="J716">
        <v>228880</v>
      </c>
      <c r="K716" s="1">
        <v>44866</v>
      </c>
      <c r="L716" t="s">
        <v>783</v>
      </c>
      <c r="M716">
        <f t="shared" si="23"/>
        <v>228880</v>
      </c>
      <c r="N716" t="e">
        <f>VLOOKUP(H716,Sheet1!G:H,2,FALSE)</f>
        <v>#N/A</v>
      </c>
      <c r="R716" t="s">
        <v>2640</v>
      </c>
      <c r="S716">
        <v>264770</v>
      </c>
    </row>
    <row r="717" spans="1:19" x14ac:dyDescent="0.3">
      <c r="A717" t="s">
        <v>8</v>
      </c>
      <c r="B717">
        <f>VLOOKUP(A717,Sheet2!B:F,5,FALSE)</f>
        <v>928</v>
      </c>
      <c r="C717" t="s">
        <v>9</v>
      </c>
      <c r="D717">
        <f>VLOOKUP(C717,Sheet2!C:G,5,FALSE)</f>
        <v>1202</v>
      </c>
      <c r="E717" t="s">
        <v>37</v>
      </c>
      <c r="F717">
        <f>VLOOKUP(E717,Sheet2!D:E,2,FALSE)</f>
        <v>81</v>
      </c>
      <c r="G717" t="s">
        <v>11</v>
      </c>
      <c r="H717" t="str">
        <f t="shared" si="22"/>
        <v>NAVERhyungsung</v>
      </c>
      <c r="I717" t="str">
        <f>"hyungsung"</f>
        <v>hyungsung</v>
      </c>
      <c r="J717">
        <v>393050</v>
      </c>
      <c r="K717" s="1">
        <v>44866</v>
      </c>
      <c r="L717" t="s">
        <v>784</v>
      </c>
      <c r="M717">
        <f t="shared" si="23"/>
        <v>393050</v>
      </c>
      <c r="N717" t="e">
        <f>VLOOKUP(H717,Sheet1!G:H,2,FALSE)</f>
        <v>#N/A</v>
      </c>
      <c r="R717" t="s">
        <v>2641</v>
      </c>
      <c r="S717">
        <v>381210</v>
      </c>
    </row>
    <row r="718" spans="1:19" x14ac:dyDescent="0.3">
      <c r="A718" t="s">
        <v>8</v>
      </c>
      <c r="B718">
        <f>VLOOKUP(A718,Sheet2!B:F,5,FALSE)</f>
        <v>928</v>
      </c>
      <c r="C718" t="s">
        <v>9</v>
      </c>
      <c r="D718">
        <f>VLOOKUP(C718,Sheet2!C:G,5,FALSE)</f>
        <v>1202</v>
      </c>
      <c r="E718" t="s">
        <v>39</v>
      </c>
      <c r="F718">
        <f>VLOOKUP(E718,Sheet2!D:E,2,FALSE)</f>
        <v>25</v>
      </c>
      <c r="G718" t="s">
        <v>11</v>
      </c>
      <c r="H718" t="str">
        <f t="shared" si="22"/>
        <v>NAVERhyunsuk1209</v>
      </c>
      <c r="I718" t="str">
        <f>"hyunsuk1209"</f>
        <v>hyunsuk1209</v>
      </c>
      <c r="J718">
        <v>365780</v>
      </c>
      <c r="K718" s="1">
        <v>44866</v>
      </c>
      <c r="L718" t="s">
        <v>785</v>
      </c>
      <c r="M718">
        <f t="shared" si="23"/>
        <v>365780</v>
      </c>
      <c r="N718" t="e">
        <f>VLOOKUP(H718,Sheet1!G:H,2,FALSE)</f>
        <v>#N/A</v>
      </c>
      <c r="R718" t="s">
        <v>2642</v>
      </c>
      <c r="S718">
        <v>2160</v>
      </c>
    </row>
    <row r="719" spans="1:19" x14ac:dyDescent="0.3">
      <c r="A719" t="s">
        <v>8</v>
      </c>
      <c r="B719">
        <f>VLOOKUP(A719,Sheet2!B:F,5,FALSE)</f>
        <v>928</v>
      </c>
      <c r="C719" t="s">
        <v>13</v>
      </c>
      <c r="D719">
        <f>VLOOKUP(C719,Sheet2!C:G,5,FALSE)</f>
        <v>1184</v>
      </c>
      <c r="E719" t="s">
        <v>59</v>
      </c>
      <c r="F719">
        <f>VLOOKUP(E719,Sheet2!D:E,2,FALSE)</f>
        <v>9</v>
      </c>
      <c r="G719" t="s">
        <v>11</v>
      </c>
      <c r="H719" t="str">
        <f t="shared" si="22"/>
        <v>NAVERhyupjinear</v>
      </c>
      <c r="I719" t="str">
        <f>"hyupjinear"</f>
        <v>hyupjinear</v>
      </c>
      <c r="J719">
        <v>8310</v>
      </c>
      <c r="K719" s="1">
        <v>44866</v>
      </c>
      <c r="L719" t="s">
        <v>786</v>
      </c>
      <c r="M719">
        <f t="shared" si="23"/>
        <v>8310</v>
      </c>
      <c r="N719" t="e">
        <f>VLOOKUP(H719,Sheet1!G:H,2,FALSE)</f>
        <v>#N/A</v>
      </c>
      <c r="R719" t="s">
        <v>2643</v>
      </c>
      <c r="S719">
        <v>1190</v>
      </c>
    </row>
    <row r="720" spans="1:19" x14ac:dyDescent="0.3">
      <c r="A720" t="s">
        <v>8</v>
      </c>
      <c r="B720">
        <f>VLOOKUP(A720,Sheet2!B:F,5,FALSE)</f>
        <v>928</v>
      </c>
      <c r="C720" t="s">
        <v>13</v>
      </c>
      <c r="D720">
        <f>VLOOKUP(C720,Sheet2!C:G,5,FALSE)</f>
        <v>1184</v>
      </c>
      <c r="E720" t="s">
        <v>59</v>
      </c>
      <c r="F720">
        <f>VLOOKUP(E720,Sheet2!D:E,2,FALSE)</f>
        <v>9</v>
      </c>
      <c r="G720" t="s">
        <v>11</v>
      </c>
      <c r="H720" t="str">
        <f t="shared" si="22"/>
        <v>NAVERhyupjineng</v>
      </c>
      <c r="I720" t="str">
        <f>"hyupjineng"</f>
        <v>hyupjineng</v>
      </c>
      <c r="J720">
        <v>4940</v>
      </c>
      <c r="K720" s="1">
        <v>44866</v>
      </c>
      <c r="L720" t="s">
        <v>787</v>
      </c>
      <c r="M720">
        <f t="shared" si="23"/>
        <v>4940</v>
      </c>
      <c r="N720" t="e">
        <f>VLOOKUP(H720,Sheet1!G:H,2,FALSE)</f>
        <v>#N/A</v>
      </c>
      <c r="R720" t="s">
        <v>2644</v>
      </c>
      <c r="S720">
        <v>0</v>
      </c>
    </row>
    <row r="721" spans="1:19" x14ac:dyDescent="0.3">
      <c r="A721" t="s">
        <v>22</v>
      </c>
      <c r="B721">
        <f>VLOOKUP(A721,Sheet2!B:F,5,FALSE)</f>
        <v>809</v>
      </c>
      <c r="C721" t="s">
        <v>23</v>
      </c>
      <c r="D721">
        <f>VLOOKUP(C721,Sheet2!C:G,5,FALSE)</f>
        <v>810</v>
      </c>
      <c r="E721" t="s">
        <v>529</v>
      </c>
      <c r="F721">
        <f>VLOOKUP(E721,Sheet2!D:E,2,FALSE)</f>
        <v>201053</v>
      </c>
      <c r="G721" t="s">
        <v>11</v>
      </c>
      <c r="H721" t="str">
        <f t="shared" si="22"/>
        <v>NAVERi-jintech:naver</v>
      </c>
      <c r="I721" t="str">
        <f>"i-jintech:naver"</f>
        <v>i-jintech:naver</v>
      </c>
      <c r="J721">
        <v>91130</v>
      </c>
      <c r="K721" s="1">
        <v>44866</v>
      </c>
      <c r="L721" t="s">
        <v>788</v>
      </c>
      <c r="M721">
        <f t="shared" si="23"/>
        <v>91180</v>
      </c>
      <c r="N721" t="e">
        <f>VLOOKUP(H721,Sheet1!G:H,2,FALSE)</f>
        <v>#N/A</v>
      </c>
      <c r="R721" t="s">
        <v>2645</v>
      </c>
      <c r="S721">
        <v>3410</v>
      </c>
    </row>
    <row r="722" spans="1:19" x14ac:dyDescent="0.3">
      <c r="A722" t="s">
        <v>8</v>
      </c>
      <c r="B722">
        <f>VLOOKUP(A722,Sheet2!B:F,5,FALSE)</f>
        <v>928</v>
      </c>
      <c r="C722" t="s">
        <v>9</v>
      </c>
      <c r="D722">
        <f>VLOOKUP(C722,Sheet2!C:G,5,FALSE)</f>
        <v>1202</v>
      </c>
      <c r="E722" t="s">
        <v>39</v>
      </c>
      <c r="F722">
        <f>VLOOKUP(E722,Sheet2!D:E,2,FALSE)</f>
        <v>25</v>
      </c>
      <c r="G722" t="s">
        <v>11</v>
      </c>
      <c r="H722" t="str">
        <f t="shared" si="22"/>
        <v>NAVERi944747</v>
      </c>
      <c r="I722" t="str">
        <f>"i944747"</f>
        <v>i944747</v>
      </c>
      <c r="J722">
        <v>76960</v>
      </c>
      <c r="K722" s="1">
        <v>44866</v>
      </c>
      <c r="L722" t="s">
        <v>789</v>
      </c>
      <c r="M722">
        <f t="shared" si="23"/>
        <v>76960</v>
      </c>
      <c r="N722" t="e">
        <f>VLOOKUP(H722,Sheet1!G:H,2,FALSE)</f>
        <v>#N/A</v>
      </c>
      <c r="R722" t="s">
        <v>2646</v>
      </c>
      <c r="S722">
        <v>791020</v>
      </c>
    </row>
    <row r="723" spans="1:19" x14ac:dyDescent="0.3">
      <c r="A723" t="s">
        <v>8</v>
      </c>
      <c r="B723">
        <f>VLOOKUP(A723,Sheet2!B:F,5,FALSE)</f>
        <v>928</v>
      </c>
      <c r="C723" t="s">
        <v>9</v>
      </c>
      <c r="D723">
        <f>VLOOKUP(C723,Sheet2!C:G,5,FALSE)</f>
        <v>1202</v>
      </c>
      <c r="E723" t="s">
        <v>39</v>
      </c>
      <c r="F723">
        <f>VLOOKUP(E723,Sheet2!D:E,2,FALSE)</f>
        <v>25</v>
      </c>
      <c r="G723" t="s">
        <v>11</v>
      </c>
      <c r="H723" t="str">
        <f t="shared" si="22"/>
        <v>NAVERiaansci</v>
      </c>
      <c r="I723" t="str">
        <f>"iaansci"</f>
        <v>iaansci</v>
      </c>
      <c r="J723">
        <v>147420</v>
      </c>
      <c r="K723" s="1">
        <v>44866</v>
      </c>
      <c r="L723" t="s">
        <v>790</v>
      </c>
      <c r="M723">
        <f t="shared" si="23"/>
        <v>147420</v>
      </c>
      <c r="N723" t="e">
        <f>VLOOKUP(H723,Sheet1!G:H,2,FALSE)</f>
        <v>#N/A</v>
      </c>
      <c r="R723" t="s">
        <v>2647</v>
      </c>
      <c r="S723">
        <v>0</v>
      </c>
    </row>
    <row r="724" spans="1:19" x14ac:dyDescent="0.3">
      <c r="A724" t="s">
        <v>41</v>
      </c>
      <c r="B724">
        <f>VLOOKUP(A724,Sheet2!B:F,5,FALSE)</f>
        <v>926</v>
      </c>
      <c r="C724" t="s">
        <v>56</v>
      </c>
      <c r="D724">
        <f>VLOOKUP(C724,Sheet2!C:G,5,FALSE)</f>
        <v>1207</v>
      </c>
      <c r="E724" t="s">
        <v>253</v>
      </c>
      <c r="F724">
        <f>VLOOKUP(E724,Sheet2!D:E,2,FALSE)</f>
        <v>1328</v>
      </c>
      <c r="G724" t="s">
        <v>11</v>
      </c>
      <c r="H724" t="str">
        <f t="shared" si="22"/>
        <v>NAVERid5114</v>
      </c>
      <c r="I724" t="str">
        <f>"id5114"</f>
        <v>id5114</v>
      </c>
      <c r="J724">
        <v>2610</v>
      </c>
      <c r="K724" s="1">
        <v>44866</v>
      </c>
      <c r="L724" t="s">
        <v>791</v>
      </c>
      <c r="M724">
        <f t="shared" si="23"/>
        <v>2610</v>
      </c>
      <c r="N724" t="e">
        <f>VLOOKUP(H724,Sheet1!G:H,2,FALSE)</f>
        <v>#N/A</v>
      </c>
      <c r="R724" t="s">
        <v>2648</v>
      </c>
      <c r="S724">
        <v>454420</v>
      </c>
    </row>
    <row r="725" spans="1:19" x14ac:dyDescent="0.3">
      <c r="A725" t="s">
        <v>8</v>
      </c>
      <c r="B725">
        <f>VLOOKUP(A725,Sheet2!B:F,5,FALSE)</f>
        <v>928</v>
      </c>
      <c r="C725" t="s">
        <v>9</v>
      </c>
      <c r="D725">
        <f>VLOOKUP(C725,Sheet2!C:G,5,FALSE)</f>
        <v>1202</v>
      </c>
      <c r="E725" t="s">
        <v>10</v>
      </c>
      <c r="F725">
        <f>VLOOKUP(E725,Sheet2!D:E,2,FALSE)</f>
        <v>939</v>
      </c>
      <c r="G725" t="s">
        <v>11</v>
      </c>
      <c r="H725" t="str">
        <f t="shared" si="22"/>
        <v>NAVERidongyang</v>
      </c>
      <c r="I725" t="str">
        <f>"idongyang"</f>
        <v>idongyang</v>
      </c>
      <c r="J725">
        <v>110380</v>
      </c>
      <c r="K725" s="1">
        <v>44866</v>
      </c>
      <c r="L725" t="s">
        <v>792</v>
      </c>
      <c r="M725">
        <f t="shared" si="23"/>
        <v>110380</v>
      </c>
      <c r="N725" t="e">
        <f>VLOOKUP(H725,Sheet1!G:H,2,FALSE)</f>
        <v>#N/A</v>
      </c>
      <c r="R725" t="s">
        <v>2649</v>
      </c>
      <c r="S725">
        <v>2180780</v>
      </c>
    </row>
    <row r="726" spans="1:19" x14ac:dyDescent="0.3">
      <c r="A726" t="s">
        <v>176</v>
      </c>
      <c r="B726">
        <f>VLOOKUP(A726,Sheet2!B:F,5,FALSE)</f>
        <v>1204</v>
      </c>
      <c r="C726" t="s">
        <v>177</v>
      </c>
      <c r="D726">
        <f>VLOOKUP(C726,Sheet2!C:G,5,FALSE)</f>
        <v>1205</v>
      </c>
      <c r="E726" t="s">
        <v>178</v>
      </c>
      <c r="F726">
        <f>VLOOKUP(E726,Sheet2!D:E,2,FALSE)</f>
        <v>201073</v>
      </c>
      <c r="G726" t="s">
        <v>11</v>
      </c>
      <c r="H726" t="str">
        <f t="shared" si="22"/>
        <v>NAVERihair2</v>
      </c>
      <c r="I726" t="str">
        <f>"ihair2"</f>
        <v>ihair2</v>
      </c>
      <c r="J726">
        <v>588970</v>
      </c>
      <c r="K726" s="1">
        <v>44866</v>
      </c>
      <c r="L726" t="s">
        <v>793</v>
      </c>
      <c r="M726">
        <f t="shared" si="23"/>
        <v>588970</v>
      </c>
      <c r="N726" t="e">
        <f>VLOOKUP(H726,Sheet1!G:H,2,FALSE)</f>
        <v>#N/A</v>
      </c>
      <c r="R726" t="s">
        <v>2650</v>
      </c>
      <c r="S726">
        <v>760</v>
      </c>
    </row>
    <row r="727" spans="1:19" x14ac:dyDescent="0.3">
      <c r="A727" t="s">
        <v>176</v>
      </c>
      <c r="B727">
        <f>VLOOKUP(A727,Sheet2!B:F,5,FALSE)</f>
        <v>1204</v>
      </c>
      <c r="C727" t="s">
        <v>177</v>
      </c>
      <c r="D727">
        <f>VLOOKUP(C727,Sheet2!C:G,5,FALSE)</f>
        <v>1205</v>
      </c>
      <c r="E727" t="s">
        <v>178</v>
      </c>
      <c r="F727">
        <f>VLOOKUP(E727,Sheet2!D:E,2,FALSE)</f>
        <v>201073</v>
      </c>
      <c r="G727" t="s">
        <v>11</v>
      </c>
      <c r="H727" t="str">
        <f t="shared" si="22"/>
        <v>NAVERihair92</v>
      </c>
      <c r="I727" t="str">
        <f>"ihair92"</f>
        <v>ihair92</v>
      </c>
      <c r="J727">
        <v>122700</v>
      </c>
      <c r="K727" s="1">
        <v>44866</v>
      </c>
      <c r="L727" t="s">
        <v>794</v>
      </c>
      <c r="M727">
        <f t="shared" si="23"/>
        <v>122700</v>
      </c>
      <c r="N727" t="e">
        <f>VLOOKUP(H727,Sheet1!G:H,2,FALSE)</f>
        <v>#N/A</v>
      </c>
      <c r="R727" t="s">
        <v>2651</v>
      </c>
      <c r="S727">
        <v>524140</v>
      </c>
    </row>
    <row r="728" spans="1:19" x14ac:dyDescent="0.3">
      <c r="A728" t="s">
        <v>8</v>
      </c>
      <c r="B728">
        <f>VLOOKUP(A728,Sheet2!B:F,5,FALSE)</f>
        <v>928</v>
      </c>
      <c r="C728" t="s">
        <v>13</v>
      </c>
      <c r="D728">
        <f>VLOOKUP(C728,Sheet2!C:G,5,FALSE)</f>
        <v>1184</v>
      </c>
      <c r="E728" t="s">
        <v>115</v>
      </c>
      <c r="F728">
        <f>VLOOKUP(E728,Sheet2!D:E,2,FALSE)</f>
        <v>1548</v>
      </c>
      <c r="G728" t="s">
        <v>11</v>
      </c>
      <c r="H728" t="str">
        <f t="shared" si="22"/>
        <v>NAVERijpack2</v>
      </c>
      <c r="I728" t="str">
        <f>"ijpack2"</f>
        <v>ijpack2</v>
      </c>
      <c r="J728">
        <v>140</v>
      </c>
      <c r="K728" s="1">
        <v>44866</v>
      </c>
      <c r="L728" t="s">
        <v>795</v>
      </c>
      <c r="M728">
        <f t="shared" si="23"/>
        <v>140</v>
      </c>
      <c r="N728" t="e">
        <f>VLOOKUP(H728,Sheet1!G:H,2,FALSE)</f>
        <v>#N/A</v>
      </c>
      <c r="R728" t="s">
        <v>2652</v>
      </c>
      <c r="S728">
        <v>224550</v>
      </c>
    </row>
    <row r="729" spans="1:19" x14ac:dyDescent="0.3">
      <c r="A729" t="s">
        <v>8</v>
      </c>
      <c r="B729">
        <f>VLOOKUP(A729,Sheet2!B:F,5,FALSE)</f>
        <v>928</v>
      </c>
      <c r="C729" t="s">
        <v>9</v>
      </c>
      <c r="D729">
        <f>VLOOKUP(C729,Sheet2!C:G,5,FALSE)</f>
        <v>1202</v>
      </c>
      <c r="E729" t="s">
        <v>31</v>
      </c>
      <c r="F729">
        <f>VLOOKUP(E729,Sheet2!D:E,2,FALSE)</f>
        <v>1040</v>
      </c>
      <c r="G729" t="s">
        <v>11</v>
      </c>
      <c r="H729" t="str">
        <f t="shared" si="22"/>
        <v>NAVERiklvt4</v>
      </c>
      <c r="I729" t="str">
        <f>"iklvt4"</f>
        <v>iklvt4</v>
      </c>
      <c r="J729">
        <v>6820</v>
      </c>
      <c r="K729" s="1">
        <v>44866</v>
      </c>
      <c r="L729" t="s">
        <v>796</v>
      </c>
      <c r="M729">
        <f t="shared" si="23"/>
        <v>6820</v>
      </c>
      <c r="N729" t="e">
        <f>VLOOKUP(H729,Sheet1!G:H,2,FALSE)</f>
        <v>#N/A</v>
      </c>
      <c r="R729" t="s">
        <v>2653</v>
      </c>
      <c r="S729">
        <v>132460</v>
      </c>
    </row>
    <row r="730" spans="1:19" x14ac:dyDescent="0.3">
      <c r="A730" t="s">
        <v>8</v>
      </c>
      <c r="B730">
        <f>VLOOKUP(A730,Sheet2!B:F,5,FALSE)</f>
        <v>928</v>
      </c>
      <c r="C730" t="s">
        <v>9</v>
      </c>
      <c r="D730">
        <f>VLOOKUP(C730,Sheet2!C:G,5,FALSE)</f>
        <v>1202</v>
      </c>
      <c r="E730" t="s">
        <v>391</v>
      </c>
      <c r="F730">
        <f>VLOOKUP(E730,Sheet2!D:E,2,FALSE)</f>
        <v>1216</v>
      </c>
      <c r="G730" t="s">
        <v>11</v>
      </c>
      <c r="H730" t="str">
        <f t="shared" si="22"/>
        <v>NAVERiksumkt2022:naver</v>
      </c>
      <c r="I730" t="str">
        <f>"iksumkt2022:naver"</f>
        <v>iksumkt2022:naver</v>
      </c>
      <c r="J730">
        <v>2843270</v>
      </c>
      <c r="K730" s="1">
        <v>44866</v>
      </c>
      <c r="L730" t="s">
        <v>797</v>
      </c>
      <c r="M730">
        <f t="shared" si="23"/>
        <v>2493280</v>
      </c>
      <c r="N730" t="e">
        <f>VLOOKUP(H730,Sheet1!G:H,2,FALSE)</f>
        <v>#N/A</v>
      </c>
      <c r="R730" t="s">
        <v>2654</v>
      </c>
      <c r="S730">
        <v>15360</v>
      </c>
    </row>
    <row r="731" spans="1:19" x14ac:dyDescent="0.3">
      <c r="A731" t="s">
        <v>8</v>
      </c>
      <c r="B731">
        <f>VLOOKUP(A731,Sheet2!B:F,5,FALSE)</f>
        <v>928</v>
      </c>
      <c r="C731" t="s">
        <v>13</v>
      </c>
      <c r="D731">
        <f>VLOOKUP(C731,Sheet2!C:G,5,FALSE)</f>
        <v>1184</v>
      </c>
      <c r="E731" t="s">
        <v>59</v>
      </c>
      <c r="F731">
        <f>VLOOKUP(E731,Sheet2!D:E,2,FALSE)</f>
        <v>9</v>
      </c>
      <c r="G731" t="s">
        <v>11</v>
      </c>
      <c r="H731" t="str">
        <f t="shared" si="22"/>
        <v>NAVERildeungt</v>
      </c>
      <c r="I731" t="str">
        <f>"ildeungt"</f>
        <v>ildeungt</v>
      </c>
      <c r="J731">
        <v>17730</v>
      </c>
      <c r="K731" s="1">
        <v>44866</v>
      </c>
      <c r="L731" t="s">
        <v>798</v>
      </c>
      <c r="M731">
        <f t="shared" si="23"/>
        <v>17730</v>
      </c>
      <c r="N731" t="e">
        <f>VLOOKUP(H731,Sheet1!G:H,2,FALSE)</f>
        <v>#N/A</v>
      </c>
      <c r="R731" t="s">
        <v>2655</v>
      </c>
      <c r="S731">
        <v>15400</v>
      </c>
    </row>
    <row r="732" spans="1:19" x14ac:dyDescent="0.3">
      <c r="A732" t="s">
        <v>41</v>
      </c>
      <c r="B732">
        <f>VLOOKUP(A732,Sheet2!B:F,5,FALSE)</f>
        <v>926</v>
      </c>
      <c r="C732" t="s">
        <v>56</v>
      </c>
      <c r="D732">
        <f>VLOOKUP(C732,Sheet2!C:G,5,FALSE)</f>
        <v>1207</v>
      </c>
      <c r="E732" t="s">
        <v>57</v>
      </c>
      <c r="F732">
        <f>VLOOKUP(E732,Sheet2!D:E,2,FALSE)</f>
        <v>200982</v>
      </c>
      <c r="G732" t="s">
        <v>11</v>
      </c>
      <c r="H732" t="str">
        <f t="shared" si="22"/>
        <v>NAVERilloway2002</v>
      </c>
      <c r="I732" t="str">
        <f>"illoway2002"</f>
        <v>illoway2002</v>
      </c>
      <c r="J732">
        <v>48540</v>
      </c>
      <c r="K732" s="1">
        <v>44866</v>
      </c>
      <c r="L732" t="s">
        <v>799</v>
      </c>
      <c r="M732">
        <f t="shared" si="23"/>
        <v>48540</v>
      </c>
      <c r="N732" t="e">
        <f>VLOOKUP(H732,Sheet1!G:H,2,FALSE)</f>
        <v>#N/A</v>
      </c>
      <c r="R732" t="s">
        <v>2656</v>
      </c>
      <c r="S732">
        <v>2911640</v>
      </c>
    </row>
    <row r="733" spans="1:19" x14ac:dyDescent="0.3">
      <c r="A733" t="s">
        <v>8</v>
      </c>
      <c r="B733">
        <f>VLOOKUP(A733,Sheet2!B:F,5,FALSE)</f>
        <v>928</v>
      </c>
      <c r="C733" t="s">
        <v>9</v>
      </c>
      <c r="D733">
        <f>VLOOKUP(C733,Sheet2!C:G,5,FALSE)</f>
        <v>1202</v>
      </c>
      <c r="E733" t="s">
        <v>142</v>
      </c>
      <c r="F733">
        <f>VLOOKUP(E733,Sheet2!D:E,2,FALSE)</f>
        <v>652</v>
      </c>
      <c r="G733" t="s">
        <v>11</v>
      </c>
      <c r="H733" t="str">
        <f t="shared" si="22"/>
        <v>NAVERilooent</v>
      </c>
      <c r="I733" t="str">
        <f>"ilooent"</f>
        <v>ilooent</v>
      </c>
      <c r="J733">
        <v>8060</v>
      </c>
      <c r="K733" s="1">
        <v>44866</v>
      </c>
      <c r="L733" t="s">
        <v>800</v>
      </c>
      <c r="M733">
        <f t="shared" si="23"/>
        <v>8060</v>
      </c>
      <c r="N733" t="e">
        <f>VLOOKUP(H733,Sheet1!G:H,2,FALSE)</f>
        <v>#N/A</v>
      </c>
      <c r="R733" t="s">
        <v>2657</v>
      </c>
      <c r="S733">
        <v>426220</v>
      </c>
    </row>
    <row r="734" spans="1:19" x14ac:dyDescent="0.3">
      <c r="A734" t="s">
        <v>8</v>
      </c>
      <c r="B734">
        <f>VLOOKUP(A734,Sheet2!B:F,5,FALSE)</f>
        <v>928</v>
      </c>
      <c r="C734" t="s">
        <v>223</v>
      </c>
      <c r="D734">
        <f>VLOOKUP(C734,Sheet2!C:G,5,FALSE)</f>
        <v>966</v>
      </c>
      <c r="E734" t="s">
        <v>224</v>
      </c>
      <c r="F734">
        <f>VLOOKUP(E734,Sheet2!D:E,2,FALSE)</f>
        <v>201008</v>
      </c>
      <c r="G734" t="s">
        <v>11</v>
      </c>
      <c r="H734" t="str">
        <f t="shared" si="22"/>
        <v>NAVERilsangate</v>
      </c>
      <c r="I734" t="str">
        <f>"ilsangate"</f>
        <v>ilsangate</v>
      </c>
      <c r="J734">
        <v>151920</v>
      </c>
      <c r="K734" s="1">
        <v>44866</v>
      </c>
      <c r="L734" t="s">
        <v>225</v>
      </c>
      <c r="M734">
        <f t="shared" si="23"/>
        <v>151920</v>
      </c>
      <c r="N734" t="e">
        <f>VLOOKUP(H734,Sheet1!G:H,2,FALSE)</f>
        <v>#N/A</v>
      </c>
      <c r="R734" t="s">
        <v>2658</v>
      </c>
      <c r="S734">
        <v>1031960</v>
      </c>
    </row>
    <row r="735" spans="1:19" x14ac:dyDescent="0.3">
      <c r="A735" t="s">
        <v>8</v>
      </c>
      <c r="B735">
        <f>VLOOKUP(A735,Sheet2!B:F,5,FALSE)</f>
        <v>928</v>
      </c>
      <c r="C735" t="s">
        <v>13</v>
      </c>
      <c r="D735">
        <f>VLOOKUP(C735,Sheet2!C:G,5,FALSE)</f>
        <v>1184</v>
      </c>
      <c r="E735" t="s">
        <v>102</v>
      </c>
      <c r="F735">
        <f>VLOOKUP(E735,Sheet2!D:E,2,FALSE)</f>
        <v>917</v>
      </c>
      <c r="G735" t="s">
        <v>11</v>
      </c>
      <c r="H735" t="str">
        <f t="shared" si="22"/>
        <v>NAVERim2492</v>
      </c>
      <c r="I735" t="str">
        <f>"im2492"</f>
        <v>im2492</v>
      </c>
      <c r="J735">
        <v>296410</v>
      </c>
      <c r="K735" s="1">
        <v>44866</v>
      </c>
      <c r="L735" t="s">
        <v>801</v>
      </c>
      <c r="M735">
        <f t="shared" si="23"/>
        <v>296410</v>
      </c>
      <c r="N735" t="e">
        <f>VLOOKUP(H735,Sheet1!G:H,2,FALSE)</f>
        <v>#N/A</v>
      </c>
      <c r="R735" t="s">
        <v>2659</v>
      </c>
      <c r="S735">
        <v>451890</v>
      </c>
    </row>
    <row r="736" spans="1:19" x14ac:dyDescent="0.3">
      <c r="A736" t="s">
        <v>8</v>
      </c>
      <c r="B736">
        <f>VLOOKUP(A736,Sheet2!B:F,5,FALSE)</f>
        <v>928</v>
      </c>
      <c r="C736" t="s">
        <v>9</v>
      </c>
      <c r="D736">
        <f>VLOOKUP(C736,Sheet2!C:G,5,FALSE)</f>
        <v>1202</v>
      </c>
      <c r="E736" t="s">
        <v>27</v>
      </c>
      <c r="F736">
        <f>VLOOKUP(E736,Sheet2!D:E,2,FALSE)</f>
        <v>806</v>
      </c>
      <c r="G736" t="s">
        <v>11</v>
      </c>
      <c r="H736" t="str">
        <f t="shared" si="22"/>
        <v>NAVERimctcom:naver</v>
      </c>
      <c r="I736" t="str">
        <f>"imctcom:naver"</f>
        <v>imctcom:naver</v>
      </c>
      <c r="J736">
        <v>1646580</v>
      </c>
      <c r="K736" s="1">
        <v>44866</v>
      </c>
      <c r="L736" t="s">
        <v>802</v>
      </c>
      <c r="M736">
        <f t="shared" si="23"/>
        <v>1646580</v>
      </c>
      <c r="N736" t="e">
        <f>VLOOKUP(H736,Sheet1!G:H,2,FALSE)</f>
        <v>#N/A</v>
      </c>
      <c r="R736" t="s">
        <v>2660</v>
      </c>
      <c r="S736">
        <v>2347020</v>
      </c>
    </row>
    <row r="737" spans="1:19" x14ac:dyDescent="0.3">
      <c r="A737" t="s">
        <v>16</v>
      </c>
      <c r="B737">
        <f>VLOOKUP(A737,Sheet2!B:F,5,FALSE)</f>
        <v>927</v>
      </c>
      <c r="C737" t="s">
        <v>17</v>
      </c>
      <c r="D737">
        <f>VLOOKUP(C737,Sheet2!C:G,5,FALSE)</f>
        <v>1200</v>
      </c>
      <c r="E737" t="s">
        <v>100</v>
      </c>
      <c r="F737">
        <f>VLOOKUP(E737,Sheet2!D:E,2,FALSE)</f>
        <v>201038</v>
      </c>
      <c r="G737" t="s">
        <v>11</v>
      </c>
      <c r="H737" t="str">
        <f t="shared" si="22"/>
        <v>NAVERimdro:naver</v>
      </c>
      <c r="I737" t="str">
        <f>"imdro:naver"</f>
        <v>imdro:naver</v>
      </c>
      <c r="J737">
        <v>861120</v>
      </c>
      <c r="K737" s="1">
        <v>44866</v>
      </c>
      <c r="L737" t="s">
        <v>803</v>
      </c>
      <c r="M737">
        <f t="shared" si="23"/>
        <v>861120</v>
      </c>
      <c r="N737" t="e">
        <f>VLOOKUP(H737,Sheet1!G:H,2,FALSE)</f>
        <v>#N/A</v>
      </c>
      <c r="R737" t="s">
        <v>2661</v>
      </c>
      <c r="S737">
        <v>211810</v>
      </c>
    </row>
    <row r="738" spans="1:19" x14ac:dyDescent="0.3">
      <c r="A738" t="s">
        <v>8</v>
      </c>
      <c r="B738">
        <f>VLOOKUP(A738,Sheet2!B:F,5,FALSE)</f>
        <v>928</v>
      </c>
      <c r="C738" t="s">
        <v>13</v>
      </c>
      <c r="D738">
        <f>VLOOKUP(C738,Sheet2!C:G,5,FALSE)</f>
        <v>1184</v>
      </c>
      <c r="E738" t="s">
        <v>115</v>
      </c>
      <c r="F738">
        <f>VLOOKUP(E738,Sheet2!D:E,2,FALSE)</f>
        <v>1548</v>
      </c>
      <c r="G738" t="s">
        <v>11</v>
      </c>
      <c r="H738" t="str">
        <f t="shared" si="22"/>
        <v>NAVERinc</v>
      </c>
      <c r="I738" t="str">
        <f>"inc"</f>
        <v>inc</v>
      </c>
      <c r="J738">
        <v>597160</v>
      </c>
      <c r="K738" s="1">
        <v>44866</v>
      </c>
      <c r="L738" t="s">
        <v>804</v>
      </c>
      <c r="M738">
        <f t="shared" si="23"/>
        <v>597160</v>
      </c>
      <c r="N738" t="e">
        <f>VLOOKUP(H738,Sheet1!G:H,2,FALSE)</f>
        <v>#N/A</v>
      </c>
      <c r="R738" t="s">
        <v>2662</v>
      </c>
      <c r="S738">
        <v>25190</v>
      </c>
    </row>
    <row r="739" spans="1:19" x14ac:dyDescent="0.3">
      <c r="A739" t="s">
        <v>16</v>
      </c>
      <c r="B739">
        <f>VLOOKUP(A739,Sheet2!B:F,5,FALSE)</f>
        <v>927</v>
      </c>
      <c r="C739" t="s">
        <v>17</v>
      </c>
      <c r="D739">
        <f>VLOOKUP(C739,Sheet2!C:G,5,FALSE)</f>
        <v>1200</v>
      </c>
      <c r="E739" t="s">
        <v>100</v>
      </c>
      <c r="F739">
        <f>VLOOKUP(E739,Sheet2!D:E,2,FALSE)</f>
        <v>201038</v>
      </c>
      <c r="G739" t="s">
        <v>11</v>
      </c>
      <c r="H739" t="str">
        <f t="shared" si="22"/>
        <v>NAVERindigobox</v>
      </c>
      <c r="I739" t="str">
        <f>"indigobox"</f>
        <v>indigobox</v>
      </c>
      <c r="J739">
        <v>40980</v>
      </c>
      <c r="K739" s="1">
        <v>44866</v>
      </c>
      <c r="L739" t="s">
        <v>805</v>
      </c>
      <c r="M739">
        <f t="shared" si="23"/>
        <v>40980</v>
      </c>
      <c r="N739" t="e">
        <f>VLOOKUP(H739,Sheet1!G:H,2,FALSE)</f>
        <v>#N/A</v>
      </c>
      <c r="R739" t="s">
        <v>2663</v>
      </c>
      <c r="S739">
        <v>941390</v>
      </c>
    </row>
    <row r="740" spans="1:19" x14ac:dyDescent="0.3">
      <c r="A740" t="s">
        <v>8</v>
      </c>
      <c r="B740">
        <f>VLOOKUP(A740,Sheet2!B:F,5,FALSE)</f>
        <v>928</v>
      </c>
      <c r="C740" t="s">
        <v>9</v>
      </c>
      <c r="D740">
        <f>VLOOKUP(C740,Sheet2!C:G,5,FALSE)</f>
        <v>1202</v>
      </c>
      <c r="E740" t="s">
        <v>45</v>
      </c>
      <c r="F740">
        <f>VLOOKUP(E740,Sheet2!D:E,2,FALSE)</f>
        <v>26</v>
      </c>
      <c r="G740" t="s">
        <v>11</v>
      </c>
      <c r="H740" t="str">
        <f t="shared" si="22"/>
        <v>NAVERindrobot</v>
      </c>
      <c r="I740" t="str">
        <f>"indrobot"</f>
        <v>indrobot</v>
      </c>
      <c r="J740">
        <v>299760</v>
      </c>
      <c r="K740" s="1">
        <v>44866</v>
      </c>
      <c r="L740" t="s">
        <v>806</v>
      </c>
      <c r="M740">
        <f t="shared" si="23"/>
        <v>299760</v>
      </c>
      <c r="N740" t="e">
        <f>VLOOKUP(H740,Sheet1!G:H,2,FALSE)</f>
        <v>#N/A</v>
      </c>
      <c r="R740" t="s">
        <v>2664</v>
      </c>
      <c r="S740">
        <v>304540</v>
      </c>
    </row>
    <row r="741" spans="1:19" x14ac:dyDescent="0.3">
      <c r="A741" t="s">
        <v>8</v>
      </c>
      <c r="B741">
        <f>VLOOKUP(A741,Sheet2!B:F,5,FALSE)</f>
        <v>928</v>
      </c>
      <c r="C741" t="s">
        <v>13</v>
      </c>
      <c r="D741">
        <f>VLOOKUP(C741,Sheet2!C:G,5,FALSE)</f>
        <v>1184</v>
      </c>
      <c r="E741" t="s">
        <v>102</v>
      </c>
      <c r="F741">
        <f>VLOOKUP(E741,Sheet2!D:E,2,FALSE)</f>
        <v>917</v>
      </c>
      <c r="G741" t="s">
        <v>11</v>
      </c>
      <c r="H741" t="str">
        <f t="shared" si="22"/>
        <v>NAVERinfo21c</v>
      </c>
      <c r="I741" t="str">
        <f>"info21c"</f>
        <v>info21c</v>
      </c>
      <c r="J741">
        <v>2102810</v>
      </c>
      <c r="K741" s="1">
        <v>44866</v>
      </c>
      <c r="L741" t="s">
        <v>807</v>
      </c>
      <c r="M741">
        <f t="shared" si="23"/>
        <v>2102810</v>
      </c>
      <c r="N741" t="e">
        <f>VLOOKUP(H741,Sheet1!G:H,2,FALSE)</f>
        <v>#N/A</v>
      </c>
      <c r="R741" t="s">
        <v>2665</v>
      </c>
      <c r="S741">
        <v>1956570</v>
      </c>
    </row>
    <row r="742" spans="1:19" x14ac:dyDescent="0.3">
      <c r="A742" t="s">
        <v>8</v>
      </c>
      <c r="B742">
        <f>VLOOKUP(A742,Sheet2!B:F,5,FALSE)</f>
        <v>928</v>
      </c>
      <c r="C742" t="s">
        <v>13</v>
      </c>
      <c r="D742">
        <f>VLOOKUP(C742,Sheet2!C:G,5,FALSE)</f>
        <v>1184</v>
      </c>
      <c r="E742" t="s">
        <v>102</v>
      </c>
      <c r="F742">
        <f>VLOOKUP(E742,Sheet2!D:E,2,FALSE)</f>
        <v>917</v>
      </c>
      <c r="G742" t="s">
        <v>11</v>
      </c>
      <c r="H742" t="str">
        <f t="shared" si="22"/>
        <v>NAVERinfoans</v>
      </c>
      <c r="I742" t="str">
        <f>"infoans"</f>
        <v>infoans</v>
      </c>
      <c r="J742">
        <v>628140</v>
      </c>
      <c r="K742" s="1">
        <v>44866</v>
      </c>
      <c r="L742" t="s">
        <v>808</v>
      </c>
      <c r="M742">
        <f t="shared" si="23"/>
        <v>628140</v>
      </c>
      <c r="N742" t="e">
        <f>VLOOKUP(H742,Sheet1!G:H,2,FALSE)</f>
        <v>#N/A</v>
      </c>
      <c r="R742" t="s">
        <v>2666</v>
      </c>
      <c r="S742">
        <v>142650</v>
      </c>
    </row>
    <row r="743" spans="1:19" x14ac:dyDescent="0.3">
      <c r="A743" t="s">
        <v>16</v>
      </c>
      <c r="B743">
        <f>VLOOKUP(A743,Sheet2!B:F,5,FALSE)</f>
        <v>927</v>
      </c>
      <c r="C743" t="s">
        <v>17</v>
      </c>
      <c r="D743">
        <f>VLOOKUP(C743,Sheet2!C:G,5,FALSE)</f>
        <v>1200</v>
      </c>
      <c r="E743" t="s">
        <v>244</v>
      </c>
      <c r="F743">
        <f>VLOOKUP(E743,Sheet2!D:E,2,FALSE)</f>
        <v>817</v>
      </c>
      <c r="G743" t="s">
        <v>11</v>
      </c>
      <c r="H743" t="str">
        <f t="shared" si="22"/>
        <v>NAVERinforix</v>
      </c>
      <c r="I743" t="str">
        <f>"inforix"</f>
        <v>inforix</v>
      </c>
      <c r="J743">
        <v>8326630</v>
      </c>
      <c r="K743" s="1">
        <v>44866</v>
      </c>
      <c r="L743" t="s">
        <v>809</v>
      </c>
      <c r="M743">
        <f t="shared" si="23"/>
        <v>8326630</v>
      </c>
      <c r="N743" t="e">
        <f>VLOOKUP(H743,Sheet1!G:H,2,FALSE)</f>
        <v>#N/A</v>
      </c>
      <c r="R743" t="s">
        <v>2667</v>
      </c>
      <c r="S743">
        <v>353500</v>
      </c>
    </row>
    <row r="744" spans="1:19" x14ac:dyDescent="0.3">
      <c r="A744" t="s">
        <v>8</v>
      </c>
      <c r="B744">
        <f>VLOOKUP(A744,Sheet2!B:F,5,FALSE)</f>
        <v>928</v>
      </c>
      <c r="C744" t="s">
        <v>13</v>
      </c>
      <c r="D744">
        <f>VLOOKUP(C744,Sheet2!C:G,5,FALSE)</f>
        <v>1184</v>
      </c>
      <c r="E744" t="s">
        <v>810</v>
      </c>
      <c r="F744">
        <f>VLOOKUP(E744,Sheet2!D:E,2,FALSE)</f>
        <v>201100</v>
      </c>
      <c r="G744" t="s">
        <v>11</v>
      </c>
      <c r="H744" t="str">
        <f t="shared" si="22"/>
        <v>NAVERinfraware11:naver</v>
      </c>
      <c r="I744" t="str">
        <f>"infraware11:naver"</f>
        <v>infraware11:naver</v>
      </c>
      <c r="J744">
        <v>1121320</v>
      </c>
      <c r="K744" s="1">
        <v>44866</v>
      </c>
      <c r="L744" t="s">
        <v>811</v>
      </c>
      <c r="M744">
        <f t="shared" si="23"/>
        <v>1121320</v>
      </c>
      <c r="N744" t="e">
        <f>VLOOKUP(H744,Sheet1!G:H,2,FALSE)</f>
        <v>#N/A</v>
      </c>
      <c r="R744" t="s">
        <v>2668</v>
      </c>
      <c r="S744">
        <v>485400</v>
      </c>
    </row>
    <row r="745" spans="1:19" x14ac:dyDescent="0.3">
      <c r="A745" t="s">
        <v>8</v>
      </c>
      <c r="B745">
        <f>VLOOKUP(A745,Sheet2!B:F,5,FALSE)</f>
        <v>928</v>
      </c>
      <c r="C745" t="s">
        <v>9</v>
      </c>
      <c r="D745">
        <f>VLOOKUP(C745,Sheet2!C:G,5,FALSE)</f>
        <v>1202</v>
      </c>
      <c r="E745" t="s">
        <v>45</v>
      </c>
      <c r="F745">
        <f>VLOOKUP(E745,Sheet2!D:E,2,FALSE)</f>
        <v>26</v>
      </c>
      <c r="G745" t="s">
        <v>11</v>
      </c>
      <c r="H745" t="str">
        <f t="shared" si="22"/>
        <v>NAVERing5812</v>
      </c>
      <c r="I745" t="str">
        <f>"ing5812"</f>
        <v>ing5812</v>
      </c>
      <c r="J745">
        <v>3730</v>
      </c>
      <c r="K745" s="1">
        <v>44866</v>
      </c>
      <c r="L745" t="s">
        <v>812</v>
      </c>
      <c r="M745">
        <f t="shared" si="23"/>
        <v>3730</v>
      </c>
      <c r="N745" t="e">
        <f>VLOOKUP(H745,Sheet1!G:H,2,FALSE)</f>
        <v>#N/A</v>
      </c>
      <c r="R745" t="s">
        <v>2669</v>
      </c>
      <c r="S745">
        <v>228820</v>
      </c>
    </row>
    <row r="746" spans="1:19" x14ac:dyDescent="0.3">
      <c r="A746" t="s">
        <v>8</v>
      </c>
      <c r="B746">
        <f>VLOOKUP(A746,Sheet2!B:F,5,FALSE)</f>
        <v>928</v>
      </c>
      <c r="C746" t="s">
        <v>9</v>
      </c>
      <c r="D746">
        <f>VLOOKUP(C746,Sheet2!C:G,5,FALSE)</f>
        <v>1202</v>
      </c>
      <c r="E746" t="s">
        <v>104</v>
      </c>
      <c r="F746">
        <f>VLOOKUP(E746,Sheet2!D:E,2,FALSE)</f>
        <v>201009</v>
      </c>
      <c r="G746" t="s">
        <v>11</v>
      </c>
      <c r="H746" t="str">
        <f t="shared" si="22"/>
        <v>NAVERinjung</v>
      </c>
      <c r="I746" t="str">
        <f>"injung"</f>
        <v>injung</v>
      </c>
      <c r="J746">
        <v>2262380</v>
      </c>
      <c r="K746" s="1">
        <v>44866</v>
      </c>
      <c r="L746" t="s">
        <v>813</v>
      </c>
      <c r="M746">
        <f t="shared" si="23"/>
        <v>2262380</v>
      </c>
      <c r="N746" t="e">
        <f>VLOOKUP(H746,Sheet1!G:H,2,FALSE)</f>
        <v>#N/A</v>
      </c>
      <c r="R746" t="s">
        <v>2670</v>
      </c>
      <c r="S746">
        <v>1084650</v>
      </c>
    </row>
    <row r="747" spans="1:19" x14ac:dyDescent="0.3">
      <c r="A747" t="s">
        <v>8</v>
      </c>
      <c r="B747">
        <f>VLOOKUP(A747,Sheet2!B:F,5,FALSE)</f>
        <v>928</v>
      </c>
      <c r="C747" t="s">
        <v>9</v>
      </c>
      <c r="D747">
        <f>VLOOKUP(C747,Sheet2!C:G,5,FALSE)</f>
        <v>1202</v>
      </c>
      <c r="E747" t="s">
        <v>37</v>
      </c>
      <c r="F747">
        <f>VLOOKUP(E747,Sheet2!D:E,2,FALSE)</f>
        <v>81</v>
      </c>
      <c r="G747" t="s">
        <v>11</v>
      </c>
      <c r="H747" t="str">
        <f t="shared" si="22"/>
        <v>NAVERinpage</v>
      </c>
      <c r="I747" t="str">
        <f>"inpage"</f>
        <v>inpage</v>
      </c>
      <c r="J747">
        <v>311360</v>
      </c>
      <c r="K747" s="1">
        <v>44866</v>
      </c>
      <c r="L747" t="s">
        <v>814</v>
      </c>
      <c r="M747">
        <f t="shared" si="23"/>
        <v>311360</v>
      </c>
      <c r="N747" t="e">
        <f>VLOOKUP(H747,Sheet1!G:H,2,FALSE)</f>
        <v>#N/A</v>
      </c>
      <c r="R747" t="s">
        <v>2671</v>
      </c>
      <c r="S747">
        <v>268800</v>
      </c>
    </row>
    <row r="748" spans="1:19" x14ac:dyDescent="0.3">
      <c r="A748" t="s">
        <v>8</v>
      </c>
      <c r="B748">
        <f>VLOOKUP(A748,Sheet2!B:F,5,FALSE)</f>
        <v>928</v>
      </c>
      <c r="C748" t="s">
        <v>9</v>
      </c>
      <c r="D748">
        <f>VLOOKUP(C748,Sheet2!C:G,5,FALSE)</f>
        <v>1202</v>
      </c>
      <c r="E748" t="s">
        <v>20</v>
      </c>
      <c r="F748">
        <f>VLOOKUP(E748,Sheet2!D:E,2,FALSE)</f>
        <v>938</v>
      </c>
      <c r="G748" t="s">
        <v>11</v>
      </c>
      <c r="H748" t="str">
        <f t="shared" si="22"/>
        <v>NAVERinpipe</v>
      </c>
      <c r="I748" t="str">
        <f>"inpipe"</f>
        <v>inpipe</v>
      </c>
      <c r="J748">
        <v>595940</v>
      </c>
      <c r="K748" s="1">
        <v>44866</v>
      </c>
      <c r="L748" t="s">
        <v>815</v>
      </c>
      <c r="M748">
        <f t="shared" si="23"/>
        <v>595940</v>
      </c>
      <c r="N748" t="e">
        <f>VLOOKUP(H748,Sheet1!G:H,2,FALSE)</f>
        <v>#N/A</v>
      </c>
      <c r="R748" t="s">
        <v>2672</v>
      </c>
      <c r="S748">
        <v>208980</v>
      </c>
    </row>
    <row r="749" spans="1:19" x14ac:dyDescent="0.3">
      <c r="A749" t="s">
        <v>8</v>
      </c>
      <c r="B749">
        <f>VLOOKUP(A749,Sheet2!B:F,5,FALSE)</f>
        <v>928</v>
      </c>
      <c r="C749" t="s">
        <v>9</v>
      </c>
      <c r="D749">
        <f>VLOOKUP(C749,Sheet2!C:G,5,FALSE)</f>
        <v>1202</v>
      </c>
      <c r="E749" t="s">
        <v>27</v>
      </c>
      <c r="F749">
        <f>VLOOKUP(E749,Sheet2!D:E,2,FALSE)</f>
        <v>806</v>
      </c>
      <c r="G749" t="s">
        <v>11</v>
      </c>
      <c r="H749" t="str">
        <f t="shared" si="22"/>
        <v>NAVERinpos0042</v>
      </c>
      <c r="I749" t="str">
        <f>"inpos0042"</f>
        <v>inpos0042</v>
      </c>
      <c r="J749">
        <v>252830</v>
      </c>
      <c r="K749" s="1">
        <v>44866</v>
      </c>
      <c r="L749" t="s">
        <v>816</v>
      </c>
      <c r="M749">
        <f t="shared" si="23"/>
        <v>256320</v>
      </c>
      <c r="N749" t="e">
        <f>VLOOKUP(H749,Sheet1!G:H,2,FALSE)</f>
        <v>#N/A</v>
      </c>
      <c r="R749" t="s">
        <v>2673</v>
      </c>
      <c r="S749">
        <v>689350</v>
      </c>
    </row>
    <row r="750" spans="1:19" x14ac:dyDescent="0.3">
      <c r="A750" t="s">
        <v>8</v>
      </c>
      <c r="B750">
        <f>VLOOKUP(A750,Sheet2!B:F,5,FALSE)</f>
        <v>928</v>
      </c>
      <c r="C750" t="s">
        <v>9</v>
      </c>
      <c r="D750">
        <f>VLOOKUP(C750,Sheet2!C:G,5,FALSE)</f>
        <v>1202</v>
      </c>
      <c r="E750" t="s">
        <v>37</v>
      </c>
      <c r="F750">
        <f>VLOOKUP(E750,Sheet2!D:E,2,FALSE)</f>
        <v>81</v>
      </c>
      <c r="G750" t="s">
        <v>11</v>
      </c>
      <c r="H750" t="str">
        <f t="shared" si="22"/>
        <v>NAVERinsanga9585</v>
      </c>
      <c r="I750" t="str">
        <f>"insanga9585"</f>
        <v>insanga9585</v>
      </c>
      <c r="J750">
        <v>1199970</v>
      </c>
      <c r="K750" s="1">
        <v>44866</v>
      </c>
      <c r="L750" t="s">
        <v>817</v>
      </c>
      <c r="M750">
        <f t="shared" si="23"/>
        <v>0</v>
      </c>
      <c r="N750" t="e">
        <f>VLOOKUP(H750,Sheet1!G:H,2,FALSE)</f>
        <v>#N/A</v>
      </c>
      <c r="R750" t="s">
        <v>2674</v>
      </c>
      <c r="S750">
        <v>1934150</v>
      </c>
    </row>
    <row r="751" spans="1:19" x14ac:dyDescent="0.3">
      <c r="A751" t="s">
        <v>16</v>
      </c>
      <c r="B751">
        <f>VLOOKUP(A751,Sheet2!B:F,5,FALSE)</f>
        <v>927</v>
      </c>
      <c r="C751" t="s">
        <v>17</v>
      </c>
      <c r="D751">
        <f>VLOOKUP(C751,Sheet2!C:G,5,FALSE)</f>
        <v>1200</v>
      </c>
      <c r="E751" t="s">
        <v>96</v>
      </c>
      <c r="F751">
        <f>VLOOKUP(E751,Sheet2!D:E,2,FALSE)</f>
        <v>1271</v>
      </c>
      <c r="G751" t="s">
        <v>11</v>
      </c>
      <c r="H751" t="str">
        <f t="shared" si="22"/>
        <v>NAVERinteriorfilm</v>
      </c>
      <c r="I751" t="str">
        <f>"interiorfilm"</f>
        <v>interiorfilm</v>
      </c>
      <c r="J751">
        <v>8054500</v>
      </c>
      <c r="K751" s="1">
        <v>44866</v>
      </c>
      <c r="L751" t="s">
        <v>818</v>
      </c>
      <c r="M751">
        <f t="shared" si="23"/>
        <v>8054500</v>
      </c>
      <c r="N751" t="e">
        <f>VLOOKUP(H751,Sheet1!G:H,2,FALSE)</f>
        <v>#N/A</v>
      </c>
      <c r="R751" t="s">
        <v>2675</v>
      </c>
      <c r="S751">
        <v>18570</v>
      </c>
    </row>
    <row r="752" spans="1:19" x14ac:dyDescent="0.3">
      <c r="A752" t="s">
        <v>8</v>
      </c>
      <c r="B752">
        <f>VLOOKUP(A752,Sheet2!B:F,5,FALSE)</f>
        <v>928</v>
      </c>
      <c r="C752" t="s">
        <v>9</v>
      </c>
      <c r="D752">
        <f>VLOOKUP(C752,Sheet2!C:G,5,FALSE)</f>
        <v>1202</v>
      </c>
      <c r="E752" t="s">
        <v>122</v>
      </c>
      <c r="F752">
        <f>VLOOKUP(E752,Sheet2!D:E,2,FALSE)</f>
        <v>251</v>
      </c>
      <c r="G752" t="s">
        <v>11</v>
      </c>
      <c r="H752" t="str">
        <f t="shared" si="22"/>
        <v>NAVERinterlab</v>
      </c>
      <c r="I752" t="str">
        <f>"interlab"</f>
        <v>interlab</v>
      </c>
      <c r="J752">
        <v>873330</v>
      </c>
      <c r="K752" s="1">
        <v>44866</v>
      </c>
      <c r="L752" t="s">
        <v>819</v>
      </c>
      <c r="M752">
        <f t="shared" si="23"/>
        <v>873330</v>
      </c>
      <c r="N752" t="e">
        <f>VLOOKUP(H752,Sheet1!G:H,2,FALSE)</f>
        <v>#N/A</v>
      </c>
      <c r="R752" t="s">
        <v>2676</v>
      </c>
      <c r="S752">
        <v>760430</v>
      </c>
    </row>
    <row r="753" spans="1:19" x14ac:dyDescent="0.3">
      <c r="A753" t="s">
        <v>8</v>
      </c>
      <c r="B753">
        <f>VLOOKUP(A753,Sheet2!B:F,5,FALSE)</f>
        <v>928</v>
      </c>
      <c r="C753" t="s">
        <v>13</v>
      </c>
      <c r="D753">
        <f>VLOOKUP(C753,Sheet2!C:G,5,FALSE)</f>
        <v>1184</v>
      </c>
      <c r="E753" t="s">
        <v>102</v>
      </c>
      <c r="F753">
        <f>VLOOKUP(E753,Sheet2!D:E,2,FALSE)</f>
        <v>917</v>
      </c>
      <c r="G753" t="s">
        <v>11</v>
      </c>
      <c r="H753" t="str">
        <f t="shared" si="22"/>
        <v>NAVERinzicar</v>
      </c>
      <c r="I753" t="str">
        <f>"inzicar"</f>
        <v>inzicar</v>
      </c>
      <c r="J753">
        <v>3544470</v>
      </c>
      <c r="K753" s="1">
        <v>44866</v>
      </c>
      <c r="L753" t="s">
        <v>820</v>
      </c>
      <c r="M753">
        <f t="shared" si="23"/>
        <v>3544470</v>
      </c>
      <c r="N753" t="e">
        <f>VLOOKUP(H753,Sheet1!G:H,2,FALSE)</f>
        <v>#N/A</v>
      </c>
      <c r="R753" t="s">
        <v>2677</v>
      </c>
      <c r="S753">
        <v>1970</v>
      </c>
    </row>
    <row r="754" spans="1:19" x14ac:dyDescent="0.3">
      <c r="A754" t="s">
        <v>8</v>
      </c>
      <c r="B754">
        <f>VLOOKUP(A754,Sheet2!B:F,5,FALSE)</f>
        <v>928</v>
      </c>
      <c r="C754" t="s">
        <v>9</v>
      </c>
      <c r="D754">
        <f>VLOOKUP(C754,Sheet2!C:G,5,FALSE)</f>
        <v>1202</v>
      </c>
      <c r="E754" t="s">
        <v>45</v>
      </c>
      <c r="F754">
        <f>VLOOKUP(E754,Sheet2!D:E,2,FALSE)</f>
        <v>26</v>
      </c>
      <c r="G754" t="s">
        <v>11</v>
      </c>
      <c r="H754" t="str">
        <f t="shared" si="22"/>
        <v>NAVERionejob</v>
      </c>
      <c r="I754" t="str">
        <f>"ionejob"</f>
        <v>ionejob</v>
      </c>
      <c r="J754">
        <v>2168820</v>
      </c>
      <c r="K754" s="1">
        <v>44866</v>
      </c>
      <c r="L754" t="s">
        <v>821</v>
      </c>
      <c r="M754">
        <f t="shared" si="23"/>
        <v>2168820</v>
      </c>
      <c r="N754" t="e">
        <f>VLOOKUP(H754,Sheet1!G:H,2,FALSE)</f>
        <v>#N/A</v>
      </c>
      <c r="R754" t="s">
        <v>2678</v>
      </c>
      <c r="S754">
        <v>4142520</v>
      </c>
    </row>
    <row r="755" spans="1:19" x14ac:dyDescent="0.3">
      <c r="A755" t="s">
        <v>8</v>
      </c>
      <c r="B755">
        <f>VLOOKUP(A755,Sheet2!B:F,5,FALSE)</f>
        <v>928</v>
      </c>
      <c r="C755" t="s">
        <v>9</v>
      </c>
      <c r="D755">
        <f>VLOOKUP(C755,Sheet2!C:G,5,FALSE)</f>
        <v>1202</v>
      </c>
      <c r="E755" t="s">
        <v>45</v>
      </c>
      <c r="F755">
        <f>VLOOKUP(E755,Sheet2!D:E,2,FALSE)</f>
        <v>26</v>
      </c>
      <c r="G755" t="s">
        <v>11</v>
      </c>
      <c r="H755" t="str">
        <f t="shared" si="22"/>
        <v>NAVERippi2</v>
      </c>
      <c r="I755" t="str">
        <f>"ippi2"</f>
        <v>ippi2</v>
      </c>
      <c r="J755">
        <v>560</v>
      </c>
      <c r="K755" s="1">
        <v>44866</v>
      </c>
      <c r="L755" t="s">
        <v>822</v>
      </c>
      <c r="M755">
        <f t="shared" si="23"/>
        <v>560</v>
      </c>
      <c r="N755" t="e">
        <f>VLOOKUP(H755,Sheet1!G:H,2,FALSE)</f>
        <v>#N/A</v>
      </c>
      <c r="R755" t="s">
        <v>2679</v>
      </c>
      <c r="S755">
        <v>1251670</v>
      </c>
    </row>
    <row r="756" spans="1:19" x14ac:dyDescent="0.3">
      <c r="A756" t="s">
        <v>8</v>
      </c>
      <c r="B756">
        <f>VLOOKUP(A756,Sheet2!B:F,5,FALSE)</f>
        <v>928</v>
      </c>
      <c r="C756" t="s">
        <v>13</v>
      </c>
      <c r="D756">
        <f>VLOOKUP(C756,Sheet2!C:G,5,FALSE)</f>
        <v>1184</v>
      </c>
      <c r="E756" t="s">
        <v>59</v>
      </c>
      <c r="F756">
        <f>VLOOKUP(E756,Sheet2!D:E,2,FALSE)</f>
        <v>9</v>
      </c>
      <c r="G756" t="s">
        <v>11</v>
      </c>
      <c r="H756" t="str">
        <f t="shared" si="22"/>
        <v>NAVERiqzero2000</v>
      </c>
      <c r="I756" t="str">
        <f>"iqzero2000"</f>
        <v>iqzero2000</v>
      </c>
      <c r="J756">
        <v>66760</v>
      </c>
      <c r="K756" s="1">
        <v>44866</v>
      </c>
      <c r="L756" t="s">
        <v>823</v>
      </c>
      <c r="M756">
        <f t="shared" si="23"/>
        <v>66760</v>
      </c>
      <c r="N756" t="e">
        <f>VLOOKUP(H756,Sheet1!G:H,2,FALSE)</f>
        <v>#N/A</v>
      </c>
      <c r="R756" t="s">
        <v>2680</v>
      </c>
      <c r="S756">
        <v>77350</v>
      </c>
    </row>
    <row r="757" spans="1:19" x14ac:dyDescent="0.3">
      <c r="A757" t="s">
        <v>8</v>
      </c>
      <c r="B757">
        <f>VLOOKUP(A757,Sheet2!B:F,5,FALSE)</f>
        <v>928</v>
      </c>
      <c r="C757" t="s">
        <v>13</v>
      </c>
      <c r="D757">
        <f>VLOOKUP(C757,Sheet2!C:G,5,FALSE)</f>
        <v>1184</v>
      </c>
      <c r="E757" t="s">
        <v>115</v>
      </c>
      <c r="F757">
        <f>VLOOKUP(E757,Sheet2!D:E,2,FALSE)</f>
        <v>1548</v>
      </c>
      <c r="G757" t="s">
        <v>11</v>
      </c>
      <c r="H757" t="str">
        <f t="shared" si="22"/>
        <v>NAVERirken</v>
      </c>
      <c r="I757" t="str">
        <f>"irken"</f>
        <v>irken</v>
      </c>
      <c r="J757">
        <v>1320</v>
      </c>
      <c r="K757" s="1">
        <v>44866</v>
      </c>
      <c r="L757" t="s">
        <v>824</v>
      </c>
      <c r="M757">
        <f t="shared" si="23"/>
        <v>1320</v>
      </c>
      <c r="N757" t="e">
        <f>VLOOKUP(H757,Sheet1!G:H,2,FALSE)</f>
        <v>#N/A</v>
      </c>
      <c r="R757" t="s">
        <v>2681</v>
      </c>
      <c r="S757">
        <v>193850</v>
      </c>
    </row>
    <row r="758" spans="1:19" x14ac:dyDescent="0.3">
      <c r="A758" t="s">
        <v>16</v>
      </c>
      <c r="B758">
        <f>VLOOKUP(A758,Sheet2!B:F,5,FALSE)</f>
        <v>927</v>
      </c>
      <c r="C758" t="s">
        <v>17</v>
      </c>
      <c r="D758">
        <f>VLOOKUP(C758,Sheet2!C:G,5,FALSE)</f>
        <v>1200</v>
      </c>
      <c r="E758" t="s">
        <v>371</v>
      </c>
      <c r="F758">
        <f>VLOOKUP(E758,Sheet2!D:E,2,FALSE)</f>
        <v>551</v>
      </c>
      <c r="G758" t="s">
        <v>11</v>
      </c>
      <c r="H758" t="str">
        <f t="shared" si="22"/>
        <v>NAVERirohome</v>
      </c>
      <c r="I758" t="str">
        <f>"irohome"</f>
        <v>irohome</v>
      </c>
      <c r="J758">
        <v>289800</v>
      </c>
      <c r="K758" s="1">
        <v>44866</v>
      </c>
      <c r="L758" t="s">
        <v>825</v>
      </c>
      <c r="M758">
        <f t="shared" si="23"/>
        <v>289800</v>
      </c>
      <c r="N758" t="e">
        <f>VLOOKUP(H758,Sheet1!G:H,2,FALSE)</f>
        <v>#N/A</v>
      </c>
      <c r="R758" t="s">
        <v>2682</v>
      </c>
      <c r="S758">
        <v>79870</v>
      </c>
    </row>
    <row r="759" spans="1:19" x14ac:dyDescent="0.3">
      <c r="A759" t="s">
        <v>41</v>
      </c>
      <c r="B759">
        <f>VLOOKUP(A759,Sheet2!B:F,5,FALSE)</f>
        <v>926</v>
      </c>
      <c r="C759" t="s">
        <v>42</v>
      </c>
      <c r="D759">
        <f>VLOOKUP(C759,Sheet2!C:G,5,FALSE)</f>
        <v>964</v>
      </c>
      <c r="E759" t="s">
        <v>43</v>
      </c>
      <c r="F759">
        <f>VLOOKUP(E759,Sheet2!D:E,2,FALSE)</f>
        <v>200998</v>
      </c>
      <c r="G759" t="s">
        <v>11</v>
      </c>
      <c r="H759" t="str">
        <f t="shared" si="22"/>
        <v>NAVERis042600</v>
      </c>
      <c r="I759" t="str">
        <f>"is042600"</f>
        <v>is042600</v>
      </c>
      <c r="J759">
        <v>18600</v>
      </c>
      <c r="K759" s="1">
        <v>44866</v>
      </c>
      <c r="L759" t="s">
        <v>826</v>
      </c>
      <c r="M759">
        <f t="shared" si="23"/>
        <v>18600</v>
      </c>
      <c r="N759" t="e">
        <f>VLOOKUP(H759,Sheet1!G:H,2,FALSE)</f>
        <v>#N/A</v>
      </c>
      <c r="R759" t="s">
        <v>2683</v>
      </c>
      <c r="S759">
        <v>5040650</v>
      </c>
    </row>
    <row r="760" spans="1:19" x14ac:dyDescent="0.3">
      <c r="A760" t="s">
        <v>22</v>
      </c>
      <c r="B760">
        <f>VLOOKUP(A760,Sheet2!B:F,5,FALSE)</f>
        <v>809</v>
      </c>
      <c r="C760" t="s">
        <v>23</v>
      </c>
      <c r="D760">
        <f>VLOOKUP(C760,Sheet2!C:G,5,FALSE)</f>
        <v>810</v>
      </c>
      <c r="E760" t="s">
        <v>529</v>
      </c>
      <c r="F760">
        <f>VLOOKUP(E760,Sheet2!D:E,2,FALSE)</f>
        <v>201053</v>
      </c>
      <c r="G760" t="s">
        <v>11</v>
      </c>
      <c r="H760" t="str">
        <f t="shared" si="22"/>
        <v>NAVERis2352</v>
      </c>
      <c r="I760" t="str">
        <f>"is2352"</f>
        <v>is2352</v>
      </c>
      <c r="J760">
        <v>343722</v>
      </c>
      <c r="K760" s="1">
        <v>44866</v>
      </c>
      <c r="L760" t="s">
        <v>827</v>
      </c>
      <c r="M760">
        <f t="shared" si="23"/>
        <v>362750</v>
      </c>
      <c r="N760" t="e">
        <f>VLOOKUP(H760,Sheet1!G:H,2,FALSE)</f>
        <v>#N/A</v>
      </c>
      <c r="R760" t="s">
        <v>2684</v>
      </c>
      <c r="S760">
        <v>896980</v>
      </c>
    </row>
    <row r="761" spans="1:19" x14ac:dyDescent="0.3">
      <c r="A761" t="s">
        <v>22</v>
      </c>
      <c r="B761">
        <f>VLOOKUP(A761,Sheet2!B:F,5,FALSE)</f>
        <v>809</v>
      </c>
      <c r="C761" t="s">
        <v>23</v>
      </c>
      <c r="D761">
        <f>VLOOKUP(C761,Sheet2!C:G,5,FALSE)</f>
        <v>810</v>
      </c>
      <c r="E761" t="s">
        <v>86</v>
      </c>
      <c r="F761">
        <f>VLOOKUP(E761,Sheet2!D:E,2,FALSE)</f>
        <v>201021</v>
      </c>
      <c r="G761" t="s">
        <v>11</v>
      </c>
      <c r="H761" t="str">
        <f t="shared" si="22"/>
        <v>NAVERisaac3231</v>
      </c>
      <c r="I761" t="str">
        <f>"isaac3231"</f>
        <v>isaac3231</v>
      </c>
      <c r="J761">
        <v>37220</v>
      </c>
      <c r="K761" s="1">
        <v>44866</v>
      </c>
      <c r="L761" t="s">
        <v>828</v>
      </c>
      <c r="M761">
        <f t="shared" si="23"/>
        <v>37220</v>
      </c>
      <c r="N761" t="e">
        <f>VLOOKUP(H761,Sheet1!G:H,2,FALSE)</f>
        <v>#N/A</v>
      </c>
      <c r="R761" t="s">
        <v>2685</v>
      </c>
      <c r="S761">
        <v>8870</v>
      </c>
    </row>
    <row r="762" spans="1:19" x14ac:dyDescent="0.3">
      <c r="A762" t="s">
        <v>41</v>
      </c>
      <c r="B762">
        <f>VLOOKUP(A762,Sheet2!B:F,5,FALSE)</f>
        <v>926</v>
      </c>
      <c r="C762" t="s">
        <v>56</v>
      </c>
      <c r="D762">
        <f>VLOOKUP(C762,Sheet2!C:G,5,FALSE)</f>
        <v>1207</v>
      </c>
      <c r="E762" t="s">
        <v>253</v>
      </c>
      <c r="F762">
        <f>VLOOKUP(E762,Sheet2!D:E,2,FALSE)</f>
        <v>1328</v>
      </c>
      <c r="G762" t="s">
        <v>11</v>
      </c>
      <c r="H762" t="str">
        <f t="shared" si="22"/>
        <v>NAVERiscompany01</v>
      </c>
      <c r="I762" t="str">
        <f>"iscompany01"</f>
        <v>iscompany01</v>
      </c>
      <c r="J762">
        <v>474740</v>
      </c>
      <c r="K762" s="1">
        <v>44866</v>
      </c>
      <c r="L762" t="s">
        <v>829</v>
      </c>
      <c r="M762">
        <f t="shared" si="23"/>
        <v>474740</v>
      </c>
      <c r="N762" t="e">
        <f>VLOOKUP(H762,Sheet1!G:H,2,FALSE)</f>
        <v>#N/A</v>
      </c>
      <c r="R762" t="s">
        <v>2686</v>
      </c>
      <c r="S762">
        <v>4033830</v>
      </c>
    </row>
    <row r="763" spans="1:19" x14ac:dyDescent="0.3">
      <c r="A763" t="s">
        <v>8</v>
      </c>
      <c r="B763">
        <f>VLOOKUP(A763,Sheet2!B:F,5,FALSE)</f>
        <v>928</v>
      </c>
      <c r="C763" t="s">
        <v>223</v>
      </c>
      <c r="D763">
        <f>VLOOKUP(C763,Sheet2!C:G,5,FALSE)</f>
        <v>966</v>
      </c>
      <c r="E763" t="s">
        <v>224</v>
      </c>
      <c r="F763">
        <f>VLOOKUP(E763,Sheet2!D:E,2,FALSE)</f>
        <v>201008</v>
      </c>
      <c r="G763" t="s">
        <v>11</v>
      </c>
      <c r="H763" t="str">
        <f t="shared" si="22"/>
        <v>NAVERiscs1234</v>
      </c>
      <c r="I763" t="str">
        <f>"iscs1234"</f>
        <v>iscs1234</v>
      </c>
      <c r="J763">
        <v>679330</v>
      </c>
      <c r="K763" s="1">
        <v>44866</v>
      </c>
      <c r="L763" t="s">
        <v>225</v>
      </c>
      <c r="M763">
        <f t="shared" si="23"/>
        <v>679330</v>
      </c>
      <c r="N763" t="e">
        <f>VLOOKUP(H763,Sheet1!G:H,2,FALSE)</f>
        <v>#N/A</v>
      </c>
      <c r="R763" t="s">
        <v>2687</v>
      </c>
      <c r="S763">
        <v>260460</v>
      </c>
    </row>
    <row r="764" spans="1:19" x14ac:dyDescent="0.3">
      <c r="A764" t="s">
        <v>41</v>
      </c>
      <c r="B764">
        <f>VLOOKUP(A764,Sheet2!B:F,5,FALSE)</f>
        <v>926</v>
      </c>
      <c r="C764" t="s">
        <v>56</v>
      </c>
      <c r="D764">
        <f>VLOOKUP(C764,Sheet2!C:G,5,FALSE)</f>
        <v>1207</v>
      </c>
      <c r="E764" t="s">
        <v>57</v>
      </c>
      <c r="F764">
        <f>VLOOKUP(E764,Sheet2!D:E,2,FALSE)</f>
        <v>200982</v>
      </c>
      <c r="G764" t="s">
        <v>11</v>
      </c>
      <c r="H764" t="str">
        <f t="shared" si="22"/>
        <v>NAVERisj9284</v>
      </c>
      <c r="I764" t="str">
        <f>"isj9284"</f>
        <v>isj9284</v>
      </c>
      <c r="J764">
        <v>28190</v>
      </c>
      <c r="K764" s="1">
        <v>44866</v>
      </c>
      <c r="L764" t="s">
        <v>830</v>
      </c>
      <c r="M764">
        <f t="shared" si="23"/>
        <v>28190</v>
      </c>
      <c r="N764" t="e">
        <f>VLOOKUP(H764,Sheet1!G:H,2,FALSE)</f>
        <v>#N/A</v>
      </c>
      <c r="R764" t="s">
        <v>2688</v>
      </c>
      <c r="S764">
        <v>22000</v>
      </c>
    </row>
    <row r="765" spans="1:19" x14ac:dyDescent="0.3">
      <c r="A765" t="s">
        <v>41</v>
      </c>
      <c r="B765">
        <f>VLOOKUP(A765,Sheet2!B:F,5,FALSE)</f>
        <v>926</v>
      </c>
      <c r="C765" t="s">
        <v>56</v>
      </c>
      <c r="D765">
        <f>VLOOKUP(C765,Sheet2!C:G,5,FALSE)</f>
        <v>1207</v>
      </c>
      <c r="E765" t="s">
        <v>64</v>
      </c>
      <c r="F765">
        <f>VLOOKUP(E765,Sheet2!D:E,2,FALSE)</f>
        <v>201011</v>
      </c>
      <c r="G765" t="s">
        <v>11</v>
      </c>
      <c r="H765" t="str">
        <f t="shared" si="22"/>
        <v>NAVERisongdo</v>
      </c>
      <c r="I765" t="str">
        <f>"isongdo"</f>
        <v>isongdo</v>
      </c>
      <c r="J765">
        <v>4095820</v>
      </c>
      <c r="K765" s="1">
        <v>44866</v>
      </c>
      <c r="L765" t="s">
        <v>831</v>
      </c>
      <c r="M765" t="e">
        <f t="shared" si="23"/>
        <v>#N/A</v>
      </c>
      <c r="N765" t="e">
        <f>VLOOKUP(H765,Sheet1!G:H,2,FALSE)</f>
        <v>#N/A</v>
      </c>
      <c r="R765" t="s">
        <v>2689</v>
      </c>
      <c r="S765">
        <v>23330</v>
      </c>
    </row>
    <row r="766" spans="1:19" x14ac:dyDescent="0.3">
      <c r="A766" t="s">
        <v>41</v>
      </c>
      <c r="B766">
        <f>VLOOKUP(A766,Sheet2!B:F,5,FALSE)</f>
        <v>926</v>
      </c>
      <c r="C766" t="s">
        <v>56</v>
      </c>
      <c r="D766">
        <f>VLOOKUP(C766,Sheet2!C:G,5,FALSE)</f>
        <v>1207</v>
      </c>
      <c r="E766" t="s">
        <v>57</v>
      </c>
      <c r="F766">
        <f>VLOOKUP(E766,Sheet2!D:E,2,FALSE)</f>
        <v>200982</v>
      </c>
      <c r="G766" t="s">
        <v>11</v>
      </c>
      <c r="H766" t="str">
        <f t="shared" si="22"/>
        <v>NAVERissac8770:naver</v>
      </c>
      <c r="I766" t="str">
        <f>"issac8770:naver"</f>
        <v>issac8770:naver</v>
      </c>
      <c r="J766">
        <v>1080320</v>
      </c>
      <c r="K766" s="1">
        <v>44866</v>
      </c>
      <c r="L766" t="s">
        <v>832</v>
      </c>
      <c r="M766">
        <f t="shared" si="23"/>
        <v>1080320</v>
      </c>
      <c r="N766" t="e">
        <f>VLOOKUP(H766,Sheet1!G:H,2,FALSE)</f>
        <v>#N/A</v>
      </c>
      <c r="R766" t="s">
        <v>2690</v>
      </c>
      <c r="S766">
        <v>947530</v>
      </c>
    </row>
    <row r="767" spans="1:19" x14ac:dyDescent="0.3">
      <c r="A767" t="s">
        <v>8</v>
      </c>
      <c r="B767">
        <f>VLOOKUP(A767,Sheet2!B:F,5,FALSE)</f>
        <v>928</v>
      </c>
      <c r="C767" t="s">
        <v>13</v>
      </c>
      <c r="D767">
        <f>VLOOKUP(C767,Sheet2!C:G,5,FALSE)</f>
        <v>1184</v>
      </c>
      <c r="E767" t="s">
        <v>14</v>
      </c>
      <c r="F767">
        <f>VLOOKUP(E767,Sheet2!D:E,2,FALSE)</f>
        <v>914</v>
      </c>
      <c r="G767" t="s">
        <v>11</v>
      </c>
      <c r="H767" t="str">
        <f t="shared" si="22"/>
        <v>NAVERisumedi</v>
      </c>
      <c r="I767" t="str">
        <f>"isumedi"</f>
        <v>isumedi</v>
      </c>
      <c r="J767">
        <v>417850</v>
      </c>
      <c r="K767" s="1">
        <v>44866</v>
      </c>
      <c r="L767" t="s">
        <v>323</v>
      </c>
      <c r="M767">
        <f t="shared" si="23"/>
        <v>417850</v>
      </c>
      <c r="N767" t="e">
        <f>VLOOKUP(H767,Sheet1!G:H,2,FALSE)</f>
        <v>#N/A</v>
      </c>
      <c r="R767" t="s">
        <v>2691</v>
      </c>
      <c r="S767">
        <v>136370</v>
      </c>
    </row>
    <row r="768" spans="1:19" x14ac:dyDescent="0.3">
      <c r="A768" t="s">
        <v>8</v>
      </c>
      <c r="B768">
        <f>VLOOKUP(A768,Sheet2!B:F,5,FALSE)</f>
        <v>928</v>
      </c>
      <c r="C768" t="s">
        <v>9</v>
      </c>
      <c r="D768">
        <f>VLOOKUP(C768,Sheet2!C:G,5,FALSE)</f>
        <v>1202</v>
      </c>
      <c r="E768" t="s">
        <v>45</v>
      </c>
      <c r="F768">
        <f>VLOOKUP(E768,Sheet2!D:E,2,FALSE)</f>
        <v>26</v>
      </c>
      <c r="G768" t="s">
        <v>11</v>
      </c>
      <c r="H768" t="str">
        <f t="shared" si="22"/>
        <v>NAVERisyou86</v>
      </c>
      <c r="I768" t="str">
        <f>"isyou86"</f>
        <v>isyou86</v>
      </c>
      <c r="J768">
        <v>1530730</v>
      </c>
      <c r="K768" s="1">
        <v>44866</v>
      </c>
      <c r="L768" t="s">
        <v>833</v>
      </c>
      <c r="M768">
        <f t="shared" si="23"/>
        <v>1514100</v>
      </c>
      <c r="N768" t="e">
        <f>VLOOKUP(H768,Sheet1!G:H,2,FALSE)</f>
        <v>#N/A</v>
      </c>
      <c r="R768" t="s">
        <v>2692</v>
      </c>
      <c r="S768">
        <v>17290</v>
      </c>
    </row>
    <row r="769" spans="1:19" x14ac:dyDescent="0.3">
      <c r="A769" t="s">
        <v>8</v>
      </c>
      <c r="B769">
        <f>VLOOKUP(A769,Sheet2!B:F,5,FALSE)</f>
        <v>928</v>
      </c>
      <c r="C769" t="s">
        <v>13</v>
      </c>
      <c r="D769">
        <f>VLOOKUP(C769,Sheet2!C:G,5,FALSE)</f>
        <v>1184</v>
      </c>
      <c r="E769" t="s">
        <v>14</v>
      </c>
      <c r="F769">
        <f>VLOOKUP(E769,Sheet2!D:E,2,FALSE)</f>
        <v>914</v>
      </c>
      <c r="G769" t="s">
        <v>11</v>
      </c>
      <c r="H769" t="str">
        <f t="shared" si="22"/>
        <v>NAVERithaja</v>
      </c>
      <c r="I769" t="str">
        <f>"ithaja"</f>
        <v>ithaja</v>
      </c>
      <c r="J769">
        <v>560</v>
      </c>
      <c r="K769" s="1">
        <v>44866</v>
      </c>
      <c r="L769" t="s">
        <v>834</v>
      </c>
      <c r="M769">
        <f t="shared" si="23"/>
        <v>560</v>
      </c>
      <c r="N769" t="e">
        <f>VLOOKUP(H769,Sheet1!G:H,2,FALSE)</f>
        <v>#N/A</v>
      </c>
      <c r="R769" t="s">
        <v>2693</v>
      </c>
      <c r="S769">
        <v>3980</v>
      </c>
    </row>
    <row r="770" spans="1:19" x14ac:dyDescent="0.3">
      <c r="A770" t="s">
        <v>41</v>
      </c>
      <c r="B770">
        <f>VLOOKUP(A770,Sheet2!B:F,5,FALSE)</f>
        <v>926</v>
      </c>
      <c r="C770" t="s">
        <v>56</v>
      </c>
      <c r="D770">
        <f>VLOOKUP(C770,Sheet2!C:G,5,FALSE)</f>
        <v>1207</v>
      </c>
      <c r="E770" t="s">
        <v>57</v>
      </c>
      <c r="F770">
        <f>VLOOKUP(E770,Sheet2!D:E,2,FALSE)</f>
        <v>200982</v>
      </c>
      <c r="G770" t="s">
        <v>11</v>
      </c>
      <c r="H770" t="str">
        <f t="shared" si="22"/>
        <v>NAVERitranslator</v>
      </c>
      <c r="I770" t="str">
        <f>"itranslator"</f>
        <v>itranslator</v>
      </c>
      <c r="J770">
        <v>181310</v>
      </c>
      <c r="K770" s="1">
        <v>44866</v>
      </c>
      <c r="L770" t="s">
        <v>835</v>
      </c>
      <c r="M770">
        <f t="shared" si="23"/>
        <v>181310</v>
      </c>
      <c r="N770" t="e">
        <f>VLOOKUP(H770,Sheet1!G:H,2,FALSE)</f>
        <v>#N/A</v>
      </c>
      <c r="R770" t="s">
        <v>2694</v>
      </c>
      <c r="S770">
        <v>29430</v>
      </c>
    </row>
    <row r="771" spans="1:19" x14ac:dyDescent="0.3">
      <c r="A771" t="s">
        <v>16</v>
      </c>
      <c r="B771">
        <f>VLOOKUP(A771,Sheet2!B:F,5,FALSE)</f>
        <v>927</v>
      </c>
      <c r="C771" t="s">
        <v>17</v>
      </c>
      <c r="D771">
        <f>VLOOKUP(C771,Sheet2!C:G,5,FALSE)</f>
        <v>1200</v>
      </c>
      <c r="E771" t="s">
        <v>170</v>
      </c>
      <c r="F771">
        <f>VLOOKUP(E771,Sheet2!D:E,2,FALSE)</f>
        <v>1530</v>
      </c>
      <c r="G771" t="s">
        <v>11</v>
      </c>
      <c r="H771" t="str">
        <f t="shared" ref="H771:H834" si="24">CONCATENATE(G771,I771)</f>
        <v>NAVERitssamsung:naver</v>
      </c>
      <c r="I771" t="str">
        <f>"itssamsung:naver"</f>
        <v>itssamsung:naver</v>
      </c>
      <c r="J771">
        <v>2080</v>
      </c>
      <c r="K771" s="1">
        <v>44866</v>
      </c>
      <c r="L771" t="s">
        <v>836</v>
      </c>
      <c r="M771">
        <f t="shared" ref="M771:M834" si="25">VLOOKUP(H771,R:S,2,FALSE)</f>
        <v>2080</v>
      </c>
      <c r="N771" t="e">
        <f>VLOOKUP(H771,Sheet1!G:H,2,FALSE)</f>
        <v>#N/A</v>
      </c>
      <c r="R771" t="s">
        <v>2695</v>
      </c>
      <c r="S771">
        <v>91200</v>
      </c>
    </row>
    <row r="772" spans="1:19" x14ac:dyDescent="0.3">
      <c r="A772" t="s">
        <v>8</v>
      </c>
      <c r="B772">
        <f>VLOOKUP(A772,Sheet2!B:F,5,FALSE)</f>
        <v>928</v>
      </c>
      <c r="C772" t="s">
        <v>13</v>
      </c>
      <c r="D772">
        <f>VLOOKUP(C772,Sheet2!C:G,5,FALSE)</f>
        <v>1184</v>
      </c>
      <c r="E772" t="s">
        <v>51</v>
      </c>
      <c r="F772">
        <f>VLOOKUP(E772,Sheet2!D:E,2,FALSE)</f>
        <v>1274</v>
      </c>
      <c r="G772" t="s">
        <v>11</v>
      </c>
      <c r="H772" t="str">
        <f t="shared" si="24"/>
        <v>NAVERiuclinic</v>
      </c>
      <c r="I772" t="str">
        <f>"iuclinic"</f>
        <v>iuclinic</v>
      </c>
      <c r="J772">
        <v>1344680</v>
      </c>
      <c r="K772" s="1">
        <v>44866</v>
      </c>
      <c r="L772" t="s">
        <v>837</v>
      </c>
      <c r="M772">
        <f t="shared" si="25"/>
        <v>1344680</v>
      </c>
      <c r="N772" t="e">
        <f>VLOOKUP(H772,Sheet1!G:H,2,FALSE)</f>
        <v>#N/A</v>
      </c>
      <c r="R772" t="s">
        <v>2696</v>
      </c>
      <c r="S772">
        <v>19770</v>
      </c>
    </row>
    <row r="773" spans="1:19" x14ac:dyDescent="0.3">
      <c r="A773" t="s">
        <v>16</v>
      </c>
      <c r="B773">
        <f>VLOOKUP(A773,Sheet2!B:F,5,FALSE)</f>
        <v>927</v>
      </c>
      <c r="C773" t="s">
        <v>17</v>
      </c>
      <c r="D773">
        <f>VLOOKUP(C773,Sheet2!C:G,5,FALSE)</f>
        <v>1200</v>
      </c>
      <c r="E773" t="s">
        <v>137</v>
      </c>
      <c r="F773">
        <f>VLOOKUP(E773,Sheet2!D:E,2,FALSE)</f>
        <v>1012</v>
      </c>
      <c r="G773" t="s">
        <v>11</v>
      </c>
      <c r="H773" t="str">
        <f t="shared" si="24"/>
        <v>NAVERiwon12</v>
      </c>
      <c r="I773" t="str">
        <f>"iwon12"</f>
        <v>iwon12</v>
      </c>
      <c r="J773">
        <v>3400</v>
      </c>
      <c r="K773" s="1">
        <v>44866</v>
      </c>
      <c r="L773" t="s">
        <v>838</v>
      </c>
      <c r="M773">
        <f t="shared" si="25"/>
        <v>3400</v>
      </c>
      <c r="N773" t="e">
        <f>VLOOKUP(H773,Sheet1!G:H,2,FALSE)</f>
        <v>#N/A</v>
      </c>
      <c r="R773" t="s">
        <v>2697</v>
      </c>
      <c r="S773">
        <v>140</v>
      </c>
    </row>
    <row r="774" spans="1:19" x14ac:dyDescent="0.3">
      <c r="A774" t="s">
        <v>41</v>
      </c>
      <c r="B774">
        <f>VLOOKUP(A774,Sheet2!B:F,5,FALSE)</f>
        <v>926</v>
      </c>
      <c r="C774" t="s">
        <v>56</v>
      </c>
      <c r="D774">
        <f>VLOOKUP(C774,Sheet2!C:G,5,FALSE)</f>
        <v>1207</v>
      </c>
      <c r="E774" t="s">
        <v>156</v>
      </c>
      <c r="F774">
        <f>VLOOKUP(E774,Sheet2!D:E,2,FALSE)</f>
        <v>201103</v>
      </c>
      <c r="G774" t="s">
        <v>11</v>
      </c>
      <c r="H774" t="str">
        <f t="shared" si="24"/>
        <v>NAVERiwoorian</v>
      </c>
      <c r="I774" t="str">
        <f>"iwoorian"</f>
        <v>iwoorian</v>
      </c>
      <c r="J774">
        <v>2084180</v>
      </c>
      <c r="K774" s="1">
        <v>44866</v>
      </c>
      <c r="L774" t="s">
        <v>839</v>
      </c>
      <c r="M774">
        <f t="shared" si="25"/>
        <v>2084180</v>
      </c>
      <c r="N774" t="e">
        <f>VLOOKUP(H774,Sheet1!G:H,2,FALSE)</f>
        <v>#N/A</v>
      </c>
      <c r="R774" t="s">
        <v>2698</v>
      </c>
      <c r="S774">
        <v>32490</v>
      </c>
    </row>
    <row r="775" spans="1:19" x14ac:dyDescent="0.3">
      <c r="A775" t="s">
        <v>41</v>
      </c>
      <c r="B775">
        <f>VLOOKUP(A775,Sheet2!B:F,5,FALSE)</f>
        <v>926</v>
      </c>
      <c r="C775" t="s">
        <v>56</v>
      </c>
      <c r="D775">
        <f>VLOOKUP(C775,Sheet2!C:G,5,FALSE)</f>
        <v>1207</v>
      </c>
      <c r="E775" t="s">
        <v>64</v>
      </c>
      <c r="F775">
        <f>VLOOKUP(E775,Sheet2!D:E,2,FALSE)</f>
        <v>201011</v>
      </c>
      <c r="G775" t="s">
        <v>11</v>
      </c>
      <c r="H775" t="str">
        <f t="shared" si="24"/>
        <v>NAVERj871105</v>
      </c>
      <c r="I775" t="str">
        <f>"j871105"</f>
        <v>j871105</v>
      </c>
      <c r="J775">
        <v>2610</v>
      </c>
      <c r="K775" s="1">
        <v>44866</v>
      </c>
      <c r="L775" t="s">
        <v>840</v>
      </c>
      <c r="M775">
        <f t="shared" si="25"/>
        <v>2610</v>
      </c>
      <c r="N775" t="e">
        <f>VLOOKUP(H775,Sheet1!G:H,2,FALSE)</f>
        <v>#N/A</v>
      </c>
      <c r="R775" t="s">
        <v>2699</v>
      </c>
      <c r="S775">
        <v>104740</v>
      </c>
    </row>
    <row r="776" spans="1:19" x14ac:dyDescent="0.3">
      <c r="A776" t="s">
        <v>8</v>
      </c>
      <c r="B776">
        <f>VLOOKUP(A776,Sheet2!B:F,5,FALSE)</f>
        <v>928</v>
      </c>
      <c r="C776" t="s">
        <v>9</v>
      </c>
      <c r="D776">
        <f>VLOOKUP(C776,Sheet2!C:G,5,FALSE)</f>
        <v>1202</v>
      </c>
      <c r="E776" t="s">
        <v>31</v>
      </c>
      <c r="F776">
        <f>VLOOKUP(E776,Sheet2!D:E,2,FALSE)</f>
        <v>1040</v>
      </c>
      <c r="G776" t="s">
        <v>11</v>
      </c>
      <c r="H776" t="str">
        <f t="shared" si="24"/>
        <v>NAVERjackal5510</v>
      </c>
      <c r="I776" t="str">
        <f>"jackal5510"</f>
        <v>jackal5510</v>
      </c>
      <c r="J776">
        <v>238840</v>
      </c>
      <c r="K776" s="1">
        <v>44866</v>
      </c>
      <c r="L776" t="s">
        <v>841</v>
      </c>
      <c r="M776">
        <f t="shared" si="25"/>
        <v>238840</v>
      </c>
      <c r="N776" t="e">
        <f>VLOOKUP(H776,Sheet1!G:H,2,FALSE)</f>
        <v>#N/A</v>
      </c>
      <c r="R776" t="s">
        <v>2700</v>
      </c>
      <c r="S776">
        <v>455610</v>
      </c>
    </row>
    <row r="777" spans="1:19" x14ac:dyDescent="0.3">
      <c r="A777" t="s">
        <v>8</v>
      </c>
      <c r="B777">
        <f>VLOOKUP(A777,Sheet2!B:F,5,FALSE)</f>
        <v>928</v>
      </c>
      <c r="C777" t="s">
        <v>13</v>
      </c>
      <c r="D777">
        <f>VLOOKUP(C777,Sheet2!C:G,5,FALSE)</f>
        <v>1184</v>
      </c>
      <c r="E777" t="s">
        <v>115</v>
      </c>
      <c r="F777">
        <f>VLOOKUP(E777,Sheet2!D:E,2,FALSE)</f>
        <v>1548</v>
      </c>
      <c r="G777" t="s">
        <v>11</v>
      </c>
      <c r="H777" t="str">
        <f t="shared" si="24"/>
        <v>NAVERjackid</v>
      </c>
      <c r="I777" t="str">
        <f>"jackid"</f>
        <v>jackid</v>
      </c>
      <c r="J777">
        <v>13330</v>
      </c>
      <c r="K777" s="1">
        <v>44866</v>
      </c>
      <c r="L777" t="s">
        <v>842</v>
      </c>
      <c r="M777">
        <f t="shared" si="25"/>
        <v>13330</v>
      </c>
      <c r="N777" t="e">
        <f>VLOOKUP(H777,Sheet1!G:H,2,FALSE)</f>
        <v>#N/A</v>
      </c>
      <c r="R777" t="s">
        <v>2701</v>
      </c>
      <c r="S777">
        <v>191830</v>
      </c>
    </row>
    <row r="778" spans="1:19" x14ac:dyDescent="0.3">
      <c r="A778" t="s">
        <v>8</v>
      </c>
      <c r="B778">
        <f>VLOOKUP(A778,Sheet2!B:F,5,FALSE)</f>
        <v>928</v>
      </c>
      <c r="C778" t="s">
        <v>9</v>
      </c>
      <c r="D778">
        <f>VLOOKUP(C778,Sheet2!C:G,5,FALSE)</f>
        <v>1202</v>
      </c>
      <c r="E778" t="s">
        <v>73</v>
      </c>
      <c r="F778">
        <f>VLOOKUP(E778,Sheet2!D:E,2,FALSE)</f>
        <v>895</v>
      </c>
      <c r="G778" t="s">
        <v>11</v>
      </c>
      <c r="H778" t="str">
        <f t="shared" si="24"/>
        <v>NAVERjade833</v>
      </c>
      <c r="I778" t="str">
        <f>"jade833"</f>
        <v>jade833</v>
      </c>
      <c r="J778">
        <v>449140</v>
      </c>
      <c r="K778" s="1">
        <v>44866</v>
      </c>
      <c r="L778" t="s">
        <v>843</v>
      </c>
      <c r="M778">
        <f t="shared" si="25"/>
        <v>449140</v>
      </c>
      <c r="N778" t="e">
        <f>VLOOKUP(H778,Sheet1!G:H,2,FALSE)</f>
        <v>#N/A</v>
      </c>
      <c r="R778" t="s">
        <v>2702</v>
      </c>
      <c r="S778">
        <v>0</v>
      </c>
    </row>
    <row r="779" spans="1:19" x14ac:dyDescent="0.3">
      <c r="A779" t="s">
        <v>41</v>
      </c>
      <c r="B779">
        <f>VLOOKUP(A779,Sheet2!B:F,5,FALSE)</f>
        <v>926</v>
      </c>
      <c r="C779" t="s">
        <v>56</v>
      </c>
      <c r="D779">
        <f>VLOOKUP(C779,Sheet2!C:G,5,FALSE)</f>
        <v>1207</v>
      </c>
      <c r="E779" t="s">
        <v>57</v>
      </c>
      <c r="F779">
        <f>VLOOKUP(E779,Sheet2!D:E,2,FALSE)</f>
        <v>200982</v>
      </c>
      <c r="G779" t="s">
        <v>11</v>
      </c>
      <c r="H779" t="str">
        <f t="shared" si="24"/>
        <v>NAVERjaeilgoldgur</v>
      </c>
      <c r="I779" t="str">
        <f>"jaeilgoldgur"</f>
        <v>jaeilgoldgur</v>
      </c>
      <c r="J779">
        <v>51260</v>
      </c>
      <c r="K779" s="1">
        <v>44866</v>
      </c>
      <c r="L779" t="s">
        <v>844</v>
      </c>
      <c r="M779">
        <f t="shared" si="25"/>
        <v>51260</v>
      </c>
      <c r="N779" t="e">
        <f>VLOOKUP(H779,Sheet1!G:H,2,FALSE)</f>
        <v>#N/A</v>
      </c>
      <c r="R779" t="s">
        <v>2703</v>
      </c>
      <c r="S779">
        <v>575070</v>
      </c>
    </row>
    <row r="780" spans="1:19" x14ac:dyDescent="0.3">
      <c r="A780" t="s">
        <v>8</v>
      </c>
      <c r="B780">
        <f>VLOOKUP(A780,Sheet2!B:F,5,FALSE)</f>
        <v>928</v>
      </c>
      <c r="C780" t="s">
        <v>13</v>
      </c>
      <c r="D780">
        <f>VLOOKUP(C780,Sheet2!C:G,5,FALSE)</f>
        <v>1184</v>
      </c>
      <c r="E780" t="s">
        <v>102</v>
      </c>
      <c r="F780">
        <f>VLOOKUP(E780,Sheet2!D:E,2,FALSE)</f>
        <v>917</v>
      </c>
      <c r="G780" t="s">
        <v>11</v>
      </c>
      <c r="H780" t="str">
        <f t="shared" si="24"/>
        <v>NAVERjaeilgoldsh</v>
      </c>
      <c r="I780" t="str">
        <f>"jaeilgoldsh"</f>
        <v>jaeilgoldsh</v>
      </c>
      <c r="J780">
        <v>2410</v>
      </c>
      <c r="K780" s="1">
        <v>44866</v>
      </c>
      <c r="L780" t="s">
        <v>845</v>
      </c>
      <c r="M780">
        <f t="shared" si="25"/>
        <v>2410</v>
      </c>
      <c r="N780" t="e">
        <f>VLOOKUP(H780,Sheet1!G:H,2,FALSE)</f>
        <v>#N/A</v>
      </c>
      <c r="R780" t="s">
        <v>2704</v>
      </c>
      <c r="S780">
        <v>104590</v>
      </c>
    </row>
    <row r="781" spans="1:19" x14ac:dyDescent="0.3">
      <c r="A781" t="s">
        <v>41</v>
      </c>
      <c r="B781">
        <f>VLOOKUP(A781,Sheet2!B:F,5,FALSE)</f>
        <v>926</v>
      </c>
      <c r="C781" t="s">
        <v>56</v>
      </c>
      <c r="D781">
        <f>VLOOKUP(C781,Sheet2!C:G,5,FALSE)</f>
        <v>1207</v>
      </c>
      <c r="E781" t="s">
        <v>64</v>
      </c>
      <c r="F781">
        <f>VLOOKUP(E781,Sheet2!D:E,2,FALSE)</f>
        <v>201011</v>
      </c>
      <c r="G781" t="s">
        <v>11</v>
      </c>
      <c r="H781" t="str">
        <f t="shared" si="24"/>
        <v>NAVERjail1972</v>
      </c>
      <c r="I781" t="str">
        <f>"jail1972"</f>
        <v>jail1972</v>
      </c>
      <c r="J781">
        <v>302780</v>
      </c>
      <c r="K781" s="1">
        <v>44866</v>
      </c>
      <c r="L781" t="s">
        <v>846</v>
      </c>
      <c r="M781">
        <f t="shared" si="25"/>
        <v>302780</v>
      </c>
      <c r="N781" t="e">
        <f>VLOOKUP(H781,Sheet1!G:H,2,FALSE)</f>
        <v>#N/A</v>
      </c>
      <c r="R781" t="s">
        <v>2705</v>
      </c>
      <c r="S781">
        <v>1512140</v>
      </c>
    </row>
    <row r="782" spans="1:19" x14ac:dyDescent="0.3">
      <c r="A782" t="s">
        <v>16</v>
      </c>
      <c r="B782">
        <f>VLOOKUP(A782,Sheet2!B:F,5,FALSE)</f>
        <v>927</v>
      </c>
      <c r="C782" t="s">
        <v>17</v>
      </c>
      <c r="D782">
        <f>VLOOKUP(C782,Sheet2!C:G,5,FALSE)</f>
        <v>1200</v>
      </c>
      <c r="E782" t="s">
        <v>66</v>
      </c>
      <c r="F782">
        <f>VLOOKUP(E782,Sheet2!D:E,2,FALSE)</f>
        <v>33</v>
      </c>
      <c r="G782" t="s">
        <v>11</v>
      </c>
      <c r="H782" t="str">
        <f t="shared" si="24"/>
        <v>NAVERjalabau</v>
      </c>
      <c r="I782" t="str">
        <f>"jalabau"</f>
        <v>jalabau</v>
      </c>
      <c r="J782">
        <v>72520</v>
      </c>
      <c r="K782" s="1">
        <v>44866</v>
      </c>
      <c r="L782" t="s">
        <v>847</v>
      </c>
      <c r="M782">
        <f t="shared" si="25"/>
        <v>72520</v>
      </c>
      <c r="N782" t="e">
        <f>VLOOKUP(H782,Sheet1!G:H,2,FALSE)</f>
        <v>#N/A</v>
      </c>
      <c r="R782" t="s">
        <v>2706</v>
      </c>
      <c r="S782">
        <v>178520</v>
      </c>
    </row>
    <row r="783" spans="1:19" x14ac:dyDescent="0.3">
      <c r="A783" t="s">
        <v>41</v>
      </c>
      <c r="B783">
        <f>VLOOKUP(A783,Sheet2!B:F,5,FALSE)</f>
        <v>926</v>
      </c>
      <c r="C783" t="s">
        <v>56</v>
      </c>
      <c r="D783">
        <f>VLOOKUP(C783,Sheet2!C:G,5,FALSE)</f>
        <v>1207</v>
      </c>
      <c r="E783" t="s">
        <v>62</v>
      </c>
      <c r="F783">
        <f>VLOOKUP(E783,Sheet2!D:E,2,FALSE)</f>
        <v>201037</v>
      </c>
      <c r="G783" t="s">
        <v>11</v>
      </c>
      <c r="H783" t="str">
        <f t="shared" si="24"/>
        <v>NAVERjallmann</v>
      </c>
      <c r="I783" t="str">
        <f>"jallmann"</f>
        <v>jallmann</v>
      </c>
      <c r="J783">
        <v>860560</v>
      </c>
      <c r="K783" s="1">
        <v>44866</v>
      </c>
      <c r="L783" t="s">
        <v>848</v>
      </c>
      <c r="M783">
        <f t="shared" si="25"/>
        <v>360570</v>
      </c>
      <c r="N783" t="e">
        <f>VLOOKUP(H783,Sheet1!G:H,2,FALSE)</f>
        <v>#N/A</v>
      </c>
      <c r="R783" t="s">
        <v>2707</v>
      </c>
      <c r="S783">
        <v>3030</v>
      </c>
    </row>
    <row r="784" spans="1:19" x14ac:dyDescent="0.3">
      <c r="A784" t="s">
        <v>8</v>
      </c>
      <c r="B784">
        <f>VLOOKUP(A784,Sheet2!B:F,5,FALSE)</f>
        <v>928</v>
      </c>
      <c r="C784" t="s">
        <v>9</v>
      </c>
      <c r="D784">
        <f>VLOOKUP(C784,Sheet2!C:G,5,FALSE)</f>
        <v>1202</v>
      </c>
      <c r="E784" t="s">
        <v>75</v>
      </c>
      <c r="F784">
        <f>VLOOKUP(E784,Sheet2!D:E,2,FALSE)</f>
        <v>50</v>
      </c>
      <c r="G784" t="s">
        <v>11</v>
      </c>
      <c r="H784" t="str">
        <f t="shared" si="24"/>
        <v>NAVERjangbuja01:naver</v>
      </c>
      <c r="I784" t="str">
        <f>"jangbuja01:naver"</f>
        <v>jangbuja01:naver</v>
      </c>
      <c r="J784">
        <v>19860</v>
      </c>
      <c r="K784" s="1">
        <v>44866</v>
      </c>
      <c r="L784" t="s">
        <v>849</v>
      </c>
      <c r="M784">
        <f t="shared" si="25"/>
        <v>19860</v>
      </c>
      <c r="N784" t="e">
        <f>VLOOKUP(H784,Sheet1!G:H,2,FALSE)</f>
        <v>#N/A</v>
      </c>
      <c r="R784" t="s">
        <v>2708</v>
      </c>
      <c r="S784">
        <v>0</v>
      </c>
    </row>
    <row r="785" spans="1:19" x14ac:dyDescent="0.3">
      <c r="A785" t="s">
        <v>16</v>
      </c>
      <c r="B785">
        <f>VLOOKUP(A785,Sheet2!B:F,5,FALSE)</f>
        <v>927</v>
      </c>
      <c r="C785" t="s">
        <v>17</v>
      </c>
      <c r="D785">
        <f>VLOOKUP(C785,Sheet2!C:G,5,FALSE)</f>
        <v>1200</v>
      </c>
      <c r="E785" t="s">
        <v>66</v>
      </c>
      <c r="F785">
        <f>VLOOKUP(E785,Sheet2!D:E,2,FALSE)</f>
        <v>33</v>
      </c>
      <c r="G785" t="s">
        <v>11</v>
      </c>
      <c r="H785" t="str">
        <f t="shared" si="24"/>
        <v>NAVERjasingle</v>
      </c>
      <c r="I785" t="str">
        <f>"jasingle"</f>
        <v>jasingle</v>
      </c>
      <c r="J785">
        <v>215520</v>
      </c>
      <c r="K785" s="1">
        <v>44866</v>
      </c>
      <c r="L785" t="s">
        <v>850</v>
      </c>
      <c r="M785">
        <f t="shared" si="25"/>
        <v>215520</v>
      </c>
      <c r="N785" t="e">
        <f>VLOOKUP(H785,Sheet1!G:H,2,FALSE)</f>
        <v>#N/A</v>
      </c>
      <c r="R785" t="s">
        <v>2709</v>
      </c>
      <c r="S785">
        <v>145550</v>
      </c>
    </row>
    <row r="786" spans="1:19" x14ac:dyDescent="0.3">
      <c r="A786" t="s">
        <v>8</v>
      </c>
      <c r="B786">
        <f>VLOOKUP(A786,Sheet2!B:F,5,FALSE)</f>
        <v>928</v>
      </c>
      <c r="C786" t="s">
        <v>9</v>
      </c>
      <c r="D786">
        <f>VLOOKUP(C786,Sheet2!C:G,5,FALSE)</f>
        <v>1202</v>
      </c>
      <c r="E786" t="s">
        <v>33</v>
      </c>
      <c r="F786">
        <f>VLOOKUP(E786,Sheet2!D:E,2,FALSE)</f>
        <v>933</v>
      </c>
      <c r="G786" t="s">
        <v>11</v>
      </c>
      <c r="H786" t="str">
        <f t="shared" si="24"/>
        <v>NAVERjayou111</v>
      </c>
      <c r="I786" t="str">
        <f>"jayou111"</f>
        <v>jayou111</v>
      </c>
      <c r="J786">
        <v>62410</v>
      </c>
      <c r="K786" s="1">
        <v>44866</v>
      </c>
      <c r="L786" t="s">
        <v>851</v>
      </c>
      <c r="M786">
        <f t="shared" si="25"/>
        <v>62410</v>
      </c>
      <c r="N786" t="e">
        <f>VLOOKUP(H786,Sheet1!G:H,2,FALSE)</f>
        <v>#N/A</v>
      </c>
      <c r="R786" t="s">
        <v>2710</v>
      </c>
      <c r="S786">
        <v>6090</v>
      </c>
    </row>
    <row r="787" spans="1:19" x14ac:dyDescent="0.3">
      <c r="A787" t="s">
        <v>8</v>
      </c>
      <c r="B787">
        <f>VLOOKUP(A787,Sheet2!B:F,5,FALSE)</f>
        <v>928</v>
      </c>
      <c r="C787" t="s">
        <v>9</v>
      </c>
      <c r="D787">
        <f>VLOOKUP(C787,Sheet2!C:G,5,FALSE)</f>
        <v>1202</v>
      </c>
      <c r="E787" t="s">
        <v>39</v>
      </c>
      <c r="F787">
        <f>VLOOKUP(E787,Sheet2!D:E,2,FALSE)</f>
        <v>25</v>
      </c>
      <c r="G787" t="s">
        <v>11</v>
      </c>
      <c r="H787" t="str">
        <f t="shared" si="24"/>
        <v>NAVERjbgogo777</v>
      </c>
      <c r="I787" t="str">
        <f>"jbgogo777"</f>
        <v>jbgogo777</v>
      </c>
      <c r="J787">
        <v>229860</v>
      </c>
      <c r="K787" s="1">
        <v>44866</v>
      </c>
      <c r="L787" t="s">
        <v>852</v>
      </c>
      <c r="M787">
        <f t="shared" si="25"/>
        <v>229860</v>
      </c>
      <c r="N787" t="e">
        <f>VLOOKUP(H787,Sheet1!G:H,2,FALSE)</f>
        <v>#N/A</v>
      </c>
      <c r="R787" t="s">
        <v>2711</v>
      </c>
      <c r="S787">
        <v>636130</v>
      </c>
    </row>
    <row r="788" spans="1:19" x14ac:dyDescent="0.3">
      <c r="A788" t="s">
        <v>8</v>
      </c>
      <c r="B788">
        <f>VLOOKUP(A788,Sheet2!B:F,5,FALSE)</f>
        <v>928</v>
      </c>
      <c r="C788" t="s">
        <v>9</v>
      </c>
      <c r="D788">
        <f>VLOOKUP(C788,Sheet2!C:G,5,FALSE)</f>
        <v>1202</v>
      </c>
      <c r="E788" t="s">
        <v>31</v>
      </c>
      <c r="F788">
        <f>VLOOKUP(E788,Sheet2!D:E,2,FALSE)</f>
        <v>1040</v>
      </c>
      <c r="G788" t="s">
        <v>11</v>
      </c>
      <c r="H788" t="str">
        <f t="shared" si="24"/>
        <v>NAVERjchyo12</v>
      </c>
      <c r="I788" t="str">
        <f>"jchyo12"</f>
        <v>jchyo12</v>
      </c>
      <c r="J788">
        <v>2370</v>
      </c>
      <c r="K788" s="1">
        <v>44866</v>
      </c>
      <c r="L788" t="s">
        <v>853</v>
      </c>
      <c r="M788">
        <f t="shared" si="25"/>
        <v>2370</v>
      </c>
      <c r="N788" t="e">
        <f>VLOOKUP(H788,Sheet1!G:H,2,FALSE)</f>
        <v>#N/A</v>
      </c>
      <c r="R788" t="s">
        <v>2712</v>
      </c>
      <c r="S788">
        <v>20450</v>
      </c>
    </row>
    <row r="789" spans="1:19" x14ac:dyDescent="0.3">
      <c r="A789" t="s">
        <v>8</v>
      </c>
      <c r="B789">
        <f>VLOOKUP(A789,Sheet2!B:F,5,FALSE)</f>
        <v>928</v>
      </c>
      <c r="C789" t="s">
        <v>9</v>
      </c>
      <c r="D789">
        <f>VLOOKUP(C789,Sheet2!C:G,5,FALSE)</f>
        <v>1202</v>
      </c>
      <c r="E789" t="s">
        <v>37</v>
      </c>
      <c r="F789">
        <f>VLOOKUP(E789,Sheet2!D:E,2,FALSE)</f>
        <v>81</v>
      </c>
      <c r="G789" t="s">
        <v>11</v>
      </c>
      <c r="H789" t="str">
        <f t="shared" si="24"/>
        <v>NAVERjcnho</v>
      </c>
      <c r="I789" t="str">
        <f>"jcnho"</f>
        <v>jcnho</v>
      </c>
      <c r="J789">
        <v>456970</v>
      </c>
      <c r="K789" s="1">
        <v>44866</v>
      </c>
      <c r="L789" t="s">
        <v>854</v>
      </c>
      <c r="M789">
        <f t="shared" si="25"/>
        <v>456970</v>
      </c>
      <c r="N789" t="e">
        <f>VLOOKUP(H789,Sheet1!G:H,2,FALSE)</f>
        <v>#N/A</v>
      </c>
      <c r="R789" t="s">
        <v>2713</v>
      </c>
      <c r="S789">
        <v>311280</v>
      </c>
    </row>
    <row r="790" spans="1:19" x14ac:dyDescent="0.3">
      <c r="A790" t="s">
        <v>8</v>
      </c>
      <c r="B790">
        <f>VLOOKUP(A790,Sheet2!B:F,5,FALSE)</f>
        <v>928</v>
      </c>
      <c r="C790" t="s">
        <v>13</v>
      </c>
      <c r="D790">
        <f>VLOOKUP(C790,Sheet2!C:G,5,FALSE)</f>
        <v>1184</v>
      </c>
      <c r="E790" t="s">
        <v>115</v>
      </c>
      <c r="F790">
        <f>VLOOKUP(E790,Sheet2!D:E,2,FALSE)</f>
        <v>1548</v>
      </c>
      <c r="G790" t="s">
        <v>11</v>
      </c>
      <c r="H790" t="str">
        <f t="shared" si="24"/>
        <v>NAVERjcoshm</v>
      </c>
      <c r="I790" t="str">
        <f>"jcoshm"</f>
        <v>jcoshm</v>
      </c>
      <c r="J790">
        <v>1920</v>
      </c>
      <c r="K790" s="1">
        <v>44866</v>
      </c>
      <c r="L790" t="s">
        <v>855</v>
      </c>
      <c r="M790">
        <f t="shared" si="25"/>
        <v>1920</v>
      </c>
      <c r="N790" t="e">
        <f>VLOOKUP(H790,Sheet1!G:H,2,FALSE)</f>
        <v>#N/A</v>
      </c>
      <c r="R790" t="s">
        <v>2714</v>
      </c>
      <c r="S790">
        <v>2210</v>
      </c>
    </row>
    <row r="791" spans="1:19" x14ac:dyDescent="0.3">
      <c r="A791" t="s">
        <v>41</v>
      </c>
      <c r="B791">
        <f>VLOOKUP(A791,Sheet2!B:F,5,FALSE)</f>
        <v>926</v>
      </c>
      <c r="C791" t="s">
        <v>56</v>
      </c>
      <c r="D791">
        <f>VLOOKUP(C791,Sheet2!C:G,5,FALSE)</f>
        <v>1207</v>
      </c>
      <c r="E791" t="s">
        <v>57</v>
      </c>
      <c r="F791">
        <f>VLOOKUP(E791,Sheet2!D:E,2,FALSE)</f>
        <v>200982</v>
      </c>
      <c r="G791" t="s">
        <v>11</v>
      </c>
      <c r="H791" t="str">
        <f t="shared" si="24"/>
        <v>NAVERjcutter</v>
      </c>
      <c r="I791" t="str">
        <f>"jcutter"</f>
        <v>jcutter</v>
      </c>
      <c r="J791">
        <v>5890</v>
      </c>
      <c r="K791" s="1">
        <v>44866</v>
      </c>
      <c r="L791" t="s">
        <v>856</v>
      </c>
      <c r="M791">
        <f t="shared" si="25"/>
        <v>5890</v>
      </c>
      <c r="N791" t="e">
        <f>VLOOKUP(H791,Sheet1!G:H,2,FALSE)</f>
        <v>#N/A</v>
      </c>
      <c r="R791" t="s">
        <v>2715</v>
      </c>
      <c r="S791">
        <v>748040</v>
      </c>
    </row>
    <row r="792" spans="1:19" x14ac:dyDescent="0.3">
      <c r="A792" t="s">
        <v>16</v>
      </c>
      <c r="B792">
        <f>VLOOKUP(A792,Sheet2!B:F,5,FALSE)</f>
        <v>927</v>
      </c>
      <c r="C792" t="s">
        <v>17</v>
      </c>
      <c r="D792">
        <f>VLOOKUP(C792,Sheet2!C:G,5,FALSE)</f>
        <v>1200</v>
      </c>
      <c r="E792" t="s">
        <v>93</v>
      </c>
      <c r="F792">
        <f>VLOOKUP(E792,Sheet2!D:E,2,FALSE)</f>
        <v>930</v>
      </c>
      <c r="G792" t="s">
        <v>11</v>
      </c>
      <c r="H792" t="str">
        <f t="shared" si="24"/>
        <v>NAVERjdb2100</v>
      </c>
      <c r="I792" t="str">
        <f>"jdb2100"</f>
        <v>jdb2100</v>
      </c>
      <c r="J792">
        <v>548420</v>
      </c>
      <c r="K792" s="1">
        <v>44866</v>
      </c>
      <c r="L792" t="s">
        <v>857</v>
      </c>
      <c r="M792">
        <f t="shared" si="25"/>
        <v>548420</v>
      </c>
      <c r="N792" t="e">
        <f>VLOOKUP(H792,Sheet1!G:H,2,FALSE)</f>
        <v>#N/A</v>
      </c>
      <c r="R792" t="s">
        <v>2716</v>
      </c>
      <c r="S792">
        <v>341600</v>
      </c>
    </row>
    <row r="793" spans="1:19" x14ac:dyDescent="0.3">
      <c r="A793" t="s">
        <v>16</v>
      </c>
      <c r="B793">
        <f>VLOOKUP(A793,Sheet2!B:F,5,FALSE)</f>
        <v>927</v>
      </c>
      <c r="C793" t="s">
        <v>17</v>
      </c>
      <c r="D793">
        <f>VLOOKUP(C793,Sheet2!C:G,5,FALSE)</f>
        <v>1200</v>
      </c>
      <c r="E793" t="s">
        <v>93</v>
      </c>
      <c r="F793">
        <f>VLOOKUP(E793,Sheet2!D:E,2,FALSE)</f>
        <v>930</v>
      </c>
      <c r="G793" t="s">
        <v>11</v>
      </c>
      <c r="H793" t="str">
        <f t="shared" si="24"/>
        <v>NAVERjdg</v>
      </c>
      <c r="I793" t="str">
        <f>"jdg"</f>
        <v>jdg</v>
      </c>
      <c r="J793">
        <v>214580</v>
      </c>
      <c r="K793" s="1">
        <v>44866</v>
      </c>
      <c r="L793" t="s">
        <v>858</v>
      </c>
      <c r="M793">
        <f t="shared" si="25"/>
        <v>214580</v>
      </c>
      <c r="N793" t="e">
        <f>VLOOKUP(H793,Sheet1!G:H,2,FALSE)</f>
        <v>#N/A</v>
      </c>
      <c r="R793" t="s">
        <v>2717</v>
      </c>
      <c r="S793">
        <v>662180</v>
      </c>
    </row>
    <row r="794" spans="1:19" x14ac:dyDescent="0.3">
      <c r="A794" t="s">
        <v>8</v>
      </c>
      <c r="B794">
        <f>VLOOKUP(A794,Sheet2!B:F,5,FALSE)</f>
        <v>928</v>
      </c>
      <c r="C794" t="s">
        <v>9</v>
      </c>
      <c r="D794">
        <f>VLOOKUP(C794,Sheet2!C:G,5,FALSE)</f>
        <v>1202</v>
      </c>
      <c r="E794" t="s">
        <v>142</v>
      </c>
      <c r="F794">
        <f>VLOOKUP(E794,Sheet2!D:E,2,FALSE)</f>
        <v>652</v>
      </c>
      <c r="G794" t="s">
        <v>11</v>
      </c>
      <c r="H794" t="str">
        <f t="shared" si="24"/>
        <v>NAVERjebiggot4</v>
      </c>
      <c r="I794" t="str">
        <f>"jebiggot4"</f>
        <v>jebiggot4</v>
      </c>
      <c r="J794">
        <v>1213800</v>
      </c>
      <c r="K794" s="1">
        <v>44866</v>
      </c>
      <c r="L794" t="s">
        <v>859</v>
      </c>
      <c r="M794">
        <f t="shared" si="25"/>
        <v>1213800</v>
      </c>
      <c r="N794" t="e">
        <f>VLOOKUP(H794,Sheet1!G:H,2,FALSE)</f>
        <v>#N/A</v>
      </c>
      <c r="R794" t="s">
        <v>2718</v>
      </c>
      <c r="S794">
        <v>2556240</v>
      </c>
    </row>
    <row r="795" spans="1:19" x14ac:dyDescent="0.3">
      <c r="A795" t="s">
        <v>8</v>
      </c>
      <c r="B795">
        <f>VLOOKUP(A795,Sheet2!B:F,5,FALSE)</f>
        <v>928</v>
      </c>
      <c r="C795" t="s">
        <v>13</v>
      </c>
      <c r="D795">
        <f>VLOOKUP(C795,Sheet2!C:G,5,FALSE)</f>
        <v>1184</v>
      </c>
      <c r="E795" t="s">
        <v>102</v>
      </c>
      <c r="F795">
        <f>VLOOKUP(E795,Sheet2!D:E,2,FALSE)</f>
        <v>917</v>
      </c>
      <c r="G795" t="s">
        <v>11</v>
      </c>
      <c r="H795" t="str">
        <f t="shared" si="24"/>
        <v>NAVERjedinsight20</v>
      </c>
      <c r="I795" t="str">
        <f>"jedinsight20"</f>
        <v>jedinsight20</v>
      </c>
      <c r="J795">
        <v>373170</v>
      </c>
      <c r="K795" s="1">
        <v>44866</v>
      </c>
      <c r="L795" t="s">
        <v>860</v>
      </c>
      <c r="M795">
        <f t="shared" si="25"/>
        <v>373170</v>
      </c>
      <c r="N795" t="e">
        <f>VLOOKUP(H795,Sheet1!G:H,2,FALSE)</f>
        <v>#N/A</v>
      </c>
      <c r="R795" t="s">
        <v>2719</v>
      </c>
      <c r="S795">
        <v>83800</v>
      </c>
    </row>
    <row r="796" spans="1:19" x14ac:dyDescent="0.3">
      <c r="A796" t="s">
        <v>41</v>
      </c>
      <c r="B796">
        <f>VLOOKUP(A796,Sheet2!B:F,5,FALSE)</f>
        <v>926</v>
      </c>
      <c r="C796" t="s">
        <v>56</v>
      </c>
      <c r="D796">
        <f>VLOOKUP(C796,Sheet2!C:G,5,FALSE)</f>
        <v>1207</v>
      </c>
      <c r="E796" t="s">
        <v>253</v>
      </c>
      <c r="F796">
        <f>VLOOKUP(E796,Sheet2!D:E,2,FALSE)</f>
        <v>1328</v>
      </c>
      <c r="G796" t="s">
        <v>11</v>
      </c>
      <c r="H796" t="str">
        <f t="shared" si="24"/>
        <v>NAVERjeicegold</v>
      </c>
      <c r="I796" t="str">
        <f>"jeicegold"</f>
        <v>jeicegold</v>
      </c>
      <c r="J796">
        <v>4120</v>
      </c>
      <c r="K796" s="1">
        <v>44866</v>
      </c>
      <c r="L796" t="s">
        <v>861</v>
      </c>
      <c r="M796">
        <f t="shared" si="25"/>
        <v>4120</v>
      </c>
      <c r="N796" t="e">
        <f>VLOOKUP(H796,Sheet1!G:H,2,FALSE)</f>
        <v>#N/A</v>
      </c>
      <c r="R796" t="s">
        <v>2720</v>
      </c>
      <c r="S796">
        <v>179350</v>
      </c>
    </row>
    <row r="797" spans="1:19" x14ac:dyDescent="0.3">
      <c r="A797" t="s">
        <v>8</v>
      </c>
      <c r="B797">
        <f>VLOOKUP(A797,Sheet2!B:F,5,FALSE)</f>
        <v>928</v>
      </c>
      <c r="C797" t="s">
        <v>9</v>
      </c>
      <c r="D797">
        <f>VLOOKUP(C797,Sheet2!C:G,5,FALSE)</f>
        <v>1202</v>
      </c>
      <c r="E797" t="s">
        <v>33</v>
      </c>
      <c r="F797">
        <f>VLOOKUP(E797,Sheet2!D:E,2,FALSE)</f>
        <v>933</v>
      </c>
      <c r="G797" t="s">
        <v>11</v>
      </c>
      <c r="H797" t="str">
        <f t="shared" si="24"/>
        <v>NAVERjeilroof50</v>
      </c>
      <c r="I797" t="str">
        <f>"jeilroof50"</f>
        <v>jeilroof50</v>
      </c>
      <c r="J797">
        <v>226060</v>
      </c>
      <c r="K797" s="1">
        <v>44866</v>
      </c>
      <c r="L797" t="s">
        <v>862</v>
      </c>
      <c r="M797">
        <f t="shared" si="25"/>
        <v>226060</v>
      </c>
      <c r="N797" t="e">
        <f>VLOOKUP(H797,Sheet1!G:H,2,FALSE)</f>
        <v>#N/A</v>
      </c>
      <c r="R797" t="s">
        <v>2721</v>
      </c>
      <c r="S797">
        <v>588450</v>
      </c>
    </row>
    <row r="798" spans="1:19" x14ac:dyDescent="0.3">
      <c r="A798" t="s">
        <v>8</v>
      </c>
      <c r="B798">
        <f>VLOOKUP(A798,Sheet2!B:F,5,FALSE)</f>
        <v>928</v>
      </c>
      <c r="C798" t="s">
        <v>9</v>
      </c>
      <c r="D798">
        <f>VLOOKUP(C798,Sheet2!C:G,5,FALSE)</f>
        <v>1202</v>
      </c>
      <c r="E798" t="s">
        <v>33</v>
      </c>
      <c r="F798">
        <f>VLOOKUP(E798,Sheet2!D:E,2,FALSE)</f>
        <v>933</v>
      </c>
      <c r="G798" t="s">
        <v>11</v>
      </c>
      <c r="H798" t="str">
        <f t="shared" si="24"/>
        <v>NAVERjeju6070</v>
      </c>
      <c r="I798" t="str">
        <f>"jeju6070"</f>
        <v>jeju6070</v>
      </c>
      <c r="J798">
        <v>31450</v>
      </c>
      <c r="K798" s="1">
        <v>44866</v>
      </c>
      <c r="L798" t="s">
        <v>863</v>
      </c>
      <c r="M798">
        <f t="shared" si="25"/>
        <v>31450</v>
      </c>
      <c r="N798" t="e">
        <f>VLOOKUP(H798,Sheet1!G:H,2,FALSE)</f>
        <v>#N/A</v>
      </c>
      <c r="R798" t="s">
        <v>2722</v>
      </c>
      <c r="S798">
        <v>1001440</v>
      </c>
    </row>
    <row r="799" spans="1:19" x14ac:dyDescent="0.3">
      <c r="A799" t="s">
        <v>8</v>
      </c>
      <c r="B799">
        <f>VLOOKUP(A799,Sheet2!B:F,5,FALSE)</f>
        <v>928</v>
      </c>
      <c r="C799" t="s">
        <v>9</v>
      </c>
      <c r="D799">
        <f>VLOOKUP(C799,Sheet2!C:G,5,FALSE)</f>
        <v>1202</v>
      </c>
      <c r="E799" t="s">
        <v>27</v>
      </c>
      <c r="F799">
        <f>VLOOKUP(E799,Sheet2!D:E,2,FALSE)</f>
        <v>806</v>
      </c>
      <c r="G799" t="s">
        <v>11</v>
      </c>
      <c r="H799" t="str">
        <f t="shared" si="24"/>
        <v>NAVERjejuara9191</v>
      </c>
      <c r="I799" t="str">
        <f>"jejuara9191"</f>
        <v>jejuara9191</v>
      </c>
      <c r="J799">
        <v>127700</v>
      </c>
      <c r="K799" s="1">
        <v>44866</v>
      </c>
      <c r="L799" t="s">
        <v>864</v>
      </c>
      <c r="M799">
        <f t="shared" si="25"/>
        <v>127700</v>
      </c>
      <c r="N799" t="e">
        <f>VLOOKUP(H799,Sheet1!G:H,2,FALSE)</f>
        <v>#N/A</v>
      </c>
      <c r="R799" t="s">
        <v>2723</v>
      </c>
      <c r="S799">
        <v>184560</v>
      </c>
    </row>
    <row r="800" spans="1:19" x14ac:dyDescent="0.3">
      <c r="A800" t="s">
        <v>8</v>
      </c>
      <c r="B800">
        <f>VLOOKUP(A800,Sheet2!B:F,5,FALSE)</f>
        <v>928</v>
      </c>
      <c r="C800" t="s">
        <v>9</v>
      </c>
      <c r="D800">
        <f>VLOOKUP(C800,Sheet2!C:G,5,FALSE)</f>
        <v>1202</v>
      </c>
      <c r="E800" t="s">
        <v>27</v>
      </c>
      <c r="F800">
        <f>VLOOKUP(E800,Sheet2!D:E,2,FALSE)</f>
        <v>806</v>
      </c>
      <c r="G800" t="s">
        <v>11</v>
      </c>
      <c r="H800" t="str">
        <f t="shared" si="24"/>
        <v>NAVERjejumade064:naver</v>
      </c>
      <c r="I800" t="str">
        <f>"jejumade064:naver"</f>
        <v>jejumade064:naver</v>
      </c>
      <c r="J800">
        <v>117110</v>
      </c>
      <c r="K800" s="1">
        <v>44866</v>
      </c>
      <c r="L800" t="s">
        <v>865</v>
      </c>
      <c r="M800">
        <f t="shared" si="25"/>
        <v>117110</v>
      </c>
      <c r="N800" t="e">
        <f>VLOOKUP(H800,Sheet1!G:H,2,FALSE)</f>
        <v>#N/A</v>
      </c>
      <c r="R800" t="s">
        <v>2724</v>
      </c>
      <c r="S800">
        <v>1640</v>
      </c>
    </row>
    <row r="801" spans="1:19" x14ac:dyDescent="0.3">
      <c r="A801" t="s">
        <v>8</v>
      </c>
      <c r="B801">
        <f>VLOOKUP(A801,Sheet2!B:F,5,FALSE)</f>
        <v>928</v>
      </c>
      <c r="C801" t="s">
        <v>9</v>
      </c>
      <c r="D801">
        <f>VLOOKUP(C801,Sheet2!C:G,5,FALSE)</f>
        <v>1202</v>
      </c>
      <c r="E801" t="s">
        <v>47</v>
      </c>
      <c r="F801">
        <f>VLOOKUP(E801,Sheet2!D:E,2,FALSE)</f>
        <v>898</v>
      </c>
      <c r="G801" t="s">
        <v>11</v>
      </c>
      <c r="H801" t="str">
        <f t="shared" si="24"/>
        <v>NAVERjejung</v>
      </c>
      <c r="I801" t="str">
        <f>"jejung"</f>
        <v>jejung</v>
      </c>
      <c r="J801">
        <v>514540</v>
      </c>
      <c r="K801" s="1">
        <v>44866</v>
      </c>
      <c r="L801" t="s">
        <v>866</v>
      </c>
      <c r="M801">
        <f t="shared" si="25"/>
        <v>514540</v>
      </c>
      <c r="N801" t="e">
        <f>VLOOKUP(H801,Sheet1!G:H,2,FALSE)</f>
        <v>#N/A</v>
      </c>
      <c r="R801" t="s">
        <v>2725</v>
      </c>
      <c r="S801">
        <v>51820</v>
      </c>
    </row>
    <row r="802" spans="1:19" x14ac:dyDescent="0.3">
      <c r="A802" t="s">
        <v>8</v>
      </c>
      <c r="B802">
        <f>VLOOKUP(A802,Sheet2!B:F,5,FALSE)</f>
        <v>928</v>
      </c>
      <c r="C802" t="s">
        <v>9</v>
      </c>
      <c r="D802">
        <f>VLOOKUP(C802,Sheet2!C:G,5,FALSE)</f>
        <v>1202</v>
      </c>
      <c r="E802" t="s">
        <v>45</v>
      </c>
      <c r="F802">
        <f>VLOOKUP(E802,Sheet2!D:E,2,FALSE)</f>
        <v>26</v>
      </c>
      <c r="G802" t="s">
        <v>11</v>
      </c>
      <c r="H802" t="str">
        <f t="shared" si="24"/>
        <v>NAVERjenis1</v>
      </c>
      <c r="I802" t="str">
        <f>"jenis1"</f>
        <v>jenis1</v>
      </c>
      <c r="J802">
        <v>592850</v>
      </c>
      <c r="K802" s="1">
        <v>44866</v>
      </c>
      <c r="L802" t="s">
        <v>867</v>
      </c>
      <c r="M802">
        <f t="shared" si="25"/>
        <v>592850</v>
      </c>
      <c r="N802" t="e">
        <f>VLOOKUP(H802,Sheet1!G:H,2,FALSE)</f>
        <v>#N/A</v>
      </c>
      <c r="R802" t="s">
        <v>2726</v>
      </c>
      <c r="S802">
        <v>4089140</v>
      </c>
    </row>
    <row r="803" spans="1:19" x14ac:dyDescent="0.3">
      <c r="A803" t="s">
        <v>8</v>
      </c>
      <c r="B803">
        <f>VLOOKUP(A803,Sheet2!B:F,5,FALSE)</f>
        <v>928</v>
      </c>
      <c r="C803" t="s">
        <v>9</v>
      </c>
      <c r="D803">
        <f>VLOOKUP(C803,Sheet2!C:G,5,FALSE)</f>
        <v>1202</v>
      </c>
      <c r="E803" t="s">
        <v>35</v>
      </c>
      <c r="F803">
        <f>VLOOKUP(E803,Sheet2!D:E,2,FALSE)</f>
        <v>51</v>
      </c>
      <c r="G803" t="s">
        <v>11</v>
      </c>
      <c r="H803" t="str">
        <f t="shared" si="24"/>
        <v>NAVERjennyy</v>
      </c>
      <c r="I803" t="str">
        <f>"jennyy"</f>
        <v>jennyy</v>
      </c>
      <c r="J803">
        <v>700</v>
      </c>
      <c r="K803" s="1">
        <v>44866</v>
      </c>
      <c r="L803" t="s">
        <v>868</v>
      </c>
      <c r="M803">
        <f t="shared" si="25"/>
        <v>700</v>
      </c>
      <c r="N803" t="e">
        <f>VLOOKUP(H803,Sheet1!G:H,2,FALSE)</f>
        <v>#N/A</v>
      </c>
      <c r="R803" t="s">
        <v>2727</v>
      </c>
      <c r="S803">
        <v>248990</v>
      </c>
    </row>
    <row r="804" spans="1:19" x14ac:dyDescent="0.3">
      <c r="A804" t="s">
        <v>8</v>
      </c>
      <c r="B804">
        <f>VLOOKUP(A804,Sheet2!B:F,5,FALSE)</f>
        <v>928</v>
      </c>
      <c r="C804" t="s">
        <v>13</v>
      </c>
      <c r="D804">
        <f>VLOOKUP(C804,Sheet2!C:G,5,FALSE)</f>
        <v>1184</v>
      </c>
      <c r="E804" t="s">
        <v>51</v>
      </c>
      <c r="F804">
        <f>VLOOKUP(E804,Sheet2!D:E,2,FALSE)</f>
        <v>1274</v>
      </c>
      <c r="G804" t="s">
        <v>11</v>
      </c>
      <c r="H804" t="str">
        <f t="shared" si="24"/>
        <v>NAVERjeon03</v>
      </c>
      <c r="I804" t="str">
        <f>"jeon03"</f>
        <v>jeon03</v>
      </c>
      <c r="J804">
        <v>12110</v>
      </c>
      <c r="K804" s="1">
        <v>44866</v>
      </c>
      <c r="L804" t="s">
        <v>869</v>
      </c>
      <c r="M804">
        <f t="shared" si="25"/>
        <v>12110</v>
      </c>
      <c r="N804" t="e">
        <f>VLOOKUP(H804,Sheet1!G:H,2,FALSE)</f>
        <v>#N/A</v>
      </c>
      <c r="R804" t="s">
        <v>2728</v>
      </c>
      <c r="S804">
        <v>1287690</v>
      </c>
    </row>
    <row r="805" spans="1:19" x14ac:dyDescent="0.3">
      <c r="A805" t="s">
        <v>41</v>
      </c>
      <c r="B805">
        <f>VLOOKUP(A805,Sheet2!B:F,5,FALSE)</f>
        <v>926</v>
      </c>
      <c r="C805" t="s">
        <v>56</v>
      </c>
      <c r="D805">
        <f>VLOOKUP(C805,Sheet2!C:G,5,FALSE)</f>
        <v>1207</v>
      </c>
      <c r="E805" t="s">
        <v>62</v>
      </c>
      <c r="F805">
        <f>VLOOKUP(E805,Sheet2!D:E,2,FALSE)</f>
        <v>201037</v>
      </c>
      <c r="G805" t="s">
        <v>11</v>
      </c>
      <c r="H805" t="str">
        <f t="shared" si="24"/>
        <v>NAVERjeongsoo4143:naver</v>
      </c>
      <c r="I805" t="str">
        <f>"jeongsoo4143:naver"</f>
        <v>jeongsoo4143:naver</v>
      </c>
      <c r="J805">
        <v>695870</v>
      </c>
      <c r="K805" s="1">
        <v>44866</v>
      </c>
      <c r="L805" t="s">
        <v>870</v>
      </c>
      <c r="M805">
        <f t="shared" si="25"/>
        <v>695870</v>
      </c>
      <c r="N805" t="e">
        <f>VLOOKUP(H805,Sheet1!G:H,2,FALSE)</f>
        <v>#N/A</v>
      </c>
      <c r="R805" t="s">
        <v>2729</v>
      </c>
      <c r="S805">
        <v>0</v>
      </c>
    </row>
    <row r="806" spans="1:19" x14ac:dyDescent="0.3">
      <c r="A806" t="s">
        <v>8</v>
      </c>
      <c r="B806">
        <f>VLOOKUP(A806,Sheet2!B:F,5,FALSE)</f>
        <v>928</v>
      </c>
      <c r="C806" t="s">
        <v>13</v>
      </c>
      <c r="D806">
        <f>VLOOKUP(C806,Sheet2!C:G,5,FALSE)</f>
        <v>1184</v>
      </c>
      <c r="E806" t="s">
        <v>115</v>
      </c>
      <c r="F806">
        <f>VLOOKUP(E806,Sheet2!D:E,2,FALSE)</f>
        <v>1548</v>
      </c>
      <c r="G806" t="s">
        <v>11</v>
      </c>
      <c r="H806" t="str">
        <f t="shared" si="24"/>
        <v>NAVERjfsindustry1</v>
      </c>
      <c r="I806" t="str">
        <f>"jfsindustry1"</f>
        <v>jfsindustry1</v>
      </c>
      <c r="J806">
        <v>7490</v>
      </c>
      <c r="K806" s="1">
        <v>44866</v>
      </c>
      <c r="L806" t="s">
        <v>871</v>
      </c>
      <c r="M806">
        <f t="shared" si="25"/>
        <v>7490</v>
      </c>
      <c r="N806" t="e">
        <f>VLOOKUP(H806,Sheet1!G:H,2,FALSE)</f>
        <v>#N/A</v>
      </c>
      <c r="R806" t="s">
        <v>2730</v>
      </c>
      <c r="S806">
        <v>166000</v>
      </c>
    </row>
    <row r="807" spans="1:19" x14ac:dyDescent="0.3">
      <c r="A807" t="s">
        <v>41</v>
      </c>
      <c r="B807">
        <f>VLOOKUP(A807,Sheet2!B:F,5,FALSE)</f>
        <v>926</v>
      </c>
      <c r="C807" t="s">
        <v>56</v>
      </c>
      <c r="D807">
        <f>VLOOKUP(C807,Sheet2!C:G,5,FALSE)</f>
        <v>1207</v>
      </c>
      <c r="E807" t="s">
        <v>64</v>
      </c>
      <c r="F807">
        <f>VLOOKUP(E807,Sheet2!D:E,2,FALSE)</f>
        <v>201011</v>
      </c>
      <c r="G807" t="s">
        <v>11</v>
      </c>
      <c r="H807" t="str">
        <f t="shared" si="24"/>
        <v>NAVERjgofree1895</v>
      </c>
      <c r="I807" t="str">
        <f>"jgofree1895"</f>
        <v>jgofree1895</v>
      </c>
      <c r="J807">
        <v>282270</v>
      </c>
      <c r="K807" s="1">
        <v>44866</v>
      </c>
      <c r="L807" t="s">
        <v>872</v>
      </c>
      <c r="M807">
        <f t="shared" si="25"/>
        <v>282270</v>
      </c>
      <c r="N807" t="e">
        <f>VLOOKUP(H807,Sheet1!G:H,2,FALSE)</f>
        <v>#N/A</v>
      </c>
      <c r="R807" t="s">
        <v>2731</v>
      </c>
      <c r="S807">
        <v>456880</v>
      </c>
    </row>
    <row r="808" spans="1:19" x14ac:dyDescent="0.3">
      <c r="A808" t="s">
        <v>8</v>
      </c>
      <c r="B808">
        <f>VLOOKUP(A808,Sheet2!B:F,5,FALSE)</f>
        <v>928</v>
      </c>
      <c r="C808" t="s">
        <v>9</v>
      </c>
      <c r="D808">
        <f>VLOOKUP(C808,Sheet2!C:G,5,FALSE)</f>
        <v>1202</v>
      </c>
      <c r="E808" t="s">
        <v>37</v>
      </c>
      <c r="F808">
        <f>VLOOKUP(E808,Sheet2!D:E,2,FALSE)</f>
        <v>81</v>
      </c>
      <c r="G808" t="s">
        <v>11</v>
      </c>
      <c r="H808" t="str">
        <f t="shared" si="24"/>
        <v>NAVERjh1004_company:naver</v>
      </c>
      <c r="I808" t="str">
        <f>"jh1004_company:naver"</f>
        <v>jh1004_company:naver</v>
      </c>
      <c r="J808">
        <v>8802310</v>
      </c>
      <c r="K808" s="1">
        <v>44866</v>
      </c>
      <c r="L808" t="s">
        <v>873</v>
      </c>
      <c r="M808">
        <f t="shared" si="25"/>
        <v>8802310</v>
      </c>
      <c r="N808" t="e">
        <f>VLOOKUP(H808,Sheet1!G:H,2,FALSE)</f>
        <v>#N/A</v>
      </c>
      <c r="R808" t="s">
        <v>2732</v>
      </c>
      <c r="S808">
        <v>609620</v>
      </c>
    </row>
    <row r="809" spans="1:19" x14ac:dyDescent="0.3">
      <c r="A809" t="s">
        <v>16</v>
      </c>
      <c r="B809">
        <f>VLOOKUP(A809,Sheet2!B:F,5,FALSE)</f>
        <v>927</v>
      </c>
      <c r="C809" t="s">
        <v>17</v>
      </c>
      <c r="D809">
        <f>VLOOKUP(C809,Sheet2!C:G,5,FALSE)</f>
        <v>1200</v>
      </c>
      <c r="E809" t="s">
        <v>93</v>
      </c>
      <c r="F809">
        <f>VLOOKUP(E809,Sheet2!D:E,2,FALSE)</f>
        <v>930</v>
      </c>
      <c r="G809" t="s">
        <v>11</v>
      </c>
      <c r="H809" t="str">
        <f t="shared" si="24"/>
        <v>NAVERjh6choi</v>
      </c>
      <c r="I809" t="str">
        <f>"jh6choi"</f>
        <v>jh6choi</v>
      </c>
      <c r="J809">
        <v>1797620</v>
      </c>
      <c r="K809" s="1">
        <v>44866</v>
      </c>
      <c r="L809" t="s">
        <v>874</v>
      </c>
      <c r="M809">
        <f t="shared" si="25"/>
        <v>1797620</v>
      </c>
      <c r="N809" t="e">
        <f>VLOOKUP(H809,Sheet1!G:H,2,FALSE)</f>
        <v>#N/A</v>
      </c>
      <c r="R809" t="s">
        <v>2733</v>
      </c>
      <c r="S809">
        <v>8087260</v>
      </c>
    </row>
    <row r="810" spans="1:19" x14ac:dyDescent="0.3">
      <c r="A810" t="s">
        <v>8</v>
      </c>
      <c r="B810">
        <f>VLOOKUP(A810,Sheet2!B:F,5,FALSE)</f>
        <v>928</v>
      </c>
      <c r="C810" t="s">
        <v>9</v>
      </c>
      <c r="D810">
        <f>VLOOKUP(C810,Sheet2!C:G,5,FALSE)</f>
        <v>1202</v>
      </c>
      <c r="E810" t="s">
        <v>10</v>
      </c>
      <c r="F810">
        <f>VLOOKUP(E810,Sheet2!D:E,2,FALSE)</f>
        <v>939</v>
      </c>
      <c r="G810" t="s">
        <v>11</v>
      </c>
      <c r="H810" t="str">
        <f t="shared" si="24"/>
        <v>NAVERjhb0386</v>
      </c>
      <c r="I810" t="str">
        <f>"jhb0386"</f>
        <v>jhb0386</v>
      </c>
      <c r="J810">
        <v>95460</v>
      </c>
      <c r="K810" s="1">
        <v>44866</v>
      </c>
      <c r="L810" t="s">
        <v>875</v>
      </c>
      <c r="M810">
        <f t="shared" si="25"/>
        <v>95460</v>
      </c>
      <c r="N810" t="e">
        <f>VLOOKUP(H810,Sheet1!G:H,2,FALSE)</f>
        <v>#N/A</v>
      </c>
      <c r="R810" t="s">
        <v>2734</v>
      </c>
      <c r="S810">
        <v>17960</v>
      </c>
    </row>
    <row r="811" spans="1:19" x14ac:dyDescent="0.3">
      <c r="A811" t="s">
        <v>41</v>
      </c>
      <c r="B811">
        <f>VLOOKUP(A811,Sheet2!B:F,5,FALSE)</f>
        <v>926</v>
      </c>
      <c r="C811" t="s">
        <v>56</v>
      </c>
      <c r="D811">
        <f>VLOOKUP(C811,Sheet2!C:G,5,FALSE)</f>
        <v>1207</v>
      </c>
      <c r="E811" t="s">
        <v>57</v>
      </c>
      <c r="F811">
        <f>VLOOKUP(E811,Sheet2!D:E,2,FALSE)</f>
        <v>200982</v>
      </c>
      <c r="G811" t="s">
        <v>11</v>
      </c>
      <c r="H811" t="str">
        <f t="shared" si="24"/>
        <v>NAVERjhc5406</v>
      </c>
      <c r="I811" t="str">
        <f>"jhc5406"</f>
        <v>jhc5406</v>
      </c>
      <c r="J811">
        <v>7780</v>
      </c>
      <c r="K811" s="1">
        <v>44866</v>
      </c>
      <c r="L811" t="s">
        <v>876</v>
      </c>
      <c r="M811">
        <f t="shared" si="25"/>
        <v>7780</v>
      </c>
      <c r="N811" t="e">
        <f>VLOOKUP(H811,Sheet1!G:H,2,FALSE)</f>
        <v>#N/A</v>
      </c>
      <c r="R811" t="s">
        <v>2735</v>
      </c>
      <c r="S811">
        <v>1320610</v>
      </c>
    </row>
    <row r="812" spans="1:19" x14ac:dyDescent="0.3">
      <c r="A812" t="s">
        <v>8</v>
      </c>
      <c r="B812">
        <f>VLOOKUP(A812,Sheet2!B:F,5,FALSE)</f>
        <v>928</v>
      </c>
      <c r="C812" t="s">
        <v>9</v>
      </c>
      <c r="D812">
        <f>VLOOKUP(C812,Sheet2!C:G,5,FALSE)</f>
        <v>1202</v>
      </c>
      <c r="E812" t="s">
        <v>73</v>
      </c>
      <c r="F812">
        <f>VLOOKUP(E812,Sheet2!D:E,2,FALSE)</f>
        <v>895</v>
      </c>
      <c r="G812" t="s">
        <v>11</v>
      </c>
      <c r="H812" t="str">
        <f t="shared" si="24"/>
        <v>NAVERjhg5506</v>
      </c>
      <c r="I812" t="str">
        <f>"jhg5506"</f>
        <v>jhg5506</v>
      </c>
      <c r="J812">
        <v>10430</v>
      </c>
      <c r="K812" s="1">
        <v>44866</v>
      </c>
      <c r="L812" t="s">
        <v>877</v>
      </c>
      <c r="M812">
        <f t="shared" si="25"/>
        <v>10430</v>
      </c>
      <c r="N812" t="e">
        <f>VLOOKUP(H812,Sheet1!G:H,2,FALSE)</f>
        <v>#N/A</v>
      </c>
      <c r="R812" t="s">
        <v>2736</v>
      </c>
      <c r="S812">
        <v>2293410</v>
      </c>
    </row>
    <row r="813" spans="1:19" x14ac:dyDescent="0.3">
      <c r="A813" t="s">
        <v>8</v>
      </c>
      <c r="B813">
        <f>VLOOKUP(A813,Sheet2!B:F,5,FALSE)</f>
        <v>928</v>
      </c>
      <c r="C813" t="s">
        <v>9</v>
      </c>
      <c r="D813">
        <f>VLOOKUP(C813,Sheet2!C:G,5,FALSE)</f>
        <v>1202</v>
      </c>
      <c r="E813" t="s">
        <v>31</v>
      </c>
      <c r="F813">
        <f>VLOOKUP(E813,Sheet2!D:E,2,FALSE)</f>
        <v>1040</v>
      </c>
      <c r="G813" t="s">
        <v>11</v>
      </c>
      <c r="H813" t="str">
        <f t="shared" si="24"/>
        <v>NAVERjhjs1027</v>
      </c>
      <c r="I813" t="str">
        <f>"jhjs1027"</f>
        <v>jhjs1027</v>
      </c>
      <c r="J813">
        <v>2018300</v>
      </c>
      <c r="K813" s="1">
        <v>44866</v>
      </c>
      <c r="L813" t="s">
        <v>878</v>
      </c>
      <c r="M813">
        <f t="shared" si="25"/>
        <v>2018300</v>
      </c>
      <c r="N813" t="e">
        <f>VLOOKUP(H813,Sheet1!G:H,2,FALSE)</f>
        <v>#N/A</v>
      </c>
      <c r="R813" t="s">
        <v>2737</v>
      </c>
      <c r="S813">
        <v>4670</v>
      </c>
    </row>
    <row r="814" spans="1:19" x14ac:dyDescent="0.3">
      <c r="A814" t="s">
        <v>8</v>
      </c>
      <c r="B814">
        <f>VLOOKUP(A814,Sheet2!B:F,5,FALSE)</f>
        <v>928</v>
      </c>
      <c r="C814" t="s">
        <v>9</v>
      </c>
      <c r="D814">
        <f>VLOOKUP(C814,Sheet2!C:G,5,FALSE)</f>
        <v>1202</v>
      </c>
      <c r="E814" t="s">
        <v>33</v>
      </c>
      <c r="F814">
        <f>VLOOKUP(E814,Sheet2!D:E,2,FALSE)</f>
        <v>933</v>
      </c>
      <c r="G814" t="s">
        <v>11</v>
      </c>
      <c r="H814" t="str">
        <f t="shared" si="24"/>
        <v>NAVERjhss4861124</v>
      </c>
      <c r="I814" t="str">
        <f>"jhss4861124"</f>
        <v>jhss4861124</v>
      </c>
      <c r="J814">
        <v>86520</v>
      </c>
      <c r="K814" s="1">
        <v>44866</v>
      </c>
      <c r="L814" t="s">
        <v>879</v>
      </c>
      <c r="M814">
        <f t="shared" si="25"/>
        <v>86520</v>
      </c>
      <c r="N814" t="e">
        <f>VLOOKUP(H814,Sheet1!G:H,2,FALSE)</f>
        <v>#N/A</v>
      </c>
      <c r="R814" t="s">
        <v>2738</v>
      </c>
      <c r="S814">
        <v>13701140</v>
      </c>
    </row>
    <row r="815" spans="1:19" x14ac:dyDescent="0.3">
      <c r="A815" t="s">
        <v>8</v>
      </c>
      <c r="B815">
        <f>VLOOKUP(A815,Sheet2!B:F,5,FALSE)</f>
        <v>928</v>
      </c>
      <c r="C815" t="s">
        <v>13</v>
      </c>
      <c r="D815">
        <f>VLOOKUP(C815,Sheet2!C:G,5,FALSE)</f>
        <v>1184</v>
      </c>
      <c r="E815" t="s">
        <v>51</v>
      </c>
      <c r="F815">
        <f>VLOOKUP(E815,Sheet2!D:E,2,FALSE)</f>
        <v>1274</v>
      </c>
      <c r="G815" t="s">
        <v>11</v>
      </c>
      <c r="H815" t="str">
        <f t="shared" si="24"/>
        <v>NAVERjhy1206105</v>
      </c>
      <c r="I815" t="str">
        <f>"jhy1206105"</f>
        <v>jhy1206105</v>
      </c>
      <c r="J815">
        <v>70</v>
      </c>
      <c r="K815" s="1">
        <v>44866</v>
      </c>
      <c r="L815" t="s">
        <v>880</v>
      </c>
      <c r="M815">
        <f t="shared" si="25"/>
        <v>70</v>
      </c>
      <c r="N815" t="e">
        <f>VLOOKUP(H815,Sheet1!G:H,2,FALSE)</f>
        <v>#N/A</v>
      </c>
      <c r="R815" t="s">
        <v>2739</v>
      </c>
      <c r="S815">
        <v>11410</v>
      </c>
    </row>
    <row r="816" spans="1:19" x14ac:dyDescent="0.3">
      <c r="A816" t="s">
        <v>8</v>
      </c>
      <c r="B816">
        <f>VLOOKUP(A816,Sheet2!B:F,5,FALSE)</f>
        <v>928</v>
      </c>
      <c r="C816" t="s">
        <v>13</v>
      </c>
      <c r="D816">
        <f>VLOOKUP(C816,Sheet2!C:G,5,FALSE)</f>
        <v>1184</v>
      </c>
      <c r="E816" t="s">
        <v>51</v>
      </c>
      <c r="F816">
        <f>VLOOKUP(E816,Sheet2!D:E,2,FALSE)</f>
        <v>1274</v>
      </c>
      <c r="G816" t="s">
        <v>11</v>
      </c>
      <c r="H816" t="str">
        <f t="shared" si="24"/>
        <v>NAVERji319</v>
      </c>
      <c r="I816" t="str">
        <f>"ji319"</f>
        <v>ji319</v>
      </c>
      <c r="J816">
        <v>148640</v>
      </c>
      <c r="K816" s="1">
        <v>44866</v>
      </c>
      <c r="L816" t="s">
        <v>881</v>
      </c>
      <c r="M816">
        <f t="shared" si="25"/>
        <v>148640</v>
      </c>
      <c r="N816" t="e">
        <f>VLOOKUP(H816,Sheet1!G:H,2,FALSE)</f>
        <v>#N/A</v>
      </c>
      <c r="R816" t="s">
        <v>2740</v>
      </c>
      <c r="S816">
        <v>1061430</v>
      </c>
    </row>
    <row r="817" spans="1:19" x14ac:dyDescent="0.3">
      <c r="A817" t="s">
        <v>41</v>
      </c>
      <c r="B817">
        <f>VLOOKUP(A817,Sheet2!B:F,5,FALSE)</f>
        <v>926</v>
      </c>
      <c r="C817" t="s">
        <v>42</v>
      </c>
      <c r="D817">
        <f>VLOOKUP(C817,Sheet2!C:G,5,FALSE)</f>
        <v>964</v>
      </c>
      <c r="E817" t="s">
        <v>43</v>
      </c>
      <c r="F817">
        <f>VLOOKUP(E817,Sheet2!D:E,2,FALSE)</f>
        <v>200998</v>
      </c>
      <c r="G817" t="s">
        <v>11</v>
      </c>
      <c r="H817" t="str">
        <f t="shared" si="24"/>
        <v>NAVERjihye72</v>
      </c>
      <c r="I817" t="str">
        <f>"jihye72"</f>
        <v>jihye72</v>
      </c>
      <c r="J817">
        <v>2720</v>
      </c>
      <c r="K817" s="1">
        <v>44866</v>
      </c>
      <c r="L817" t="s">
        <v>882</v>
      </c>
      <c r="M817">
        <f t="shared" si="25"/>
        <v>2720</v>
      </c>
      <c r="N817" t="e">
        <f>VLOOKUP(H817,Sheet1!G:H,2,FALSE)</f>
        <v>#N/A</v>
      </c>
      <c r="R817" t="s">
        <v>2741</v>
      </c>
      <c r="S817">
        <v>147260</v>
      </c>
    </row>
    <row r="818" spans="1:19" x14ac:dyDescent="0.3">
      <c r="A818" t="s">
        <v>41</v>
      </c>
      <c r="B818">
        <f>VLOOKUP(A818,Sheet2!B:F,5,FALSE)</f>
        <v>926</v>
      </c>
      <c r="C818" t="s">
        <v>42</v>
      </c>
      <c r="D818">
        <f>VLOOKUP(C818,Sheet2!C:G,5,FALSE)</f>
        <v>964</v>
      </c>
      <c r="E818" t="s">
        <v>43</v>
      </c>
      <c r="F818">
        <f>VLOOKUP(E818,Sheet2!D:E,2,FALSE)</f>
        <v>200998</v>
      </c>
      <c r="G818" t="s">
        <v>11</v>
      </c>
      <c r="H818" t="str">
        <f t="shared" si="24"/>
        <v>NAVERjiinne</v>
      </c>
      <c r="I818" t="str">
        <f>"jiinne"</f>
        <v>jiinne</v>
      </c>
      <c r="J818">
        <v>150</v>
      </c>
      <c r="K818" s="1">
        <v>44866</v>
      </c>
      <c r="L818" t="s">
        <v>883</v>
      </c>
      <c r="M818">
        <f t="shared" si="25"/>
        <v>150</v>
      </c>
      <c r="N818" t="e">
        <f>VLOOKUP(H818,Sheet1!G:H,2,FALSE)</f>
        <v>#N/A</v>
      </c>
      <c r="R818" t="s">
        <v>2742</v>
      </c>
      <c r="S818">
        <v>0</v>
      </c>
    </row>
    <row r="819" spans="1:19" x14ac:dyDescent="0.3">
      <c r="A819" t="s">
        <v>16</v>
      </c>
      <c r="B819">
        <f>VLOOKUP(A819,Sheet2!B:F,5,FALSE)</f>
        <v>927</v>
      </c>
      <c r="C819" t="s">
        <v>17</v>
      </c>
      <c r="D819">
        <f>VLOOKUP(C819,Sheet2!C:G,5,FALSE)</f>
        <v>1200</v>
      </c>
      <c r="E819" t="s">
        <v>244</v>
      </c>
      <c r="F819">
        <f>VLOOKUP(E819,Sheet2!D:E,2,FALSE)</f>
        <v>817</v>
      </c>
      <c r="G819" t="s">
        <v>11</v>
      </c>
      <c r="H819" t="str">
        <f t="shared" si="24"/>
        <v>NAVERjijiannunda:naver</v>
      </c>
      <c r="I819" t="str">
        <f>"jijiannunda:naver"</f>
        <v>jijiannunda:naver</v>
      </c>
      <c r="J819">
        <v>15600</v>
      </c>
      <c r="K819" s="1">
        <v>44866</v>
      </c>
      <c r="L819" t="s">
        <v>884</v>
      </c>
      <c r="M819">
        <f t="shared" si="25"/>
        <v>15600</v>
      </c>
      <c r="N819" t="e">
        <f>VLOOKUP(H819,Sheet1!G:H,2,FALSE)</f>
        <v>#N/A</v>
      </c>
      <c r="R819" t="s">
        <v>2743</v>
      </c>
      <c r="S819">
        <v>1664420</v>
      </c>
    </row>
    <row r="820" spans="1:19" x14ac:dyDescent="0.3">
      <c r="A820" t="s">
        <v>16</v>
      </c>
      <c r="B820">
        <f>VLOOKUP(A820,Sheet2!B:F,5,FALSE)</f>
        <v>927</v>
      </c>
      <c r="C820" t="s">
        <v>17</v>
      </c>
      <c r="D820">
        <f>VLOOKUP(C820,Sheet2!C:G,5,FALSE)</f>
        <v>1200</v>
      </c>
      <c r="E820" t="s">
        <v>93</v>
      </c>
      <c r="F820">
        <f>VLOOKUP(E820,Sheet2!D:E,2,FALSE)</f>
        <v>930</v>
      </c>
      <c r="G820" t="s">
        <v>11</v>
      </c>
      <c r="H820" t="str">
        <f t="shared" si="24"/>
        <v>NAVERjik7044</v>
      </c>
      <c r="I820" t="str">
        <f>"jik7044"</f>
        <v>jik7044</v>
      </c>
      <c r="J820">
        <v>140</v>
      </c>
      <c r="K820" s="1">
        <v>44866</v>
      </c>
      <c r="L820" t="s">
        <v>885</v>
      </c>
      <c r="M820">
        <f t="shared" si="25"/>
        <v>140</v>
      </c>
      <c r="N820" t="e">
        <f>VLOOKUP(H820,Sheet1!G:H,2,FALSE)</f>
        <v>#N/A</v>
      </c>
      <c r="R820" t="s">
        <v>2744</v>
      </c>
      <c r="S820">
        <v>370</v>
      </c>
    </row>
    <row r="821" spans="1:19" x14ac:dyDescent="0.3">
      <c r="A821" t="s">
        <v>16</v>
      </c>
      <c r="B821">
        <f>VLOOKUP(A821,Sheet2!B:F,5,FALSE)</f>
        <v>927</v>
      </c>
      <c r="C821" t="s">
        <v>17</v>
      </c>
      <c r="D821">
        <f>VLOOKUP(C821,Sheet2!C:G,5,FALSE)</f>
        <v>1200</v>
      </c>
      <c r="E821" t="s">
        <v>229</v>
      </c>
      <c r="F821">
        <f>VLOOKUP(E821,Sheet2!D:E,2,FALSE)</f>
        <v>560</v>
      </c>
      <c r="G821" t="s">
        <v>11</v>
      </c>
      <c r="H821" t="str">
        <f t="shared" si="24"/>
        <v>NAVERjindamin1:naver</v>
      </c>
      <c r="I821" t="str">
        <f>"jindamin1:naver"</f>
        <v>jindamin1:naver</v>
      </c>
      <c r="J821">
        <v>4948800</v>
      </c>
      <c r="K821" s="1">
        <v>44866</v>
      </c>
      <c r="L821" t="s">
        <v>886</v>
      </c>
      <c r="M821">
        <f t="shared" si="25"/>
        <v>4948800</v>
      </c>
      <c r="N821" t="e">
        <f>VLOOKUP(H821,Sheet1!G:H,2,FALSE)</f>
        <v>#N/A</v>
      </c>
      <c r="R821" t="s">
        <v>2745</v>
      </c>
      <c r="S821">
        <v>443630</v>
      </c>
    </row>
    <row r="822" spans="1:19" x14ac:dyDescent="0.3">
      <c r="A822" t="s">
        <v>8</v>
      </c>
      <c r="B822">
        <f>VLOOKUP(A822,Sheet2!B:F,5,FALSE)</f>
        <v>928</v>
      </c>
      <c r="C822" t="s">
        <v>9</v>
      </c>
      <c r="D822">
        <f>VLOOKUP(C822,Sheet2!C:G,5,FALSE)</f>
        <v>1202</v>
      </c>
      <c r="E822" t="s">
        <v>47</v>
      </c>
      <c r="F822">
        <f>VLOOKUP(E822,Sheet2!D:E,2,FALSE)</f>
        <v>898</v>
      </c>
      <c r="G822" t="s">
        <v>11</v>
      </c>
      <c r="H822" t="str">
        <f t="shared" si="24"/>
        <v>NAVERjinggum106</v>
      </c>
      <c r="I822" t="str">
        <f>"jinggum106"</f>
        <v>jinggum106</v>
      </c>
      <c r="J822">
        <v>472140</v>
      </c>
      <c r="K822" s="1">
        <v>44866</v>
      </c>
      <c r="L822" t="s">
        <v>887</v>
      </c>
      <c r="M822">
        <f t="shared" si="25"/>
        <v>472140</v>
      </c>
      <c r="N822" t="e">
        <f>VLOOKUP(H822,Sheet1!G:H,2,FALSE)</f>
        <v>#N/A</v>
      </c>
      <c r="R822" t="s">
        <v>2746</v>
      </c>
      <c r="S822">
        <v>2833920</v>
      </c>
    </row>
    <row r="823" spans="1:19" x14ac:dyDescent="0.3">
      <c r="A823" t="s">
        <v>8</v>
      </c>
      <c r="B823">
        <f>VLOOKUP(A823,Sheet2!B:F,5,FALSE)</f>
        <v>928</v>
      </c>
      <c r="C823" t="s">
        <v>9</v>
      </c>
      <c r="D823">
        <f>VLOOKUP(C823,Sheet2!C:G,5,FALSE)</f>
        <v>1202</v>
      </c>
      <c r="E823" t="s">
        <v>27</v>
      </c>
      <c r="F823">
        <f>VLOOKUP(E823,Sheet2!D:E,2,FALSE)</f>
        <v>806</v>
      </c>
      <c r="G823" t="s">
        <v>11</v>
      </c>
      <c r="H823" t="str">
        <f t="shared" si="24"/>
        <v>NAVERjinhain</v>
      </c>
      <c r="I823" t="str">
        <f>"jinhain"</f>
        <v>jinhain</v>
      </c>
      <c r="J823">
        <v>70</v>
      </c>
      <c r="K823" s="1">
        <v>44866</v>
      </c>
      <c r="L823" t="s">
        <v>888</v>
      </c>
      <c r="M823">
        <f t="shared" si="25"/>
        <v>70</v>
      </c>
      <c r="N823" t="e">
        <f>VLOOKUP(H823,Sheet1!G:H,2,FALSE)</f>
        <v>#N/A</v>
      </c>
      <c r="R823" t="s">
        <v>2747</v>
      </c>
      <c r="S823">
        <v>705680</v>
      </c>
    </row>
    <row r="824" spans="1:19" x14ac:dyDescent="0.3">
      <c r="A824" t="s">
        <v>8</v>
      </c>
      <c r="B824">
        <f>VLOOKUP(A824,Sheet2!B:F,5,FALSE)</f>
        <v>928</v>
      </c>
      <c r="C824" t="s">
        <v>9</v>
      </c>
      <c r="D824">
        <f>VLOOKUP(C824,Sheet2!C:G,5,FALSE)</f>
        <v>1202</v>
      </c>
      <c r="E824" t="s">
        <v>73</v>
      </c>
      <c r="F824">
        <f>VLOOKUP(E824,Sheet2!D:E,2,FALSE)</f>
        <v>895</v>
      </c>
      <c r="G824" t="s">
        <v>11</v>
      </c>
      <c r="H824" t="str">
        <f t="shared" si="24"/>
        <v>NAVERjinhangen:naver</v>
      </c>
      <c r="I824" t="str">
        <f>"jinhangen:naver"</f>
        <v>jinhangen:naver</v>
      </c>
      <c r="J824">
        <v>43520</v>
      </c>
      <c r="K824" s="1">
        <v>44866</v>
      </c>
      <c r="L824" t="s">
        <v>889</v>
      </c>
      <c r="M824">
        <f t="shared" si="25"/>
        <v>43520</v>
      </c>
      <c r="N824" t="e">
        <f>VLOOKUP(H824,Sheet1!G:H,2,FALSE)</f>
        <v>#N/A</v>
      </c>
      <c r="R824" t="s">
        <v>2748</v>
      </c>
      <c r="S824">
        <v>10340</v>
      </c>
    </row>
    <row r="825" spans="1:19" x14ac:dyDescent="0.3">
      <c r="A825" t="s">
        <v>41</v>
      </c>
      <c r="B825">
        <f>VLOOKUP(A825,Sheet2!B:F,5,FALSE)</f>
        <v>926</v>
      </c>
      <c r="C825" t="s">
        <v>56</v>
      </c>
      <c r="D825">
        <f>VLOOKUP(C825,Sheet2!C:G,5,FALSE)</f>
        <v>1207</v>
      </c>
      <c r="E825" t="s">
        <v>64</v>
      </c>
      <c r="F825">
        <f>VLOOKUP(E825,Sheet2!D:E,2,FALSE)</f>
        <v>201011</v>
      </c>
      <c r="G825" t="s">
        <v>11</v>
      </c>
      <c r="H825" t="str">
        <f t="shared" si="24"/>
        <v>NAVERjinsun1973</v>
      </c>
      <c r="I825" t="str">
        <f>"jinsun1973"</f>
        <v>jinsun1973</v>
      </c>
      <c r="J825">
        <v>201120</v>
      </c>
      <c r="K825" s="1">
        <v>44866</v>
      </c>
      <c r="L825" t="s">
        <v>890</v>
      </c>
      <c r="M825">
        <f t="shared" si="25"/>
        <v>201120</v>
      </c>
      <c r="N825" t="e">
        <f>VLOOKUP(H825,Sheet1!G:H,2,FALSE)</f>
        <v>#N/A</v>
      </c>
      <c r="R825" t="s">
        <v>2749</v>
      </c>
      <c r="S825">
        <v>64880</v>
      </c>
    </row>
    <row r="826" spans="1:19" x14ac:dyDescent="0.3">
      <c r="A826" t="s">
        <v>8</v>
      </c>
      <c r="B826">
        <f>VLOOKUP(A826,Sheet2!B:F,5,FALSE)</f>
        <v>928</v>
      </c>
      <c r="C826" t="s">
        <v>9</v>
      </c>
      <c r="D826">
        <f>VLOOKUP(C826,Sheet2!C:G,5,FALSE)</f>
        <v>1202</v>
      </c>
      <c r="E826" t="s">
        <v>35</v>
      </c>
      <c r="F826">
        <f>VLOOKUP(E826,Sheet2!D:E,2,FALSE)</f>
        <v>51</v>
      </c>
      <c r="G826" t="s">
        <v>11</v>
      </c>
      <c r="H826" t="str">
        <f t="shared" si="24"/>
        <v>NAVERjiwon</v>
      </c>
      <c r="I826" t="str">
        <f>"jiwon"</f>
        <v>jiwon</v>
      </c>
      <c r="J826">
        <v>1048570</v>
      </c>
      <c r="K826" s="1">
        <v>44866</v>
      </c>
      <c r="L826" t="s">
        <v>891</v>
      </c>
      <c r="M826">
        <f t="shared" si="25"/>
        <v>1048570</v>
      </c>
      <c r="N826" t="e">
        <f>VLOOKUP(H826,Sheet1!G:H,2,FALSE)</f>
        <v>#N/A</v>
      </c>
      <c r="R826" t="s">
        <v>2750</v>
      </c>
      <c r="S826">
        <v>6236680</v>
      </c>
    </row>
    <row r="827" spans="1:19" x14ac:dyDescent="0.3">
      <c r="A827" t="s">
        <v>8</v>
      </c>
      <c r="B827">
        <f>VLOOKUP(A827,Sheet2!B:F,5,FALSE)</f>
        <v>928</v>
      </c>
      <c r="C827" t="s">
        <v>9</v>
      </c>
      <c r="D827">
        <f>VLOOKUP(C827,Sheet2!C:G,5,FALSE)</f>
        <v>1202</v>
      </c>
      <c r="E827" t="s">
        <v>142</v>
      </c>
      <c r="F827">
        <f>VLOOKUP(E827,Sheet2!D:E,2,FALSE)</f>
        <v>652</v>
      </c>
      <c r="G827" t="s">
        <v>11</v>
      </c>
      <c r="H827" t="str">
        <f t="shared" si="24"/>
        <v>NAVERjjbs</v>
      </c>
      <c r="I827" t="str">
        <f>"jjbs"</f>
        <v>jjbs</v>
      </c>
      <c r="J827">
        <v>3235590</v>
      </c>
      <c r="K827" s="1">
        <v>44866</v>
      </c>
      <c r="L827" t="s">
        <v>892</v>
      </c>
      <c r="M827">
        <f t="shared" si="25"/>
        <v>3235590</v>
      </c>
      <c r="N827" t="e">
        <f>VLOOKUP(H827,Sheet1!G:H,2,FALSE)</f>
        <v>#N/A</v>
      </c>
      <c r="R827" t="s">
        <v>2751</v>
      </c>
      <c r="S827">
        <v>1048900</v>
      </c>
    </row>
    <row r="828" spans="1:19" x14ac:dyDescent="0.3">
      <c r="A828" t="s">
        <v>8</v>
      </c>
      <c r="B828">
        <f>VLOOKUP(A828,Sheet2!B:F,5,FALSE)</f>
        <v>928</v>
      </c>
      <c r="C828" t="s">
        <v>13</v>
      </c>
      <c r="D828">
        <f>VLOOKUP(C828,Sheet2!C:G,5,FALSE)</f>
        <v>1184</v>
      </c>
      <c r="E828" t="s">
        <v>102</v>
      </c>
      <c r="F828">
        <f>VLOOKUP(E828,Sheet2!D:E,2,FALSE)</f>
        <v>917</v>
      </c>
      <c r="G828" t="s">
        <v>11</v>
      </c>
      <c r="H828" t="str">
        <f t="shared" si="24"/>
        <v>NAVERjjh019060</v>
      </c>
      <c r="I828" t="str">
        <f>"jjh019060"</f>
        <v>jjh019060</v>
      </c>
      <c r="J828">
        <v>757500</v>
      </c>
      <c r="K828" s="1">
        <v>44866</v>
      </c>
      <c r="L828" t="s">
        <v>893</v>
      </c>
      <c r="M828">
        <f t="shared" si="25"/>
        <v>757500</v>
      </c>
      <c r="N828" t="e">
        <f>VLOOKUP(H828,Sheet1!G:H,2,FALSE)</f>
        <v>#N/A</v>
      </c>
      <c r="R828" t="s">
        <v>2752</v>
      </c>
      <c r="S828">
        <v>4740780</v>
      </c>
    </row>
    <row r="829" spans="1:19" x14ac:dyDescent="0.3">
      <c r="A829" t="s">
        <v>8</v>
      </c>
      <c r="B829">
        <f>VLOOKUP(A829,Sheet2!B:F,5,FALSE)</f>
        <v>928</v>
      </c>
      <c r="C829" t="s">
        <v>9</v>
      </c>
      <c r="D829">
        <f>VLOOKUP(C829,Sheet2!C:G,5,FALSE)</f>
        <v>1202</v>
      </c>
      <c r="E829" t="s">
        <v>27</v>
      </c>
      <c r="F829">
        <f>VLOOKUP(E829,Sheet2!D:E,2,FALSE)</f>
        <v>806</v>
      </c>
      <c r="G829" t="s">
        <v>11</v>
      </c>
      <c r="H829" t="str">
        <f t="shared" si="24"/>
        <v>NAVERjjjj0424</v>
      </c>
      <c r="I829" t="str">
        <f>"jjjj0424"</f>
        <v>jjjj0424</v>
      </c>
      <c r="J829">
        <v>7850</v>
      </c>
      <c r="K829" s="1">
        <v>44866</v>
      </c>
      <c r="L829" t="s">
        <v>894</v>
      </c>
      <c r="M829">
        <f t="shared" si="25"/>
        <v>7850</v>
      </c>
      <c r="N829" t="e">
        <f>VLOOKUP(H829,Sheet1!G:H,2,FALSE)</f>
        <v>#N/A</v>
      </c>
      <c r="R829" t="s">
        <v>2753</v>
      </c>
      <c r="S829">
        <v>10758610</v>
      </c>
    </row>
    <row r="830" spans="1:19" x14ac:dyDescent="0.3">
      <c r="A830" t="s">
        <v>41</v>
      </c>
      <c r="B830">
        <f>VLOOKUP(A830,Sheet2!B:F,5,FALSE)</f>
        <v>926</v>
      </c>
      <c r="C830" t="s">
        <v>56</v>
      </c>
      <c r="D830">
        <f>VLOOKUP(C830,Sheet2!C:G,5,FALSE)</f>
        <v>1207</v>
      </c>
      <c r="E830" t="s">
        <v>62</v>
      </c>
      <c r="F830">
        <f>VLOOKUP(E830,Sheet2!D:E,2,FALSE)</f>
        <v>201037</v>
      </c>
      <c r="G830" t="s">
        <v>11</v>
      </c>
      <c r="H830" t="str">
        <f t="shared" si="24"/>
        <v>NAVERjjjj9191</v>
      </c>
      <c r="I830" t="str">
        <f>"jjjj9191"</f>
        <v>jjjj9191</v>
      </c>
      <c r="J830">
        <v>31730</v>
      </c>
      <c r="K830" s="1">
        <v>44866</v>
      </c>
      <c r="L830" t="s">
        <v>895</v>
      </c>
      <c r="M830">
        <f t="shared" si="25"/>
        <v>31730</v>
      </c>
      <c r="N830" t="e">
        <f>VLOOKUP(H830,Sheet1!G:H,2,FALSE)</f>
        <v>#N/A</v>
      </c>
      <c r="R830" t="s">
        <v>2754</v>
      </c>
      <c r="S830">
        <v>1020100</v>
      </c>
    </row>
    <row r="831" spans="1:19" x14ac:dyDescent="0.3">
      <c r="A831" t="s">
        <v>16</v>
      </c>
      <c r="B831">
        <f>VLOOKUP(A831,Sheet2!B:F,5,FALSE)</f>
        <v>927</v>
      </c>
      <c r="C831" t="s">
        <v>17</v>
      </c>
      <c r="D831">
        <f>VLOOKUP(C831,Sheet2!C:G,5,FALSE)</f>
        <v>1200</v>
      </c>
      <c r="E831" t="s">
        <v>371</v>
      </c>
      <c r="F831">
        <f>VLOOKUP(E831,Sheet2!D:E,2,FALSE)</f>
        <v>551</v>
      </c>
      <c r="G831" t="s">
        <v>11</v>
      </c>
      <c r="H831" t="str">
        <f t="shared" si="24"/>
        <v>NAVERjjoffice</v>
      </c>
      <c r="I831" t="str">
        <f>"jjoffice"</f>
        <v>jjoffice</v>
      </c>
      <c r="J831">
        <v>397070</v>
      </c>
      <c r="K831" s="1">
        <v>44866</v>
      </c>
      <c r="L831" t="s">
        <v>896</v>
      </c>
      <c r="M831">
        <f t="shared" si="25"/>
        <v>397070</v>
      </c>
      <c r="N831" t="e">
        <f>VLOOKUP(H831,Sheet1!G:H,2,FALSE)</f>
        <v>#N/A</v>
      </c>
      <c r="R831" t="s">
        <v>2755</v>
      </c>
      <c r="S831">
        <v>1076100</v>
      </c>
    </row>
    <row r="832" spans="1:19" x14ac:dyDescent="0.3">
      <c r="A832" t="s">
        <v>8</v>
      </c>
      <c r="B832">
        <f>VLOOKUP(A832,Sheet2!B:F,5,FALSE)</f>
        <v>928</v>
      </c>
      <c r="C832" t="s">
        <v>13</v>
      </c>
      <c r="D832">
        <f>VLOOKUP(C832,Sheet2!C:G,5,FALSE)</f>
        <v>1184</v>
      </c>
      <c r="E832" t="s">
        <v>118</v>
      </c>
      <c r="F832">
        <f>VLOOKUP(E832,Sheet2!D:E,2,FALSE)</f>
        <v>201004</v>
      </c>
      <c r="G832" t="s">
        <v>11</v>
      </c>
      <c r="H832" t="str">
        <f t="shared" si="24"/>
        <v>NAVERjkh1791</v>
      </c>
      <c r="I832" t="str">
        <f>"jkh1791"</f>
        <v>jkh1791</v>
      </c>
      <c r="J832">
        <v>336940</v>
      </c>
      <c r="K832" s="1">
        <v>44866</v>
      </c>
      <c r="L832" t="s">
        <v>897</v>
      </c>
      <c r="M832">
        <f t="shared" si="25"/>
        <v>336940</v>
      </c>
      <c r="N832" t="e">
        <f>VLOOKUP(H832,Sheet1!G:H,2,FALSE)</f>
        <v>#N/A</v>
      </c>
      <c r="R832" t="s">
        <v>2756</v>
      </c>
      <c r="S832">
        <v>16560</v>
      </c>
    </row>
    <row r="833" spans="1:19" x14ac:dyDescent="0.3">
      <c r="A833" t="s">
        <v>16</v>
      </c>
      <c r="B833">
        <f>VLOOKUP(A833,Sheet2!B:F,5,FALSE)</f>
        <v>927</v>
      </c>
      <c r="C833" t="s">
        <v>17</v>
      </c>
      <c r="D833">
        <f>VLOOKUP(C833,Sheet2!C:G,5,FALSE)</f>
        <v>1200</v>
      </c>
      <c r="E833" t="s">
        <v>100</v>
      </c>
      <c r="F833">
        <f>VLOOKUP(E833,Sheet2!D:E,2,FALSE)</f>
        <v>201038</v>
      </c>
      <c r="G833" t="s">
        <v>11</v>
      </c>
      <c r="H833" t="str">
        <f t="shared" si="24"/>
        <v>NAVERjklabel:naver</v>
      </c>
      <c r="I833" t="str">
        <f>"jklabel:naver"</f>
        <v>jklabel:naver</v>
      </c>
      <c r="J833">
        <v>571080</v>
      </c>
      <c r="K833" s="1">
        <v>44866</v>
      </c>
      <c r="L833" t="s">
        <v>898</v>
      </c>
      <c r="M833">
        <f t="shared" si="25"/>
        <v>571380</v>
      </c>
      <c r="N833" t="e">
        <f>VLOOKUP(H833,Sheet1!G:H,2,FALSE)</f>
        <v>#N/A</v>
      </c>
      <c r="R833" t="s">
        <v>2757</v>
      </c>
      <c r="S833">
        <v>1855550</v>
      </c>
    </row>
    <row r="834" spans="1:19" x14ac:dyDescent="0.3">
      <c r="A834" t="s">
        <v>8</v>
      </c>
      <c r="B834">
        <f>VLOOKUP(A834,Sheet2!B:F,5,FALSE)</f>
        <v>928</v>
      </c>
      <c r="C834" t="s">
        <v>13</v>
      </c>
      <c r="D834">
        <f>VLOOKUP(C834,Sheet2!C:G,5,FALSE)</f>
        <v>1184</v>
      </c>
      <c r="E834" t="s">
        <v>51</v>
      </c>
      <c r="F834">
        <f>VLOOKUP(E834,Sheet2!D:E,2,FALSE)</f>
        <v>1274</v>
      </c>
      <c r="G834" t="s">
        <v>11</v>
      </c>
      <c r="H834" t="str">
        <f t="shared" si="24"/>
        <v>NAVERjkoh1210</v>
      </c>
      <c r="I834" t="str">
        <f>"jkoh1210"</f>
        <v>jkoh1210</v>
      </c>
      <c r="J834">
        <v>395540</v>
      </c>
      <c r="K834" s="1">
        <v>44866</v>
      </c>
      <c r="L834" t="s">
        <v>899</v>
      </c>
      <c r="M834">
        <f t="shared" si="25"/>
        <v>395540</v>
      </c>
      <c r="N834" t="e">
        <f>VLOOKUP(H834,Sheet1!G:H,2,FALSE)</f>
        <v>#N/A</v>
      </c>
      <c r="R834" t="s">
        <v>2758</v>
      </c>
      <c r="S834">
        <v>124880</v>
      </c>
    </row>
    <row r="835" spans="1:19" x14ac:dyDescent="0.3">
      <c r="A835" t="s">
        <v>8</v>
      </c>
      <c r="B835">
        <f>VLOOKUP(A835,Sheet2!B:F,5,FALSE)</f>
        <v>928</v>
      </c>
      <c r="C835" t="s">
        <v>167</v>
      </c>
      <c r="D835">
        <f>VLOOKUP(C835,Sheet2!C:G,5,FALSE)</f>
        <v>935</v>
      </c>
      <c r="E835" t="s">
        <v>168</v>
      </c>
      <c r="F835">
        <f>VLOOKUP(E835,Sheet2!D:E,2,FALSE)</f>
        <v>2</v>
      </c>
      <c r="G835" t="s">
        <v>11</v>
      </c>
      <c r="H835" t="str">
        <f t="shared" ref="H835:H898" si="26">CONCATENATE(G835,I835)</f>
        <v>NAVERjm7672</v>
      </c>
      <c r="I835" t="str">
        <f>"jm7672"</f>
        <v>jm7672</v>
      </c>
      <c r="J835">
        <v>46270</v>
      </c>
      <c r="K835" s="1">
        <v>44866</v>
      </c>
      <c r="L835" t="s">
        <v>900</v>
      </c>
      <c r="M835">
        <f t="shared" ref="M835:M898" si="27">VLOOKUP(H835,R:S,2,FALSE)</f>
        <v>46270</v>
      </c>
      <c r="N835" t="e">
        <f>VLOOKUP(H835,Sheet1!G:H,2,FALSE)</f>
        <v>#N/A</v>
      </c>
      <c r="R835" t="s">
        <v>2759</v>
      </c>
      <c r="S835">
        <v>98550</v>
      </c>
    </row>
    <row r="836" spans="1:19" x14ac:dyDescent="0.3">
      <c r="A836" t="s">
        <v>16</v>
      </c>
      <c r="B836">
        <f>VLOOKUP(A836,Sheet2!B:F,5,FALSE)</f>
        <v>927</v>
      </c>
      <c r="C836" t="s">
        <v>17</v>
      </c>
      <c r="D836">
        <f>VLOOKUP(C836,Sheet2!C:G,5,FALSE)</f>
        <v>1200</v>
      </c>
      <c r="E836" t="s">
        <v>371</v>
      </c>
      <c r="F836">
        <f>VLOOKUP(E836,Sheet2!D:E,2,FALSE)</f>
        <v>551</v>
      </c>
      <c r="G836" t="s">
        <v>11</v>
      </c>
      <c r="H836" t="str">
        <f t="shared" si="26"/>
        <v>NAVERjmjmhmo3</v>
      </c>
      <c r="I836" t="str">
        <f>"jmjmhmo3"</f>
        <v>jmjmhmo3</v>
      </c>
      <c r="J836">
        <v>259260</v>
      </c>
      <c r="K836" s="1">
        <v>44866</v>
      </c>
      <c r="L836" t="s">
        <v>901</v>
      </c>
      <c r="M836">
        <f t="shared" si="27"/>
        <v>259260</v>
      </c>
      <c r="N836" t="e">
        <f>VLOOKUP(H836,Sheet1!G:H,2,FALSE)</f>
        <v>#N/A</v>
      </c>
      <c r="R836" t="s">
        <v>2760</v>
      </c>
      <c r="S836">
        <v>787060</v>
      </c>
    </row>
    <row r="837" spans="1:19" x14ac:dyDescent="0.3">
      <c r="A837" t="s">
        <v>16</v>
      </c>
      <c r="B837">
        <f>VLOOKUP(A837,Sheet2!B:F,5,FALSE)</f>
        <v>927</v>
      </c>
      <c r="C837" t="s">
        <v>17</v>
      </c>
      <c r="D837">
        <f>VLOOKUP(C837,Sheet2!C:G,5,FALSE)</f>
        <v>1200</v>
      </c>
      <c r="E837" t="s">
        <v>244</v>
      </c>
      <c r="F837">
        <f>VLOOKUP(E837,Sheet2!D:E,2,FALSE)</f>
        <v>817</v>
      </c>
      <c r="G837" t="s">
        <v>11</v>
      </c>
      <c r="H837" t="str">
        <f t="shared" si="26"/>
        <v>NAVERjndshop77</v>
      </c>
      <c r="I837" t="str">
        <f>"jndshop77"</f>
        <v>jndshop77</v>
      </c>
      <c r="J837">
        <v>150270</v>
      </c>
      <c r="K837" s="1">
        <v>44866</v>
      </c>
      <c r="L837" t="s">
        <v>902</v>
      </c>
      <c r="M837">
        <f t="shared" si="27"/>
        <v>150680</v>
      </c>
      <c r="N837" t="e">
        <f>VLOOKUP(H837,Sheet1!G:H,2,FALSE)</f>
        <v>#N/A</v>
      </c>
      <c r="R837" t="s">
        <v>2761</v>
      </c>
      <c r="S837">
        <v>1935960</v>
      </c>
    </row>
    <row r="838" spans="1:19" x14ac:dyDescent="0.3">
      <c r="A838" t="s">
        <v>8</v>
      </c>
      <c r="B838">
        <f>VLOOKUP(A838,Sheet2!B:F,5,FALSE)</f>
        <v>928</v>
      </c>
      <c r="C838" t="s">
        <v>9</v>
      </c>
      <c r="D838">
        <f>VLOOKUP(C838,Sheet2!C:G,5,FALSE)</f>
        <v>1202</v>
      </c>
      <c r="E838" t="s">
        <v>10</v>
      </c>
      <c r="F838">
        <f>VLOOKUP(E838,Sheet2!D:E,2,FALSE)</f>
        <v>939</v>
      </c>
      <c r="G838" t="s">
        <v>11</v>
      </c>
      <c r="H838" t="str">
        <f t="shared" si="26"/>
        <v>NAVERjnhwa</v>
      </c>
      <c r="I838" t="str">
        <f>"jnhwa"</f>
        <v>jnhwa</v>
      </c>
      <c r="J838">
        <v>5650</v>
      </c>
      <c r="K838" s="1">
        <v>44866</v>
      </c>
      <c r="L838" t="s">
        <v>903</v>
      </c>
      <c r="M838">
        <f t="shared" si="27"/>
        <v>5650</v>
      </c>
      <c r="N838" t="e">
        <f>VLOOKUP(H838,Sheet1!G:H,2,FALSE)</f>
        <v>#N/A</v>
      </c>
      <c r="R838" t="s">
        <v>2762</v>
      </c>
      <c r="S838">
        <v>5786830</v>
      </c>
    </row>
    <row r="839" spans="1:19" x14ac:dyDescent="0.3">
      <c r="A839" t="s">
        <v>8</v>
      </c>
      <c r="B839">
        <f>VLOOKUP(A839,Sheet2!B:F,5,FALSE)</f>
        <v>928</v>
      </c>
      <c r="C839" t="s">
        <v>9</v>
      </c>
      <c r="D839">
        <f>VLOOKUP(C839,Sheet2!C:G,5,FALSE)</f>
        <v>1202</v>
      </c>
      <c r="E839" t="s">
        <v>31</v>
      </c>
      <c r="F839">
        <f>VLOOKUP(E839,Sheet2!D:E,2,FALSE)</f>
        <v>1040</v>
      </c>
      <c r="G839" t="s">
        <v>11</v>
      </c>
      <c r="H839" t="str">
        <f t="shared" si="26"/>
        <v>NAVERjnjsujo</v>
      </c>
      <c r="I839" t="str">
        <f>"jnjsujo"</f>
        <v>jnjsujo</v>
      </c>
      <c r="J839">
        <v>613690</v>
      </c>
      <c r="K839" s="1">
        <v>44866</v>
      </c>
      <c r="L839" t="s">
        <v>904</v>
      </c>
      <c r="M839">
        <f t="shared" si="27"/>
        <v>613690</v>
      </c>
      <c r="N839" t="e">
        <f>VLOOKUP(H839,Sheet1!G:H,2,FALSE)</f>
        <v>#N/A</v>
      </c>
      <c r="R839" t="s">
        <v>2763</v>
      </c>
      <c r="S839">
        <v>672530</v>
      </c>
    </row>
    <row r="840" spans="1:19" x14ac:dyDescent="0.3">
      <c r="A840" t="s">
        <v>8</v>
      </c>
      <c r="B840">
        <f>VLOOKUP(A840,Sheet2!B:F,5,FALSE)</f>
        <v>928</v>
      </c>
      <c r="C840" t="s">
        <v>13</v>
      </c>
      <c r="D840">
        <f>VLOOKUP(C840,Sheet2!C:G,5,FALSE)</f>
        <v>1184</v>
      </c>
      <c r="E840" t="s">
        <v>102</v>
      </c>
      <c r="F840">
        <f>VLOOKUP(E840,Sheet2!D:E,2,FALSE)</f>
        <v>917</v>
      </c>
      <c r="G840" t="s">
        <v>11</v>
      </c>
      <c r="H840" t="str">
        <f t="shared" si="26"/>
        <v>NAVERjnktrade18:naver</v>
      </c>
      <c r="I840" t="str">
        <f>"jnktrade18:naver"</f>
        <v>jnktrade18:naver</v>
      </c>
      <c r="J840">
        <v>55850</v>
      </c>
      <c r="K840" s="1">
        <v>44866</v>
      </c>
      <c r="L840" t="s">
        <v>905</v>
      </c>
      <c r="M840">
        <f t="shared" si="27"/>
        <v>56300</v>
      </c>
      <c r="N840" t="e">
        <f>VLOOKUP(H840,Sheet1!G:H,2,FALSE)</f>
        <v>#N/A</v>
      </c>
      <c r="R840" t="s">
        <v>2764</v>
      </c>
      <c r="S840">
        <v>1363210</v>
      </c>
    </row>
    <row r="841" spans="1:19" x14ac:dyDescent="0.3">
      <c r="A841" t="s">
        <v>16</v>
      </c>
      <c r="B841">
        <f>VLOOKUP(A841,Sheet2!B:F,5,FALSE)</f>
        <v>927</v>
      </c>
      <c r="C841" t="s">
        <v>17</v>
      </c>
      <c r="D841">
        <f>VLOOKUP(C841,Sheet2!C:G,5,FALSE)</f>
        <v>1200</v>
      </c>
      <c r="E841" t="s">
        <v>100</v>
      </c>
      <c r="F841">
        <f>VLOOKUP(E841,Sheet2!D:E,2,FALSE)</f>
        <v>201038</v>
      </c>
      <c r="G841" t="s">
        <v>11</v>
      </c>
      <c r="H841" t="str">
        <f t="shared" si="26"/>
        <v>NAVERjo140620</v>
      </c>
      <c r="I841" t="str">
        <f>"jo140620"</f>
        <v>jo140620</v>
      </c>
      <c r="J841">
        <v>118340</v>
      </c>
      <c r="K841" s="1">
        <v>44866</v>
      </c>
      <c r="L841" t="s">
        <v>906</v>
      </c>
      <c r="M841">
        <f t="shared" si="27"/>
        <v>118340</v>
      </c>
      <c r="N841" t="e">
        <f>VLOOKUP(H841,Sheet1!G:H,2,FALSE)</f>
        <v>#N/A</v>
      </c>
      <c r="R841" t="s">
        <v>2765</v>
      </c>
      <c r="S841">
        <v>78500</v>
      </c>
    </row>
    <row r="842" spans="1:19" x14ac:dyDescent="0.3">
      <c r="A842" t="s">
        <v>8</v>
      </c>
      <c r="B842">
        <f>VLOOKUP(A842,Sheet2!B:F,5,FALSE)</f>
        <v>928</v>
      </c>
      <c r="C842" t="s">
        <v>9</v>
      </c>
      <c r="D842">
        <f>VLOOKUP(C842,Sheet2!C:G,5,FALSE)</f>
        <v>1202</v>
      </c>
      <c r="E842" t="s">
        <v>31</v>
      </c>
      <c r="F842">
        <f>VLOOKUP(E842,Sheet2!D:E,2,FALSE)</f>
        <v>1040</v>
      </c>
      <c r="G842" t="s">
        <v>11</v>
      </c>
      <c r="H842" t="str">
        <f t="shared" si="26"/>
        <v>NAVERjoio6432</v>
      </c>
      <c r="I842" t="str">
        <f>"joio6432"</f>
        <v>joio6432</v>
      </c>
      <c r="J842">
        <v>23670</v>
      </c>
      <c r="K842" s="1">
        <v>44866</v>
      </c>
      <c r="L842" t="s">
        <v>907</v>
      </c>
      <c r="M842">
        <f t="shared" si="27"/>
        <v>16400</v>
      </c>
      <c r="N842" t="e">
        <f>VLOOKUP(H842,Sheet1!G:H,2,FALSE)</f>
        <v>#N/A</v>
      </c>
      <c r="R842" t="s">
        <v>2766</v>
      </c>
      <c r="S842">
        <v>88710</v>
      </c>
    </row>
    <row r="843" spans="1:19" x14ac:dyDescent="0.3">
      <c r="A843" t="s">
        <v>41</v>
      </c>
      <c r="B843">
        <f>VLOOKUP(A843,Sheet2!B:F,5,FALSE)</f>
        <v>926</v>
      </c>
      <c r="C843" t="s">
        <v>56</v>
      </c>
      <c r="D843">
        <f>VLOOKUP(C843,Sheet2!C:G,5,FALSE)</f>
        <v>1207</v>
      </c>
      <c r="E843" t="s">
        <v>62</v>
      </c>
      <c r="F843">
        <f>VLOOKUP(E843,Sheet2!D:E,2,FALSE)</f>
        <v>201037</v>
      </c>
      <c r="G843" t="s">
        <v>11</v>
      </c>
      <c r="H843" t="str">
        <f t="shared" si="26"/>
        <v>NAVERjollinda</v>
      </c>
      <c r="I843" t="str">
        <f>"jollinda"</f>
        <v>jollinda</v>
      </c>
      <c r="J843">
        <v>109770</v>
      </c>
      <c r="K843" s="1">
        <v>44866</v>
      </c>
      <c r="L843" t="s">
        <v>908</v>
      </c>
      <c r="M843">
        <f t="shared" si="27"/>
        <v>109770</v>
      </c>
      <c r="N843" t="e">
        <f>VLOOKUP(H843,Sheet1!G:H,2,FALSE)</f>
        <v>#N/A</v>
      </c>
      <c r="R843" t="s">
        <v>2767</v>
      </c>
      <c r="S843">
        <v>840</v>
      </c>
    </row>
    <row r="844" spans="1:19" x14ac:dyDescent="0.3">
      <c r="A844" t="s">
        <v>8</v>
      </c>
      <c r="B844">
        <f>VLOOKUP(A844,Sheet2!B:F,5,FALSE)</f>
        <v>928</v>
      </c>
      <c r="C844" t="s">
        <v>9</v>
      </c>
      <c r="D844">
        <f>VLOOKUP(C844,Sheet2!C:G,5,FALSE)</f>
        <v>1202</v>
      </c>
      <c r="E844" t="s">
        <v>45</v>
      </c>
      <c r="F844">
        <f>VLOOKUP(E844,Sheet2!D:E,2,FALSE)</f>
        <v>26</v>
      </c>
      <c r="G844" t="s">
        <v>11</v>
      </c>
      <c r="H844" t="str">
        <f t="shared" si="26"/>
        <v>NAVERjongkyu1225:naver</v>
      </c>
      <c r="I844" t="str">
        <f>"jongkyu1225:naver"</f>
        <v>jongkyu1225:naver</v>
      </c>
      <c r="J844">
        <v>1641686</v>
      </c>
      <c r="K844" s="1">
        <v>44866</v>
      </c>
      <c r="L844" t="s">
        <v>909</v>
      </c>
      <c r="M844">
        <f t="shared" si="27"/>
        <v>1641729</v>
      </c>
      <c r="N844" t="e">
        <f>VLOOKUP(H844,Sheet1!G:H,2,FALSE)</f>
        <v>#N/A</v>
      </c>
      <c r="R844" t="s">
        <v>2768</v>
      </c>
      <c r="S844">
        <v>20740</v>
      </c>
    </row>
    <row r="845" spans="1:19" x14ac:dyDescent="0.3">
      <c r="A845" t="s">
        <v>8</v>
      </c>
      <c r="B845">
        <f>VLOOKUP(A845,Sheet2!B:F,5,FALSE)</f>
        <v>928</v>
      </c>
      <c r="C845" t="s">
        <v>13</v>
      </c>
      <c r="D845">
        <f>VLOOKUP(C845,Sheet2!C:G,5,FALSE)</f>
        <v>1184</v>
      </c>
      <c r="E845" t="s">
        <v>102</v>
      </c>
      <c r="F845">
        <f>VLOOKUP(E845,Sheet2!D:E,2,FALSE)</f>
        <v>917</v>
      </c>
      <c r="G845" t="s">
        <v>11</v>
      </c>
      <c r="H845" t="str">
        <f t="shared" si="26"/>
        <v>NAVERjonwoo2002</v>
      </c>
      <c r="I845" t="str">
        <f>"jonwoo2002"</f>
        <v>jonwoo2002</v>
      </c>
      <c r="J845">
        <v>46170</v>
      </c>
      <c r="K845" s="1">
        <v>44866</v>
      </c>
      <c r="L845" t="s">
        <v>910</v>
      </c>
      <c r="M845">
        <f t="shared" si="27"/>
        <v>46170</v>
      </c>
      <c r="N845" t="e">
        <f>VLOOKUP(H845,Sheet1!G:H,2,FALSE)</f>
        <v>#N/A</v>
      </c>
      <c r="R845" t="s">
        <v>2769</v>
      </c>
      <c r="S845">
        <v>10547230</v>
      </c>
    </row>
    <row r="846" spans="1:19" x14ac:dyDescent="0.3">
      <c r="A846" t="s">
        <v>16</v>
      </c>
      <c r="B846">
        <f>VLOOKUP(A846,Sheet2!B:F,5,FALSE)</f>
        <v>927</v>
      </c>
      <c r="C846" t="s">
        <v>17</v>
      </c>
      <c r="D846">
        <f>VLOOKUP(C846,Sheet2!C:G,5,FALSE)</f>
        <v>1200</v>
      </c>
      <c r="E846" t="s">
        <v>137</v>
      </c>
      <c r="F846">
        <f>VLOOKUP(E846,Sheet2!D:E,2,FALSE)</f>
        <v>1012</v>
      </c>
      <c r="G846" t="s">
        <v>11</v>
      </c>
      <c r="H846" t="str">
        <f t="shared" si="26"/>
        <v>NAVERjoo062911</v>
      </c>
      <c r="I846" t="str">
        <f>"joo062911"</f>
        <v>joo062911</v>
      </c>
      <c r="J846">
        <v>518880</v>
      </c>
      <c r="K846" s="1">
        <v>44866</v>
      </c>
      <c r="L846" t="s">
        <v>911</v>
      </c>
      <c r="M846">
        <f t="shared" si="27"/>
        <v>518880</v>
      </c>
      <c r="N846" t="e">
        <f>VLOOKUP(H846,Sheet1!G:H,2,FALSE)</f>
        <v>#N/A</v>
      </c>
      <c r="R846" t="s">
        <v>2770</v>
      </c>
      <c r="S846">
        <v>37230</v>
      </c>
    </row>
    <row r="847" spans="1:19" x14ac:dyDescent="0.3">
      <c r="A847" t="s">
        <v>16</v>
      </c>
      <c r="B847">
        <f>VLOOKUP(A847,Sheet2!B:F,5,FALSE)</f>
        <v>927</v>
      </c>
      <c r="C847" t="s">
        <v>17</v>
      </c>
      <c r="D847">
        <f>VLOOKUP(C847,Sheet2!C:G,5,FALSE)</f>
        <v>1200</v>
      </c>
      <c r="E847" t="s">
        <v>100</v>
      </c>
      <c r="F847">
        <f>VLOOKUP(E847,Sheet2!D:E,2,FALSE)</f>
        <v>201038</v>
      </c>
      <c r="G847" t="s">
        <v>11</v>
      </c>
      <c r="H847" t="str">
        <f t="shared" si="26"/>
        <v>NAVERjoochan0930</v>
      </c>
      <c r="I847" t="str">
        <f>"joochan0930"</f>
        <v>joochan0930</v>
      </c>
      <c r="J847">
        <v>678950</v>
      </c>
      <c r="K847" s="1">
        <v>44866</v>
      </c>
      <c r="L847" t="s">
        <v>912</v>
      </c>
      <c r="M847">
        <f t="shared" si="27"/>
        <v>678950</v>
      </c>
      <c r="N847" t="e">
        <f>VLOOKUP(H847,Sheet1!G:H,2,FALSE)</f>
        <v>#N/A</v>
      </c>
      <c r="R847" t="s">
        <v>2771</v>
      </c>
      <c r="S847">
        <v>0</v>
      </c>
    </row>
    <row r="848" spans="1:19" x14ac:dyDescent="0.3">
      <c r="A848" t="s">
        <v>16</v>
      </c>
      <c r="B848">
        <f>VLOOKUP(A848,Sheet2!B:F,5,FALSE)</f>
        <v>927</v>
      </c>
      <c r="C848" t="s">
        <v>17</v>
      </c>
      <c r="D848">
        <f>VLOOKUP(C848,Sheet2!C:G,5,FALSE)</f>
        <v>1200</v>
      </c>
      <c r="E848" t="s">
        <v>100</v>
      </c>
      <c r="F848">
        <f>VLOOKUP(E848,Sheet2!D:E,2,FALSE)</f>
        <v>201038</v>
      </c>
      <c r="G848" t="s">
        <v>11</v>
      </c>
      <c r="H848" t="str">
        <f t="shared" si="26"/>
        <v>NAVERjoochan0930:naver</v>
      </c>
      <c r="I848" t="str">
        <f>"joochan0930:naver"</f>
        <v>joochan0930:naver</v>
      </c>
      <c r="J848">
        <v>348240</v>
      </c>
      <c r="K848" s="1">
        <v>44866</v>
      </c>
      <c r="L848" t="s">
        <v>913</v>
      </c>
      <c r="M848">
        <f t="shared" si="27"/>
        <v>348240</v>
      </c>
      <c r="N848" t="e">
        <f>VLOOKUP(H848,Sheet1!G:H,2,FALSE)</f>
        <v>#N/A</v>
      </c>
      <c r="R848" t="s">
        <v>2772</v>
      </c>
      <c r="S848">
        <v>0</v>
      </c>
    </row>
    <row r="849" spans="1:19" x14ac:dyDescent="0.3">
      <c r="A849" t="s">
        <v>8</v>
      </c>
      <c r="B849">
        <f>VLOOKUP(A849,Sheet2!B:F,5,FALSE)</f>
        <v>928</v>
      </c>
      <c r="C849" t="s">
        <v>9</v>
      </c>
      <c r="D849">
        <f>VLOOKUP(C849,Sheet2!C:G,5,FALSE)</f>
        <v>1202</v>
      </c>
      <c r="E849" t="s">
        <v>39</v>
      </c>
      <c r="F849">
        <f>VLOOKUP(E849,Sheet2!D:E,2,FALSE)</f>
        <v>25</v>
      </c>
      <c r="G849" t="s">
        <v>11</v>
      </c>
      <c r="H849" t="str">
        <f t="shared" si="26"/>
        <v>NAVERjoongang2009</v>
      </c>
      <c r="I849" t="str">
        <f>"joongang2009"</f>
        <v>joongang2009</v>
      </c>
      <c r="J849">
        <v>222550</v>
      </c>
      <c r="K849" s="1">
        <v>44866</v>
      </c>
      <c r="L849" t="s">
        <v>914</v>
      </c>
      <c r="M849">
        <f t="shared" si="27"/>
        <v>222550</v>
      </c>
      <c r="N849" t="e">
        <f>VLOOKUP(H849,Sheet1!G:H,2,FALSE)</f>
        <v>#N/A</v>
      </c>
      <c r="R849" t="s">
        <v>2773</v>
      </c>
      <c r="S849">
        <v>897140</v>
      </c>
    </row>
    <row r="850" spans="1:19" x14ac:dyDescent="0.3">
      <c r="A850" t="s">
        <v>8</v>
      </c>
      <c r="B850">
        <f>VLOOKUP(A850,Sheet2!B:F,5,FALSE)</f>
        <v>928</v>
      </c>
      <c r="C850" t="s">
        <v>13</v>
      </c>
      <c r="D850">
        <f>VLOOKUP(C850,Sheet2!C:G,5,FALSE)</f>
        <v>1184</v>
      </c>
      <c r="E850" t="s">
        <v>51</v>
      </c>
      <c r="F850">
        <f>VLOOKUP(E850,Sheet2!D:E,2,FALSE)</f>
        <v>1274</v>
      </c>
      <c r="G850" t="s">
        <v>11</v>
      </c>
      <c r="H850" t="str">
        <f t="shared" si="26"/>
        <v>NAVERjoonhao</v>
      </c>
      <c r="I850" t="str">
        <f>"joonhao"</f>
        <v>joonhao</v>
      </c>
      <c r="J850">
        <v>1261720</v>
      </c>
      <c r="K850" s="1">
        <v>44866</v>
      </c>
      <c r="L850" t="s">
        <v>915</v>
      </c>
      <c r="M850">
        <f t="shared" si="27"/>
        <v>1261720</v>
      </c>
      <c r="N850" t="e">
        <f>VLOOKUP(H850,Sheet1!G:H,2,FALSE)</f>
        <v>#N/A</v>
      </c>
      <c r="R850" t="s">
        <v>2774</v>
      </c>
      <c r="S850">
        <v>1014350</v>
      </c>
    </row>
    <row r="851" spans="1:19" x14ac:dyDescent="0.3">
      <c r="A851" t="s">
        <v>8</v>
      </c>
      <c r="B851">
        <f>VLOOKUP(A851,Sheet2!B:F,5,FALSE)</f>
        <v>928</v>
      </c>
      <c r="C851" t="s">
        <v>13</v>
      </c>
      <c r="D851">
        <f>VLOOKUP(C851,Sheet2!C:G,5,FALSE)</f>
        <v>1184</v>
      </c>
      <c r="E851" t="s">
        <v>102</v>
      </c>
      <c r="F851">
        <f>VLOOKUP(E851,Sheet2!D:E,2,FALSE)</f>
        <v>917</v>
      </c>
      <c r="G851" t="s">
        <v>11</v>
      </c>
      <c r="H851" t="str">
        <f t="shared" si="26"/>
        <v>NAVERjosanghwi</v>
      </c>
      <c r="I851" t="str">
        <f>"josanghwi"</f>
        <v>josanghwi</v>
      </c>
      <c r="J851">
        <v>43580</v>
      </c>
      <c r="K851" s="1">
        <v>44866</v>
      </c>
      <c r="L851" t="s">
        <v>916</v>
      </c>
      <c r="M851">
        <f t="shared" si="27"/>
        <v>43580</v>
      </c>
      <c r="N851" t="e">
        <f>VLOOKUP(H851,Sheet1!G:H,2,FALSE)</f>
        <v>#N/A</v>
      </c>
      <c r="R851" t="s">
        <v>2775</v>
      </c>
      <c r="S851">
        <v>11780</v>
      </c>
    </row>
    <row r="852" spans="1:19" x14ac:dyDescent="0.3">
      <c r="A852" t="s">
        <v>8</v>
      </c>
      <c r="B852">
        <f>VLOOKUP(A852,Sheet2!B:F,5,FALSE)</f>
        <v>928</v>
      </c>
      <c r="C852" t="s">
        <v>9</v>
      </c>
      <c r="D852">
        <f>VLOOKUP(C852,Sheet2!C:G,5,FALSE)</f>
        <v>1202</v>
      </c>
      <c r="E852" t="s">
        <v>75</v>
      </c>
      <c r="F852">
        <f>VLOOKUP(E852,Sheet2!D:E,2,FALSE)</f>
        <v>50</v>
      </c>
      <c r="G852" t="s">
        <v>11</v>
      </c>
      <c r="H852" t="str">
        <f t="shared" si="26"/>
        <v>NAVERjoyful1275</v>
      </c>
      <c r="I852" t="str">
        <f>"joyful1275"</f>
        <v>joyful1275</v>
      </c>
      <c r="J852">
        <v>4064080</v>
      </c>
      <c r="K852" s="1">
        <v>44866</v>
      </c>
      <c r="L852" t="s">
        <v>917</v>
      </c>
      <c r="M852">
        <f t="shared" si="27"/>
        <v>4064080</v>
      </c>
      <c r="N852" t="e">
        <f>VLOOKUP(H852,Sheet1!G:H,2,FALSE)</f>
        <v>#N/A</v>
      </c>
      <c r="R852" t="s">
        <v>2776</v>
      </c>
      <c r="S852">
        <v>741300</v>
      </c>
    </row>
    <row r="853" spans="1:19" x14ac:dyDescent="0.3">
      <c r="A853" t="s">
        <v>8</v>
      </c>
      <c r="B853">
        <f>VLOOKUP(A853,Sheet2!B:F,5,FALSE)</f>
        <v>928</v>
      </c>
      <c r="C853" t="s">
        <v>9</v>
      </c>
      <c r="D853">
        <f>VLOOKUP(C853,Sheet2!C:G,5,FALSE)</f>
        <v>1202</v>
      </c>
      <c r="E853" t="s">
        <v>37</v>
      </c>
      <c r="F853">
        <f>VLOOKUP(E853,Sheet2!D:E,2,FALSE)</f>
        <v>81</v>
      </c>
      <c r="G853" t="s">
        <v>11</v>
      </c>
      <c r="H853" t="str">
        <f t="shared" si="26"/>
        <v>NAVERjpack</v>
      </c>
      <c r="I853" t="str">
        <f>"jpack"</f>
        <v>jpack</v>
      </c>
      <c r="J853">
        <v>68900</v>
      </c>
      <c r="K853" s="1">
        <v>44866</v>
      </c>
      <c r="L853" t="s">
        <v>918</v>
      </c>
      <c r="M853">
        <f t="shared" si="27"/>
        <v>68900</v>
      </c>
      <c r="N853" t="e">
        <f>VLOOKUP(H853,Sheet1!G:H,2,FALSE)</f>
        <v>#N/A</v>
      </c>
      <c r="R853" t="s">
        <v>2777</v>
      </c>
      <c r="S853">
        <v>840990</v>
      </c>
    </row>
    <row r="854" spans="1:19" x14ac:dyDescent="0.3">
      <c r="A854" t="s">
        <v>41</v>
      </c>
      <c r="B854">
        <f>VLOOKUP(A854,Sheet2!B:F,5,FALSE)</f>
        <v>926</v>
      </c>
      <c r="C854" t="s">
        <v>56</v>
      </c>
      <c r="D854">
        <f>VLOOKUP(C854,Sheet2!C:G,5,FALSE)</f>
        <v>1207</v>
      </c>
      <c r="E854" t="s">
        <v>57</v>
      </c>
      <c r="F854">
        <f>VLOOKUP(E854,Sheet2!D:E,2,FALSE)</f>
        <v>200982</v>
      </c>
      <c r="G854" t="s">
        <v>11</v>
      </c>
      <c r="H854" t="str">
        <f t="shared" si="26"/>
        <v>NAVERjpl3834</v>
      </c>
      <c r="I854" t="str">
        <f>"jpl3834"</f>
        <v>jpl3834</v>
      </c>
      <c r="J854">
        <v>64040</v>
      </c>
      <c r="K854" s="1">
        <v>44866</v>
      </c>
      <c r="L854" t="s">
        <v>919</v>
      </c>
      <c r="M854">
        <f t="shared" si="27"/>
        <v>64040</v>
      </c>
      <c r="N854" t="e">
        <f>VLOOKUP(H854,Sheet1!G:H,2,FALSE)</f>
        <v>#N/A</v>
      </c>
      <c r="R854" t="s">
        <v>2778</v>
      </c>
      <c r="S854">
        <v>727900</v>
      </c>
    </row>
    <row r="855" spans="1:19" x14ac:dyDescent="0.3">
      <c r="A855" t="s">
        <v>8</v>
      </c>
      <c r="B855">
        <f>VLOOKUP(A855,Sheet2!B:F,5,FALSE)</f>
        <v>928</v>
      </c>
      <c r="C855" t="s">
        <v>9</v>
      </c>
      <c r="D855">
        <f>VLOOKUP(C855,Sheet2!C:G,5,FALSE)</f>
        <v>1202</v>
      </c>
      <c r="E855" t="s">
        <v>10</v>
      </c>
      <c r="F855">
        <f>VLOOKUP(E855,Sheet2!D:E,2,FALSE)</f>
        <v>939</v>
      </c>
      <c r="G855" t="s">
        <v>11</v>
      </c>
      <c r="H855" t="str">
        <f t="shared" si="26"/>
        <v>NAVERjs1313</v>
      </c>
      <c r="I855" t="str">
        <f>"js1313"</f>
        <v>js1313</v>
      </c>
      <c r="J855">
        <v>28150</v>
      </c>
      <c r="K855" s="1">
        <v>44866</v>
      </c>
      <c r="L855" t="s">
        <v>920</v>
      </c>
      <c r="M855">
        <f t="shared" si="27"/>
        <v>28150</v>
      </c>
      <c r="N855" t="e">
        <f>VLOOKUP(H855,Sheet1!G:H,2,FALSE)</f>
        <v>#N/A</v>
      </c>
      <c r="R855" t="s">
        <v>2779</v>
      </c>
      <c r="S855">
        <v>6270</v>
      </c>
    </row>
    <row r="856" spans="1:19" x14ac:dyDescent="0.3">
      <c r="A856" t="s">
        <v>8</v>
      </c>
      <c r="B856">
        <f>VLOOKUP(A856,Sheet2!B:F,5,FALSE)</f>
        <v>928</v>
      </c>
      <c r="C856" t="s">
        <v>9</v>
      </c>
      <c r="D856">
        <f>VLOOKUP(C856,Sheet2!C:G,5,FALSE)</f>
        <v>1202</v>
      </c>
      <c r="E856" t="s">
        <v>45</v>
      </c>
      <c r="F856">
        <f>VLOOKUP(E856,Sheet2!D:E,2,FALSE)</f>
        <v>26</v>
      </c>
      <c r="G856" t="s">
        <v>11</v>
      </c>
      <c r="H856" t="str">
        <f t="shared" si="26"/>
        <v>NAVERjsashop</v>
      </c>
      <c r="I856" t="str">
        <f>"jsashop"</f>
        <v>jsashop</v>
      </c>
      <c r="J856">
        <v>36340</v>
      </c>
      <c r="K856" s="1">
        <v>44866</v>
      </c>
      <c r="L856" t="s">
        <v>921</v>
      </c>
      <c r="M856">
        <f t="shared" si="27"/>
        <v>36340</v>
      </c>
      <c r="N856" t="e">
        <f>VLOOKUP(H856,Sheet1!G:H,2,FALSE)</f>
        <v>#N/A</v>
      </c>
      <c r="R856" t="s">
        <v>2780</v>
      </c>
      <c r="S856">
        <v>287560</v>
      </c>
    </row>
    <row r="857" spans="1:19" x14ac:dyDescent="0.3">
      <c r="A857" t="s">
        <v>8</v>
      </c>
      <c r="B857">
        <f>VLOOKUP(A857,Sheet2!B:F,5,FALSE)</f>
        <v>928</v>
      </c>
      <c r="C857" t="s">
        <v>13</v>
      </c>
      <c r="D857">
        <f>VLOOKUP(C857,Sheet2!C:G,5,FALSE)</f>
        <v>1184</v>
      </c>
      <c r="E857" t="s">
        <v>102</v>
      </c>
      <c r="F857">
        <f>VLOOKUP(E857,Sheet2!D:E,2,FALSE)</f>
        <v>917</v>
      </c>
      <c r="G857" t="s">
        <v>11</v>
      </c>
      <c r="H857" t="str">
        <f t="shared" si="26"/>
        <v>NAVERjscwoo</v>
      </c>
      <c r="I857" t="str">
        <f>"jscwoo"</f>
        <v>jscwoo</v>
      </c>
      <c r="J857">
        <v>66820</v>
      </c>
      <c r="K857" s="1">
        <v>44866</v>
      </c>
      <c r="L857" t="s">
        <v>922</v>
      </c>
      <c r="M857">
        <f t="shared" si="27"/>
        <v>66820</v>
      </c>
      <c r="N857" t="e">
        <f>VLOOKUP(H857,Sheet1!G:H,2,FALSE)</f>
        <v>#N/A</v>
      </c>
      <c r="R857" t="s">
        <v>2781</v>
      </c>
      <c r="S857">
        <v>601900</v>
      </c>
    </row>
    <row r="858" spans="1:19" x14ac:dyDescent="0.3">
      <c r="A858" t="s">
        <v>8</v>
      </c>
      <c r="B858">
        <f>VLOOKUP(A858,Sheet2!B:F,5,FALSE)</f>
        <v>928</v>
      </c>
      <c r="C858" t="s">
        <v>13</v>
      </c>
      <c r="D858">
        <f>VLOOKUP(C858,Sheet2!C:G,5,FALSE)</f>
        <v>1184</v>
      </c>
      <c r="E858" t="s">
        <v>51</v>
      </c>
      <c r="F858">
        <f>VLOOKUP(E858,Sheet2!D:E,2,FALSE)</f>
        <v>1274</v>
      </c>
      <c r="G858" t="s">
        <v>11</v>
      </c>
      <c r="H858" t="str">
        <f t="shared" si="26"/>
        <v>NAVERjsh34055</v>
      </c>
      <c r="I858" t="str">
        <f>"jsh34055"</f>
        <v>jsh34055</v>
      </c>
      <c r="J858">
        <v>37700</v>
      </c>
      <c r="K858" s="1">
        <v>44866</v>
      </c>
      <c r="L858" t="s">
        <v>923</v>
      </c>
      <c r="M858">
        <f t="shared" si="27"/>
        <v>37700</v>
      </c>
      <c r="N858" t="e">
        <f>VLOOKUP(H858,Sheet1!G:H,2,FALSE)</f>
        <v>#N/A</v>
      </c>
      <c r="R858" t="s">
        <v>2782</v>
      </c>
      <c r="S858">
        <v>280</v>
      </c>
    </row>
    <row r="859" spans="1:19" x14ac:dyDescent="0.3">
      <c r="A859" t="s">
        <v>8</v>
      </c>
      <c r="B859">
        <f>VLOOKUP(A859,Sheet2!B:F,5,FALSE)</f>
        <v>928</v>
      </c>
      <c r="C859" t="s">
        <v>9</v>
      </c>
      <c r="D859">
        <f>VLOOKUP(C859,Sheet2!C:G,5,FALSE)</f>
        <v>1202</v>
      </c>
      <c r="E859" t="s">
        <v>45</v>
      </c>
      <c r="F859">
        <f>VLOOKUP(E859,Sheet2!D:E,2,FALSE)</f>
        <v>26</v>
      </c>
      <c r="G859" t="s">
        <v>11</v>
      </c>
      <c r="H859" t="str">
        <f t="shared" si="26"/>
        <v>NAVERjslee6702</v>
      </c>
      <c r="I859" t="str">
        <f>"jslee6702"</f>
        <v>jslee6702</v>
      </c>
      <c r="J859">
        <v>176270</v>
      </c>
      <c r="K859" s="1">
        <v>44866</v>
      </c>
      <c r="L859" t="s">
        <v>924</v>
      </c>
      <c r="M859">
        <f t="shared" si="27"/>
        <v>4000</v>
      </c>
      <c r="N859" t="str">
        <f>VLOOKUP(H859,Sheet1!G:H,2,FALSE)</f>
        <v>이미있음</v>
      </c>
      <c r="R859" t="s">
        <v>2783</v>
      </c>
      <c r="S859">
        <v>18060</v>
      </c>
    </row>
    <row r="860" spans="1:19" x14ac:dyDescent="0.3">
      <c r="A860" t="s">
        <v>8</v>
      </c>
      <c r="B860">
        <f>VLOOKUP(A860,Sheet2!B:F,5,FALSE)</f>
        <v>928</v>
      </c>
      <c r="C860" t="s">
        <v>9</v>
      </c>
      <c r="D860">
        <f>VLOOKUP(C860,Sheet2!C:G,5,FALSE)</f>
        <v>1202</v>
      </c>
      <c r="E860" t="s">
        <v>31</v>
      </c>
      <c r="F860">
        <f>VLOOKUP(E860,Sheet2!D:E,2,FALSE)</f>
        <v>1040</v>
      </c>
      <c r="G860" t="s">
        <v>11</v>
      </c>
      <c r="H860" t="str">
        <f t="shared" si="26"/>
        <v>NAVERjsmedia</v>
      </c>
      <c r="I860" t="str">
        <f>"jsmedia"</f>
        <v>jsmedia</v>
      </c>
      <c r="J860">
        <v>36240</v>
      </c>
      <c r="K860" s="1">
        <v>44866</v>
      </c>
      <c r="L860" t="s">
        <v>925</v>
      </c>
      <c r="M860">
        <f t="shared" si="27"/>
        <v>36240</v>
      </c>
      <c r="N860" t="e">
        <f>VLOOKUP(H860,Sheet1!G:H,2,FALSE)</f>
        <v>#N/A</v>
      </c>
      <c r="R860" t="s">
        <v>2784</v>
      </c>
      <c r="S860">
        <v>52590</v>
      </c>
    </row>
    <row r="861" spans="1:19" x14ac:dyDescent="0.3">
      <c r="A861" t="s">
        <v>41</v>
      </c>
      <c r="B861">
        <f>VLOOKUP(A861,Sheet2!B:F,5,FALSE)</f>
        <v>926</v>
      </c>
      <c r="C861" t="s">
        <v>56</v>
      </c>
      <c r="D861">
        <f>VLOOKUP(C861,Sheet2!C:G,5,FALSE)</f>
        <v>1207</v>
      </c>
      <c r="E861" t="s">
        <v>62</v>
      </c>
      <c r="F861">
        <f>VLOOKUP(E861,Sheet2!D:E,2,FALSE)</f>
        <v>201037</v>
      </c>
      <c r="G861" t="s">
        <v>11</v>
      </c>
      <c r="H861" t="str">
        <f t="shared" si="26"/>
        <v>NAVERjstore0629</v>
      </c>
      <c r="I861" t="str">
        <f>"jstore0629"</f>
        <v>jstore0629</v>
      </c>
      <c r="J861">
        <v>550</v>
      </c>
      <c r="K861" s="1">
        <v>44866</v>
      </c>
      <c r="L861" t="s">
        <v>926</v>
      </c>
      <c r="M861">
        <f t="shared" si="27"/>
        <v>550</v>
      </c>
      <c r="N861" t="e">
        <f>VLOOKUP(H861,Sheet1!G:H,2,FALSE)</f>
        <v>#N/A</v>
      </c>
      <c r="R861" t="s">
        <v>2785</v>
      </c>
      <c r="S861">
        <v>96520</v>
      </c>
    </row>
    <row r="862" spans="1:19" x14ac:dyDescent="0.3">
      <c r="A862" t="s">
        <v>8</v>
      </c>
      <c r="B862">
        <f>VLOOKUP(A862,Sheet2!B:F,5,FALSE)</f>
        <v>928</v>
      </c>
      <c r="C862" t="s">
        <v>9</v>
      </c>
      <c r="D862">
        <f>VLOOKUP(C862,Sheet2!C:G,5,FALSE)</f>
        <v>1202</v>
      </c>
      <c r="E862" t="s">
        <v>31</v>
      </c>
      <c r="F862">
        <f>VLOOKUP(E862,Sheet2!D:E,2,FALSE)</f>
        <v>1040</v>
      </c>
      <c r="G862" t="s">
        <v>11</v>
      </c>
      <c r="H862" t="str">
        <f t="shared" si="26"/>
        <v>NAVERjtokill</v>
      </c>
      <c r="I862" t="str">
        <f>"jtokill"</f>
        <v>jtokill</v>
      </c>
      <c r="J862">
        <v>59100</v>
      </c>
      <c r="K862" s="1">
        <v>44866</v>
      </c>
      <c r="L862" t="s">
        <v>927</v>
      </c>
      <c r="M862">
        <f t="shared" si="27"/>
        <v>59100</v>
      </c>
      <c r="N862" t="e">
        <f>VLOOKUP(H862,Sheet1!G:H,2,FALSE)</f>
        <v>#N/A</v>
      </c>
      <c r="R862" t="s">
        <v>2786</v>
      </c>
      <c r="S862">
        <v>28680</v>
      </c>
    </row>
    <row r="863" spans="1:19" x14ac:dyDescent="0.3">
      <c r="A863" t="s">
        <v>8</v>
      </c>
      <c r="B863">
        <f>VLOOKUP(A863,Sheet2!B:F,5,FALSE)</f>
        <v>928</v>
      </c>
      <c r="C863" t="s">
        <v>9</v>
      </c>
      <c r="D863">
        <f>VLOOKUP(C863,Sheet2!C:G,5,FALSE)</f>
        <v>1202</v>
      </c>
      <c r="E863" t="s">
        <v>39</v>
      </c>
      <c r="F863">
        <f>VLOOKUP(E863,Sheet2!D:E,2,FALSE)</f>
        <v>25</v>
      </c>
      <c r="G863" t="s">
        <v>11</v>
      </c>
      <c r="H863" t="str">
        <f t="shared" si="26"/>
        <v>NAVERju7113</v>
      </c>
      <c r="I863" t="str">
        <f>"ju7113"</f>
        <v>ju7113</v>
      </c>
      <c r="J863">
        <v>274150</v>
      </c>
      <c r="K863" s="1">
        <v>44866</v>
      </c>
      <c r="L863" t="s">
        <v>928</v>
      </c>
      <c r="M863">
        <f t="shared" si="27"/>
        <v>274150</v>
      </c>
      <c r="N863" t="e">
        <f>VLOOKUP(H863,Sheet1!G:H,2,FALSE)</f>
        <v>#N/A</v>
      </c>
      <c r="R863" t="s">
        <v>2787</v>
      </c>
      <c r="S863">
        <v>210</v>
      </c>
    </row>
    <row r="864" spans="1:19" x14ac:dyDescent="0.3">
      <c r="A864" t="s">
        <v>8</v>
      </c>
      <c r="B864">
        <f>VLOOKUP(A864,Sheet2!B:F,5,FALSE)</f>
        <v>928</v>
      </c>
      <c r="C864" t="s">
        <v>9</v>
      </c>
      <c r="D864">
        <f>VLOOKUP(C864,Sheet2!C:G,5,FALSE)</f>
        <v>1202</v>
      </c>
      <c r="E864" t="s">
        <v>35</v>
      </c>
      <c r="F864">
        <f>VLOOKUP(E864,Sheet2!D:E,2,FALSE)</f>
        <v>51</v>
      </c>
      <c r="G864" t="s">
        <v>11</v>
      </c>
      <c r="H864" t="str">
        <f t="shared" si="26"/>
        <v>NAVERjudi2340</v>
      </c>
      <c r="I864" t="str">
        <f>"judi2340"</f>
        <v>judi2340</v>
      </c>
      <c r="J864">
        <v>273650</v>
      </c>
      <c r="K864" s="1">
        <v>44866</v>
      </c>
      <c r="L864" t="s">
        <v>929</v>
      </c>
      <c r="M864">
        <f t="shared" si="27"/>
        <v>273650</v>
      </c>
      <c r="N864" t="e">
        <f>VLOOKUP(H864,Sheet1!G:H,2,FALSE)</f>
        <v>#N/A</v>
      </c>
      <c r="R864" t="s">
        <v>2788</v>
      </c>
      <c r="S864">
        <v>6170</v>
      </c>
    </row>
    <row r="865" spans="1:19" x14ac:dyDescent="0.3">
      <c r="A865" t="s">
        <v>8</v>
      </c>
      <c r="B865">
        <f>VLOOKUP(A865,Sheet2!B:F,5,FALSE)</f>
        <v>928</v>
      </c>
      <c r="C865" t="s">
        <v>9</v>
      </c>
      <c r="D865">
        <f>VLOOKUP(C865,Sheet2!C:G,5,FALSE)</f>
        <v>1202</v>
      </c>
      <c r="E865" t="s">
        <v>47</v>
      </c>
      <c r="F865">
        <f>VLOOKUP(E865,Sheet2!D:E,2,FALSE)</f>
        <v>898</v>
      </c>
      <c r="G865" t="s">
        <v>11</v>
      </c>
      <c r="H865" t="str">
        <f t="shared" si="26"/>
        <v>NAVERjudie73</v>
      </c>
      <c r="I865" t="str">
        <f>"judie73"</f>
        <v>judie73</v>
      </c>
      <c r="J865">
        <v>190900</v>
      </c>
      <c r="K865" s="1">
        <v>44866</v>
      </c>
      <c r="L865" t="s">
        <v>930</v>
      </c>
      <c r="M865">
        <f t="shared" si="27"/>
        <v>190900</v>
      </c>
      <c r="N865" t="e">
        <f>VLOOKUP(H865,Sheet1!G:H,2,FALSE)</f>
        <v>#N/A</v>
      </c>
      <c r="R865" t="s">
        <v>2789</v>
      </c>
      <c r="S865">
        <v>1904300</v>
      </c>
    </row>
    <row r="866" spans="1:19" x14ac:dyDescent="0.3">
      <c r="A866" t="s">
        <v>8</v>
      </c>
      <c r="B866">
        <f>VLOOKUP(A866,Sheet2!B:F,5,FALSE)</f>
        <v>928</v>
      </c>
      <c r="C866" t="s">
        <v>9</v>
      </c>
      <c r="D866">
        <f>VLOOKUP(C866,Sheet2!C:G,5,FALSE)</f>
        <v>1202</v>
      </c>
      <c r="E866" t="s">
        <v>37</v>
      </c>
      <c r="F866">
        <f>VLOOKUP(E866,Sheet2!D:E,2,FALSE)</f>
        <v>81</v>
      </c>
      <c r="G866" t="s">
        <v>11</v>
      </c>
      <c r="H866" t="str">
        <f t="shared" si="26"/>
        <v>NAVERjun7136</v>
      </c>
      <c r="I866" t="str">
        <f>"jun7136"</f>
        <v>jun7136</v>
      </c>
      <c r="J866">
        <v>2561640</v>
      </c>
      <c r="K866" s="1">
        <v>44866</v>
      </c>
      <c r="L866" t="s">
        <v>931</v>
      </c>
      <c r="M866">
        <f t="shared" si="27"/>
        <v>2561640</v>
      </c>
      <c r="N866" t="e">
        <f>VLOOKUP(H866,Sheet1!G:H,2,FALSE)</f>
        <v>#N/A</v>
      </c>
      <c r="R866" t="s">
        <v>2790</v>
      </c>
      <c r="S866">
        <v>732070</v>
      </c>
    </row>
    <row r="867" spans="1:19" x14ac:dyDescent="0.3">
      <c r="A867" t="s">
        <v>8</v>
      </c>
      <c r="B867">
        <f>VLOOKUP(A867,Sheet2!B:F,5,FALSE)</f>
        <v>928</v>
      </c>
      <c r="C867" t="s">
        <v>9</v>
      </c>
      <c r="D867">
        <f>VLOOKUP(C867,Sheet2!C:G,5,FALSE)</f>
        <v>1202</v>
      </c>
      <c r="E867" t="s">
        <v>39</v>
      </c>
      <c r="F867">
        <f>VLOOKUP(E867,Sheet2!D:E,2,FALSE)</f>
        <v>25</v>
      </c>
      <c r="G867" t="s">
        <v>11</v>
      </c>
      <c r="H867" t="str">
        <f t="shared" si="26"/>
        <v>NAVERjunghoon1164</v>
      </c>
      <c r="I867" t="str">
        <f>"junghoon1164"</f>
        <v>junghoon1164</v>
      </c>
      <c r="J867">
        <v>2143620</v>
      </c>
      <c r="K867" s="1">
        <v>44866</v>
      </c>
      <c r="L867" t="s">
        <v>932</v>
      </c>
      <c r="M867">
        <f t="shared" si="27"/>
        <v>2143620</v>
      </c>
      <c r="N867" t="e">
        <f>VLOOKUP(H867,Sheet1!G:H,2,FALSE)</f>
        <v>#N/A</v>
      </c>
      <c r="R867" t="s">
        <v>2791</v>
      </c>
      <c r="S867">
        <v>24200</v>
      </c>
    </row>
    <row r="868" spans="1:19" x14ac:dyDescent="0.3">
      <c r="A868" t="s">
        <v>16</v>
      </c>
      <c r="B868">
        <f>VLOOKUP(A868,Sheet2!B:F,5,FALSE)</f>
        <v>927</v>
      </c>
      <c r="C868" t="s">
        <v>17</v>
      </c>
      <c r="D868">
        <f>VLOOKUP(C868,Sheet2!C:G,5,FALSE)</f>
        <v>1200</v>
      </c>
      <c r="E868" t="s">
        <v>66</v>
      </c>
      <c r="F868">
        <f>VLOOKUP(E868,Sheet2!D:E,2,FALSE)</f>
        <v>33</v>
      </c>
      <c r="G868" t="s">
        <v>11</v>
      </c>
      <c r="H868" t="str">
        <f t="shared" si="26"/>
        <v>NAVERjungwoogbag:naver</v>
      </c>
      <c r="I868" t="str">
        <f>"jungwoogbag:naver"</f>
        <v>jungwoogbag:naver</v>
      </c>
      <c r="J868">
        <v>23940</v>
      </c>
      <c r="K868" s="1">
        <v>44866</v>
      </c>
      <c r="L868" t="s">
        <v>933</v>
      </c>
      <c r="M868">
        <f t="shared" si="27"/>
        <v>23940</v>
      </c>
      <c r="N868" t="e">
        <f>VLOOKUP(H868,Sheet1!G:H,2,FALSE)</f>
        <v>#N/A</v>
      </c>
      <c r="R868" t="s">
        <v>2792</v>
      </c>
      <c r="S868">
        <v>232190</v>
      </c>
    </row>
    <row r="869" spans="1:19" x14ac:dyDescent="0.3">
      <c r="A869" t="s">
        <v>41</v>
      </c>
      <c r="B869">
        <f>VLOOKUP(A869,Sheet2!B:F,5,FALSE)</f>
        <v>926</v>
      </c>
      <c r="C869" t="s">
        <v>56</v>
      </c>
      <c r="D869">
        <f>VLOOKUP(C869,Sheet2!C:G,5,FALSE)</f>
        <v>1207</v>
      </c>
      <c r="E869" t="s">
        <v>64</v>
      </c>
      <c r="F869">
        <f>VLOOKUP(E869,Sheet2!D:E,2,FALSE)</f>
        <v>201011</v>
      </c>
      <c r="G869" t="s">
        <v>11</v>
      </c>
      <c r="H869" t="str">
        <f t="shared" si="26"/>
        <v>NAVERjunk345</v>
      </c>
      <c r="I869" t="str">
        <f>"junk345"</f>
        <v>junk345</v>
      </c>
      <c r="J869">
        <v>435370</v>
      </c>
      <c r="K869" s="1">
        <v>44866</v>
      </c>
      <c r="L869" t="s">
        <v>934</v>
      </c>
      <c r="M869">
        <f t="shared" si="27"/>
        <v>435370</v>
      </c>
      <c r="N869" t="e">
        <f>VLOOKUP(H869,Sheet1!G:H,2,FALSE)</f>
        <v>#N/A</v>
      </c>
      <c r="R869" t="s">
        <v>2793</v>
      </c>
      <c r="S869">
        <v>924370</v>
      </c>
    </row>
    <row r="870" spans="1:19" x14ac:dyDescent="0.3">
      <c r="A870" t="s">
        <v>8</v>
      </c>
      <c r="B870">
        <f>VLOOKUP(A870,Sheet2!B:F,5,FALSE)</f>
        <v>928</v>
      </c>
      <c r="C870" t="s">
        <v>13</v>
      </c>
      <c r="D870">
        <f>VLOOKUP(C870,Sheet2!C:G,5,FALSE)</f>
        <v>1184</v>
      </c>
      <c r="E870" t="s">
        <v>102</v>
      </c>
      <c r="F870">
        <f>VLOOKUP(E870,Sheet2!D:E,2,FALSE)</f>
        <v>917</v>
      </c>
      <c r="G870" t="s">
        <v>11</v>
      </c>
      <c r="H870" t="str">
        <f t="shared" si="26"/>
        <v>NAVERjustg1976</v>
      </c>
      <c r="I870" t="str">
        <f>"justg1976"</f>
        <v>justg1976</v>
      </c>
      <c r="J870">
        <v>280</v>
      </c>
      <c r="K870" s="1">
        <v>44866</v>
      </c>
      <c r="L870" t="s">
        <v>935</v>
      </c>
      <c r="M870">
        <f t="shared" si="27"/>
        <v>280</v>
      </c>
      <c r="N870" t="e">
        <f>VLOOKUP(H870,Sheet1!G:H,2,FALSE)</f>
        <v>#N/A</v>
      </c>
      <c r="R870" t="s">
        <v>2794</v>
      </c>
      <c r="S870">
        <v>1595360</v>
      </c>
    </row>
    <row r="871" spans="1:19" x14ac:dyDescent="0.3">
      <c r="A871" t="s">
        <v>16</v>
      </c>
      <c r="B871">
        <f>VLOOKUP(A871,Sheet2!B:F,5,FALSE)</f>
        <v>927</v>
      </c>
      <c r="C871" t="s">
        <v>17</v>
      </c>
      <c r="D871">
        <f>VLOOKUP(C871,Sheet2!C:G,5,FALSE)</f>
        <v>1200</v>
      </c>
      <c r="E871" t="s">
        <v>66</v>
      </c>
      <c r="F871">
        <f>VLOOKUP(E871,Sheet2!D:E,2,FALSE)</f>
        <v>33</v>
      </c>
      <c r="G871" t="s">
        <v>11</v>
      </c>
      <c r="H871" t="str">
        <f t="shared" si="26"/>
        <v>NAVERjuvision</v>
      </c>
      <c r="I871" t="str">
        <f>"juvision"</f>
        <v>juvision</v>
      </c>
      <c r="J871">
        <v>1121120</v>
      </c>
      <c r="K871" s="1">
        <v>44866</v>
      </c>
      <c r="L871" t="s">
        <v>936</v>
      </c>
      <c r="M871">
        <f t="shared" si="27"/>
        <v>1121120</v>
      </c>
      <c r="N871" t="e">
        <f>VLOOKUP(H871,Sheet1!G:H,2,FALSE)</f>
        <v>#N/A</v>
      </c>
      <c r="R871" t="s">
        <v>2795</v>
      </c>
      <c r="S871">
        <v>729918</v>
      </c>
    </row>
    <row r="872" spans="1:19" x14ac:dyDescent="0.3">
      <c r="A872" t="s">
        <v>8</v>
      </c>
      <c r="B872">
        <f>VLOOKUP(A872,Sheet2!B:F,5,FALSE)</f>
        <v>928</v>
      </c>
      <c r="C872" t="s">
        <v>9</v>
      </c>
      <c r="D872">
        <f>VLOOKUP(C872,Sheet2!C:G,5,FALSE)</f>
        <v>1202</v>
      </c>
      <c r="E872" t="s">
        <v>27</v>
      </c>
      <c r="F872">
        <f>VLOOKUP(E872,Sheet2!D:E,2,FALSE)</f>
        <v>806</v>
      </c>
      <c r="G872" t="s">
        <v>11</v>
      </c>
      <c r="H872" t="str">
        <f t="shared" si="26"/>
        <v>NAVERjuyong0910</v>
      </c>
      <c r="I872" t="str">
        <f>"juyong0910"</f>
        <v>juyong0910</v>
      </c>
      <c r="J872">
        <v>2270</v>
      </c>
      <c r="K872" s="1">
        <v>44866</v>
      </c>
      <c r="L872" t="s">
        <v>937</v>
      </c>
      <c r="M872">
        <f t="shared" si="27"/>
        <v>2270</v>
      </c>
      <c r="N872" t="e">
        <f>VLOOKUP(H872,Sheet1!G:H,2,FALSE)</f>
        <v>#N/A</v>
      </c>
      <c r="R872" t="s">
        <v>2796</v>
      </c>
      <c r="S872">
        <v>45060</v>
      </c>
    </row>
    <row r="873" spans="1:19" x14ac:dyDescent="0.3">
      <c r="A873" t="s">
        <v>8</v>
      </c>
      <c r="B873">
        <f>VLOOKUP(A873,Sheet2!B:F,5,FALSE)</f>
        <v>928</v>
      </c>
      <c r="C873" t="s">
        <v>13</v>
      </c>
      <c r="D873">
        <f>VLOOKUP(C873,Sheet2!C:G,5,FALSE)</f>
        <v>1184</v>
      </c>
      <c r="E873" t="s">
        <v>59</v>
      </c>
      <c r="F873">
        <f>VLOOKUP(E873,Sheet2!D:E,2,FALSE)</f>
        <v>9</v>
      </c>
      <c r="G873" t="s">
        <v>11</v>
      </c>
      <c r="H873" t="str">
        <f t="shared" si="26"/>
        <v>NAVERjw0711</v>
      </c>
      <c r="I873" t="str">
        <f>"jw0711"</f>
        <v>jw0711</v>
      </c>
      <c r="J873">
        <v>3500</v>
      </c>
      <c r="K873" s="1">
        <v>44866</v>
      </c>
      <c r="L873" t="s">
        <v>938</v>
      </c>
      <c r="M873">
        <f t="shared" si="27"/>
        <v>3500</v>
      </c>
      <c r="N873" t="e">
        <f>VLOOKUP(H873,Sheet1!G:H,2,FALSE)</f>
        <v>#N/A</v>
      </c>
      <c r="R873" t="s">
        <v>2797</v>
      </c>
      <c r="S873">
        <v>31810</v>
      </c>
    </row>
    <row r="874" spans="1:19" x14ac:dyDescent="0.3">
      <c r="A874" t="s">
        <v>8</v>
      </c>
      <c r="B874">
        <f>VLOOKUP(A874,Sheet2!B:F,5,FALSE)</f>
        <v>928</v>
      </c>
      <c r="C874" t="s">
        <v>9</v>
      </c>
      <c r="D874">
        <f>VLOOKUP(C874,Sheet2!C:G,5,FALSE)</f>
        <v>1202</v>
      </c>
      <c r="E874" t="s">
        <v>35</v>
      </c>
      <c r="F874">
        <f>VLOOKUP(E874,Sheet2!D:E,2,FALSE)</f>
        <v>51</v>
      </c>
      <c r="G874" t="s">
        <v>11</v>
      </c>
      <c r="H874" t="str">
        <f t="shared" si="26"/>
        <v>NAVERjwax</v>
      </c>
      <c r="I874" t="str">
        <f>"jwax"</f>
        <v>jwax</v>
      </c>
      <c r="J874">
        <v>239720</v>
      </c>
      <c r="K874" s="1">
        <v>44866</v>
      </c>
      <c r="L874" t="s">
        <v>939</v>
      </c>
      <c r="M874">
        <f t="shared" si="27"/>
        <v>239720</v>
      </c>
      <c r="N874" t="e">
        <f>VLOOKUP(H874,Sheet1!G:H,2,FALSE)</f>
        <v>#N/A</v>
      </c>
      <c r="R874" t="s">
        <v>2798</v>
      </c>
      <c r="S874">
        <v>1470</v>
      </c>
    </row>
    <row r="875" spans="1:19" x14ac:dyDescent="0.3">
      <c r="A875" t="s">
        <v>41</v>
      </c>
      <c r="B875">
        <f>VLOOKUP(A875,Sheet2!B:F,5,FALSE)</f>
        <v>926</v>
      </c>
      <c r="C875" t="s">
        <v>56</v>
      </c>
      <c r="D875">
        <f>VLOOKUP(C875,Sheet2!C:G,5,FALSE)</f>
        <v>1207</v>
      </c>
      <c r="E875" t="s">
        <v>57</v>
      </c>
      <c r="F875">
        <f>VLOOKUP(E875,Sheet2!D:E,2,FALSE)</f>
        <v>200982</v>
      </c>
      <c r="G875" t="s">
        <v>11</v>
      </c>
      <c r="H875" t="str">
        <f t="shared" si="26"/>
        <v>NAVERjylogis79:naver</v>
      </c>
      <c r="I875" t="str">
        <f>"jylogis79:naver"</f>
        <v>jylogis79:naver</v>
      </c>
      <c r="J875">
        <v>206840</v>
      </c>
      <c r="K875" s="1">
        <v>44866</v>
      </c>
      <c r="L875" t="s">
        <v>940</v>
      </c>
      <c r="M875">
        <f t="shared" si="27"/>
        <v>206840</v>
      </c>
      <c r="N875" t="e">
        <f>VLOOKUP(H875,Sheet1!G:H,2,FALSE)</f>
        <v>#N/A</v>
      </c>
      <c r="R875" t="s">
        <v>2799</v>
      </c>
      <c r="S875">
        <v>790930</v>
      </c>
    </row>
    <row r="876" spans="1:19" x14ac:dyDescent="0.3">
      <c r="A876" t="s">
        <v>8</v>
      </c>
      <c r="B876">
        <f>VLOOKUP(A876,Sheet2!B:F,5,FALSE)</f>
        <v>928</v>
      </c>
      <c r="C876" t="s">
        <v>13</v>
      </c>
      <c r="D876">
        <f>VLOOKUP(C876,Sheet2!C:G,5,FALSE)</f>
        <v>1184</v>
      </c>
      <c r="E876" t="s">
        <v>102</v>
      </c>
      <c r="F876">
        <f>VLOOKUP(E876,Sheet2!D:E,2,FALSE)</f>
        <v>917</v>
      </c>
      <c r="G876" t="s">
        <v>11</v>
      </c>
      <c r="H876" t="str">
        <f t="shared" si="26"/>
        <v>NAVERjyproto</v>
      </c>
      <c r="I876" t="str">
        <f>"jyproto"</f>
        <v>jyproto</v>
      </c>
      <c r="J876">
        <v>200</v>
      </c>
      <c r="K876" s="1">
        <v>44866</v>
      </c>
      <c r="L876" t="s">
        <v>941</v>
      </c>
      <c r="M876">
        <f t="shared" si="27"/>
        <v>200</v>
      </c>
      <c r="N876" t="e">
        <f>VLOOKUP(H876,Sheet1!G:H,2,FALSE)</f>
        <v>#N/A</v>
      </c>
      <c r="R876" t="s">
        <v>2800</v>
      </c>
      <c r="S876">
        <v>862220</v>
      </c>
    </row>
    <row r="877" spans="1:19" x14ac:dyDescent="0.3">
      <c r="A877" t="s">
        <v>8</v>
      </c>
      <c r="B877">
        <f>VLOOKUP(A877,Sheet2!B:F,5,FALSE)</f>
        <v>928</v>
      </c>
      <c r="C877" t="s">
        <v>9</v>
      </c>
      <c r="D877">
        <f>VLOOKUP(C877,Sheet2!C:G,5,FALSE)</f>
        <v>1202</v>
      </c>
      <c r="E877" t="s">
        <v>31</v>
      </c>
      <c r="F877">
        <f>VLOOKUP(E877,Sheet2!D:E,2,FALSE)</f>
        <v>1040</v>
      </c>
      <c r="G877" t="s">
        <v>11</v>
      </c>
      <c r="H877" t="str">
        <f t="shared" si="26"/>
        <v>NAVERk1123</v>
      </c>
      <c r="I877" t="str">
        <f>"k1123"</f>
        <v>k1123</v>
      </c>
      <c r="J877">
        <v>2760</v>
      </c>
      <c r="K877" s="1">
        <v>44866</v>
      </c>
      <c r="L877" t="s">
        <v>942</v>
      </c>
      <c r="M877">
        <f t="shared" si="27"/>
        <v>2760</v>
      </c>
      <c r="N877" t="e">
        <f>VLOOKUP(H877,Sheet1!G:H,2,FALSE)</f>
        <v>#N/A</v>
      </c>
      <c r="R877" t="s">
        <v>2801</v>
      </c>
      <c r="S877">
        <v>1820</v>
      </c>
    </row>
    <row r="878" spans="1:19" x14ac:dyDescent="0.3">
      <c r="A878" t="s">
        <v>8</v>
      </c>
      <c r="B878">
        <f>VLOOKUP(A878,Sheet2!B:F,5,FALSE)</f>
        <v>928</v>
      </c>
      <c r="C878" t="s">
        <v>9</v>
      </c>
      <c r="D878">
        <f>VLOOKUP(C878,Sheet2!C:G,5,FALSE)</f>
        <v>1202</v>
      </c>
      <c r="E878" t="s">
        <v>33</v>
      </c>
      <c r="F878">
        <f>VLOOKUP(E878,Sheet2!D:E,2,FALSE)</f>
        <v>933</v>
      </c>
      <c r="G878" t="s">
        <v>11</v>
      </c>
      <c r="H878" t="str">
        <f t="shared" si="26"/>
        <v>NAVERk912_2089</v>
      </c>
      <c r="I878" t="str">
        <f>"k912_2089"</f>
        <v>k912_2089</v>
      </c>
      <c r="J878">
        <v>1991670</v>
      </c>
      <c r="K878" s="1">
        <v>44866</v>
      </c>
      <c r="L878" t="s">
        <v>943</v>
      </c>
      <c r="M878">
        <f t="shared" si="27"/>
        <v>1991670</v>
      </c>
      <c r="N878" t="e">
        <f>VLOOKUP(H878,Sheet1!G:H,2,FALSE)</f>
        <v>#N/A</v>
      </c>
      <c r="R878" t="s">
        <v>2802</v>
      </c>
      <c r="S878">
        <v>23260</v>
      </c>
    </row>
    <row r="879" spans="1:19" x14ac:dyDescent="0.3">
      <c r="A879" t="s">
        <v>16</v>
      </c>
      <c r="B879">
        <f>VLOOKUP(A879,Sheet2!B:F,5,FALSE)</f>
        <v>927</v>
      </c>
      <c r="C879" t="s">
        <v>17</v>
      </c>
      <c r="D879">
        <f>VLOOKUP(C879,Sheet2!C:G,5,FALSE)</f>
        <v>1200</v>
      </c>
      <c r="E879" t="s">
        <v>262</v>
      </c>
      <c r="F879">
        <f>VLOOKUP(E879,Sheet2!D:E,2,FALSE)</f>
        <v>1594</v>
      </c>
      <c r="G879" t="s">
        <v>11</v>
      </c>
      <c r="H879" t="str">
        <f t="shared" si="26"/>
        <v>NAVERkacnet</v>
      </c>
      <c r="I879" t="str">
        <f>"kacnet"</f>
        <v>kacnet</v>
      </c>
      <c r="J879">
        <v>4601690</v>
      </c>
      <c r="K879" s="1">
        <v>44866</v>
      </c>
      <c r="L879" t="s">
        <v>944</v>
      </c>
      <c r="M879">
        <f t="shared" si="27"/>
        <v>4601690</v>
      </c>
      <c r="N879" t="e">
        <f>VLOOKUP(H879,Sheet1!G:H,2,FALSE)</f>
        <v>#N/A</v>
      </c>
      <c r="R879" t="s">
        <v>2803</v>
      </c>
      <c r="S879">
        <v>265660</v>
      </c>
    </row>
    <row r="880" spans="1:19" x14ac:dyDescent="0.3">
      <c r="A880" t="s">
        <v>8</v>
      </c>
      <c r="B880">
        <f>VLOOKUP(A880,Sheet2!B:F,5,FALSE)</f>
        <v>928</v>
      </c>
      <c r="C880" t="s">
        <v>9</v>
      </c>
      <c r="D880">
        <f>VLOOKUP(C880,Sheet2!C:G,5,FALSE)</f>
        <v>1202</v>
      </c>
      <c r="E880" t="s">
        <v>47</v>
      </c>
      <c r="F880">
        <f>VLOOKUP(E880,Sheet2!D:E,2,FALSE)</f>
        <v>898</v>
      </c>
      <c r="G880" t="s">
        <v>11</v>
      </c>
      <c r="H880" t="str">
        <f t="shared" si="26"/>
        <v>NAVERkahp01</v>
      </c>
      <c r="I880" t="str">
        <f>"kahp01"</f>
        <v>kahp01</v>
      </c>
      <c r="J880">
        <v>8299000</v>
      </c>
      <c r="K880" s="1">
        <v>44866</v>
      </c>
      <c r="L880" t="s">
        <v>945</v>
      </c>
      <c r="M880">
        <f t="shared" si="27"/>
        <v>8299000</v>
      </c>
      <c r="N880" t="e">
        <f>VLOOKUP(H880,Sheet1!G:H,2,FALSE)</f>
        <v>#N/A</v>
      </c>
      <c r="R880" t="s">
        <v>2804</v>
      </c>
      <c r="S880">
        <v>29860</v>
      </c>
    </row>
    <row r="881" spans="1:19" x14ac:dyDescent="0.3">
      <c r="A881" t="s">
        <v>16</v>
      </c>
      <c r="B881">
        <f>VLOOKUP(A881,Sheet2!B:F,5,FALSE)</f>
        <v>927</v>
      </c>
      <c r="C881" t="s">
        <v>17</v>
      </c>
      <c r="D881">
        <f>VLOOKUP(C881,Sheet2!C:G,5,FALSE)</f>
        <v>1200</v>
      </c>
      <c r="E881" t="s">
        <v>100</v>
      </c>
      <c r="F881">
        <f>VLOOKUP(E881,Sheet2!D:E,2,FALSE)</f>
        <v>201038</v>
      </c>
      <c r="G881" t="s">
        <v>11</v>
      </c>
      <c r="H881" t="str">
        <f t="shared" si="26"/>
        <v>NAVERkangda9819</v>
      </c>
      <c r="I881" t="str">
        <f>"kangda9819"</f>
        <v>kangda9819</v>
      </c>
      <c r="J881">
        <v>37820</v>
      </c>
      <c r="K881" s="1">
        <v>44866</v>
      </c>
      <c r="L881" t="s">
        <v>946</v>
      </c>
      <c r="M881">
        <f t="shared" si="27"/>
        <v>37820</v>
      </c>
      <c r="N881" t="e">
        <f>VLOOKUP(H881,Sheet1!G:H,2,FALSE)</f>
        <v>#N/A</v>
      </c>
      <c r="R881" t="s">
        <v>2805</v>
      </c>
      <c r="S881">
        <v>6369820</v>
      </c>
    </row>
    <row r="882" spans="1:19" x14ac:dyDescent="0.3">
      <c r="A882" t="s">
        <v>41</v>
      </c>
      <c r="B882">
        <f>VLOOKUP(A882,Sheet2!B:F,5,FALSE)</f>
        <v>926</v>
      </c>
      <c r="C882" t="s">
        <v>56</v>
      </c>
      <c r="D882">
        <f>VLOOKUP(C882,Sheet2!C:G,5,FALSE)</f>
        <v>1207</v>
      </c>
      <c r="E882" t="s">
        <v>64</v>
      </c>
      <c r="F882">
        <f>VLOOKUP(E882,Sheet2!D:E,2,FALSE)</f>
        <v>201011</v>
      </c>
      <c r="G882" t="s">
        <v>11</v>
      </c>
      <c r="H882" t="str">
        <f t="shared" si="26"/>
        <v>NAVERkaplansgkr</v>
      </c>
      <c r="I882" t="str">
        <f>"kaplansgkr"</f>
        <v>kaplansgkr</v>
      </c>
      <c r="J882">
        <v>369740</v>
      </c>
      <c r="K882" s="1">
        <v>44866</v>
      </c>
      <c r="L882" t="s">
        <v>947</v>
      </c>
      <c r="M882">
        <f t="shared" si="27"/>
        <v>369740</v>
      </c>
      <c r="N882" t="e">
        <f>VLOOKUP(H882,Sheet1!G:H,2,FALSE)</f>
        <v>#N/A</v>
      </c>
      <c r="R882" t="s">
        <v>2806</v>
      </c>
      <c r="S882">
        <v>255750</v>
      </c>
    </row>
    <row r="883" spans="1:19" x14ac:dyDescent="0.3">
      <c r="A883" t="s">
        <v>22</v>
      </c>
      <c r="B883">
        <f>VLOOKUP(A883,Sheet2!B:F,5,FALSE)</f>
        <v>809</v>
      </c>
      <c r="C883" t="s">
        <v>23</v>
      </c>
      <c r="D883">
        <f>VLOOKUP(C883,Sheet2!C:G,5,FALSE)</f>
        <v>810</v>
      </c>
      <c r="E883" t="s">
        <v>486</v>
      </c>
      <c r="F883">
        <f>VLOOKUP(E883,Sheet2!D:E,2,FALSE)</f>
        <v>201115</v>
      </c>
      <c r="G883" t="s">
        <v>11</v>
      </c>
      <c r="H883" t="str">
        <f t="shared" si="26"/>
        <v>NAVERkaru07</v>
      </c>
      <c r="I883" t="str">
        <f>"karu07"</f>
        <v>karu07</v>
      </c>
      <c r="J883">
        <v>192230</v>
      </c>
      <c r="K883" s="1">
        <v>44866</v>
      </c>
      <c r="L883" t="s">
        <v>948</v>
      </c>
      <c r="M883">
        <f t="shared" si="27"/>
        <v>192230</v>
      </c>
      <c r="N883" t="e">
        <f>VLOOKUP(H883,Sheet1!G:H,2,FALSE)</f>
        <v>#N/A</v>
      </c>
      <c r="R883" t="s">
        <v>2807</v>
      </c>
      <c r="S883">
        <v>135730</v>
      </c>
    </row>
    <row r="884" spans="1:19" x14ac:dyDescent="0.3">
      <c r="A884" t="s">
        <v>41</v>
      </c>
      <c r="B884">
        <f>VLOOKUP(A884,Sheet2!B:F,5,FALSE)</f>
        <v>926</v>
      </c>
      <c r="C884" t="s">
        <v>56</v>
      </c>
      <c r="D884">
        <f>VLOOKUP(C884,Sheet2!C:G,5,FALSE)</f>
        <v>1207</v>
      </c>
      <c r="E884" t="s">
        <v>62</v>
      </c>
      <c r="F884">
        <f>VLOOKUP(E884,Sheet2!D:E,2,FALSE)</f>
        <v>201037</v>
      </c>
      <c r="G884" t="s">
        <v>11</v>
      </c>
      <c r="H884" t="str">
        <f t="shared" si="26"/>
        <v>NAVERkategorieseoul:naver</v>
      </c>
      <c r="I884" t="str">
        <f>"kategorieseoul:naver"</f>
        <v>kategorieseoul:naver</v>
      </c>
      <c r="J884">
        <v>16800</v>
      </c>
      <c r="K884" s="1">
        <v>44866</v>
      </c>
      <c r="L884" t="s">
        <v>949</v>
      </c>
      <c r="M884">
        <f t="shared" si="27"/>
        <v>16800</v>
      </c>
      <c r="N884" t="e">
        <f>VLOOKUP(H884,Sheet1!G:H,2,FALSE)</f>
        <v>#N/A</v>
      </c>
      <c r="R884" t="s">
        <v>2808</v>
      </c>
      <c r="S884">
        <v>2063700</v>
      </c>
    </row>
    <row r="885" spans="1:19" x14ac:dyDescent="0.3">
      <c r="A885" t="s">
        <v>8</v>
      </c>
      <c r="B885">
        <f>VLOOKUP(A885,Sheet2!B:F,5,FALSE)</f>
        <v>928</v>
      </c>
      <c r="C885" t="s">
        <v>13</v>
      </c>
      <c r="D885">
        <f>VLOOKUP(C885,Sheet2!C:G,5,FALSE)</f>
        <v>1184</v>
      </c>
      <c r="E885" t="s">
        <v>51</v>
      </c>
      <c r="F885">
        <f>VLOOKUP(E885,Sheet2!D:E,2,FALSE)</f>
        <v>1274</v>
      </c>
      <c r="G885" t="s">
        <v>11</v>
      </c>
      <c r="H885" t="str">
        <f t="shared" si="26"/>
        <v>NAVERkctdi</v>
      </c>
      <c r="I885" t="str">
        <f>"kctdi"</f>
        <v>kctdi</v>
      </c>
      <c r="J885">
        <v>54120</v>
      </c>
      <c r="K885" s="1">
        <v>44866</v>
      </c>
      <c r="L885" t="s">
        <v>950</v>
      </c>
      <c r="M885">
        <f t="shared" si="27"/>
        <v>54120</v>
      </c>
      <c r="N885" t="e">
        <f>VLOOKUP(H885,Sheet1!G:H,2,FALSE)</f>
        <v>#N/A</v>
      </c>
      <c r="R885" t="s">
        <v>2809</v>
      </c>
      <c r="S885">
        <v>1697590</v>
      </c>
    </row>
    <row r="886" spans="1:19" x14ac:dyDescent="0.3">
      <c r="A886" t="s">
        <v>8</v>
      </c>
      <c r="B886">
        <f>VLOOKUP(A886,Sheet2!B:F,5,FALSE)</f>
        <v>928</v>
      </c>
      <c r="C886" t="s">
        <v>9</v>
      </c>
      <c r="D886">
        <f>VLOOKUP(C886,Sheet2!C:G,5,FALSE)</f>
        <v>1202</v>
      </c>
      <c r="E886" t="s">
        <v>37</v>
      </c>
      <c r="F886">
        <f>VLOOKUP(E886,Sheet2!D:E,2,FALSE)</f>
        <v>81</v>
      </c>
      <c r="G886" t="s">
        <v>11</v>
      </c>
      <c r="H886" t="str">
        <f t="shared" si="26"/>
        <v>NAVERkd12023</v>
      </c>
      <c r="I886" t="str">
        <f>"kd12023"</f>
        <v>kd12023</v>
      </c>
      <c r="J886">
        <v>170250</v>
      </c>
      <c r="K886" s="1">
        <v>44866</v>
      </c>
      <c r="L886" t="s">
        <v>951</v>
      </c>
      <c r="M886">
        <f t="shared" si="27"/>
        <v>170250</v>
      </c>
      <c r="N886" t="e">
        <f>VLOOKUP(H886,Sheet1!G:H,2,FALSE)</f>
        <v>#N/A</v>
      </c>
      <c r="R886" t="s">
        <v>2810</v>
      </c>
      <c r="S886">
        <v>33810</v>
      </c>
    </row>
    <row r="887" spans="1:19" x14ac:dyDescent="0.3">
      <c r="A887" t="s">
        <v>41</v>
      </c>
      <c r="B887">
        <f>VLOOKUP(A887,Sheet2!B:F,5,FALSE)</f>
        <v>926</v>
      </c>
      <c r="C887" t="s">
        <v>56</v>
      </c>
      <c r="D887">
        <f>VLOOKUP(C887,Sheet2!C:G,5,FALSE)</f>
        <v>1207</v>
      </c>
      <c r="E887" t="s">
        <v>57</v>
      </c>
      <c r="F887">
        <f>VLOOKUP(E887,Sheet2!D:E,2,FALSE)</f>
        <v>200982</v>
      </c>
      <c r="G887" t="s">
        <v>11</v>
      </c>
      <c r="H887" t="str">
        <f t="shared" si="26"/>
        <v>NAVERkd5924:naver</v>
      </c>
      <c r="I887" t="str">
        <f>"kd5924:naver"</f>
        <v>kd5924:naver</v>
      </c>
      <c r="J887">
        <v>16600</v>
      </c>
      <c r="K887" s="1">
        <v>44866</v>
      </c>
      <c r="L887" t="s">
        <v>952</v>
      </c>
      <c r="M887">
        <f t="shared" si="27"/>
        <v>16600</v>
      </c>
      <c r="N887" t="e">
        <f>VLOOKUP(H887,Sheet1!G:H,2,FALSE)</f>
        <v>#N/A</v>
      </c>
      <c r="R887" t="s">
        <v>2811</v>
      </c>
      <c r="S887">
        <v>1124500</v>
      </c>
    </row>
    <row r="888" spans="1:19" x14ac:dyDescent="0.3">
      <c r="A888" t="s">
        <v>16</v>
      </c>
      <c r="B888">
        <f>VLOOKUP(A888,Sheet2!B:F,5,FALSE)</f>
        <v>927</v>
      </c>
      <c r="C888" t="s">
        <v>17</v>
      </c>
      <c r="D888">
        <f>VLOOKUP(C888,Sheet2!C:G,5,FALSE)</f>
        <v>1200</v>
      </c>
      <c r="E888" t="s">
        <v>66</v>
      </c>
      <c r="F888">
        <f>VLOOKUP(E888,Sheet2!D:E,2,FALSE)</f>
        <v>33</v>
      </c>
      <c r="G888" t="s">
        <v>11</v>
      </c>
      <c r="H888" t="str">
        <f t="shared" si="26"/>
        <v>NAVERkdb2002</v>
      </c>
      <c r="I888" t="str">
        <f>"kdb2002"</f>
        <v>kdb2002</v>
      </c>
      <c r="J888">
        <v>4499050</v>
      </c>
      <c r="K888" s="1">
        <v>44866</v>
      </c>
      <c r="L888" t="s">
        <v>953</v>
      </c>
      <c r="M888">
        <f t="shared" si="27"/>
        <v>2643740</v>
      </c>
      <c r="N888" t="e">
        <f>VLOOKUP(H888,Sheet1!G:H,2,FALSE)</f>
        <v>#N/A</v>
      </c>
      <c r="R888" t="s">
        <v>2812</v>
      </c>
      <c r="S888">
        <v>66120</v>
      </c>
    </row>
    <row r="889" spans="1:19" x14ac:dyDescent="0.3">
      <c r="A889" t="s">
        <v>8</v>
      </c>
      <c r="B889">
        <f>VLOOKUP(A889,Sheet2!B:F,5,FALSE)</f>
        <v>928</v>
      </c>
      <c r="C889" t="s">
        <v>9</v>
      </c>
      <c r="D889">
        <f>VLOOKUP(C889,Sheet2!C:G,5,FALSE)</f>
        <v>1202</v>
      </c>
      <c r="E889" t="s">
        <v>73</v>
      </c>
      <c r="F889">
        <f>VLOOKUP(E889,Sheet2!D:E,2,FALSE)</f>
        <v>895</v>
      </c>
      <c r="G889" t="s">
        <v>11</v>
      </c>
      <c r="H889" t="str">
        <f t="shared" si="26"/>
        <v>NAVERkdglass</v>
      </c>
      <c r="I889" t="str">
        <f>"kdglass"</f>
        <v>kdglass</v>
      </c>
      <c r="J889">
        <v>327930</v>
      </c>
      <c r="K889" s="1">
        <v>44866</v>
      </c>
      <c r="L889" t="s">
        <v>954</v>
      </c>
      <c r="M889">
        <f t="shared" si="27"/>
        <v>327930</v>
      </c>
      <c r="N889" t="e">
        <f>VLOOKUP(H889,Sheet1!G:H,2,FALSE)</f>
        <v>#N/A</v>
      </c>
      <c r="R889" t="s">
        <v>2813</v>
      </c>
      <c r="S889">
        <v>786580</v>
      </c>
    </row>
    <row r="890" spans="1:19" x14ac:dyDescent="0.3">
      <c r="A890" t="s">
        <v>16</v>
      </c>
      <c r="B890">
        <f>VLOOKUP(A890,Sheet2!B:F,5,FALSE)</f>
        <v>927</v>
      </c>
      <c r="C890" t="s">
        <v>17</v>
      </c>
      <c r="D890">
        <f>VLOOKUP(C890,Sheet2!C:G,5,FALSE)</f>
        <v>1200</v>
      </c>
      <c r="E890" t="s">
        <v>100</v>
      </c>
      <c r="F890">
        <f>VLOOKUP(E890,Sheet2!D:E,2,FALSE)</f>
        <v>201038</v>
      </c>
      <c r="G890" t="s">
        <v>11</v>
      </c>
      <c r="H890" t="str">
        <f t="shared" si="26"/>
        <v>NAVERkdglobal</v>
      </c>
      <c r="I890" t="str">
        <f>"kdglobal"</f>
        <v>kdglobal</v>
      </c>
      <c r="J890">
        <v>41920</v>
      </c>
      <c r="K890" s="1">
        <v>44866</v>
      </c>
      <c r="L890" t="s">
        <v>955</v>
      </c>
      <c r="M890">
        <f t="shared" si="27"/>
        <v>41920</v>
      </c>
      <c r="N890" t="e">
        <f>VLOOKUP(H890,Sheet1!G:H,2,FALSE)</f>
        <v>#N/A</v>
      </c>
      <c r="R890" t="s">
        <v>2814</v>
      </c>
      <c r="S890">
        <v>392550</v>
      </c>
    </row>
    <row r="891" spans="1:19" x14ac:dyDescent="0.3">
      <c r="A891" t="s">
        <v>8</v>
      </c>
      <c r="B891">
        <f>VLOOKUP(A891,Sheet2!B:F,5,FALSE)</f>
        <v>928</v>
      </c>
      <c r="C891" t="s">
        <v>9</v>
      </c>
      <c r="D891">
        <f>VLOOKUP(C891,Sheet2!C:G,5,FALSE)</f>
        <v>1202</v>
      </c>
      <c r="E891" t="s">
        <v>37</v>
      </c>
      <c r="F891">
        <f>VLOOKUP(E891,Sheet2!D:E,2,FALSE)</f>
        <v>81</v>
      </c>
      <c r="G891" t="s">
        <v>11</v>
      </c>
      <c r="H891" t="str">
        <f t="shared" si="26"/>
        <v>NAVERkdive2002</v>
      </c>
      <c r="I891" t="str">
        <f>"kdive2002"</f>
        <v>kdive2002</v>
      </c>
      <c r="J891">
        <v>651740</v>
      </c>
      <c r="K891" s="1">
        <v>44866</v>
      </c>
      <c r="L891" t="s">
        <v>956</v>
      </c>
      <c r="M891">
        <f t="shared" si="27"/>
        <v>651740</v>
      </c>
      <c r="N891" t="e">
        <f>VLOOKUP(H891,Sheet1!G:H,2,FALSE)</f>
        <v>#N/A</v>
      </c>
      <c r="R891" t="s">
        <v>2815</v>
      </c>
      <c r="S891">
        <v>1432600</v>
      </c>
    </row>
    <row r="892" spans="1:19" x14ac:dyDescent="0.3">
      <c r="A892" t="s">
        <v>8</v>
      </c>
      <c r="B892">
        <f>VLOOKUP(A892,Sheet2!B:F,5,FALSE)</f>
        <v>928</v>
      </c>
      <c r="C892" t="s">
        <v>9</v>
      </c>
      <c r="D892">
        <f>VLOOKUP(C892,Sheet2!C:G,5,FALSE)</f>
        <v>1202</v>
      </c>
      <c r="E892" t="s">
        <v>73</v>
      </c>
      <c r="F892">
        <f>VLOOKUP(E892,Sheet2!D:E,2,FALSE)</f>
        <v>895</v>
      </c>
      <c r="G892" t="s">
        <v>11</v>
      </c>
      <c r="H892" t="str">
        <f t="shared" si="26"/>
        <v>NAVERkdr717</v>
      </c>
      <c r="I892" t="str">
        <f>"kdr717"</f>
        <v>kdr717</v>
      </c>
      <c r="J892">
        <v>1820</v>
      </c>
      <c r="K892" s="1">
        <v>44866</v>
      </c>
      <c r="L892" t="s">
        <v>957</v>
      </c>
      <c r="M892">
        <f t="shared" si="27"/>
        <v>1820</v>
      </c>
      <c r="N892" t="e">
        <f>VLOOKUP(H892,Sheet1!G:H,2,FALSE)</f>
        <v>#N/A</v>
      </c>
      <c r="R892" t="s">
        <v>2816</v>
      </c>
      <c r="S892">
        <v>257400</v>
      </c>
    </row>
    <row r="893" spans="1:19" x14ac:dyDescent="0.3">
      <c r="A893" t="s">
        <v>8</v>
      </c>
      <c r="B893">
        <f>VLOOKUP(A893,Sheet2!B:F,5,FALSE)</f>
        <v>928</v>
      </c>
      <c r="C893" t="s">
        <v>9</v>
      </c>
      <c r="D893">
        <f>VLOOKUP(C893,Sheet2!C:G,5,FALSE)</f>
        <v>1202</v>
      </c>
      <c r="E893" t="s">
        <v>20</v>
      </c>
      <c r="F893">
        <f>VLOOKUP(E893,Sheet2!D:E,2,FALSE)</f>
        <v>938</v>
      </c>
      <c r="G893" t="s">
        <v>11</v>
      </c>
      <c r="H893" t="str">
        <f t="shared" si="26"/>
        <v>NAVERkds315</v>
      </c>
      <c r="I893" t="str">
        <f>"kds315"</f>
        <v>kds315</v>
      </c>
      <c r="J893">
        <v>221610</v>
      </c>
      <c r="K893" s="1">
        <v>44866</v>
      </c>
      <c r="L893" t="s">
        <v>958</v>
      </c>
      <c r="M893">
        <f t="shared" si="27"/>
        <v>221610</v>
      </c>
      <c r="N893" t="e">
        <f>VLOOKUP(H893,Sheet1!G:H,2,FALSE)</f>
        <v>#N/A</v>
      </c>
      <c r="R893" t="s">
        <v>2817</v>
      </c>
      <c r="S893">
        <v>17890</v>
      </c>
    </row>
    <row r="894" spans="1:19" x14ac:dyDescent="0.3">
      <c r="A894" t="s">
        <v>16</v>
      </c>
      <c r="B894">
        <f>VLOOKUP(A894,Sheet2!B:F,5,FALSE)</f>
        <v>927</v>
      </c>
      <c r="C894" t="s">
        <v>17</v>
      </c>
      <c r="D894">
        <f>VLOOKUP(C894,Sheet2!C:G,5,FALSE)</f>
        <v>1200</v>
      </c>
      <c r="E894" t="s">
        <v>137</v>
      </c>
      <c r="F894">
        <f>VLOOKUP(E894,Sheet2!D:E,2,FALSE)</f>
        <v>1012</v>
      </c>
      <c r="G894" t="s">
        <v>11</v>
      </c>
      <c r="H894" t="str">
        <f t="shared" si="26"/>
        <v>NAVERkecimom2:naver</v>
      </c>
      <c r="I894" t="str">
        <f>"kecimom2:naver"</f>
        <v>kecimom2:naver</v>
      </c>
      <c r="J894">
        <v>57720</v>
      </c>
      <c r="K894" s="1">
        <v>44866</v>
      </c>
      <c r="L894" t="s">
        <v>959</v>
      </c>
      <c r="M894">
        <f t="shared" si="27"/>
        <v>57720</v>
      </c>
      <c r="N894" t="e">
        <f>VLOOKUP(H894,Sheet1!G:H,2,FALSE)</f>
        <v>#N/A</v>
      </c>
      <c r="R894" t="s">
        <v>2818</v>
      </c>
      <c r="S894">
        <v>0</v>
      </c>
    </row>
    <row r="895" spans="1:19" x14ac:dyDescent="0.3">
      <c r="A895" t="s">
        <v>8</v>
      </c>
      <c r="B895">
        <f>VLOOKUP(A895,Sheet2!B:F,5,FALSE)</f>
        <v>928</v>
      </c>
      <c r="C895" t="s">
        <v>9</v>
      </c>
      <c r="D895">
        <f>VLOOKUP(C895,Sheet2!C:G,5,FALSE)</f>
        <v>1202</v>
      </c>
      <c r="E895" t="s">
        <v>110</v>
      </c>
      <c r="F895">
        <f>VLOOKUP(E895,Sheet2!D:E,2,FALSE)</f>
        <v>929</v>
      </c>
      <c r="G895" t="s">
        <v>11</v>
      </c>
      <c r="H895" t="str">
        <f t="shared" si="26"/>
        <v>NAVERkesco</v>
      </c>
      <c r="I895" t="str">
        <f>"kesco"</f>
        <v>kesco</v>
      </c>
      <c r="J895">
        <v>28910880</v>
      </c>
      <c r="K895" s="1">
        <v>44866</v>
      </c>
      <c r="L895" t="s">
        <v>960</v>
      </c>
      <c r="M895">
        <f t="shared" si="27"/>
        <v>28210900</v>
      </c>
      <c r="N895" t="e">
        <f>VLOOKUP(H895,Sheet1!G:H,2,FALSE)</f>
        <v>#N/A</v>
      </c>
      <c r="R895" t="s">
        <v>2819</v>
      </c>
      <c r="S895">
        <v>202840</v>
      </c>
    </row>
    <row r="896" spans="1:19" x14ac:dyDescent="0.3">
      <c r="A896" t="s">
        <v>41</v>
      </c>
      <c r="B896">
        <f>VLOOKUP(A896,Sheet2!B:F,5,FALSE)</f>
        <v>926</v>
      </c>
      <c r="C896" t="s">
        <v>42</v>
      </c>
      <c r="D896">
        <f>VLOOKUP(C896,Sheet2!C:G,5,FALSE)</f>
        <v>964</v>
      </c>
      <c r="E896" t="s">
        <v>43</v>
      </c>
      <c r="F896">
        <f>VLOOKUP(E896,Sheet2!D:E,2,FALSE)</f>
        <v>200998</v>
      </c>
      <c r="G896" t="s">
        <v>11</v>
      </c>
      <c r="H896" t="str">
        <f t="shared" si="26"/>
        <v>NAVERkfeng</v>
      </c>
      <c r="I896" t="str">
        <f>"kfeng"</f>
        <v>kfeng</v>
      </c>
      <c r="J896">
        <v>520</v>
      </c>
      <c r="K896" s="1">
        <v>44866</v>
      </c>
      <c r="L896" t="s">
        <v>961</v>
      </c>
      <c r="M896">
        <f t="shared" si="27"/>
        <v>520</v>
      </c>
      <c r="N896" t="e">
        <f>VLOOKUP(H896,Sheet1!G:H,2,FALSE)</f>
        <v>#N/A</v>
      </c>
      <c r="R896" t="s">
        <v>2820</v>
      </c>
      <c r="S896">
        <v>106600</v>
      </c>
    </row>
    <row r="897" spans="1:19" x14ac:dyDescent="0.3">
      <c r="A897" t="s">
        <v>8</v>
      </c>
      <c r="B897">
        <f>VLOOKUP(A897,Sheet2!B:F,5,FALSE)</f>
        <v>928</v>
      </c>
      <c r="C897" t="s">
        <v>9</v>
      </c>
      <c r="D897">
        <f>VLOOKUP(C897,Sheet2!C:G,5,FALSE)</f>
        <v>1202</v>
      </c>
      <c r="E897" t="s">
        <v>31</v>
      </c>
      <c r="F897">
        <f>VLOOKUP(E897,Sheet2!D:E,2,FALSE)</f>
        <v>1040</v>
      </c>
      <c r="G897" t="s">
        <v>11</v>
      </c>
      <c r="H897" t="str">
        <f t="shared" si="26"/>
        <v>NAVERkfsysy99</v>
      </c>
      <c r="I897" t="str">
        <f>"kfsysy99"</f>
        <v>kfsysy99</v>
      </c>
      <c r="J897">
        <v>431110</v>
      </c>
      <c r="K897" s="1">
        <v>44866</v>
      </c>
      <c r="L897" t="s">
        <v>962</v>
      </c>
      <c r="M897">
        <f t="shared" si="27"/>
        <v>431110</v>
      </c>
      <c r="N897" t="e">
        <f>VLOOKUP(H897,Sheet1!G:H,2,FALSE)</f>
        <v>#N/A</v>
      </c>
      <c r="R897" t="s">
        <v>2821</v>
      </c>
      <c r="S897">
        <v>14068230</v>
      </c>
    </row>
    <row r="898" spans="1:19" x14ac:dyDescent="0.3">
      <c r="A898" t="s">
        <v>8</v>
      </c>
      <c r="B898">
        <f>VLOOKUP(A898,Sheet2!B:F,5,FALSE)</f>
        <v>928</v>
      </c>
      <c r="C898" t="s">
        <v>9</v>
      </c>
      <c r="D898">
        <f>VLOOKUP(C898,Sheet2!C:G,5,FALSE)</f>
        <v>1202</v>
      </c>
      <c r="E898" t="s">
        <v>37</v>
      </c>
      <c r="F898">
        <f>VLOOKUP(E898,Sheet2!D:E,2,FALSE)</f>
        <v>81</v>
      </c>
      <c r="G898" t="s">
        <v>11</v>
      </c>
      <c r="H898" t="str">
        <f t="shared" si="26"/>
        <v>NAVERkg5050</v>
      </c>
      <c r="I898" t="str">
        <f>"kg5050"</f>
        <v>kg5050</v>
      </c>
      <c r="J898">
        <v>5720</v>
      </c>
      <c r="K898" s="1">
        <v>44866</v>
      </c>
      <c r="L898" t="s">
        <v>963</v>
      </c>
      <c r="M898">
        <f t="shared" si="27"/>
        <v>5720</v>
      </c>
      <c r="N898" t="e">
        <f>VLOOKUP(H898,Sheet1!G:H,2,FALSE)</f>
        <v>#N/A</v>
      </c>
      <c r="R898" t="s">
        <v>2822</v>
      </c>
      <c r="S898">
        <v>3750</v>
      </c>
    </row>
    <row r="899" spans="1:19" x14ac:dyDescent="0.3">
      <c r="A899" t="s">
        <v>8</v>
      </c>
      <c r="B899">
        <f>VLOOKUP(A899,Sheet2!B:F,5,FALSE)</f>
        <v>928</v>
      </c>
      <c r="C899" t="s">
        <v>9</v>
      </c>
      <c r="D899">
        <f>VLOOKUP(C899,Sheet2!C:G,5,FALSE)</f>
        <v>1202</v>
      </c>
      <c r="E899" t="s">
        <v>27</v>
      </c>
      <c r="F899">
        <f>VLOOKUP(E899,Sheet2!D:E,2,FALSE)</f>
        <v>806</v>
      </c>
      <c r="G899" t="s">
        <v>11</v>
      </c>
      <c r="H899" t="str">
        <f t="shared" ref="H899:H962" si="28">CONCATENATE(G899,I899)</f>
        <v>NAVERkg710206</v>
      </c>
      <c r="I899" t="str">
        <f>"kg710206"</f>
        <v>kg710206</v>
      </c>
      <c r="J899">
        <v>650</v>
      </c>
      <c r="K899" s="1">
        <v>44866</v>
      </c>
      <c r="L899" t="s">
        <v>964</v>
      </c>
      <c r="M899">
        <f t="shared" ref="M899:M962" si="29">VLOOKUP(H899,R:S,2,FALSE)</f>
        <v>650</v>
      </c>
      <c r="N899" t="e">
        <f>VLOOKUP(H899,Sheet1!G:H,2,FALSE)</f>
        <v>#N/A</v>
      </c>
      <c r="R899" t="s">
        <v>2823</v>
      </c>
      <c r="S899">
        <v>3600</v>
      </c>
    </row>
    <row r="900" spans="1:19" x14ac:dyDescent="0.3">
      <c r="A900" t="s">
        <v>41</v>
      </c>
      <c r="B900">
        <f>VLOOKUP(A900,Sheet2!B:F,5,FALSE)</f>
        <v>926</v>
      </c>
      <c r="C900" t="s">
        <v>56</v>
      </c>
      <c r="D900">
        <f>VLOOKUP(C900,Sheet2!C:G,5,FALSE)</f>
        <v>1207</v>
      </c>
      <c r="E900" t="s">
        <v>62</v>
      </c>
      <c r="F900">
        <f>VLOOKUP(E900,Sheet2!D:E,2,FALSE)</f>
        <v>201037</v>
      </c>
      <c r="G900" t="s">
        <v>11</v>
      </c>
      <c r="H900" t="str">
        <f t="shared" si="28"/>
        <v>NAVERkhdigipro</v>
      </c>
      <c r="I900" t="str">
        <f>"khdigipro"</f>
        <v>khdigipro</v>
      </c>
      <c r="J900">
        <v>30430</v>
      </c>
      <c r="K900" s="1">
        <v>44866</v>
      </c>
      <c r="L900" t="s">
        <v>965</v>
      </c>
      <c r="M900">
        <f t="shared" si="29"/>
        <v>30430</v>
      </c>
      <c r="N900" t="e">
        <f>VLOOKUP(H900,Sheet1!G:H,2,FALSE)</f>
        <v>#N/A</v>
      </c>
      <c r="R900" t="s">
        <v>2824</v>
      </c>
      <c r="S900">
        <v>1932270</v>
      </c>
    </row>
    <row r="901" spans="1:19" x14ac:dyDescent="0.3">
      <c r="A901" t="s">
        <v>8</v>
      </c>
      <c r="B901">
        <f>VLOOKUP(A901,Sheet2!B:F,5,FALSE)</f>
        <v>928</v>
      </c>
      <c r="C901" t="s">
        <v>9</v>
      </c>
      <c r="D901">
        <f>VLOOKUP(C901,Sheet2!C:G,5,FALSE)</f>
        <v>1202</v>
      </c>
      <c r="E901" t="s">
        <v>20</v>
      </c>
      <c r="F901">
        <f>VLOOKUP(E901,Sheet2!D:E,2,FALSE)</f>
        <v>938</v>
      </c>
      <c r="G901" t="s">
        <v>11</v>
      </c>
      <c r="H901" t="str">
        <f t="shared" si="28"/>
        <v>NAVERkhi1937</v>
      </c>
      <c r="I901" t="str">
        <f>"khi1937"</f>
        <v>khi1937</v>
      </c>
      <c r="J901">
        <v>162060</v>
      </c>
      <c r="K901" s="1">
        <v>44866</v>
      </c>
      <c r="L901" t="s">
        <v>966</v>
      </c>
      <c r="M901">
        <f t="shared" si="29"/>
        <v>252970</v>
      </c>
      <c r="N901" t="e">
        <f>VLOOKUP(H901,Sheet1!G:H,2,FALSE)</f>
        <v>#N/A</v>
      </c>
      <c r="R901" t="s">
        <v>2825</v>
      </c>
      <c r="S901">
        <v>654520</v>
      </c>
    </row>
    <row r="902" spans="1:19" x14ac:dyDescent="0.3">
      <c r="A902" t="s">
        <v>8</v>
      </c>
      <c r="B902">
        <f>VLOOKUP(A902,Sheet2!B:F,5,FALSE)</f>
        <v>928</v>
      </c>
      <c r="C902" t="s">
        <v>9</v>
      </c>
      <c r="D902">
        <f>VLOOKUP(C902,Sheet2!C:G,5,FALSE)</f>
        <v>1202</v>
      </c>
      <c r="E902" t="s">
        <v>31</v>
      </c>
      <c r="F902">
        <f>VLOOKUP(E902,Sheet2!D:E,2,FALSE)</f>
        <v>1040</v>
      </c>
      <c r="G902" t="s">
        <v>11</v>
      </c>
      <c r="H902" t="str">
        <f t="shared" si="28"/>
        <v>NAVERkhj4483</v>
      </c>
      <c r="I902" t="str">
        <f>"khj4483"</f>
        <v>khj4483</v>
      </c>
      <c r="J902">
        <v>358610</v>
      </c>
      <c r="K902" s="1">
        <v>44866</v>
      </c>
      <c r="L902" t="s">
        <v>967</v>
      </c>
      <c r="M902">
        <f t="shared" si="29"/>
        <v>358610</v>
      </c>
      <c r="N902" t="e">
        <f>VLOOKUP(H902,Sheet1!G:H,2,FALSE)</f>
        <v>#N/A</v>
      </c>
      <c r="R902" t="s">
        <v>2826</v>
      </c>
      <c r="S902">
        <v>3994130</v>
      </c>
    </row>
    <row r="903" spans="1:19" x14ac:dyDescent="0.3">
      <c r="A903" t="s">
        <v>16</v>
      </c>
      <c r="B903">
        <f>VLOOKUP(A903,Sheet2!B:F,5,FALSE)</f>
        <v>927</v>
      </c>
      <c r="C903" t="s">
        <v>17</v>
      </c>
      <c r="D903">
        <f>VLOOKUP(C903,Sheet2!C:G,5,FALSE)</f>
        <v>1200</v>
      </c>
      <c r="E903" t="s">
        <v>262</v>
      </c>
      <c r="F903">
        <f>VLOOKUP(E903,Sheet2!D:E,2,FALSE)</f>
        <v>1594</v>
      </c>
      <c r="G903" t="s">
        <v>11</v>
      </c>
      <c r="H903" t="str">
        <f t="shared" si="28"/>
        <v>NAVERkht840622</v>
      </c>
      <c r="I903" t="str">
        <f>"kht840622"</f>
        <v>kht840622</v>
      </c>
      <c r="J903">
        <v>7920330</v>
      </c>
      <c r="K903" s="1">
        <v>44866</v>
      </c>
      <c r="L903" t="s">
        <v>968</v>
      </c>
      <c r="M903">
        <f t="shared" si="29"/>
        <v>7931290</v>
      </c>
      <c r="N903" t="e">
        <f>VLOOKUP(H903,Sheet1!G:H,2,FALSE)</f>
        <v>#N/A</v>
      </c>
      <c r="R903" t="s">
        <v>2827</v>
      </c>
      <c r="S903">
        <v>286810</v>
      </c>
    </row>
    <row r="904" spans="1:19" x14ac:dyDescent="0.3">
      <c r="A904" t="s">
        <v>8</v>
      </c>
      <c r="B904">
        <f>VLOOKUP(A904,Sheet2!B:F,5,FALSE)</f>
        <v>928</v>
      </c>
      <c r="C904" t="s">
        <v>9</v>
      </c>
      <c r="D904">
        <f>VLOOKUP(C904,Sheet2!C:G,5,FALSE)</f>
        <v>1202</v>
      </c>
      <c r="E904" t="s">
        <v>73</v>
      </c>
      <c r="F904">
        <f>VLOOKUP(E904,Sheet2!D:E,2,FALSE)</f>
        <v>895</v>
      </c>
      <c r="G904" t="s">
        <v>11</v>
      </c>
      <c r="H904" t="str">
        <f t="shared" si="28"/>
        <v>NAVERki1212</v>
      </c>
      <c r="I904" t="str">
        <f>"ki1212"</f>
        <v>ki1212</v>
      </c>
      <c r="J904">
        <v>112350</v>
      </c>
      <c r="K904" s="1">
        <v>44866</v>
      </c>
      <c r="L904" t="s">
        <v>969</v>
      </c>
      <c r="M904">
        <f t="shared" si="29"/>
        <v>112350</v>
      </c>
      <c r="N904" t="e">
        <f>VLOOKUP(H904,Sheet1!G:H,2,FALSE)</f>
        <v>#N/A</v>
      </c>
      <c r="R904" t="s">
        <v>2828</v>
      </c>
      <c r="S904">
        <v>822270</v>
      </c>
    </row>
    <row r="905" spans="1:19" x14ac:dyDescent="0.3">
      <c r="A905" t="s">
        <v>16</v>
      </c>
      <c r="B905">
        <f>VLOOKUP(A905,Sheet2!B:F,5,FALSE)</f>
        <v>927</v>
      </c>
      <c r="C905" t="s">
        <v>17</v>
      </c>
      <c r="D905">
        <f>VLOOKUP(C905,Sheet2!C:G,5,FALSE)</f>
        <v>1200</v>
      </c>
      <c r="E905" t="s">
        <v>66</v>
      </c>
      <c r="F905">
        <f>VLOOKUP(E905,Sheet2!D:E,2,FALSE)</f>
        <v>33</v>
      </c>
      <c r="G905" t="s">
        <v>11</v>
      </c>
      <c r="H905" t="str">
        <f t="shared" si="28"/>
        <v>NAVERki4490</v>
      </c>
      <c r="I905" t="str">
        <f>"ki4490"</f>
        <v>ki4490</v>
      </c>
      <c r="J905">
        <v>2018580</v>
      </c>
      <c r="K905" s="1">
        <v>44866</v>
      </c>
      <c r="L905" t="s">
        <v>970</v>
      </c>
      <c r="M905">
        <f t="shared" si="29"/>
        <v>2018580</v>
      </c>
      <c r="N905" t="e">
        <f>VLOOKUP(H905,Sheet1!G:H,2,FALSE)</f>
        <v>#N/A</v>
      </c>
      <c r="R905" t="s">
        <v>2829</v>
      </c>
      <c r="S905">
        <v>235570</v>
      </c>
    </row>
    <row r="906" spans="1:19" x14ac:dyDescent="0.3">
      <c r="A906" t="s">
        <v>8</v>
      </c>
      <c r="B906">
        <f>VLOOKUP(A906,Sheet2!B:F,5,FALSE)</f>
        <v>928</v>
      </c>
      <c r="C906" t="s">
        <v>13</v>
      </c>
      <c r="D906">
        <f>VLOOKUP(C906,Sheet2!C:G,5,FALSE)</f>
        <v>1184</v>
      </c>
      <c r="E906" t="s">
        <v>335</v>
      </c>
      <c r="F906">
        <f>VLOOKUP(E906,Sheet2!D:E,2,FALSE)</f>
        <v>201090</v>
      </c>
      <c r="G906" t="s">
        <v>11</v>
      </c>
      <c r="H906" t="str">
        <f t="shared" si="28"/>
        <v>NAVERkiboram:naver</v>
      </c>
      <c r="I906" t="str">
        <f>"kiboram:naver"</f>
        <v>kiboram:naver</v>
      </c>
      <c r="J906">
        <v>1870</v>
      </c>
      <c r="K906" s="1">
        <v>44866</v>
      </c>
      <c r="L906" t="s">
        <v>336</v>
      </c>
      <c r="M906">
        <f t="shared" si="29"/>
        <v>1870</v>
      </c>
      <c r="N906" t="e">
        <f>VLOOKUP(H906,Sheet1!G:H,2,FALSE)</f>
        <v>#N/A</v>
      </c>
      <c r="R906" t="s">
        <v>2830</v>
      </c>
      <c r="S906">
        <v>2570890</v>
      </c>
    </row>
    <row r="907" spans="1:19" x14ac:dyDescent="0.3">
      <c r="A907" t="s">
        <v>8</v>
      </c>
      <c r="B907">
        <f>VLOOKUP(A907,Sheet2!B:F,5,FALSE)</f>
        <v>928</v>
      </c>
      <c r="C907" t="s">
        <v>13</v>
      </c>
      <c r="D907">
        <f>VLOOKUP(C907,Sheet2!C:G,5,FALSE)</f>
        <v>1184</v>
      </c>
      <c r="E907" t="s">
        <v>14</v>
      </c>
      <c r="F907">
        <f>VLOOKUP(E907,Sheet2!D:E,2,FALSE)</f>
        <v>914</v>
      </c>
      <c r="G907" t="s">
        <v>11</v>
      </c>
      <c r="H907" t="str">
        <f t="shared" si="28"/>
        <v>NAVERkichuri999</v>
      </c>
      <c r="I907" t="str">
        <f>"kichuri999"</f>
        <v>kichuri999</v>
      </c>
      <c r="J907">
        <v>35680</v>
      </c>
      <c r="K907" s="1">
        <v>44866</v>
      </c>
      <c r="L907" t="s">
        <v>971</v>
      </c>
      <c r="M907">
        <f t="shared" si="29"/>
        <v>35680</v>
      </c>
      <c r="N907" t="e">
        <f>VLOOKUP(H907,Sheet1!G:H,2,FALSE)</f>
        <v>#N/A</v>
      </c>
      <c r="R907" t="s">
        <v>2831</v>
      </c>
      <c r="S907">
        <v>17245020</v>
      </c>
    </row>
    <row r="908" spans="1:19" x14ac:dyDescent="0.3">
      <c r="A908" t="s">
        <v>8</v>
      </c>
      <c r="B908">
        <f>VLOOKUP(A908,Sheet2!B:F,5,FALSE)</f>
        <v>928</v>
      </c>
      <c r="C908" t="s">
        <v>9</v>
      </c>
      <c r="D908">
        <f>VLOOKUP(C908,Sheet2!C:G,5,FALSE)</f>
        <v>1202</v>
      </c>
      <c r="E908" t="s">
        <v>27</v>
      </c>
      <c r="F908">
        <f>VLOOKUP(E908,Sheet2!D:E,2,FALSE)</f>
        <v>806</v>
      </c>
      <c r="G908" t="s">
        <v>11</v>
      </c>
      <c r="H908" t="str">
        <f t="shared" si="28"/>
        <v>NAVERkidsnuri0055</v>
      </c>
      <c r="I908" t="str">
        <f>"kidsnuri0055"</f>
        <v>kidsnuri0055</v>
      </c>
      <c r="J908">
        <v>1097550</v>
      </c>
      <c r="K908" s="1">
        <v>44866</v>
      </c>
      <c r="L908" t="s">
        <v>972</v>
      </c>
      <c r="M908">
        <f t="shared" si="29"/>
        <v>1097550</v>
      </c>
      <c r="N908" t="e">
        <f>VLOOKUP(H908,Sheet1!G:H,2,FALSE)</f>
        <v>#N/A</v>
      </c>
      <c r="R908" t="s">
        <v>2832</v>
      </c>
      <c r="S908">
        <v>23310</v>
      </c>
    </row>
    <row r="909" spans="1:19" x14ac:dyDescent="0.3">
      <c r="A909" t="s">
        <v>8</v>
      </c>
      <c r="B909">
        <f>VLOOKUP(A909,Sheet2!B:F,5,FALSE)</f>
        <v>928</v>
      </c>
      <c r="C909" t="s">
        <v>9</v>
      </c>
      <c r="D909">
        <f>VLOOKUP(C909,Sheet2!C:G,5,FALSE)</f>
        <v>1202</v>
      </c>
      <c r="E909" t="s">
        <v>27</v>
      </c>
      <c r="F909">
        <f>VLOOKUP(E909,Sheet2!D:E,2,FALSE)</f>
        <v>806</v>
      </c>
      <c r="G909" t="s">
        <v>11</v>
      </c>
      <c r="H909" t="str">
        <f t="shared" si="28"/>
        <v>NAVERkikubo:naver</v>
      </c>
      <c r="I909" t="str">
        <f>"kikubo:naver"</f>
        <v>kikubo:naver</v>
      </c>
      <c r="J909">
        <v>3200</v>
      </c>
      <c r="K909" s="1">
        <v>44866</v>
      </c>
      <c r="L909" t="s">
        <v>973</v>
      </c>
      <c r="M909">
        <f t="shared" si="29"/>
        <v>3200</v>
      </c>
      <c r="N909" t="e">
        <f>VLOOKUP(H909,Sheet1!G:H,2,FALSE)</f>
        <v>#N/A</v>
      </c>
      <c r="R909" t="s">
        <v>2833</v>
      </c>
      <c r="S909">
        <v>552700</v>
      </c>
    </row>
    <row r="910" spans="1:19" x14ac:dyDescent="0.3">
      <c r="A910" t="s">
        <v>41</v>
      </c>
      <c r="B910">
        <f>VLOOKUP(A910,Sheet2!B:F,5,FALSE)</f>
        <v>926</v>
      </c>
      <c r="C910" t="s">
        <v>42</v>
      </c>
      <c r="D910">
        <f>VLOOKUP(C910,Sheet2!C:G,5,FALSE)</f>
        <v>964</v>
      </c>
      <c r="E910" t="s">
        <v>43</v>
      </c>
      <c r="F910">
        <f>VLOOKUP(E910,Sheet2!D:E,2,FALSE)</f>
        <v>200998</v>
      </c>
      <c r="G910" t="s">
        <v>11</v>
      </c>
      <c r="H910" t="str">
        <f t="shared" si="28"/>
        <v>NAVERkim07300</v>
      </c>
      <c r="I910" t="str">
        <f>"kim07300"</f>
        <v>kim07300</v>
      </c>
      <c r="J910">
        <v>5160</v>
      </c>
      <c r="K910" s="1">
        <v>44866</v>
      </c>
      <c r="L910" t="s">
        <v>974</v>
      </c>
      <c r="M910">
        <f t="shared" si="29"/>
        <v>5160</v>
      </c>
      <c r="N910" t="e">
        <f>VLOOKUP(H910,Sheet1!G:H,2,FALSE)</f>
        <v>#N/A</v>
      </c>
      <c r="R910" t="s">
        <v>2834</v>
      </c>
      <c r="S910">
        <v>67110</v>
      </c>
    </row>
    <row r="911" spans="1:19" x14ac:dyDescent="0.3">
      <c r="A911" t="s">
        <v>8</v>
      </c>
      <c r="B911">
        <f>VLOOKUP(A911,Sheet2!B:F,5,FALSE)</f>
        <v>928</v>
      </c>
      <c r="C911" t="s">
        <v>9</v>
      </c>
      <c r="D911">
        <f>VLOOKUP(C911,Sheet2!C:G,5,FALSE)</f>
        <v>1202</v>
      </c>
      <c r="E911" t="s">
        <v>10</v>
      </c>
      <c r="F911">
        <f>VLOOKUP(E911,Sheet2!D:E,2,FALSE)</f>
        <v>939</v>
      </c>
      <c r="G911" t="s">
        <v>11</v>
      </c>
      <c r="H911" t="str">
        <f t="shared" si="28"/>
        <v>NAVERkim2019</v>
      </c>
      <c r="I911" t="str">
        <f>"kim2019"</f>
        <v>kim2019</v>
      </c>
      <c r="J911">
        <v>727820</v>
      </c>
      <c r="K911" s="1">
        <v>44866</v>
      </c>
      <c r="L911" t="s">
        <v>975</v>
      </c>
      <c r="M911">
        <f t="shared" si="29"/>
        <v>727820</v>
      </c>
      <c r="N911" t="e">
        <f>VLOOKUP(H911,Sheet1!G:H,2,FALSE)</f>
        <v>#N/A</v>
      </c>
      <c r="R911" t="s">
        <v>2835</v>
      </c>
      <c r="S911">
        <v>34760</v>
      </c>
    </row>
    <row r="912" spans="1:19" x14ac:dyDescent="0.3">
      <c r="A912" t="s">
        <v>16</v>
      </c>
      <c r="B912">
        <f>VLOOKUP(A912,Sheet2!B:F,5,FALSE)</f>
        <v>927</v>
      </c>
      <c r="C912" t="s">
        <v>17</v>
      </c>
      <c r="D912">
        <f>VLOOKUP(C912,Sheet2!C:G,5,FALSE)</f>
        <v>1200</v>
      </c>
      <c r="E912" t="s">
        <v>244</v>
      </c>
      <c r="F912">
        <f>VLOOKUP(E912,Sheet2!D:E,2,FALSE)</f>
        <v>817</v>
      </c>
      <c r="G912" t="s">
        <v>11</v>
      </c>
      <c r="H912" t="str">
        <f t="shared" si="28"/>
        <v>NAVERkimchisarang</v>
      </c>
      <c r="I912" t="str">
        <f>"kimchisarang"</f>
        <v>kimchisarang</v>
      </c>
      <c r="J912">
        <v>1729790</v>
      </c>
      <c r="K912" s="1">
        <v>44866</v>
      </c>
      <c r="L912" t="s">
        <v>976</v>
      </c>
      <c r="M912">
        <f t="shared" si="29"/>
        <v>1729790</v>
      </c>
      <c r="N912" t="e">
        <f>VLOOKUP(H912,Sheet1!G:H,2,FALSE)</f>
        <v>#N/A</v>
      </c>
      <c r="R912" t="s">
        <v>2836</v>
      </c>
      <c r="S912">
        <v>457500</v>
      </c>
    </row>
    <row r="913" spans="1:19" x14ac:dyDescent="0.3">
      <c r="A913" t="s">
        <v>8</v>
      </c>
      <c r="B913">
        <f>VLOOKUP(A913,Sheet2!B:F,5,FALSE)</f>
        <v>928</v>
      </c>
      <c r="C913" t="s">
        <v>9</v>
      </c>
      <c r="D913">
        <f>VLOOKUP(C913,Sheet2!C:G,5,FALSE)</f>
        <v>1202</v>
      </c>
      <c r="E913" t="s">
        <v>20</v>
      </c>
      <c r="F913">
        <f>VLOOKUP(E913,Sheet2!D:E,2,FALSE)</f>
        <v>938</v>
      </c>
      <c r="G913" t="s">
        <v>11</v>
      </c>
      <c r="H913" t="str">
        <f t="shared" si="28"/>
        <v>NAVERkimgdom77</v>
      </c>
      <c r="I913" t="str">
        <f>"kimgdom77"</f>
        <v>kimgdom77</v>
      </c>
      <c r="J913">
        <v>523870</v>
      </c>
      <c r="K913" s="1">
        <v>44866</v>
      </c>
      <c r="L913" t="s">
        <v>977</v>
      </c>
      <c r="M913">
        <f t="shared" si="29"/>
        <v>523870</v>
      </c>
      <c r="N913" t="e">
        <f>VLOOKUP(H913,Sheet1!G:H,2,FALSE)</f>
        <v>#N/A</v>
      </c>
      <c r="R913" t="s">
        <v>2837</v>
      </c>
      <c r="S913">
        <v>52380</v>
      </c>
    </row>
    <row r="914" spans="1:19" x14ac:dyDescent="0.3">
      <c r="A914" t="s">
        <v>8</v>
      </c>
      <c r="B914">
        <f>VLOOKUP(A914,Sheet2!B:F,5,FALSE)</f>
        <v>928</v>
      </c>
      <c r="C914" t="s">
        <v>9</v>
      </c>
      <c r="D914">
        <f>VLOOKUP(C914,Sheet2!C:G,5,FALSE)</f>
        <v>1202</v>
      </c>
      <c r="E914" t="s">
        <v>75</v>
      </c>
      <c r="F914">
        <f>VLOOKUP(E914,Sheet2!D:E,2,FALSE)</f>
        <v>50</v>
      </c>
      <c r="G914" t="s">
        <v>11</v>
      </c>
      <c r="H914" t="str">
        <f t="shared" si="28"/>
        <v>NAVERkimgood0909:naver</v>
      </c>
      <c r="I914" t="str">
        <f>"kimgood0909:naver"</f>
        <v>kimgood0909:naver</v>
      </c>
      <c r="J914">
        <v>164960</v>
      </c>
      <c r="K914" s="1">
        <v>44866</v>
      </c>
      <c r="L914" t="s">
        <v>978</v>
      </c>
      <c r="M914">
        <f t="shared" si="29"/>
        <v>164960</v>
      </c>
      <c r="N914" t="e">
        <f>VLOOKUP(H914,Sheet1!G:H,2,FALSE)</f>
        <v>#N/A</v>
      </c>
      <c r="R914" t="s">
        <v>2838</v>
      </c>
      <c r="S914">
        <v>276520</v>
      </c>
    </row>
    <row r="915" spans="1:19" x14ac:dyDescent="0.3">
      <c r="A915" t="s">
        <v>8</v>
      </c>
      <c r="B915">
        <f>VLOOKUP(A915,Sheet2!B:F,5,FALSE)</f>
        <v>928</v>
      </c>
      <c r="C915" t="s">
        <v>13</v>
      </c>
      <c r="D915">
        <f>VLOOKUP(C915,Sheet2!C:G,5,FALSE)</f>
        <v>1184</v>
      </c>
      <c r="E915" t="s">
        <v>51</v>
      </c>
      <c r="F915">
        <f>VLOOKUP(E915,Sheet2!D:E,2,FALSE)</f>
        <v>1274</v>
      </c>
      <c r="G915" t="s">
        <v>11</v>
      </c>
      <c r="H915" t="str">
        <f t="shared" si="28"/>
        <v>NAVERkimiljung4</v>
      </c>
      <c r="I915" t="str">
        <f>"kimiljung4"</f>
        <v>kimiljung4</v>
      </c>
      <c r="J915">
        <v>189970</v>
      </c>
      <c r="K915" s="1">
        <v>44866</v>
      </c>
      <c r="L915" t="s">
        <v>979</v>
      </c>
      <c r="M915">
        <f t="shared" si="29"/>
        <v>189970</v>
      </c>
      <c r="N915" t="e">
        <f>VLOOKUP(H915,Sheet1!G:H,2,FALSE)</f>
        <v>#N/A</v>
      </c>
      <c r="R915" t="s">
        <v>2839</v>
      </c>
      <c r="S915">
        <v>50070</v>
      </c>
    </row>
    <row r="916" spans="1:19" x14ac:dyDescent="0.3">
      <c r="A916" t="s">
        <v>8</v>
      </c>
      <c r="B916">
        <f>VLOOKUP(A916,Sheet2!B:F,5,FALSE)</f>
        <v>928</v>
      </c>
      <c r="C916" t="s">
        <v>9</v>
      </c>
      <c r="D916">
        <f>VLOOKUP(C916,Sheet2!C:G,5,FALSE)</f>
        <v>1202</v>
      </c>
      <c r="E916" t="s">
        <v>47</v>
      </c>
      <c r="F916">
        <f>VLOOKUP(E916,Sheet2!D:E,2,FALSE)</f>
        <v>898</v>
      </c>
      <c r="G916" t="s">
        <v>11</v>
      </c>
      <c r="H916" t="str">
        <f t="shared" si="28"/>
        <v>NAVERkimki3063</v>
      </c>
      <c r="I916" t="str">
        <f>"kimki3063"</f>
        <v>kimki3063</v>
      </c>
      <c r="J916">
        <v>76910</v>
      </c>
      <c r="K916" s="1">
        <v>44866</v>
      </c>
      <c r="L916" t="s">
        <v>980</v>
      </c>
      <c r="M916">
        <f t="shared" si="29"/>
        <v>76910</v>
      </c>
      <c r="N916" t="e">
        <f>VLOOKUP(H916,Sheet1!G:H,2,FALSE)</f>
        <v>#N/A</v>
      </c>
      <c r="R916" t="s">
        <v>2840</v>
      </c>
      <c r="S916">
        <v>23670</v>
      </c>
    </row>
    <row r="917" spans="1:19" x14ac:dyDescent="0.3">
      <c r="A917" t="s">
        <v>8</v>
      </c>
      <c r="B917">
        <f>VLOOKUP(A917,Sheet2!B:F,5,FALSE)</f>
        <v>928</v>
      </c>
      <c r="C917" t="s">
        <v>13</v>
      </c>
      <c r="D917">
        <f>VLOOKUP(C917,Sheet2!C:G,5,FALSE)</f>
        <v>1184</v>
      </c>
      <c r="E917" t="s">
        <v>59</v>
      </c>
      <c r="F917">
        <f>VLOOKUP(E917,Sheet2!D:E,2,FALSE)</f>
        <v>9</v>
      </c>
      <c r="G917" t="s">
        <v>11</v>
      </c>
      <c r="H917" t="str">
        <f t="shared" si="28"/>
        <v>NAVERkimposw</v>
      </c>
      <c r="I917" t="str">
        <f>"kimposw"</f>
        <v>kimposw</v>
      </c>
      <c r="J917">
        <v>2740</v>
      </c>
      <c r="K917" s="1">
        <v>44866</v>
      </c>
      <c r="L917" t="s">
        <v>981</v>
      </c>
      <c r="M917">
        <f t="shared" si="29"/>
        <v>2740</v>
      </c>
      <c r="N917" t="e">
        <f>VLOOKUP(H917,Sheet1!G:H,2,FALSE)</f>
        <v>#N/A</v>
      </c>
      <c r="R917" t="s">
        <v>2841</v>
      </c>
      <c r="S917">
        <v>7060</v>
      </c>
    </row>
    <row r="918" spans="1:19" x14ac:dyDescent="0.3">
      <c r="A918" t="s">
        <v>41</v>
      </c>
      <c r="B918">
        <f>VLOOKUP(A918,Sheet2!B:F,5,FALSE)</f>
        <v>926</v>
      </c>
      <c r="C918" t="s">
        <v>42</v>
      </c>
      <c r="D918">
        <f>VLOOKUP(C918,Sheet2!C:G,5,FALSE)</f>
        <v>964</v>
      </c>
      <c r="E918" t="s">
        <v>43</v>
      </c>
      <c r="F918">
        <f>VLOOKUP(E918,Sheet2!D:E,2,FALSE)</f>
        <v>200998</v>
      </c>
      <c r="G918" t="s">
        <v>11</v>
      </c>
      <c r="H918" t="str">
        <f t="shared" si="28"/>
        <v>NAVERkims9467</v>
      </c>
      <c r="I918" t="str">
        <f>"kims9467"</f>
        <v>kims9467</v>
      </c>
      <c r="J918">
        <v>1750</v>
      </c>
      <c r="K918" s="1">
        <v>44866</v>
      </c>
      <c r="L918" t="s">
        <v>982</v>
      </c>
      <c r="M918">
        <f t="shared" si="29"/>
        <v>1750</v>
      </c>
      <c r="N918" t="e">
        <f>VLOOKUP(H918,Sheet1!G:H,2,FALSE)</f>
        <v>#N/A</v>
      </c>
      <c r="R918" t="s">
        <v>2842</v>
      </c>
      <c r="S918">
        <v>407580</v>
      </c>
    </row>
    <row r="919" spans="1:19" x14ac:dyDescent="0.3">
      <c r="A919" t="s">
        <v>8</v>
      </c>
      <c r="B919">
        <f>VLOOKUP(A919,Sheet2!B:F,5,FALSE)</f>
        <v>928</v>
      </c>
      <c r="C919" t="s">
        <v>9</v>
      </c>
      <c r="D919">
        <f>VLOOKUP(C919,Sheet2!C:G,5,FALSE)</f>
        <v>1202</v>
      </c>
      <c r="E919" t="s">
        <v>31</v>
      </c>
      <c r="F919">
        <f>VLOOKUP(E919,Sheet2!D:E,2,FALSE)</f>
        <v>1040</v>
      </c>
      <c r="G919" t="s">
        <v>11</v>
      </c>
      <c r="H919" t="str">
        <f t="shared" si="28"/>
        <v>NAVERkimsrain</v>
      </c>
      <c r="I919" t="str">
        <f>"kimsrain"</f>
        <v>kimsrain</v>
      </c>
      <c r="J919">
        <v>58860</v>
      </c>
      <c r="K919" s="1">
        <v>44866</v>
      </c>
      <c r="L919" t="s">
        <v>983</v>
      </c>
      <c r="M919">
        <f t="shared" si="29"/>
        <v>58540</v>
      </c>
      <c r="N919" t="e">
        <f>VLOOKUP(H919,Sheet1!G:H,2,FALSE)</f>
        <v>#N/A</v>
      </c>
      <c r="R919" t="s">
        <v>2843</v>
      </c>
      <c r="S919">
        <v>367530</v>
      </c>
    </row>
    <row r="920" spans="1:19" x14ac:dyDescent="0.3">
      <c r="A920" t="s">
        <v>16</v>
      </c>
      <c r="B920">
        <f>VLOOKUP(A920,Sheet2!B:F,5,FALSE)</f>
        <v>927</v>
      </c>
      <c r="C920" t="s">
        <v>17</v>
      </c>
      <c r="D920">
        <f>VLOOKUP(C920,Sheet2!C:G,5,FALSE)</f>
        <v>1200</v>
      </c>
      <c r="E920" t="s">
        <v>29</v>
      </c>
      <c r="F920">
        <f>VLOOKUP(E920,Sheet2!D:E,2,FALSE)</f>
        <v>1496</v>
      </c>
      <c r="G920" t="s">
        <v>11</v>
      </c>
      <c r="H920" t="str">
        <f t="shared" si="28"/>
        <v>NAVERkine311:naver</v>
      </c>
      <c r="I920" t="str">
        <f>"kine311:naver"</f>
        <v>kine311:naver</v>
      </c>
      <c r="J920">
        <v>339050</v>
      </c>
      <c r="K920" s="1">
        <v>44866</v>
      </c>
      <c r="L920" t="s">
        <v>984</v>
      </c>
      <c r="M920">
        <f t="shared" si="29"/>
        <v>339050</v>
      </c>
      <c r="N920" t="e">
        <f>VLOOKUP(H920,Sheet1!G:H,2,FALSE)</f>
        <v>#N/A</v>
      </c>
      <c r="R920" t="s">
        <v>2844</v>
      </c>
      <c r="S920">
        <v>119880</v>
      </c>
    </row>
    <row r="921" spans="1:19" x14ac:dyDescent="0.3">
      <c r="A921" t="s">
        <v>16</v>
      </c>
      <c r="B921">
        <f>VLOOKUP(A921,Sheet2!B:F,5,FALSE)</f>
        <v>927</v>
      </c>
      <c r="C921" t="s">
        <v>17</v>
      </c>
      <c r="D921">
        <f>VLOOKUP(C921,Sheet2!C:G,5,FALSE)</f>
        <v>1200</v>
      </c>
      <c r="E921" t="s">
        <v>93</v>
      </c>
      <c r="F921">
        <f>VLOOKUP(E921,Sheet2!D:E,2,FALSE)</f>
        <v>930</v>
      </c>
      <c r="G921" t="s">
        <v>11</v>
      </c>
      <c r="H921" t="str">
        <f t="shared" si="28"/>
        <v>NAVERkingsale88</v>
      </c>
      <c r="I921" t="str">
        <f>"kingsale88"</f>
        <v>kingsale88</v>
      </c>
      <c r="J921">
        <v>1891460</v>
      </c>
      <c r="K921" s="1">
        <v>44866</v>
      </c>
      <c r="L921" t="s">
        <v>985</v>
      </c>
      <c r="M921">
        <f t="shared" si="29"/>
        <v>1892740</v>
      </c>
      <c r="N921" t="e">
        <f>VLOOKUP(H921,Sheet1!G:H,2,FALSE)</f>
        <v>#N/A</v>
      </c>
      <c r="R921" t="s">
        <v>2845</v>
      </c>
      <c r="S921">
        <v>79970</v>
      </c>
    </row>
    <row r="922" spans="1:19" x14ac:dyDescent="0.3">
      <c r="A922" t="s">
        <v>8</v>
      </c>
      <c r="B922">
        <f>VLOOKUP(A922,Sheet2!B:F,5,FALSE)</f>
        <v>928</v>
      </c>
      <c r="C922" t="s">
        <v>223</v>
      </c>
      <c r="D922">
        <f>VLOOKUP(C922,Sheet2!C:G,5,FALSE)</f>
        <v>966</v>
      </c>
      <c r="E922" t="s">
        <v>986</v>
      </c>
      <c r="F922">
        <f>VLOOKUP(E922,Sheet2!D:E,2,FALSE)</f>
        <v>201098</v>
      </c>
      <c r="G922" t="s">
        <v>11</v>
      </c>
      <c r="H922" t="str">
        <f t="shared" si="28"/>
        <v>NAVERkiyoung2_2:naver</v>
      </c>
      <c r="I922" t="str">
        <f>"kiyoung2_2:naver"</f>
        <v>kiyoung2_2:naver</v>
      </c>
      <c r="J922">
        <v>9947080</v>
      </c>
      <c r="K922" s="1">
        <v>44866</v>
      </c>
      <c r="L922" t="s">
        <v>987</v>
      </c>
      <c r="M922">
        <f t="shared" si="29"/>
        <v>8447110</v>
      </c>
      <c r="N922" t="e">
        <f>VLOOKUP(H922,Sheet1!G:H,2,FALSE)</f>
        <v>#N/A</v>
      </c>
      <c r="R922" t="s">
        <v>2846</v>
      </c>
      <c r="S922">
        <v>1704800</v>
      </c>
    </row>
    <row r="923" spans="1:19" x14ac:dyDescent="0.3">
      <c r="A923" t="s">
        <v>41</v>
      </c>
      <c r="B923">
        <f>VLOOKUP(A923,Sheet2!B:F,5,FALSE)</f>
        <v>926</v>
      </c>
      <c r="C923" t="s">
        <v>56</v>
      </c>
      <c r="D923">
        <f>VLOOKUP(C923,Sheet2!C:G,5,FALSE)</f>
        <v>1207</v>
      </c>
      <c r="E923" t="s">
        <v>64</v>
      </c>
      <c r="F923">
        <f>VLOOKUP(E923,Sheet2!D:E,2,FALSE)</f>
        <v>201011</v>
      </c>
      <c r="G923" t="s">
        <v>11</v>
      </c>
      <c r="H923" t="str">
        <f t="shared" si="28"/>
        <v>NAVERkjamex</v>
      </c>
      <c r="I923" t="str">
        <f>"kjamex"</f>
        <v>kjamex</v>
      </c>
      <c r="J923">
        <v>298630</v>
      </c>
      <c r="K923" s="1">
        <v>44866</v>
      </c>
      <c r="L923" t="s">
        <v>988</v>
      </c>
      <c r="M923">
        <f t="shared" si="29"/>
        <v>298630</v>
      </c>
      <c r="N923" t="e">
        <f>VLOOKUP(H923,Sheet1!G:H,2,FALSE)</f>
        <v>#N/A</v>
      </c>
      <c r="R923" t="s">
        <v>2847</v>
      </c>
      <c r="S923">
        <v>350320</v>
      </c>
    </row>
    <row r="924" spans="1:19" x14ac:dyDescent="0.3">
      <c r="A924" t="s">
        <v>8</v>
      </c>
      <c r="B924">
        <f>VLOOKUP(A924,Sheet2!B:F,5,FALSE)</f>
        <v>928</v>
      </c>
      <c r="C924" t="s">
        <v>13</v>
      </c>
      <c r="D924">
        <f>VLOOKUP(C924,Sheet2!C:G,5,FALSE)</f>
        <v>1184</v>
      </c>
      <c r="E924" t="s">
        <v>102</v>
      </c>
      <c r="F924">
        <f>VLOOKUP(E924,Sheet2!D:E,2,FALSE)</f>
        <v>917</v>
      </c>
      <c r="G924" t="s">
        <v>11</v>
      </c>
      <c r="H924" t="str">
        <f t="shared" si="28"/>
        <v>NAVERkjh1538</v>
      </c>
      <c r="I924" t="str">
        <f>"kjh1538"</f>
        <v>kjh1538</v>
      </c>
      <c r="J924">
        <v>66310</v>
      </c>
      <c r="K924" s="1">
        <v>44866</v>
      </c>
      <c r="L924" t="s">
        <v>989</v>
      </c>
      <c r="M924">
        <f t="shared" si="29"/>
        <v>66310</v>
      </c>
      <c r="N924" t="e">
        <f>VLOOKUP(H924,Sheet1!G:H,2,FALSE)</f>
        <v>#N/A</v>
      </c>
      <c r="R924" t="s">
        <v>2848</v>
      </c>
      <c r="S924">
        <v>876170</v>
      </c>
    </row>
    <row r="925" spans="1:19" x14ac:dyDescent="0.3">
      <c r="A925" t="s">
        <v>8</v>
      </c>
      <c r="B925">
        <f>VLOOKUP(A925,Sheet2!B:F,5,FALSE)</f>
        <v>928</v>
      </c>
      <c r="C925" t="s">
        <v>9</v>
      </c>
      <c r="D925">
        <f>VLOOKUP(C925,Sheet2!C:G,5,FALSE)</f>
        <v>1202</v>
      </c>
      <c r="E925" t="s">
        <v>122</v>
      </c>
      <c r="F925">
        <f>VLOOKUP(E925,Sheet2!D:E,2,FALSE)</f>
        <v>251</v>
      </c>
      <c r="G925" t="s">
        <v>11</v>
      </c>
      <c r="H925" t="str">
        <f t="shared" si="28"/>
        <v>NAVERkjh6422</v>
      </c>
      <c r="I925" t="str">
        <f>"kjh6422"</f>
        <v>kjh6422</v>
      </c>
      <c r="J925">
        <v>328360</v>
      </c>
      <c r="K925" s="1">
        <v>44866</v>
      </c>
      <c r="L925" t="s">
        <v>990</v>
      </c>
      <c r="M925">
        <f t="shared" si="29"/>
        <v>329670</v>
      </c>
      <c r="N925" t="e">
        <f>VLOOKUP(H925,Sheet1!G:H,2,FALSE)</f>
        <v>#N/A</v>
      </c>
      <c r="R925" t="s">
        <v>2849</v>
      </c>
      <c r="S925">
        <v>39280</v>
      </c>
    </row>
    <row r="926" spans="1:19" x14ac:dyDescent="0.3">
      <c r="A926" t="s">
        <v>16</v>
      </c>
      <c r="B926">
        <f>VLOOKUP(A926,Sheet2!B:F,5,FALSE)</f>
        <v>927</v>
      </c>
      <c r="C926" t="s">
        <v>17</v>
      </c>
      <c r="D926">
        <f>VLOOKUP(C926,Sheet2!C:G,5,FALSE)</f>
        <v>1200</v>
      </c>
      <c r="E926" t="s">
        <v>244</v>
      </c>
      <c r="F926">
        <f>VLOOKUP(E926,Sheet2!D:E,2,FALSE)</f>
        <v>817</v>
      </c>
      <c r="G926" t="s">
        <v>11</v>
      </c>
      <c r="H926" t="str">
        <f t="shared" si="28"/>
        <v>NAVERkjhhi630313:naver</v>
      </c>
      <c r="I926" t="str">
        <f>"kjhhi630313:naver"</f>
        <v>kjhhi630313:naver</v>
      </c>
      <c r="J926">
        <v>1199410</v>
      </c>
      <c r="K926" s="1">
        <v>44866</v>
      </c>
      <c r="L926" t="s">
        <v>991</v>
      </c>
      <c r="M926">
        <f t="shared" si="29"/>
        <v>1199410</v>
      </c>
      <c r="N926" t="e">
        <f>VLOOKUP(H926,Sheet1!G:H,2,FALSE)</f>
        <v>#N/A</v>
      </c>
      <c r="R926" t="s">
        <v>2850</v>
      </c>
      <c r="S926">
        <v>0</v>
      </c>
    </row>
    <row r="927" spans="1:19" x14ac:dyDescent="0.3">
      <c r="A927" t="s">
        <v>16</v>
      </c>
      <c r="B927">
        <f>VLOOKUP(A927,Sheet2!B:F,5,FALSE)</f>
        <v>927</v>
      </c>
      <c r="C927" t="s">
        <v>17</v>
      </c>
      <c r="D927">
        <f>VLOOKUP(C927,Sheet2!C:G,5,FALSE)</f>
        <v>1200</v>
      </c>
      <c r="E927" t="s">
        <v>100</v>
      </c>
      <c r="F927">
        <f>VLOOKUP(E927,Sheet2!D:E,2,FALSE)</f>
        <v>201038</v>
      </c>
      <c r="G927" t="s">
        <v>11</v>
      </c>
      <c r="H927" t="str">
        <f t="shared" si="28"/>
        <v>NAVERkjin923:naver</v>
      </c>
      <c r="I927" t="str">
        <f>"kjin923:naver"</f>
        <v>kjin923:naver</v>
      </c>
      <c r="J927">
        <v>104640</v>
      </c>
      <c r="K927" s="1">
        <v>44866</v>
      </c>
      <c r="L927" t="s">
        <v>992</v>
      </c>
      <c r="M927">
        <f t="shared" si="29"/>
        <v>104840</v>
      </c>
      <c r="N927" t="e">
        <f>VLOOKUP(H927,Sheet1!G:H,2,FALSE)</f>
        <v>#N/A</v>
      </c>
      <c r="R927" t="s">
        <v>2851</v>
      </c>
      <c r="S927">
        <v>154850</v>
      </c>
    </row>
    <row r="928" spans="1:19" x14ac:dyDescent="0.3">
      <c r="A928" t="s">
        <v>8</v>
      </c>
      <c r="B928">
        <f>VLOOKUP(A928,Sheet2!B:F,5,FALSE)</f>
        <v>928</v>
      </c>
      <c r="C928" t="s">
        <v>9</v>
      </c>
      <c r="D928">
        <f>VLOOKUP(C928,Sheet2!C:G,5,FALSE)</f>
        <v>1202</v>
      </c>
      <c r="E928" t="s">
        <v>104</v>
      </c>
      <c r="F928">
        <f>VLOOKUP(E928,Sheet2!D:E,2,FALSE)</f>
        <v>201009</v>
      </c>
      <c r="G928" t="s">
        <v>11</v>
      </c>
      <c r="H928" t="str">
        <f t="shared" si="28"/>
        <v>NAVERkjl0529:naver</v>
      </c>
      <c r="I928" t="str">
        <f>"kjl0529:naver"</f>
        <v>kjl0529:naver</v>
      </c>
      <c r="J928">
        <v>41590</v>
      </c>
      <c r="K928" s="1">
        <v>44866</v>
      </c>
      <c r="L928" t="s">
        <v>993</v>
      </c>
      <c r="M928">
        <f t="shared" si="29"/>
        <v>34660</v>
      </c>
      <c r="N928" t="e">
        <f>VLOOKUP(H928,Sheet1!G:H,2,FALSE)</f>
        <v>#N/A</v>
      </c>
      <c r="R928" t="s">
        <v>2852</v>
      </c>
      <c r="S928">
        <v>1010</v>
      </c>
    </row>
    <row r="929" spans="1:19" x14ac:dyDescent="0.3">
      <c r="A929" t="s">
        <v>16</v>
      </c>
      <c r="B929">
        <f>VLOOKUP(A929,Sheet2!B:F,5,FALSE)</f>
        <v>927</v>
      </c>
      <c r="C929" t="s">
        <v>17</v>
      </c>
      <c r="D929">
        <f>VLOOKUP(C929,Sheet2!C:G,5,FALSE)</f>
        <v>1200</v>
      </c>
      <c r="E929" t="s">
        <v>371</v>
      </c>
      <c r="F929">
        <f>VLOOKUP(E929,Sheet2!D:E,2,FALSE)</f>
        <v>551</v>
      </c>
      <c r="G929" t="s">
        <v>11</v>
      </c>
      <c r="H929" t="str">
        <f t="shared" si="28"/>
        <v>NAVERkjl9497</v>
      </c>
      <c r="I929" t="str">
        <f>"kjl9497"</f>
        <v>kjl9497</v>
      </c>
      <c r="J929">
        <v>195320</v>
      </c>
      <c r="K929" s="1">
        <v>44866</v>
      </c>
      <c r="L929" t="s">
        <v>994</v>
      </c>
      <c r="M929">
        <f t="shared" si="29"/>
        <v>195320</v>
      </c>
      <c r="N929" t="e">
        <f>VLOOKUP(H929,Sheet1!G:H,2,FALSE)</f>
        <v>#N/A</v>
      </c>
      <c r="R929" t="s">
        <v>2853</v>
      </c>
      <c r="S929">
        <v>155650</v>
      </c>
    </row>
    <row r="930" spans="1:19" x14ac:dyDescent="0.3">
      <c r="A930" t="s">
        <v>41</v>
      </c>
      <c r="B930">
        <f>VLOOKUP(A930,Sheet2!B:F,5,FALSE)</f>
        <v>926</v>
      </c>
      <c r="C930" t="s">
        <v>56</v>
      </c>
      <c r="D930">
        <f>VLOOKUP(C930,Sheet2!C:G,5,FALSE)</f>
        <v>1207</v>
      </c>
      <c r="E930" t="s">
        <v>57</v>
      </c>
      <c r="F930">
        <f>VLOOKUP(E930,Sheet2!D:E,2,FALSE)</f>
        <v>200982</v>
      </c>
      <c r="G930" t="s">
        <v>11</v>
      </c>
      <c r="H930" t="str">
        <f t="shared" si="28"/>
        <v>NAVERkjpump</v>
      </c>
      <c r="I930" t="str">
        <f>"kjpump"</f>
        <v>kjpump</v>
      </c>
      <c r="J930">
        <v>183850</v>
      </c>
      <c r="K930" s="1">
        <v>44866</v>
      </c>
      <c r="L930" t="s">
        <v>995</v>
      </c>
      <c r="M930">
        <f t="shared" si="29"/>
        <v>183850</v>
      </c>
      <c r="N930" t="e">
        <f>VLOOKUP(H930,Sheet1!G:H,2,FALSE)</f>
        <v>#N/A</v>
      </c>
      <c r="R930" t="s">
        <v>2854</v>
      </c>
      <c r="S930">
        <v>19810</v>
      </c>
    </row>
    <row r="931" spans="1:19" x14ac:dyDescent="0.3">
      <c r="A931" t="s">
        <v>8</v>
      </c>
      <c r="B931">
        <f>VLOOKUP(A931,Sheet2!B:F,5,FALSE)</f>
        <v>928</v>
      </c>
      <c r="C931" t="s">
        <v>9</v>
      </c>
      <c r="D931">
        <f>VLOOKUP(C931,Sheet2!C:G,5,FALSE)</f>
        <v>1202</v>
      </c>
      <c r="E931" t="s">
        <v>10</v>
      </c>
      <c r="F931">
        <f>VLOOKUP(E931,Sheet2!D:E,2,FALSE)</f>
        <v>939</v>
      </c>
      <c r="G931" t="s">
        <v>11</v>
      </c>
      <c r="H931" t="str">
        <f t="shared" si="28"/>
        <v>NAVERkjw5051</v>
      </c>
      <c r="I931" t="str">
        <f>"kjw5051"</f>
        <v>kjw5051</v>
      </c>
      <c r="J931">
        <v>770</v>
      </c>
      <c r="K931" s="1">
        <v>44866</v>
      </c>
      <c r="L931" t="s">
        <v>996</v>
      </c>
      <c r="M931">
        <f t="shared" si="29"/>
        <v>770</v>
      </c>
      <c r="N931" t="e">
        <f>VLOOKUP(H931,Sheet1!G:H,2,FALSE)</f>
        <v>#N/A</v>
      </c>
      <c r="R931" t="s">
        <v>2855</v>
      </c>
      <c r="S931">
        <v>1260250</v>
      </c>
    </row>
    <row r="932" spans="1:19" x14ac:dyDescent="0.3">
      <c r="A932" t="s">
        <v>16</v>
      </c>
      <c r="B932">
        <f>VLOOKUP(A932,Sheet2!B:F,5,FALSE)</f>
        <v>927</v>
      </c>
      <c r="C932" t="s">
        <v>17</v>
      </c>
      <c r="D932">
        <f>VLOOKUP(C932,Sheet2!C:G,5,FALSE)</f>
        <v>1200</v>
      </c>
      <c r="E932" t="s">
        <v>137</v>
      </c>
      <c r="F932">
        <f>VLOOKUP(E932,Sheet2!D:E,2,FALSE)</f>
        <v>1012</v>
      </c>
      <c r="G932" t="s">
        <v>11</v>
      </c>
      <c r="H932" t="str">
        <f t="shared" si="28"/>
        <v>NAVERkk100403</v>
      </c>
      <c r="I932" t="str">
        <f>"kk100403"</f>
        <v>kk100403</v>
      </c>
      <c r="J932">
        <v>2709110</v>
      </c>
      <c r="K932" s="1">
        <v>44866</v>
      </c>
      <c r="L932" t="s">
        <v>997</v>
      </c>
      <c r="M932">
        <f t="shared" si="29"/>
        <v>2709110</v>
      </c>
      <c r="N932" t="e">
        <f>VLOOKUP(H932,Sheet1!G:H,2,FALSE)</f>
        <v>#N/A</v>
      </c>
      <c r="R932" t="s">
        <v>2856</v>
      </c>
      <c r="S932">
        <v>5174220</v>
      </c>
    </row>
    <row r="933" spans="1:19" x14ac:dyDescent="0.3">
      <c r="A933" t="s">
        <v>8</v>
      </c>
      <c r="B933">
        <f>VLOOKUP(A933,Sheet2!B:F,5,FALSE)</f>
        <v>928</v>
      </c>
      <c r="C933" t="s">
        <v>9</v>
      </c>
      <c r="D933">
        <f>VLOOKUP(C933,Sheet2!C:G,5,FALSE)</f>
        <v>1202</v>
      </c>
      <c r="E933" t="s">
        <v>35</v>
      </c>
      <c r="F933">
        <f>VLOOKUP(E933,Sheet2!D:E,2,FALSE)</f>
        <v>51</v>
      </c>
      <c r="G933" t="s">
        <v>11</v>
      </c>
      <c r="H933" t="str">
        <f t="shared" si="28"/>
        <v>NAVERkkm110</v>
      </c>
      <c r="I933" t="str">
        <f>"kkm110"</f>
        <v>kkm110</v>
      </c>
      <c r="J933">
        <v>69350</v>
      </c>
      <c r="K933" s="1">
        <v>44866</v>
      </c>
      <c r="L933" t="s">
        <v>998</v>
      </c>
      <c r="M933">
        <f t="shared" si="29"/>
        <v>69350</v>
      </c>
      <c r="N933" t="e">
        <f>VLOOKUP(H933,Sheet1!G:H,2,FALSE)</f>
        <v>#N/A</v>
      </c>
      <c r="R933" t="s">
        <v>2857</v>
      </c>
      <c r="S933">
        <v>1443000</v>
      </c>
    </row>
    <row r="934" spans="1:19" x14ac:dyDescent="0.3">
      <c r="A934" t="s">
        <v>41</v>
      </c>
      <c r="B934">
        <f>VLOOKUP(A934,Sheet2!B:F,5,FALSE)</f>
        <v>926</v>
      </c>
      <c r="C934" t="s">
        <v>56</v>
      </c>
      <c r="D934">
        <f>VLOOKUP(C934,Sheet2!C:G,5,FALSE)</f>
        <v>1207</v>
      </c>
      <c r="E934" t="s">
        <v>57</v>
      </c>
      <c r="F934">
        <f>VLOOKUP(E934,Sheet2!D:E,2,FALSE)</f>
        <v>200982</v>
      </c>
      <c r="G934" t="s">
        <v>11</v>
      </c>
      <c r="H934" t="str">
        <f t="shared" si="28"/>
        <v>NAVERkkmicro</v>
      </c>
      <c r="I934" t="str">
        <f>"kkmicro"</f>
        <v>kkmicro</v>
      </c>
      <c r="J934">
        <v>543340</v>
      </c>
      <c r="K934" s="1">
        <v>44866</v>
      </c>
      <c r="L934" t="s">
        <v>999</v>
      </c>
      <c r="M934">
        <f t="shared" si="29"/>
        <v>543340</v>
      </c>
      <c r="N934" t="e">
        <f>VLOOKUP(H934,Sheet1!G:H,2,FALSE)</f>
        <v>#N/A</v>
      </c>
      <c r="R934" t="s">
        <v>2858</v>
      </c>
      <c r="S934">
        <v>466900</v>
      </c>
    </row>
    <row r="935" spans="1:19" x14ac:dyDescent="0.3">
      <c r="A935" t="s">
        <v>41</v>
      </c>
      <c r="B935">
        <f>VLOOKUP(A935,Sheet2!B:F,5,FALSE)</f>
        <v>926</v>
      </c>
      <c r="C935" t="s">
        <v>42</v>
      </c>
      <c r="D935">
        <f>VLOOKUP(C935,Sheet2!C:G,5,FALSE)</f>
        <v>964</v>
      </c>
      <c r="E935" t="s">
        <v>43</v>
      </c>
      <c r="F935">
        <f>VLOOKUP(E935,Sheet2!D:E,2,FALSE)</f>
        <v>200998</v>
      </c>
      <c r="G935" t="s">
        <v>11</v>
      </c>
      <c r="H935" t="str">
        <f t="shared" si="28"/>
        <v>NAVERkks4475</v>
      </c>
      <c r="I935" t="str">
        <f>"kks4475"</f>
        <v>kks4475</v>
      </c>
      <c r="J935">
        <v>2030</v>
      </c>
      <c r="K935" s="1">
        <v>44866</v>
      </c>
      <c r="L935" t="s">
        <v>1000</v>
      </c>
      <c r="M935">
        <f t="shared" si="29"/>
        <v>2030</v>
      </c>
      <c r="N935" t="e">
        <f>VLOOKUP(H935,Sheet1!G:H,2,FALSE)</f>
        <v>#N/A</v>
      </c>
      <c r="R935" t="s">
        <v>2859</v>
      </c>
      <c r="S935">
        <v>429170</v>
      </c>
    </row>
    <row r="936" spans="1:19" x14ac:dyDescent="0.3">
      <c r="A936" t="s">
        <v>16</v>
      </c>
      <c r="B936">
        <f>VLOOKUP(A936,Sheet2!B:F,5,FALSE)</f>
        <v>927</v>
      </c>
      <c r="C936" t="s">
        <v>17</v>
      </c>
      <c r="D936">
        <f>VLOOKUP(C936,Sheet2!C:G,5,FALSE)</f>
        <v>1200</v>
      </c>
      <c r="E936" t="s">
        <v>18</v>
      </c>
      <c r="F936">
        <f>VLOOKUP(E936,Sheet2!D:E,2,FALSE)</f>
        <v>201116</v>
      </c>
      <c r="G936" t="s">
        <v>11</v>
      </c>
      <c r="H936" t="str">
        <f t="shared" si="28"/>
        <v>NAVERkliving</v>
      </c>
      <c r="I936" t="str">
        <f>"kliving"</f>
        <v>kliving</v>
      </c>
      <c r="J936">
        <v>1622990</v>
      </c>
      <c r="K936" s="1">
        <v>44866</v>
      </c>
      <c r="L936" t="s">
        <v>1001</v>
      </c>
      <c r="M936">
        <f t="shared" si="29"/>
        <v>1622990</v>
      </c>
      <c r="N936" t="e">
        <f>VLOOKUP(H936,Sheet1!G:H,2,FALSE)</f>
        <v>#N/A</v>
      </c>
      <c r="R936" t="s">
        <v>2860</v>
      </c>
      <c r="S936">
        <v>43490</v>
      </c>
    </row>
    <row r="937" spans="1:19" x14ac:dyDescent="0.3">
      <c r="A937" t="s">
        <v>8</v>
      </c>
      <c r="B937">
        <f>VLOOKUP(A937,Sheet2!B:F,5,FALSE)</f>
        <v>928</v>
      </c>
      <c r="C937" t="s">
        <v>9</v>
      </c>
      <c r="D937">
        <f>VLOOKUP(C937,Sheet2!C:G,5,FALSE)</f>
        <v>1202</v>
      </c>
      <c r="E937" t="s">
        <v>104</v>
      </c>
      <c r="F937">
        <f>VLOOKUP(E937,Sheet2!D:E,2,FALSE)</f>
        <v>201009</v>
      </c>
      <c r="G937" t="s">
        <v>11</v>
      </c>
      <c r="H937" t="str">
        <f t="shared" si="28"/>
        <v>NAVERkm3933</v>
      </c>
      <c r="I937" t="str">
        <f>"km3933"</f>
        <v>km3933</v>
      </c>
      <c r="J937">
        <v>4985990</v>
      </c>
      <c r="K937" s="1">
        <v>44866</v>
      </c>
      <c r="L937" t="s">
        <v>1002</v>
      </c>
      <c r="M937">
        <f t="shared" si="29"/>
        <v>4985990</v>
      </c>
      <c r="N937" t="e">
        <f>VLOOKUP(H937,Sheet1!G:H,2,FALSE)</f>
        <v>#N/A</v>
      </c>
      <c r="R937" t="s">
        <v>2861</v>
      </c>
      <c r="S937">
        <v>3722740</v>
      </c>
    </row>
    <row r="938" spans="1:19" x14ac:dyDescent="0.3">
      <c r="A938" t="s">
        <v>41</v>
      </c>
      <c r="B938">
        <f>VLOOKUP(A938,Sheet2!B:F,5,FALSE)</f>
        <v>926</v>
      </c>
      <c r="C938" t="s">
        <v>56</v>
      </c>
      <c r="D938">
        <f>VLOOKUP(C938,Sheet2!C:G,5,FALSE)</f>
        <v>1207</v>
      </c>
      <c r="E938" t="s">
        <v>62</v>
      </c>
      <c r="F938">
        <f>VLOOKUP(E938,Sheet2!D:E,2,FALSE)</f>
        <v>201037</v>
      </c>
      <c r="G938" t="s">
        <v>11</v>
      </c>
      <c r="H938" t="str">
        <f t="shared" si="28"/>
        <v>NAVERkmask2020:naver</v>
      </c>
      <c r="I938" t="str">
        <f>"kmask2020:naver"</f>
        <v>kmask2020:naver</v>
      </c>
      <c r="J938">
        <v>573646</v>
      </c>
      <c r="K938" s="1">
        <v>44866</v>
      </c>
      <c r="L938" t="s">
        <v>1003</v>
      </c>
      <c r="M938">
        <f t="shared" si="29"/>
        <v>710010</v>
      </c>
      <c r="N938" t="e">
        <f>VLOOKUP(H938,Sheet1!G:H,2,FALSE)</f>
        <v>#N/A</v>
      </c>
      <c r="R938" t="s">
        <v>2862</v>
      </c>
      <c r="S938">
        <v>252580</v>
      </c>
    </row>
    <row r="939" spans="1:19" x14ac:dyDescent="0.3">
      <c r="A939" t="s">
        <v>8</v>
      </c>
      <c r="B939">
        <f>VLOOKUP(A939,Sheet2!B:F,5,FALSE)</f>
        <v>928</v>
      </c>
      <c r="C939" t="s">
        <v>9</v>
      </c>
      <c r="D939">
        <f>VLOOKUP(C939,Sheet2!C:G,5,FALSE)</f>
        <v>1202</v>
      </c>
      <c r="E939" t="s">
        <v>110</v>
      </c>
      <c r="F939">
        <f>VLOOKUP(E939,Sheet2!D:E,2,FALSE)</f>
        <v>929</v>
      </c>
      <c r="G939" t="s">
        <v>11</v>
      </c>
      <c r="H939" t="str">
        <f t="shared" si="28"/>
        <v>NAVERkmeshop</v>
      </c>
      <c r="I939" t="str">
        <f>"kmeshop"</f>
        <v>kmeshop</v>
      </c>
      <c r="J939">
        <v>1575980</v>
      </c>
      <c r="K939" s="1">
        <v>44866</v>
      </c>
      <c r="L939" t="s">
        <v>1004</v>
      </c>
      <c r="M939">
        <f t="shared" si="29"/>
        <v>1575980</v>
      </c>
      <c r="N939" t="e">
        <f>VLOOKUP(H939,Sheet1!G:H,2,FALSE)</f>
        <v>#N/A</v>
      </c>
      <c r="R939" t="s">
        <v>2863</v>
      </c>
      <c r="S939">
        <v>8950</v>
      </c>
    </row>
    <row r="940" spans="1:19" x14ac:dyDescent="0.3">
      <c r="A940" t="s">
        <v>41</v>
      </c>
      <c r="B940">
        <f>VLOOKUP(A940,Sheet2!B:F,5,FALSE)</f>
        <v>926</v>
      </c>
      <c r="C940" t="s">
        <v>56</v>
      </c>
      <c r="D940">
        <f>VLOOKUP(C940,Sheet2!C:G,5,FALSE)</f>
        <v>1207</v>
      </c>
      <c r="E940" t="s">
        <v>64</v>
      </c>
      <c r="F940">
        <f>VLOOKUP(E940,Sheet2!D:E,2,FALSE)</f>
        <v>201011</v>
      </c>
      <c r="G940" t="s">
        <v>11</v>
      </c>
      <c r="H940" t="str">
        <f t="shared" si="28"/>
        <v>NAVERkmj901027:naver</v>
      </c>
      <c r="I940" t="str">
        <f>"kmj901027:naver"</f>
        <v>kmj901027:naver</v>
      </c>
      <c r="J940">
        <v>2667342</v>
      </c>
      <c r="K940" s="1">
        <v>44866</v>
      </c>
      <c r="L940" t="s">
        <v>1005</v>
      </c>
      <c r="M940">
        <f t="shared" si="29"/>
        <v>2671190</v>
      </c>
      <c r="N940" t="e">
        <f>VLOOKUP(H940,Sheet1!G:H,2,FALSE)</f>
        <v>#N/A</v>
      </c>
      <c r="R940" t="s">
        <v>2864</v>
      </c>
      <c r="S940">
        <v>0</v>
      </c>
    </row>
    <row r="941" spans="1:19" x14ac:dyDescent="0.3">
      <c r="A941" t="s">
        <v>41</v>
      </c>
      <c r="B941">
        <f>VLOOKUP(A941,Sheet2!B:F,5,FALSE)</f>
        <v>926</v>
      </c>
      <c r="C941" t="s">
        <v>56</v>
      </c>
      <c r="D941">
        <f>VLOOKUP(C941,Sheet2!C:G,5,FALSE)</f>
        <v>1207</v>
      </c>
      <c r="E941" t="s">
        <v>57</v>
      </c>
      <c r="F941">
        <f>VLOOKUP(E941,Sheet2!D:E,2,FALSE)</f>
        <v>200982</v>
      </c>
      <c r="G941" t="s">
        <v>11</v>
      </c>
      <c r="H941" t="str">
        <f t="shared" si="28"/>
        <v>NAVERkmy0155:naver</v>
      </c>
      <c r="I941" t="str">
        <f>"kmy0155:naver"</f>
        <v>kmy0155:naver</v>
      </c>
      <c r="J941">
        <v>25270</v>
      </c>
      <c r="K941" s="1">
        <v>44866</v>
      </c>
      <c r="L941" t="s">
        <v>1006</v>
      </c>
      <c r="M941">
        <f t="shared" si="29"/>
        <v>26020</v>
      </c>
      <c r="N941" t="e">
        <f>VLOOKUP(H941,Sheet1!G:H,2,FALSE)</f>
        <v>#N/A</v>
      </c>
      <c r="R941" t="s">
        <v>2865</v>
      </c>
      <c r="S941">
        <v>801730</v>
      </c>
    </row>
    <row r="942" spans="1:19" x14ac:dyDescent="0.3">
      <c r="A942" t="s">
        <v>41</v>
      </c>
      <c r="B942">
        <f>VLOOKUP(A942,Sheet2!B:F,5,FALSE)</f>
        <v>926</v>
      </c>
      <c r="C942" t="s">
        <v>56</v>
      </c>
      <c r="D942">
        <f>VLOOKUP(C942,Sheet2!C:G,5,FALSE)</f>
        <v>1207</v>
      </c>
      <c r="E942" t="s">
        <v>62</v>
      </c>
      <c r="F942">
        <f>VLOOKUP(E942,Sheet2!D:E,2,FALSE)</f>
        <v>201037</v>
      </c>
      <c r="G942" t="s">
        <v>11</v>
      </c>
      <c r="H942" t="str">
        <f t="shared" si="28"/>
        <v>NAVERknh151597:naver</v>
      </c>
      <c r="I942" t="str">
        <f>"knh151597:naver"</f>
        <v>knh151597:naver</v>
      </c>
      <c r="J942">
        <v>169960</v>
      </c>
      <c r="K942" s="1">
        <v>44866</v>
      </c>
      <c r="L942" t="s">
        <v>1007</v>
      </c>
      <c r="M942">
        <f t="shared" si="29"/>
        <v>169960</v>
      </c>
      <c r="N942" t="e">
        <f>VLOOKUP(H942,Sheet1!G:H,2,FALSE)</f>
        <v>#N/A</v>
      </c>
      <c r="R942" t="s">
        <v>2866</v>
      </c>
      <c r="S942">
        <v>1388440</v>
      </c>
    </row>
    <row r="943" spans="1:19" x14ac:dyDescent="0.3">
      <c r="A943" t="s">
        <v>41</v>
      </c>
      <c r="B943">
        <f>VLOOKUP(A943,Sheet2!B:F,5,FALSE)</f>
        <v>926</v>
      </c>
      <c r="C943" t="s">
        <v>56</v>
      </c>
      <c r="D943">
        <f>VLOOKUP(C943,Sheet2!C:G,5,FALSE)</f>
        <v>1207</v>
      </c>
      <c r="E943" t="s">
        <v>64</v>
      </c>
      <c r="F943">
        <f>VLOOKUP(E943,Sheet2!D:E,2,FALSE)</f>
        <v>201011</v>
      </c>
      <c r="G943" t="s">
        <v>11</v>
      </c>
      <c r="H943" t="str">
        <f t="shared" si="28"/>
        <v>NAVERknmailbox</v>
      </c>
      <c r="I943" t="str">
        <f>"knmailbox"</f>
        <v>knmailbox</v>
      </c>
      <c r="J943">
        <v>641440</v>
      </c>
      <c r="K943" s="1">
        <v>44866</v>
      </c>
      <c r="L943" t="s">
        <v>1008</v>
      </c>
      <c r="M943">
        <f t="shared" si="29"/>
        <v>641440</v>
      </c>
      <c r="N943" t="e">
        <f>VLOOKUP(H943,Sheet1!G:H,2,FALSE)</f>
        <v>#N/A</v>
      </c>
      <c r="R943" t="s">
        <v>2867</v>
      </c>
      <c r="S943">
        <v>1237980</v>
      </c>
    </row>
    <row r="944" spans="1:19" x14ac:dyDescent="0.3">
      <c r="A944" t="s">
        <v>8</v>
      </c>
      <c r="B944">
        <f>VLOOKUP(A944,Sheet2!B:F,5,FALSE)</f>
        <v>928</v>
      </c>
      <c r="C944" t="s">
        <v>9</v>
      </c>
      <c r="D944">
        <f>VLOOKUP(C944,Sheet2!C:G,5,FALSE)</f>
        <v>1202</v>
      </c>
      <c r="E944" t="s">
        <v>47</v>
      </c>
      <c r="F944">
        <f>VLOOKUP(E944,Sheet2!D:E,2,FALSE)</f>
        <v>898</v>
      </c>
      <c r="G944" t="s">
        <v>11</v>
      </c>
      <c r="H944" t="str">
        <f t="shared" si="28"/>
        <v>NAVERkoad7082</v>
      </c>
      <c r="I944" t="str">
        <f>"koad7082"</f>
        <v>koad7082</v>
      </c>
      <c r="J944">
        <v>5623510</v>
      </c>
      <c r="K944" s="1">
        <v>44866</v>
      </c>
      <c r="L944" t="s">
        <v>1009</v>
      </c>
      <c r="M944">
        <f t="shared" si="29"/>
        <v>5623510</v>
      </c>
      <c r="N944" t="e">
        <f>VLOOKUP(H944,Sheet1!G:H,2,FALSE)</f>
        <v>#N/A</v>
      </c>
      <c r="R944" t="s">
        <v>2868</v>
      </c>
      <c r="S944">
        <v>650360</v>
      </c>
    </row>
    <row r="945" spans="1:19" x14ac:dyDescent="0.3">
      <c r="A945" t="s">
        <v>8</v>
      </c>
      <c r="B945">
        <f>VLOOKUP(A945,Sheet2!B:F,5,FALSE)</f>
        <v>928</v>
      </c>
      <c r="C945" t="s">
        <v>9</v>
      </c>
      <c r="D945">
        <f>VLOOKUP(C945,Sheet2!C:G,5,FALSE)</f>
        <v>1202</v>
      </c>
      <c r="E945" t="s">
        <v>47</v>
      </c>
      <c r="F945">
        <f>VLOOKUP(E945,Sheet2!D:E,2,FALSE)</f>
        <v>898</v>
      </c>
      <c r="G945" t="s">
        <v>11</v>
      </c>
      <c r="H945" t="str">
        <f t="shared" si="28"/>
        <v>NAVERkoamhotel</v>
      </c>
      <c r="I945" t="str">
        <f>"koamhotel"</f>
        <v>koamhotel</v>
      </c>
      <c r="J945">
        <v>15190</v>
      </c>
      <c r="K945" s="1">
        <v>44866</v>
      </c>
      <c r="L945" t="s">
        <v>1010</v>
      </c>
      <c r="M945">
        <f t="shared" si="29"/>
        <v>15190</v>
      </c>
      <c r="N945" t="e">
        <f>VLOOKUP(H945,Sheet1!G:H,2,FALSE)</f>
        <v>#N/A</v>
      </c>
      <c r="R945" t="s">
        <v>2869</v>
      </c>
      <c r="S945">
        <v>2627660</v>
      </c>
    </row>
    <row r="946" spans="1:19" x14ac:dyDescent="0.3">
      <c r="A946" t="s">
        <v>8</v>
      </c>
      <c r="B946">
        <f>VLOOKUP(A946,Sheet2!B:F,5,FALSE)</f>
        <v>928</v>
      </c>
      <c r="C946" t="s">
        <v>13</v>
      </c>
      <c r="D946">
        <f>VLOOKUP(C946,Sheet2!C:G,5,FALSE)</f>
        <v>1184</v>
      </c>
      <c r="E946" t="s">
        <v>14</v>
      </c>
      <c r="F946">
        <f>VLOOKUP(E946,Sheet2!D:E,2,FALSE)</f>
        <v>914</v>
      </c>
      <c r="G946" t="s">
        <v>11</v>
      </c>
      <c r="H946" t="str">
        <f t="shared" si="28"/>
        <v>NAVERkogurean1</v>
      </c>
      <c r="I946" t="str">
        <f>"kogurean1"</f>
        <v>kogurean1</v>
      </c>
      <c r="J946">
        <v>772070</v>
      </c>
      <c r="K946" s="1">
        <v>44866</v>
      </c>
      <c r="L946" t="s">
        <v>323</v>
      </c>
      <c r="M946">
        <f t="shared" si="29"/>
        <v>772070</v>
      </c>
      <c r="N946" t="e">
        <f>VLOOKUP(H946,Sheet1!G:H,2,FALSE)</f>
        <v>#N/A</v>
      </c>
      <c r="R946" t="s">
        <v>2870</v>
      </c>
      <c r="S946">
        <v>152880</v>
      </c>
    </row>
    <row r="947" spans="1:19" x14ac:dyDescent="0.3">
      <c r="A947" t="s">
        <v>41</v>
      </c>
      <c r="B947">
        <f>VLOOKUP(A947,Sheet2!B:F,5,FALSE)</f>
        <v>926</v>
      </c>
      <c r="C947" t="s">
        <v>42</v>
      </c>
      <c r="D947">
        <f>VLOOKUP(C947,Sheet2!C:G,5,FALSE)</f>
        <v>964</v>
      </c>
      <c r="E947" t="s">
        <v>43</v>
      </c>
      <c r="F947">
        <f>VLOOKUP(E947,Sheet2!D:E,2,FALSE)</f>
        <v>200998</v>
      </c>
      <c r="G947" t="s">
        <v>11</v>
      </c>
      <c r="H947" t="str">
        <f t="shared" si="28"/>
        <v>NAVERkokoro8308</v>
      </c>
      <c r="I947" t="str">
        <f>"kokoro8308"</f>
        <v>kokoro8308</v>
      </c>
      <c r="J947">
        <v>2900</v>
      </c>
      <c r="K947" s="1">
        <v>44866</v>
      </c>
      <c r="L947" t="s">
        <v>1011</v>
      </c>
      <c r="M947">
        <f t="shared" si="29"/>
        <v>2900</v>
      </c>
      <c r="N947" t="e">
        <f>VLOOKUP(H947,Sheet1!G:H,2,FALSE)</f>
        <v>#N/A</v>
      </c>
      <c r="R947" t="s">
        <v>2871</v>
      </c>
      <c r="S947">
        <v>390780</v>
      </c>
    </row>
    <row r="948" spans="1:19" x14ac:dyDescent="0.3">
      <c r="A948" t="s">
        <v>16</v>
      </c>
      <c r="B948">
        <f>VLOOKUP(A948,Sheet2!B:F,5,FALSE)</f>
        <v>927</v>
      </c>
      <c r="C948" t="s">
        <v>17</v>
      </c>
      <c r="D948">
        <f>VLOOKUP(C948,Sheet2!C:G,5,FALSE)</f>
        <v>1200</v>
      </c>
      <c r="E948" t="s">
        <v>93</v>
      </c>
      <c r="F948">
        <f>VLOOKUP(E948,Sheet2!D:E,2,FALSE)</f>
        <v>930</v>
      </c>
      <c r="G948" t="s">
        <v>11</v>
      </c>
      <c r="H948" t="str">
        <f t="shared" si="28"/>
        <v>NAVERkoneinfo</v>
      </c>
      <c r="I948" t="str">
        <f>"koneinfo"</f>
        <v>koneinfo</v>
      </c>
      <c r="J948">
        <v>3834450</v>
      </c>
      <c r="K948" s="1">
        <v>44866</v>
      </c>
      <c r="L948" t="s">
        <v>1012</v>
      </c>
      <c r="M948">
        <f t="shared" si="29"/>
        <v>3834450</v>
      </c>
      <c r="N948" t="e">
        <f>VLOOKUP(H948,Sheet1!G:H,2,FALSE)</f>
        <v>#N/A</v>
      </c>
      <c r="R948" t="s">
        <v>2872</v>
      </c>
      <c r="S948">
        <v>954800</v>
      </c>
    </row>
    <row r="949" spans="1:19" x14ac:dyDescent="0.3">
      <c r="A949" t="s">
        <v>8</v>
      </c>
      <c r="B949">
        <f>VLOOKUP(A949,Sheet2!B:F,5,FALSE)</f>
        <v>928</v>
      </c>
      <c r="C949" t="s">
        <v>9</v>
      </c>
      <c r="D949">
        <f>VLOOKUP(C949,Sheet2!C:G,5,FALSE)</f>
        <v>1202</v>
      </c>
      <c r="E949" t="s">
        <v>31</v>
      </c>
      <c r="F949">
        <f>VLOOKUP(E949,Sheet2!D:E,2,FALSE)</f>
        <v>1040</v>
      </c>
      <c r="G949" t="s">
        <v>11</v>
      </c>
      <c r="H949" t="str">
        <f t="shared" si="28"/>
        <v>NAVERkonnecthing</v>
      </c>
      <c r="I949" t="str">
        <f>"konnecthing"</f>
        <v>konnecthing</v>
      </c>
      <c r="J949">
        <v>42960</v>
      </c>
      <c r="K949" s="1">
        <v>44866</v>
      </c>
      <c r="L949" t="s">
        <v>1013</v>
      </c>
      <c r="M949">
        <f t="shared" si="29"/>
        <v>42960</v>
      </c>
      <c r="N949" t="e">
        <f>VLOOKUP(H949,Sheet1!G:H,2,FALSE)</f>
        <v>#N/A</v>
      </c>
      <c r="R949" t="s">
        <v>2873</v>
      </c>
      <c r="S949">
        <v>2661570</v>
      </c>
    </row>
    <row r="950" spans="1:19" x14ac:dyDescent="0.3">
      <c r="A950" t="s">
        <v>8</v>
      </c>
      <c r="B950">
        <f>VLOOKUP(A950,Sheet2!B:F,5,FALSE)</f>
        <v>928</v>
      </c>
      <c r="C950" t="s">
        <v>9</v>
      </c>
      <c r="D950">
        <f>VLOOKUP(C950,Sheet2!C:G,5,FALSE)</f>
        <v>1202</v>
      </c>
      <c r="E950" t="s">
        <v>45</v>
      </c>
      <c r="F950">
        <f>VLOOKUP(E950,Sheet2!D:E,2,FALSE)</f>
        <v>26</v>
      </c>
      <c r="G950" t="s">
        <v>11</v>
      </c>
      <c r="H950" t="str">
        <f t="shared" si="28"/>
        <v>NAVERkook21</v>
      </c>
      <c r="I950" t="str">
        <f>"kook21"</f>
        <v>kook21</v>
      </c>
      <c r="J950">
        <v>964520</v>
      </c>
      <c r="K950" s="1">
        <v>44866</v>
      </c>
      <c r="L950" t="s">
        <v>1014</v>
      </c>
      <c r="M950">
        <f t="shared" si="29"/>
        <v>964520</v>
      </c>
      <c r="N950" t="e">
        <f>VLOOKUP(H950,Sheet1!G:H,2,FALSE)</f>
        <v>#N/A</v>
      </c>
      <c r="R950" t="s">
        <v>2874</v>
      </c>
      <c r="S950">
        <v>108770</v>
      </c>
    </row>
    <row r="951" spans="1:19" x14ac:dyDescent="0.3">
      <c r="A951" t="s">
        <v>8</v>
      </c>
      <c r="B951">
        <f>VLOOKUP(A951,Sheet2!B:F,5,FALSE)</f>
        <v>928</v>
      </c>
      <c r="C951" t="s">
        <v>9</v>
      </c>
      <c r="D951">
        <f>VLOOKUP(C951,Sheet2!C:G,5,FALSE)</f>
        <v>1202</v>
      </c>
      <c r="E951" t="s">
        <v>20</v>
      </c>
      <c r="F951">
        <f>VLOOKUP(E951,Sheet2!D:E,2,FALSE)</f>
        <v>938</v>
      </c>
      <c r="G951" t="s">
        <v>11</v>
      </c>
      <c r="H951" t="str">
        <f t="shared" si="28"/>
        <v>NAVERkoolman</v>
      </c>
      <c r="I951" t="str">
        <f>"koolman"</f>
        <v>koolman</v>
      </c>
      <c r="J951">
        <v>363570</v>
      </c>
      <c r="K951" s="1">
        <v>44866</v>
      </c>
      <c r="L951" t="s">
        <v>1015</v>
      </c>
      <c r="M951" t="e">
        <f t="shared" si="29"/>
        <v>#N/A</v>
      </c>
      <c r="N951" t="str">
        <f>VLOOKUP(H951,Sheet1!G:H,2,FALSE)</f>
        <v>광고주 소개로 4년전 계정만 만들고 휴면이었다가 지난달부터 라이브 됨 스토어 고객센터에 전화해도 대표와 연결 힘듬</v>
      </c>
      <c r="R951" t="s">
        <v>2875</v>
      </c>
      <c r="S951">
        <v>151630</v>
      </c>
    </row>
    <row r="952" spans="1:19" x14ac:dyDescent="0.3">
      <c r="A952" t="s">
        <v>8</v>
      </c>
      <c r="B952">
        <f>VLOOKUP(A952,Sheet2!B:F,5,FALSE)</f>
        <v>928</v>
      </c>
      <c r="C952" t="s">
        <v>9</v>
      </c>
      <c r="D952">
        <f>VLOOKUP(C952,Sheet2!C:G,5,FALSE)</f>
        <v>1202</v>
      </c>
      <c r="E952" t="s">
        <v>35</v>
      </c>
      <c r="F952">
        <f>VLOOKUP(E952,Sheet2!D:E,2,FALSE)</f>
        <v>51</v>
      </c>
      <c r="G952" t="s">
        <v>11</v>
      </c>
      <c r="H952" t="str">
        <f t="shared" si="28"/>
        <v>NAVERkoreadain</v>
      </c>
      <c r="I952" t="str">
        <f>"koreadain"</f>
        <v>koreadain</v>
      </c>
      <c r="J952">
        <v>776305</v>
      </c>
      <c r="K952" s="1">
        <v>44866</v>
      </c>
      <c r="L952" t="s">
        <v>1016</v>
      </c>
      <c r="M952">
        <f t="shared" si="29"/>
        <v>342980</v>
      </c>
      <c r="N952" t="e">
        <f>VLOOKUP(H952,Sheet1!G:H,2,FALSE)</f>
        <v>#N/A</v>
      </c>
      <c r="R952" t="s">
        <v>2876</v>
      </c>
      <c r="S952">
        <v>29460</v>
      </c>
    </row>
    <row r="953" spans="1:19" x14ac:dyDescent="0.3">
      <c r="A953" t="s">
        <v>8</v>
      </c>
      <c r="B953">
        <f>VLOOKUP(A953,Sheet2!B:F,5,FALSE)</f>
        <v>928</v>
      </c>
      <c r="C953" t="s">
        <v>13</v>
      </c>
      <c r="D953">
        <f>VLOOKUP(C953,Sheet2!C:G,5,FALSE)</f>
        <v>1184</v>
      </c>
      <c r="E953" t="s">
        <v>115</v>
      </c>
      <c r="F953">
        <f>VLOOKUP(E953,Sheet2!D:E,2,FALSE)</f>
        <v>1548</v>
      </c>
      <c r="G953" t="s">
        <v>11</v>
      </c>
      <c r="H953" t="str">
        <f t="shared" si="28"/>
        <v>NAVERkoreadc</v>
      </c>
      <c r="I953" t="str">
        <f>"koreadc"</f>
        <v>koreadc</v>
      </c>
      <c r="J953">
        <v>179540</v>
      </c>
      <c r="K953" s="1">
        <v>44866</v>
      </c>
      <c r="L953" t="s">
        <v>1017</v>
      </c>
      <c r="M953">
        <f t="shared" si="29"/>
        <v>179540</v>
      </c>
      <c r="N953" t="e">
        <f>VLOOKUP(H953,Sheet1!G:H,2,FALSE)</f>
        <v>#N/A</v>
      </c>
      <c r="R953" t="s">
        <v>2877</v>
      </c>
      <c r="S953">
        <v>3900</v>
      </c>
    </row>
    <row r="954" spans="1:19" x14ac:dyDescent="0.3">
      <c r="A954" t="s">
        <v>8</v>
      </c>
      <c r="B954">
        <f>VLOOKUP(A954,Sheet2!B:F,5,FALSE)</f>
        <v>928</v>
      </c>
      <c r="C954" t="s">
        <v>9</v>
      </c>
      <c r="D954">
        <f>VLOOKUP(C954,Sheet2!C:G,5,FALSE)</f>
        <v>1202</v>
      </c>
      <c r="E954" t="s">
        <v>20</v>
      </c>
      <c r="F954">
        <f>VLOOKUP(E954,Sheet2!D:E,2,FALSE)</f>
        <v>938</v>
      </c>
      <c r="G954" t="s">
        <v>11</v>
      </c>
      <c r="H954" t="str">
        <f t="shared" si="28"/>
        <v>NAVERkorlight</v>
      </c>
      <c r="I954" t="str">
        <f>"korlight"</f>
        <v>korlight</v>
      </c>
      <c r="J954">
        <v>236370</v>
      </c>
      <c r="K954" s="1">
        <v>44866</v>
      </c>
      <c r="L954" t="s">
        <v>1018</v>
      </c>
      <c r="M954">
        <f t="shared" si="29"/>
        <v>236370</v>
      </c>
      <c r="N954" t="e">
        <f>VLOOKUP(H954,Sheet1!G:H,2,FALSE)</f>
        <v>#N/A</v>
      </c>
      <c r="R954" t="s">
        <v>2878</v>
      </c>
      <c r="S954">
        <v>177420</v>
      </c>
    </row>
    <row r="955" spans="1:19" x14ac:dyDescent="0.3">
      <c r="A955" t="s">
        <v>8</v>
      </c>
      <c r="B955">
        <f>VLOOKUP(A955,Sheet2!B:F,5,FALSE)</f>
        <v>928</v>
      </c>
      <c r="C955" t="s">
        <v>9</v>
      </c>
      <c r="D955">
        <f>VLOOKUP(C955,Sheet2!C:G,5,FALSE)</f>
        <v>1202</v>
      </c>
      <c r="E955" t="s">
        <v>35</v>
      </c>
      <c r="F955">
        <f>VLOOKUP(E955,Sheet2!D:E,2,FALSE)</f>
        <v>51</v>
      </c>
      <c r="G955" t="s">
        <v>11</v>
      </c>
      <c r="H955" t="str">
        <f t="shared" si="28"/>
        <v>NAVERkpcc7080</v>
      </c>
      <c r="I955" t="str">
        <f>"kpcc7080"</f>
        <v>kpcc7080</v>
      </c>
      <c r="J955">
        <v>610210</v>
      </c>
      <c r="K955" s="1">
        <v>44866</v>
      </c>
      <c r="L955" t="s">
        <v>1019</v>
      </c>
      <c r="M955">
        <f t="shared" si="29"/>
        <v>610210</v>
      </c>
      <c r="N955" t="e">
        <f>VLOOKUP(H955,Sheet1!G:H,2,FALSE)</f>
        <v>#N/A</v>
      </c>
      <c r="R955" t="s">
        <v>2879</v>
      </c>
      <c r="S955">
        <v>15610</v>
      </c>
    </row>
    <row r="956" spans="1:19" x14ac:dyDescent="0.3">
      <c r="A956" t="s">
        <v>16</v>
      </c>
      <c r="B956">
        <f>VLOOKUP(A956,Sheet2!B:F,5,FALSE)</f>
        <v>927</v>
      </c>
      <c r="C956" t="s">
        <v>17</v>
      </c>
      <c r="D956">
        <f>VLOOKUP(C956,Sheet2!C:G,5,FALSE)</f>
        <v>1200</v>
      </c>
      <c r="E956" t="s">
        <v>262</v>
      </c>
      <c r="F956">
        <f>VLOOKUP(E956,Sheet2!D:E,2,FALSE)</f>
        <v>1594</v>
      </c>
      <c r="G956" t="s">
        <v>11</v>
      </c>
      <c r="H956" t="str">
        <f t="shared" si="28"/>
        <v>NAVERkptool</v>
      </c>
      <c r="I956" t="str">
        <f>"kptool"</f>
        <v>kptool</v>
      </c>
      <c r="J956">
        <v>1021190</v>
      </c>
      <c r="K956" s="1">
        <v>44866</v>
      </c>
      <c r="L956" t="s">
        <v>1020</v>
      </c>
      <c r="M956">
        <f t="shared" si="29"/>
        <v>1021190</v>
      </c>
      <c r="N956" t="e">
        <f>VLOOKUP(H956,Sheet1!G:H,2,FALSE)</f>
        <v>#N/A</v>
      </c>
      <c r="R956" t="s">
        <v>2880</v>
      </c>
      <c r="S956">
        <v>79960</v>
      </c>
    </row>
    <row r="957" spans="1:19" x14ac:dyDescent="0.3">
      <c r="A957" t="s">
        <v>8</v>
      </c>
      <c r="B957">
        <f>VLOOKUP(A957,Sheet2!B:F,5,FALSE)</f>
        <v>928</v>
      </c>
      <c r="C957" t="s">
        <v>9</v>
      </c>
      <c r="D957">
        <f>VLOOKUP(C957,Sheet2!C:G,5,FALSE)</f>
        <v>1202</v>
      </c>
      <c r="E957" t="s">
        <v>37</v>
      </c>
      <c r="F957">
        <f>VLOOKUP(E957,Sheet2!D:E,2,FALSE)</f>
        <v>81</v>
      </c>
      <c r="G957" t="s">
        <v>11</v>
      </c>
      <c r="H957" t="str">
        <f t="shared" si="28"/>
        <v>NAVERkr042504</v>
      </c>
      <c r="I957" t="str">
        <f>"kr042504"</f>
        <v>kr042504</v>
      </c>
      <c r="J957">
        <v>335820</v>
      </c>
      <c r="K957" s="1">
        <v>44866</v>
      </c>
      <c r="L957" t="s">
        <v>1021</v>
      </c>
      <c r="M957">
        <f t="shared" si="29"/>
        <v>335820</v>
      </c>
      <c r="N957" t="e">
        <f>VLOOKUP(H957,Sheet1!G:H,2,FALSE)</f>
        <v>#N/A</v>
      </c>
      <c r="R957" t="s">
        <v>2881</v>
      </c>
      <c r="S957">
        <v>500</v>
      </c>
    </row>
    <row r="958" spans="1:19" x14ac:dyDescent="0.3">
      <c r="A958" t="s">
        <v>8</v>
      </c>
      <c r="B958">
        <f>VLOOKUP(A958,Sheet2!B:F,5,FALSE)</f>
        <v>928</v>
      </c>
      <c r="C958" t="s">
        <v>9</v>
      </c>
      <c r="D958">
        <f>VLOOKUP(C958,Sheet2!C:G,5,FALSE)</f>
        <v>1202</v>
      </c>
      <c r="E958" t="s">
        <v>37</v>
      </c>
      <c r="F958">
        <f>VLOOKUP(E958,Sheet2!D:E,2,FALSE)</f>
        <v>81</v>
      </c>
      <c r="G958" t="s">
        <v>11</v>
      </c>
      <c r="H958" t="str">
        <f t="shared" si="28"/>
        <v>NAVERkrm2545</v>
      </c>
      <c r="I958" t="str">
        <f>"krm2545"</f>
        <v>krm2545</v>
      </c>
      <c r="J958">
        <v>656740</v>
      </c>
      <c r="K958" s="1">
        <v>44866</v>
      </c>
      <c r="L958" t="s">
        <v>1022</v>
      </c>
      <c r="M958">
        <f t="shared" si="29"/>
        <v>656740</v>
      </c>
      <c r="N958" t="e">
        <f>VLOOKUP(H958,Sheet1!G:H,2,FALSE)</f>
        <v>#N/A</v>
      </c>
      <c r="R958" t="s">
        <v>2882</v>
      </c>
      <c r="S958">
        <v>134620</v>
      </c>
    </row>
    <row r="959" spans="1:19" x14ac:dyDescent="0.3">
      <c r="A959" t="s">
        <v>8</v>
      </c>
      <c r="B959">
        <f>VLOOKUP(A959,Sheet2!B:F,5,FALSE)</f>
        <v>928</v>
      </c>
      <c r="C959" t="s">
        <v>9</v>
      </c>
      <c r="D959">
        <f>VLOOKUP(C959,Sheet2!C:G,5,FALSE)</f>
        <v>1202</v>
      </c>
      <c r="E959" t="s">
        <v>47</v>
      </c>
      <c r="F959">
        <f>VLOOKUP(E959,Sheet2!D:E,2,FALSE)</f>
        <v>898</v>
      </c>
      <c r="G959" t="s">
        <v>11</v>
      </c>
      <c r="H959" t="str">
        <f t="shared" si="28"/>
        <v>NAVERks20713</v>
      </c>
      <c r="I959" t="str">
        <f>"ks20713"</f>
        <v>ks20713</v>
      </c>
      <c r="J959">
        <v>558970</v>
      </c>
      <c r="K959" s="1">
        <v>44866</v>
      </c>
      <c r="L959" t="s">
        <v>1023</v>
      </c>
      <c r="M959">
        <f t="shared" si="29"/>
        <v>558970</v>
      </c>
      <c r="N959" t="e">
        <f>VLOOKUP(H959,Sheet1!G:H,2,FALSE)</f>
        <v>#N/A</v>
      </c>
      <c r="R959" t="s">
        <v>2883</v>
      </c>
      <c r="S959">
        <v>15460</v>
      </c>
    </row>
    <row r="960" spans="1:19" x14ac:dyDescent="0.3">
      <c r="A960" t="s">
        <v>8</v>
      </c>
      <c r="B960">
        <f>VLOOKUP(A960,Sheet2!B:F,5,FALSE)</f>
        <v>928</v>
      </c>
      <c r="C960" t="s">
        <v>9</v>
      </c>
      <c r="D960">
        <f>VLOOKUP(C960,Sheet2!C:G,5,FALSE)</f>
        <v>1202</v>
      </c>
      <c r="E960" t="s">
        <v>45</v>
      </c>
      <c r="F960">
        <f>VLOOKUP(E960,Sheet2!D:E,2,FALSE)</f>
        <v>26</v>
      </c>
      <c r="G960" t="s">
        <v>11</v>
      </c>
      <c r="H960" t="str">
        <f t="shared" si="28"/>
        <v>NAVERksb8643</v>
      </c>
      <c r="I960" t="str">
        <f>"ksb8643"</f>
        <v>ksb8643</v>
      </c>
      <c r="J960">
        <v>270250</v>
      </c>
      <c r="K960" s="1">
        <v>44866</v>
      </c>
      <c r="L960" t="s">
        <v>1024</v>
      </c>
      <c r="M960">
        <f t="shared" si="29"/>
        <v>270250</v>
      </c>
      <c r="N960" t="e">
        <f>VLOOKUP(H960,Sheet1!G:H,2,FALSE)</f>
        <v>#N/A</v>
      </c>
      <c r="R960" t="s">
        <v>2884</v>
      </c>
      <c r="S960">
        <v>7020</v>
      </c>
    </row>
    <row r="961" spans="1:19" x14ac:dyDescent="0.3">
      <c r="A961" t="s">
        <v>8</v>
      </c>
      <c r="B961">
        <f>VLOOKUP(A961,Sheet2!B:F,5,FALSE)</f>
        <v>928</v>
      </c>
      <c r="C961" t="s">
        <v>13</v>
      </c>
      <c r="D961">
        <f>VLOOKUP(C961,Sheet2!C:G,5,FALSE)</f>
        <v>1184</v>
      </c>
      <c r="E961" t="s">
        <v>59</v>
      </c>
      <c r="F961">
        <f>VLOOKUP(E961,Sheet2!D:E,2,FALSE)</f>
        <v>9</v>
      </c>
      <c r="G961" t="s">
        <v>11</v>
      </c>
      <c r="H961" t="str">
        <f t="shared" si="28"/>
        <v>NAVERkss1992kr</v>
      </c>
      <c r="I961" t="str">
        <f>"kss1992kr"</f>
        <v>kss1992kr</v>
      </c>
      <c r="J961">
        <v>145620</v>
      </c>
      <c r="K961" s="1">
        <v>44866</v>
      </c>
      <c r="L961" t="s">
        <v>1025</v>
      </c>
      <c r="M961">
        <f t="shared" si="29"/>
        <v>145620</v>
      </c>
      <c r="N961" t="e">
        <f>VLOOKUP(H961,Sheet1!G:H,2,FALSE)</f>
        <v>#N/A</v>
      </c>
      <c r="R961" t="s">
        <v>2885</v>
      </c>
      <c r="S961">
        <v>174180</v>
      </c>
    </row>
    <row r="962" spans="1:19" x14ac:dyDescent="0.3">
      <c r="A962" t="s">
        <v>8</v>
      </c>
      <c r="B962">
        <f>VLOOKUP(A962,Sheet2!B:F,5,FALSE)</f>
        <v>928</v>
      </c>
      <c r="C962" t="s">
        <v>167</v>
      </c>
      <c r="D962">
        <f>VLOOKUP(C962,Sheet2!C:G,5,FALSE)</f>
        <v>935</v>
      </c>
      <c r="E962" t="s">
        <v>168</v>
      </c>
      <c r="F962">
        <f>VLOOKUP(E962,Sheet2!D:E,2,FALSE)</f>
        <v>2</v>
      </c>
      <c r="G962" t="s">
        <v>11</v>
      </c>
      <c r="H962" t="str">
        <f t="shared" si="28"/>
        <v>NAVERkth_vodshop</v>
      </c>
      <c r="I962" t="str">
        <f>"kth_vodshop"</f>
        <v>kth_vodshop</v>
      </c>
      <c r="J962">
        <v>2440810</v>
      </c>
      <c r="K962" s="1">
        <v>44866</v>
      </c>
      <c r="L962" t="s">
        <v>1026</v>
      </c>
      <c r="M962">
        <f t="shared" si="29"/>
        <v>2450370</v>
      </c>
      <c r="N962" t="e">
        <f>VLOOKUP(H962,Sheet1!G:H,2,FALSE)</f>
        <v>#N/A</v>
      </c>
      <c r="R962" t="s">
        <v>2886</v>
      </c>
      <c r="S962">
        <v>1773130</v>
      </c>
    </row>
    <row r="963" spans="1:19" x14ac:dyDescent="0.3">
      <c r="A963" t="s">
        <v>8</v>
      </c>
      <c r="B963">
        <f>VLOOKUP(A963,Sheet2!B:F,5,FALSE)</f>
        <v>928</v>
      </c>
      <c r="C963" t="s">
        <v>9</v>
      </c>
      <c r="D963">
        <f>VLOOKUP(C963,Sheet2!C:G,5,FALSE)</f>
        <v>1202</v>
      </c>
      <c r="E963" t="s">
        <v>10</v>
      </c>
      <c r="F963">
        <f>VLOOKUP(E963,Sheet2!D:E,2,FALSE)</f>
        <v>939</v>
      </c>
      <c r="G963" t="s">
        <v>11</v>
      </c>
      <c r="H963" t="str">
        <f t="shared" ref="H963:H1026" si="30">CONCATENATE(G963,I963)</f>
        <v>NAVERkth10051</v>
      </c>
      <c r="I963" t="str">
        <f>"kth10051"</f>
        <v>kth10051</v>
      </c>
      <c r="J963">
        <v>203330</v>
      </c>
      <c r="K963" s="1">
        <v>44866</v>
      </c>
      <c r="L963" t="s">
        <v>1027</v>
      </c>
      <c r="M963">
        <f t="shared" ref="M963:M1026" si="31">VLOOKUP(H963,R:S,2,FALSE)</f>
        <v>203330</v>
      </c>
      <c r="N963" t="e">
        <f>VLOOKUP(H963,Sheet1!G:H,2,FALSE)</f>
        <v>#N/A</v>
      </c>
      <c r="R963" t="s">
        <v>2887</v>
      </c>
      <c r="S963">
        <v>2165590</v>
      </c>
    </row>
    <row r="964" spans="1:19" x14ac:dyDescent="0.3">
      <c r="A964" t="s">
        <v>8</v>
      </c>
      <c r="B964">
        <f>VLOOKUP(A964,Sheet2!B:F,5,FALSE)</f>
        <v>928</v>
      </c>
      <c r="C964" t="s">
        <v>9</v>
      </c>
      <c r="D964">
        <f>VLOOKUP(C964,Sheet2!C:G,5,FALSE)</f>
        <v>1202</v>
      </c>
      <c r="E964" t="s">
        <v>47</v>
      </c>
      <c r="F964">
        <f>VLOOKUP(E964,Sheet2!D:E,2,FALSE)</f>
        <v>898</v>
      </c>
      <c r="G964" t="s">
        <v>11</v>
      </c>
      <c r="H964" t="str">
        <f t="shared" si="30"/>
        <v>NAVERkth7701</v>
      </c>
      <c r="I964" t="str">
        <f>"kth7701"</f>
        <v>kth7701</v>
      </c>
      <c r="J964">
        <v>140</v>
      </c>
      <c r="K964" s="1">
        <v>44866</v>
      </c>
      <c r="L964" t="s">
        <v>1028</v>
      </c>
      <c r="M964">
        <f t="shared" si="31"/>
        <v>140</v>
      </c>
      <c r="N964" t="e">
        <f>VLOOKUP(H964,Sheet1!G:H,2,FALSE)</f>
        <v>#N/A</v>
      </c>
      <c r="R964" t="s">
        <v>2888</v>
      </c>
      <c r="S964">
        <v>822060</v>
      </c>
    </row>
    <row r="965" spans="1:19" x14ac:dyDescent="0.3">
      <c r="A965" t="s">
        <v>16</v>
      </c>
      <c r="B965">
        <f>VLOOKUP(A965,Sheet2!B:F,5,FALSE)</f>
        <v>927</v>
      </c>
      <c r="C965" t="s">
        <v>17</v>
      </c>
      <c r="D965">
        <f>VLOOKUP(C965,Sheet2!C:G,5,FALSE)</f>
        <v>1200</v>
      </c>
      <c r="E965" t="s">
        <v>262</v>
      </c>
      <c r="F965">
        <f>VLOOKUP(E965,Sheet2!D:E,2,FALSE)</f>
        <v>1594</v>
      </c>
      <c r="G965" t="s">
        <v>11</v>
      </c>
      <c r="H965" t="str">
        <f t="shared" si="30"/>
        <v>NAVERkthdhealth</v>
      </c>
      <c r="I965" t="str">
        <f>"kthdhealth"</f>
        <v>kthdhealth</v>
      </c>
      <c r="J965">
        <v>3640364</v>
      </c>
      <c r="K965" s="1">
        <v>44866</v>
      </c>
      <c r="L965" t="s">
        <v>1029</v>
      </c>
      <c r="M965">
        <f t="shared" si="31"/>
        <v>1903720</v>
      </c>
      <c r="N965" t="e">
        <f>VLOOKUP(H965,Sheet1!G:H,2,FALSE)</f>
        <v>#N/A</v>
      </c>
      <c r="R965" t="s">
        <v>2889</v>
      </c>
      <c r="S965">
        <v>150</v>
      </c>
    </row>
    <row r="966" spans="1:19" x14ac:dyDescent="0.3">
      <c r="A966" t="s">
        <v>8</v>
      </c>
      <c r="B966">
        <f>VLOOKUP(A966,Sheet2!B:F,5,FALSE)</f>
        <v>928</v>
      </c>
      <c r="C966" t="s">
        <v>13</v>
      </c>
      <c r="D966">
        <f>VLOOKUP(C966,Sheet2!C:G,5,FALSE)</f>
        <v>1184</v>
      </c>
      <c r="E966" t="s">
        <v>59</v>
      </c>
      <c r="F966">
        <f>VLOOKUP(E966,Sheet2!D:E,2,FALSE)</f>
        <v>9</v>
      </c>
      <c r="G966" t="s">
        <v>11</v>
      </c>
      <c r="H966" t="str">
        <f t="shared" si="30"/>
        <v>NAVERktjgu</v>
      </c>
      <c r="I966" t="str">
        <f>"ktjgu"</f>
        <v>ktjgu</v>
      </c>
      <c r="J966">
        <v>16820</v>
      </c>
      <c r="K966" s="1">
        <v>44866</v>
      </c>
      <c r="L966" t="s">
        <v>1030</v>
      </c>
      <c r="M966">
        <f t="shared" si="31"/>
        <v>16820</v>
      </c>
      <c r="N966" t="e">
        <f>VLOOKUP(H966,Sheet1!G:H,2,FALSE)</f>
        <v>#N/A</v>
      </c>
      <c r="R966" t="s">
        <v>2890</v>
      </c>
      <c r="S966">
        <v>87760</v>
      </c>
    </row>
    <row r="967" spans="1:19" x14ac:dyDescent="0.3">
      <c r="A967" t="s">
        <v>41</v>
      </c>
      <c r="B967">
        <f>VLOOKUP(A967,Sheet2!B:F,5,FALSE)</f>
        <v>926</v>
      </c>
      <c r="C967" t="s">
        <v>56</v>
      </c>
      <c r="D967">
        <f>VLOOKUP(C967,Sheet2!C:G,5,FALSE)</f>
        <v>1207</v>
      </c>
      <c r="E967" t="s">
        <v>57</v>
      </c>
      <c r="F967">
        <f>VLOOKUP(E967,Sheet2!D:E,2,FALSE)</f>
        <v>200982</v>
      </c>
      <c r="G967" t="s">
        <v>11</v>
      </c>
      <c r="H967" t="str">
        <f t="shared" si="30"/>
        <v>NAVERkukjetrad12</v>
      </c>
      <c r="I967" t="str">
        <f>"kukjetrad12"</f>
        <v>kukjetrad12</v>
      </c>
      <c r="J967">
        <v>20120</v>
      </c>
      <c r="K967" s="1">
        <v>44866</v>
      </c>
      <c r="L967" t="s">
        <v>1031</v>
      </c>
      <c r="M967">
        <f t="shared" si="31"/>
        <v>20120</v>
      </c>
      <c r="N967" t="e">
        <f>VLOOKUP(H967,Sheet1!G:H,2,FALSE)</f>
        <v>#N/A</v>
      </c>
      <c r="R967" t="s">
        <v>2891</v>
      </c>
      <c r="S967">
        <v>143440</v>
      </c>
    </row>
    <row r="968" spans="1:19" x14ac:dyDescent="0.3">
      <c r="A968" t="s">
        <v>8</v>
      </c>
      <c r="B968">
        <f>VLOOKUP(A968,Sheet2!B:F,5,FALSE)</f>
        <v>928</v>
      </c>
      <c r="C968" t="s">
        <v>13</v>
      </c>
      <c r="D968">
        <f>VLOOKUP(C968,Sheet2!C:G,5,FALSE)</f>
        <v>1184</v>
      </c>
      <c r="E968" t="s">
        <v>51</v>
      </c>
      <c r="F968">
        <f>VLOOKUP(E968,Sheet2!D:E,2,FALSE)</f>
        <v>1274</v>
      </c>
      <c r="G968" t="s">
        <v>11</v>
      </c>
      <c r="H968" t="str">
        <f t="shared" si="30"/>
        <v>NAVERkumkang2000</v>
      </c>
      <c r="I968" t="str">
        <f>"kumkang2000"</f>
        <v>kumkang2000</v>
      </c>
      <c r="J968">
        <v>109410</v>
      </c>
      <c r="K968" s="1">
        <v>44866</v>
      </c>
      <c r="L968" t="s">
        <v>1032</v>
      </c>
      <c r="M968">
        <f t="shared" si="31"/>
        <v>109410</v>
      </c>
      <c r="N968" t="e">
        <f>VLOOKUP(H968,Sheet1!G:H,2,FALSE)</f>
        <v>#N/A</v>
      </c>
      <c r="R968" t="s">
        <v>2892</v>
      </c>
      <c r="S968">
        <v>40720</v>
      </c>
    </row>
    <row r="969" spans="1:19" x14ac:dyDescent="0.3">
      <c r="A969" t="s">
        <v>8</v>
      </c>
      <c r="B969">
        <f>VLOOKUP(A969,Sheet2!B:F,5,FALSE)</f>
        <v>928</v>
      </c>
      <c r="C969" t="s">
        <v>9</v>
      </c>
      <c r="D969">
        <f>VLOOKUP(C969,Sheet2!C:G,5,FALSE)</f>
        <v>1202</v>
      </c>
      <c r="E969" t="s">
        <v>27</v>
      </c>
      <c r="F969">
        <f>VLOOKUP(E969,Sheet2!D:E,2,FALSE)</f>
        <v>806</v>
      </c>
      <c r="G969" t="s">
        <v>11</v>
      </c>
      <c r="H969" t="str">
        <f t="shared" si="30"/>
        <v>NAVERkumo2016</v>
      </c>
      <c r="I969" t="str">
        <f>"kumo2016"</f>
        <v>kumo2016</v>
      </c>
      <c r="J969">
        <v>10346410</v>
      </c>
      <c r="K969" s="1">
        <v>44866</v>
      </c>
      <c r="L969" t="s">
        <v>1033</v>
      </c>
      <c r="M969">
        <f t="shared" si="31"/>
        <v>10354970</v>
      </c>
      <c r="N969" t="e">
        <f>VLOOKUP(H969,Sheet1!G:H,2,FALSE)</f>
        <v>#N/A</v>
      </c>
      <c r="R969" t="s">
        <v>2893</v>
      </c>
      <c r="S969">
        <v>493360</v>
      </c>
    </row>
    <row r="970" spans="1:19" x14ac:dyDescent="0.3">
      <c r="A970" t="s">
        <v>8</v>
      </c>
      <c r="B970">
        <f>VLOOKUP(A970,Sheet2!B:F,5,FALSE)</f>
        <v>928</v>
      </c>
      <c r="C970" t="s">
        <v>167</v>
      </c>
      <c r="D970">
        <f>VLOOKUP(C970,Sheet2!C:G,5,FALSE)</f>
        <v>935</v>
      </c>
      <c r="E970" t="s">
        <v>168</v>
      </c>
      <c r="F970">
        <f>VLOOKUP(E970,Sheet2!D:E,2,FALSE)</f>
        <v>2</v>
      </c>
      <c r="G970" t="s">
        <v>11</v>
      </c>
      <c r="H970" t="str">
        <f t="shared" si="30"/>
        <v>NAVERkumon123</v>
      </c>
      <c r="I970" t="str">
        <f>"kumon123"</f>
        <v>kumon123</v>
      </c>
      <c r="J970">
        <v>8700000</v>
      </c>
      <c r="K970" s="1">
        <v>44866</v>
      </c>
      <c r="L970" t="s">
        <v>1034</v>
      </c>
      <c r="M970">
        <f t="shared" si="31"/>
        <v>0</v>
      </c>
      <c r="N970" t="e">
        <f>VLOOKUP(H970,Sheet1!G:H,2,FALSE)</f>
        <v>#N/A</v>
      </c>
      <c r="R970" t="s">
        <v>2894</v>
      </c>
      <c r="S970">
        <v>201780</v>
      </c>
    </row>
    <row r="971" spans="1:19" x14ac:dyDescent="0.3">
      <c r="A971" t="s">
        <v>8</v>
      </c>
      <c r="B971">
        <f>VLOOKUP(A971,Sheet2!B:F,5,FALSE)</f>
        <v>928</v>
      </c>
      <c r="C971" t="s">
        <v>9</v>
      </c>
      <c r="D971">
        <f>VLOOKUP(C971,Sheet2!C:G,5,FALSE)</f>
        <v>1202</v>
      </c>
      <c r="E971" t="s">
        <v>73</v>
      </c>
      <c r="F971">
        <f>VLOOKUP(E971,Sheet2!D:E,2,FALSE)</f>
        <v>895</v>
      </c>
      <c r="G971" t="s">
        <v>11</v>
      </c>
      <c r="H971" t="str">
        <f t="shared" si="30"/>
        <v>NAVERkurukang</v>
      </c>
      <c r="I971" t="str">
        <f>"kurukang"</f>
        <v>kurukang</v>
      </c>
      <c r="J971">
        <v>1545310</v>
      </c>
      <c r="K971" s="1">
        <v>44866</v>
      </c>
      <c r="L971" t="s">
        <v>1035</v>
      </c>
      <c r="M971">
        <f t="shared" si="31"/>
        <v>1545310</v>
      </c>
      <c r="N971" t="e">
        <f>VLOOKUP(H971,Sheet1!G:H,2,FALSE)</f>
        <v>#N/A</v>
      </c>
      <c r="R971" t="s">
        <v>2895</v>
      </c>
      <c r="S971">
        <v>2147470</v>
      </c>
    </row>
    <row r="972" spans="1:19" x14ac:dyDescent="0.3">
      <c r="A972" t="s">
        <v>41</v>
      </c>
      <c r="B972">
        <f>VLOOKUP(A972,Sheet2!B:F,5,FALSE)</f>
        <v>926</v>
      </c>
      <c r="C972" t="s">
        <v>56</v>
      </c>
      <c r="D972">
        <f>VLOOKUP(C972,Sheet2!C:G,5,FALSE)</f>
        <v>1207</v>
      </c>
      <c r="E972" t="s">
        <v>57</v>
      </c>
      <c r="F972">
        <f>VLOOKUP(E972,Sheet2!D:E,2,FALSE)</f>
        <v>200982</v>
      </c>
      <c r="G972" t="s">
        <v>11</v>
      </c>
      <c r="H972" t="str">
        <f t="shared" si="30"/>
        <v>NAVERkvc</v>
      </c>
      <c r="I972" t="str">
        <f>"kvc"</f>
        <v>kvc</v>
      </c>
      <c r="J972">
        <v>28940</v>
      </c>
      <c r="K972" s="1">
        <v>44866</v>
      </c>
      <c r="L972" t="s">
        <v>1036</v>
      </c>
      <c r="M972">
        <f t="shared" si="31"/>
        <v>28940</v>
      </c>
      <c r="N972" t="e">
        <f>VLOOKUP(H972,Sheet1!G:H,2,FALSE)</f>
        <v>#N/A</v>
      </c>
      <c r="R972" t="s">
        <v>2896</v>
      </c>
      <c r="S972">
        <v>15470</v>
      </c>
    </row>
    <row r="973" spans="1:19" x14ac:dyDescent="0.3">
      <c r="A973" t="s">
        <v>41</v>
      </c>
      <c r="B973">
        <f>VLOOKUP(A973,Sheet2!B:F,5,FALSE)</f>
        <v>926</v>
      </c>
      <c r="C973" t="s">
        <v>56</v>
      </c>
      <c r="D973">
        <f>VLOOKUP(C973,Sheet2!C:G,5,FALSE)</f>
        <v>1207</v>
      </c>
      <c r="E973" t="s">
        <v>57</v>
      </c>
      <c r="F973">
        <f>VLOOKUP(E973,Sheet2!D:E,2,FALSE)</f>
        <v>200982</v>
      </c>
      <c r="G973" t="s">
        <v>11</v>
      </c>
      <c r="H973" t="str">
        <f t="shared" si="30"/>
        <v>NAVERkw0049</v>
      </c>
      <c r="I973" t="str">
        <f>"kw0049"</f>
        <v>kw0049</v>
      </c>
      <c r="J973">
        <v>57010</v>
      </c>
      <c r="K973" s="1">
        <v>44866</v>
      </c>
      <c r="L973" t="s">
        <v>1037</v>
      </c>
      <c r="M973">
        <f t="shared" si="31"/>
        <v>57010</v>
      </c>
      <c r="N973" t="e">
        <f>VLOOKUP(H973,Sheet1!G:H,2,FALSE)</f>
        <v>#N/A</v>
      </c>
      <c r="R973" t="s">
        <v>2897</v>
      </c>
      <c r="S973">
        <v>0</v>
      </c>
    </row>
    <row r="974" spans="1:19" x14ac:dyDescent="0.3">
      <c r="A974" t="s">
        <v>8</v>
      </c>
      <c r="B974">
        <f>VLOOKUP(A974,Sheet2!B:F,5,FALSE)</f>
        <v>928</v>
      </c>
      <c r="C974" t="s">
        <v>9</v>
      </c>
      <c r="D974">
        <f>VLOOKUP(C974,Sheet2!C:G,5,FALSE)</f>
        <v>1202</v>
      </c>
      <c r="E974" t="s">
        <v>27</v>
      </c>
      <c r="F974">
        <f>VLOOKUP(E974,Sheet2!D:E,2,FALSE)</f>
        <v>806</v>
      </c>
      <c r="G974" t="s">
        <v>11</v>
      </c>
      <c r="H974" t="str">
        <f t="shared" si="30"/>
        <v>NAVERkwak2230:naver</v>
      </c>
      <c r="I974" t="str">
        <f>"kwak2230:naver"</f>
        <v>kwak2230:naver</v>
      </c>
      <c r="J974">
        <v>580276</v>
      </c>
      <c r="K974" s="1">
        <v>44866</v>
      </c>
      <c r="L974" t="s">
        <v>1038</v>
      </c>
      <c r="M974">
        <f t="shared" si="31"/>
        <v>580320</v>
      </c>
      <c r="N974" t="e">
        <f>VLOOKUP(H974,Sheet1!G:H,2,FALSE)</f>
        <v>#N/A</v>
      </c>
      <c r="R974" t="s">
        <v>2898</v>
      </c>
      <c r="S974">
        <v>205770</v>
      </c>
    </row>
    <row r="975" spans="1:19" x14ac:dyDescent="0.3">
      <c r="A975" t="s">
        <v>8</v>
      </c>
      <c r="B975">
        <f>VLOOKUP(A975,Sheet2!B:F,5,FALSE)</f>
        <v>928</v>
      </c>
      <c r="C975" t="s">
        <v>9</v>
      </c>
      <c r="D975">
        <f>VLOOKUP(C975,Sheet2!C:G,5,FALSE)</f>
        <v>1202</v>
      </c>
      <c r="E975" t="s">
        <v>20</v>
      </c>
      <c r="F975">
        <f>VLOOKUP(E975,Sheet2!D:E,2,FALSE)</f>
        <v>938</v>
      </c>
      <c r="G975" t="s">
        <v>11</v>
      </c>
      <c r="H975" t="str">
        <f t="shared" si="30"/>
        <v>NAVERkwakouo</v>
      </c>
      <c r="I975" t="str">
        <f>"kwakouo"</f>
        <v>kwakouo</v>
      </c>
      <c r="J975">
        <v>906840</v>
      </c>
      <c r="K975" s="1">
        <v>44866</v>
      </c>
      <c r="L975" t="s">
        <v>1039</v>
      </c>
      <c r="M975">
        <f t="shared" si="31"/>
        <v>906840</v>
      </c>
      <c r="N975" t="e">
        <f>VLOOKUP(H975,Sheet1!G:H,2,FALSE)</f>
        <v>#N/A</v>
      </c>
      <c r="R975" t="s">
        <v>2899</v>
      </c>
      <c r="S975">
        <v>98880</v>
      </c>
    </row>
    <row r="976" spans="1:19" x14ac:dyDescent="0.3">
      <c r="A976" t="s">
        <v>16</v>
      </c>
      <c r="B976">
        <f>VLOOKUP(A976,Sheet2!B:F,5,FALSE)</f>
        <v>927</v>
      </c>
      <c r="C976" t="s">
        <v>17</v>
      </c>
      <c r="D976">
        <f>VLOOKUP(C976,Sheet2!C:G,5,FALSE)</f>
        <v>1200</v>
      </c>
      <c r="E976" t="s">
        <v>137</v>
      </c>
      <c r="F976">
        <f>VLOOKUP(E976,Sheet2!D:E,2,FALSE)</f>
        <v>1012</v>
      </c>
      <c r="G976" t="s">
        <v>11</v>
      </c>
      <c r="H976" t="str">
        <f t="shared" si="30"/>
        <v>NAVERkwanml77</v>
      </c>
      <c r="I976" t="str">
        <f>"kwanml77"</f>
        <v>kwanml77</v>
      </c>
      <c r="J976">
        <v>41190</v>
      </c>
      <c r="K976" s="1">
        <v>44866</v>
      </c>
      <c r="L976" t="s">
        <v>1040</v>
      </c>
      <c r="M976">
        <f t="shared" si="31"/>
        <v>41190</v>
      </c>
      <c r="N976" t="e">
        <f>VLOOKUP(H976,Sheet1!G:H,2,FALSE)</f>
        <v>#N/A</v>
      </c>
      <c r="R976" t="s">
        <v>2900</v>
      </c>
      <c r="S976">
        <v>101180</v>
      </c>
    </row>
    <row r="977" spans="1:19" x14ac:dyDescent="0.3">
      <c r="A977" t="s">
        <v>8</v>
      </c>
      <c r="B977">
        <f>VLOOKUP(A977,Sheet2!B:F,5,FALSE)</f>
        <v>928</v>
      </c>
      <c r="C977" t="s">
        <v>9</v>
      </c>
      <c r="D977">
        <f>VLOOKUP(C977,Sheet2!C:G,5,FALSE)</f>
        <v>1202</v>
      </c>
      <c r="E977" t="s">
        <v>31</v>
      </c>
      <c r="F977">
        <f>VLOOKUP(E977,Sheet2!D:E,2,FALSE)</f>
        <v>1040</v>
      </c>
      <c r="G977" t="s">
        <v>11</v>
      </c>
      <c r="H977" t="str">
        <f t="shared" si="30"/>
        <v>NAVERkweather</v>
      </c>
      <c r="I977" t="str">
        <f>"kweather"</f>
        <v>kweather</v>
      </c>
      <c r="J977">
        <v>2222007</v>
      </c>
      <c r="K977" s="1">
        <v>44866</v>
      </c>
      <c r="L977" t="s">
        <v>1041</v>
      </c>
      <c r="M977">
        <f t="shared" si="31"/>
        <v>1702020</v>
      </c>
      <c r="N977" t="e">
        <f>VLOOKUP(H977,Sheet1!G:H,2,FALSE)</f>
        <v>#N/A</v>
      </c>
      <c r="R977" t="s">
        <v>2901</v>
      </c>
      <c r="S977">
        <v>451970</v>
      </c>
    </row>
    <row r="978" spans="1:19" x14ac:dyDescent="0.3">
      <c r="A978" t="s">
        <v>16</v>
      </c>
      <c r="B978">
        <f>VLOOKUP(A978,Sheet2!B:F,5,FALSE)</f>
        <v>927</v>
      </c>
      <c r="C978" t="s">
        <v>17</v>
      </c>
      <c r="D978">
        <f>VLOOKUP(C978,Sheet2!C:G,5,FALSE)</f>
        <v>1200</v>
      </c>
      <c r="E978" t="s">
        <v>371</v>
      </c>
      <c r="F978">
        <f>VLOOKUP(E978,Sheet2!D:E,2,FALSE)</f>
        <v>551</v>
      </c>
      <c r="G978" t="s">
        <v>11</v>
      </c>
      <c r="H978" t="str">
        <f t="shared" si="30"/>
        <v>NAVERkwg2948</v>
      </c>
      <c r="I978" t="str">
        <f>"kwg2948"</f>
        <v>kwg2948</v>
      </c>
      <c r="J978">
        <v>9790</v>
      </c>
      <c r="K978" s="1">
        <v>44866</v>
      </c>
      <c r="L978" t="s">
        <v>1042</v>
      </c>
      <c r="M978">
        <f t="shared" si="31"/>
        <v>9790</v>
      </c>
      <c r="N978" t="e">
        <f>VLOOKUP(H978,Sheet1!G:H,2,FALSE)</f>
        <v>#N/A</v>
      </c>
      <c r="R978" t="s">
        <v>2902</v>
      </c>
      <c r="S978">
        <v>2544250</v>
      </c>
    </row>
    <row r="979" spans="1:19" x14ac:dyDescent="0.3">
      <c r="A979" t="s">
        <v>8</v>
      </c>
      <c r="B979">
        <f>VLOOKUP(A979,Sheet2!B:F,5,FALSE)</f>
        <v>928</v>
      </c>
      <c r="C979" t="s">
        <v>9</v>
      </c>
      <c r="D979">
        <f>VLOOKUP(C979,Sheet2!C:G,5,FALSE)</f>
        <v>1202</v>
      </c>
      <c r="E979" t="s">
        <v>142</v>
      </c>
      <c r="F979">
        <f>VLOOKUP(E979,Sheet2!D:E,2,FALSE)</f>
        <v>652</v>
      </c>
      <c r="G979" t="s">
        <v>11</v>
      </c>
      <c r="H979" t="str">
        <f t="shared" si="30"/>
        <v>NAVERkwoollim</v>
      </c>
      <c r="I979" t="str">
        <f>"kwoollim"</f>
        <v>kwoollim</v>
      </c>
      <c r="J979">
        <v>42610</v>
      </c>
      <c r="K979" s="1">
        <v>44866</v>
      </c>
      <c r="L979" t="s">
        <v>1043</v>
      </c>
      <c r="M979">
        <f t="shared" si="31"/>
        <v>42610</v>
      </c>
      <c r="N979" t="e">
        <f>VLOOKUP(H979,Sheet1!G:H,2,FALSE)</f>
        <v>#N/A</v>
      </c>
      <c r="R979" t="s">
        <v>2903</v>
      </c>
      <c r="S979">
        <v>12916500</v>
      </c>
    </row>
    <row r="980" spans="1:19" x14ac:dyDescent="0.3">
      <c r="A980" t="s">
        <v>8</v>
      </c>
      <c r="B980">
        <f>VLOOKUP(A980,Sheet2!B:F,5,FALSE)</f>
        <v>928</v>
      </c>
      <c r="C980" t="s">
        <v>9</v>
      </c>
      <c r="D980">
        <f>VLOOKUP(C980,Sheet2!C:G,5,FALSE)</f>
        <v>1202</v>
      </c>
      <c r="E980" t="s">
        <v>35</v>
      </c>
      <c r="F980">
        <f>VLOOKUP(E980,Sheet2!D:E,2,FALSE)</f>
        <v>51</v>
      </c>
      <c r="G980" t="s">
        <v>11</v>
      </c>
      <c r="H980" t="str">
        <f t="shared" si="30"/>
        <v>NAVERkww6132</v>
      </c>
      <c r="I980" t="str">
        <f>"kww6132"</f>
        <v>kww6132</v>
      </c>
      <c r="J980">
        <v>124490</v>
      </c>
      <c r="K980" s="1">
        <v>44866</v>
      </c>
      <c r="L980" t="s">
        <v>1044</v>
      </c>
      <c r="M980">
        <f t="shared" si="31"/>
        <v>124490</v>
      </c>
      <c r="N980" t="e">
        <f>VLOOKUP(H980,Sheet1!G:H,2,FALSE)</f>
        <v>#N/A</v>
      </c>
      <c r="R980" t="s">
        <v>2904</v>
      </c>
      <c r="S980">
        <v>1680</v>
      </c>
    </row>
    <row r="981" spans="1:19" x14ac:dyDescent="0.3">
      <c r="A981" t="s">
        <v>8</v>
      </c>
      <c r="B981">
        <f>VLOOKUP(A981,Sheet2!B:F,5,FALSE)</f>
        <v>928</v>
      </c>
      <c r="C981" t="s">
        <v>9</v>
      </c>
      <c r="D981">
        <f>VLOOKUP(C981,Sheet2!C:G,5,FALSE)</f>
        <v>1202</v>
      </c>
      <c r="E981" t="s">
        <v>27</v>
      </c>
      <c r="F981">
        <f>VLOOKUP(E981,Sheet2!D:E,2,FALSE)</f>
        <v>806</v>
      </c>
      <c r="G981" t="s">
        <v>11</v>
      </c>
      <c r="H981" t="str">
        <f t="shared" si="30"/>
        <v>NAVERkyc9189</v>
      </c>
      <c r="I981" t="str">
        <f>"kyc9189"</f>
        <v>kyc9189</v>
      </c>
      <c r="J981">
        <v>769680</v>
      </c>
      <c r="K981" s="1">
        <v>44866</v>
      </c>
      <c r="L981" t="s">
        <v>1045</v>
      </c>
      <c r="M981">
        <f t="shared" si="31"/>
        <v>769680</v>
      </c>
      <c r="N981" t="e">
        <f>VLOOKUP(H981,Sheet1!G:H,2,FALSE)</f>
        <v>#N/A</v>
      </c>
      <c r="R981" t="s">
        <v>2905</v>
      </c>
      <c r="S981">
        <v>189300</v>
      </c>
    </row>
    <row r="982" spans="1:19" x14ac:dyDescent="0.3">
      <c r="A982" t="s">
        <v>8</v>
      </c>
      <c r="B982">
        <f>VLOOKUP(A982,Sheet2!B:F,5,FALSE)</f>
        <v>928</v>
      </c>
      <c r="C982" t="s">
        <v>167</v>
      </c>
      <c r="D982">
        <f>VLOOKUP(C982,Sheet2!C:G,5,FALSE)</f>
        <v>935</v>
      </c>
      <c r="E982" t="s">
        <v>168</v>
      </c>
      <c r="F982">
        <f>VLOOKUP(E982,Sheet2!D:E,2,FALSE)</f>
        <v>2</v>
      </c>
      <c r="G982" t="s">
        <v>11</v>
      </c>
      <c r="H982" t="str">
        <f t="shared" si="30"/>
        <v>NAVERkyowonedum</v>
      </c>
      <c r="I982" t="str">
        <f>"kyowonedum"</f>
        <v>kyowonedum</v>
      </c>
      <c r="J982">
        <v>25581549</v>
      </c>
      <c r="K982" s="1">
        <v>44866</v>
      </c>
      <c r="L982" t="s">
        <v>1046</v>
      </c>
      <c r="M982">
        <f t="shared" si="31"/>
        <v>11477300</v>
      </c>
      <c r="N982" t="e">
        <f>VLOOKUP(H982,Sheet1!G:H,2,FALSE)</f>
        <v>#N/A</v>
      </c>
      <c r="R982" t="s">
        <v>2906</v>
      </c>
      <c r="S982">
        <v>0</v>
      </c>
    </row>
    <row r="983" spans="1:19" x14ac:dyDescent="0.3">
      <c r="A983" t="s">
        <v>8</v>
      </c>
      <c r="B983">
        <f>VLOOKUP(A983,Sheet2!B:F,5,FALSE)</f>
        <v>928</v>
      </c>
      <c r="C983" t="s">
        <v>167</v>
      </c>
      <c r="D983">
        <f>VLOOKUP(C983,Sheet2!C:G,5,FALSE)</f>
        <v>935</v>
      </c>
      <c r="E983" t="s">
        <v>168</v>
      </c>
      <c r="F983">
        <f>VLOOKUP(E983,Sheet2!D:E,2,FALSE)</f>
        <v>2</v>
      </c>
      <c r="G983" t="s">
        <v>11</v>
      </c>
      <c r="H983" t="str">
        <f t="shared" si="30"/>
        <v>NAVERkyowontheorm</v>
      </c>
      <c r="I983" t="str">
        <f>"kyowontheorm"</f>
        <v>kyowontheorm</v>
      </c>
      <c r="J983">
        <v>1190286</v>
      </c>
      <c r="K983" s="1">
        <v>44866</v>
      </c>
      <c r="L983" t="s">
        <v>1047</v>
      </c>
      <c r="M983">
        <f t="shared" si="31"/>
        <v>0</v>
      </c>
      <c r="N983" t="e">
        <f>VLOOKUP(H983,Sheet1!G:H,2,FALSE)</f>
        <v>#N/A</v>
      </c>
      <c r="R983" t="s">
        <v>2907</v>
      </c>
      <c r="S983">
        <v>488450</v>
      </c>
    </row>
    <row r="984" spans="1:19" x14ac:dyDescent="0.3">
      <c r="A984" t="s">
        <v>8</v>
      </c>
      <c r="B984">
        <f>VLOOKUP(A984,Sheet2!B:F,5,FALSE)</f>
        <v>928</v>
      </c>
      <c r="C984" t="s">
        <v>9</v>
      </c>
      <c r="D984">
        <f>VLOOKUP(C984,Sheet2!C:G,5,FALSE)</f>
        <v>1202</v>
      </c>
      <c r="E984" t="s">
        <v>27</v>
      </c>
      <c r="F984">
        <f>VLOOKUP(E984,Sheet2!D:E,2,FALSE)</f>
        <v>806</v>
      </c>
      <c r="G984" t="s">
        <v>11</v>
      </c>
      <c r="H984" t="str">
        <f t="shared" si="30"/>
        <v>NAVERkyungrimco</v>
      </c>
      <c r="I984" t="str">
        <f>"kyungrimco"</f>
        <v>kyungrimco</v>
      </c>
      <c r="J984">
        <v>7140</v>
      </c>
      <c r="K984" s="1">
        <v>44866</v>
      </c>
      <c r="L984" t="s">
        <v>1048</v>
      </c>
      <c r="M984">
        <f t="shared" si="31"/>
        <v>7140</v>
      </c>
      <c r="N984" t="e">
        <f>VLOOKUP(H984,Sheet1!G:H,2,FALSE)</f>
        <v>#N/A</v>
      </c>
      <c r="R984" t="s">
        <v>2908</v>
      </c>
      <c r="S984">
        <v>405150</v>
      </c>
    </row>
    <row r="985" spans="1:19" x14ac:dyDescent="0.3">
      <c r="A985" t="s">
        <v>41</v>
      </c>
      <c r="B985">
        <f>VLOOKUP(A985,Sheet2!B:F,5,FALSE)</f>
        <v>926</v>
      </c>
      <c r="C985" t="s">
        <v>56</v>
      </c>
      <c r="D985">
        <f>VLOOKUP(C985,Sheet2!C:G,5,FALSE)</f>
        <v>1207</v>
      </c>
      <c r="E985" t="s">
        <v>156</v>
      </c>
      <c r="F985">
        <f>VLOOKUP(E985,Sheet2!D:E,2,FALSE)</f>
        <v>201103</v>
      </c>
      <c r="G985" t="s">
        <v>11</v>
      </c>
      <c r="H985" t="str">
        <f t="shared" si="30"/>
        <v>NAVERl860923l:naver</v>
      </c>
      <c r="I985" t="str">
        <f>"l860923l:naver"</f>
        <v>l860923l:naver</v>
      </c>
      <c r="J985">
        <v>235370</v>
      </c>
      <c r="K985" s="1">
        <v>44866</v>
      </c>
      <c r="L985" t="s">
        <v>1049</v>
      </c>
      <c r="M985">
        <f t="shared" si="31"/>
        <v>235370</v>
      </c>
      <c r="N985" t="e">
        <f>VLOOKUP(H985,Sheet1!G:H,2,FALSE)</f>
        <v>#N/A</v>
      </c>
      <c r="R985" t="s">
        <v>2909</v>
      </c>
      <c r="S985">
        <v>86150</v>
      </c>
    </row>
    <row r="986" spans="1:19" x14ac:dyDescent="0.3">
      <c r="A986" t="s">
        <v>41</v>
      </c>
      <c r="B986">
        <f>VLOOKUP(A986,Sheet2!B:F,5,FALSE)</f>
        <v>926</v>
      </c>
      <c r="C986" t="s">
        <v>56</v>
      </c>
      <c r="D986">
        <f>VLOOKUP(C986,Sheet2!C:G,5,FALSE)</f>
        <v>1207</v>
      </c>
      <c r="E986" t="s">
        <v>91</v>
      </c>
      <c r="F986">
        <f>VLOOKUP(E986,Sheet2!D:E,2,FALSE)</f>
        <v>201104</v>
      </c>
      <c r="G986" t="s">
        <v>11</v>
      </c>
      <c r="H986" t="str">
        <f t="shared" si="30"/>
        <v>NAVERlacasa_gm</v>
      </c>
      <c r="I986" t="str">
        <f>"lacasa_gm"</f>
        <v>lacasa_gm</v>
      </c>
      <c r="J986">
        <v>620760</v>
      </c>
      <c r="K986" s="1">
        <v>44866</v>
      </c>
      <c r="L986" t="s">
        <v>1050</v>
      </c>
      <c r="M986">
        <f t="shared" si="31"/>
        <v>620760</v>
      </c>
      <c r="N986" t="e">
        <f>VLOOKUP(H986,Sheet1!G:H,2,FALSE)</f>
        <v>#N/A</v>
      </c>
      <c r="R986" t="s">
        <v>2910</v>
      </c>
      <c r="S986">
        <v>49370</v>
      </c>
    </row>
    <row r="987" spans="1:19" x14ac:dyDescent="0.3">
      <c r="A987" t="s">
        <v>41</v>
      </c>
      <c r="B987">
        <f>VLOOKUP(A987,Sheet2!B:F,5,FALSE)</f>
        <v>926</v>
      </c>
      <c r="C987" t="s">
        <v>56</v>
      </c>
      <c r="D987">
        <f>VLOOKUP(C987,Sheet2!C:G,5,FALSE)</f>
        <v>1207</v>
      </c>
      <c r="E987" t="s">
        <v>91</v>
      </c>
      <c r="F987">
        <f>VLOOKUP(E987,Sheet2!D:E,2,FALSE)</f>
        <v>201104</v>
      </c>
      <c r="G987" t="s">
        <v>11</v>
      </c>
      <c r="H987" t="str">
        <f t="shared" si="30"/>
        <v>NAVERlacasa527</v>
      </c>
      <c r="I987" t="str">
        <f>"lacasa527"</f>
        <v>lacasa527</v>
      </c>
      <c r="J987">
        <v>496130</v>
      </c>
      <c r="K987" s="1">
        <v>44866</v>
      </c>
      <c r="L987" t="s">
        <v>1051</v>
      </c>
      <c r="M987">
        <f t="shared" si="31"/>
        <v>496130</v>
      </c>
      <c r="N987" t="e">
        <f>VLOOKUP(H987,Sheet1!G:H,2,FALSE)</f>
        <v>#N/A</v>
      </c>
      <c r="R987" t="s">
        <v>2911</v>
      </c>
      <c r="S987">
        <v>257110</v>
      </c>
    </row>
    <row r="988" spans="1:19" x14ac:dyDescent="0.3">
      <c r="A988" t="s">
        <v>16</v>
      </c>
      <c r="B988">
        <f>VLOOKUP(A988,Sheet2!B:F,5,FALSE)</f>
        <v>927</v>
      </c>
      <c r="C988" t="s">
        <v>17</v>
      </c>
      <c r="D988">
        <f>VLOOKUP(C988,Sheet2!C:G,5,FALSE)</f>
        <v>1200</v>
      </c>
      <c r="E988" t="s">
        <v>96</v>
      </c>
      <c r="F988">
        <f>VLOOKUP(E988,Sheet2!D:E,2,FALSE)</f>
        <v>1271</v>
      </c>
      <c r="G988" t="s">
        <v>11</v>
      </c>
      <c r="H988" t="str">
        <f t="shared" si="30"/>
        <v>NAVERlacheln</v>
      </c>
      <c r="I988" t="str">
        <f>"lacheln"</f>
        <v>lacheln</v>
      </c>
      <c r="J988">
        <v>189470</v>
      </c>
      <c r="K988" s="1">
        <v>44866</v>
      </c>
      <c r="L988" t="s">
        <v>1052</v>
      </c>
      <c r="M988">
        <f t="shared" si="31"/>
        <v>190010</v>
      </c>
      <c r="N988" t="e">
        <f>VLOOKUP(H988,Sheet1!G:H,2,FALSE)</f>
        <v>#N/A</v>
      </c>
      <c r="R988" t="s">
        <v>2912</v>
      </c>
      <c r="S988">
        <v>192690</v>
      </c>
    </row>
    <row r="989" spans="1:19" x14ac:dyDescent="0.3">
      <c r="A989" t="s">
        <v>16</v>
      </c>
      <c r="B989">
        <f>VLOOKUP(A989,Sheet2!B:F,5,FALSE)</f>
        <v>927</v>
      </c>
      <c r="C989" t="s">
        <v>17</v>
      </c>
      <c r="D989">
        <f>VLOOKUP(C989,Sheet2!C:G,5,FALSE)</f>
        <v>1200</v>
      </c>
      <c r="E989" t="s">
        <v>93</v>
      </c>
      <c r="F989">
        <f>VLOOKUP(E989,Sheet2!D:E,2,FALSE)</f>
        <v>930</v>
      </c>
      <c r="G989" t="s">
        <v>11</v>
      </c>
      <c r="H989" t="str">
        <f t="shared" si="30"/>
        <v>NAVERlalaview1:naver</v>
      </c>
      <c r="I989" t="str">
        <f>"lalaview1:naver"</f>
        <v>lalaview1:naver</v>
      </c>
      <c r="J989">
        <v>5193590</v>
      </c>
      <c r="K989" s="1">
        <v>44866</v>
      </c>
      <c r="L989" t="s">
        <v>1053</v>
      </c>
      <c r="M989">
        <f t="shared" si="31"/>
        <v>5193590</v>
      </c>
      <c r="N989" t="e">
        <f>VLOOKUP(H989,Sheet1!G:H,2,FALSE)</f>
        <v>#N/A</v>
      </c>
      <c r="R989" t="s">
        <v>2913</v>
      </c>
      <c r="S989">
        <v>47830</v>
      </c>
    </row>
    <row r="990" spans="1:19" x14ac:dyDescent="0.3">
      <c r="A990" t="s">
        <v>8</v>
      </c>
      <c r="B990">
        <f>VLOOKUP(A990,Sheet2!B:F,5,FALSE)</f>
        <v>928</v>
      </c>
      <c r="C990" t="s">
        <v>9</v>
      </c>
      <c r="D990">
        <f>VLOOKUP(C990,Sheet2!C:G,5,FALSE)</f>
        <v>1202</v>
      </c>
      <c r="E990" t="s">
        <v>33</v>
      </c>
      <c r="F990">
        <f>VLOOKUP(E990,Sheet2!D:E,2,FALSE)</f>
        <v>933</v>
      </c>
      <c r="G990" t="s">
        <v>11</v>
      </c>
      <c r="H990" t="str">
        <f t="shared" si="30"/>
        <v>NAVERlane0801</v>
      </c>
      <c r="I990" t="str">
        <f>"lane0801"</f>
        <v>lane0801</v>
      </c>
      <c r="J990">
        <v>3362929</v>
      </c>
      <c r="K990" s="1">
        <v>44866</v>
      </c>
      <c r="L990" t="s">
        <v>1054</v>
      </c>
      <c r="M990">
        <f t="shared" si="31"/>
        <v>59620</v>
      </c>
      <c r="N990" t="e">
        <f>VLOOKUP(H990,Sheet1!G:H,2,FALSE)</f>
        <v>#N/A</v>
      </c>
      <c r="R990" t="s">
        <v>2914</v>
      </c>
      <c r="S990">
        <v>174430</v>
      </c>
    </row>
    <row r="991" spans="1:19" x14ac:dyDescent="0.3">
      <c r="A991" t="s">
        <v>16</v>
      </c>
      <c r="B991">
        <f>VLOOKUP(A991,Sheet2!B:F,5,FALSE)</f>
        <v>927</v>
      </c>
      <c r="C991" t="s">
        <v>17</v>
      </c>
      <c r="D991">
        <f>VLOOKUP(C991,Sheet2!C:G,5,FALSE)</f>
        <v>1200</v>
      </c>
      <c r="E991" t="s">
        <v>93</v>
      </c>
      <c r="F991">
        <f>VLOOKUP(E991,Sheet2!D:E,2,FALSE)</f>
        <v>930</v>
      </c>
      <c r="G991" t="s">
        <v>11</v>
      </c>
      <c r="H991" t="str">
        <f t="shared" si="30"/>
        <v>NAVERlatexkorea</v>
      </c>
      <c r="I991" t="str">
        <f>"latexkorea"</f>
        <v>latexkorea</v>
      </c>
      <c r="J991">
        <v>1121530</v>
      </c>
      <c r="K991" s="1">
        <v>44866</v>
      </c>
      <c r="L991" t="s">
        <v>1055</v>
      </c>
      <c r="M991">
        <f t="shared" si="31"/>
        <v>1123860</v>
      </c>
      <c r="N991" t="e">
        <f>VLOOKUP(H991,Sheet1!G:H,2,FALSE)</f>
        <v>#N/A</v>
      </c>
      <c r="R991" t="s">
        <v>2915</v>
      </c>
      <c r="S991">
        <v>309280</v>
      </c>
    </row>
    <row r="992" spans="1:19" x14ac:dyDescent="0.3">
      <c r="A992" t="s">
        <v>16</v>
      </c>
      <c r="B992">
        <f>VLOOKUP(A992,Sheet2!B:F,5,FALSE)</f>
        <v>927</v>
      </c>
      <c r="C992" t="s">
        <v>17</v>
      </c>
      <c r="D992">
        <f>VLOOKUP(C992,Sheet2!C:G,5,FALSE)</f>
        <v>1200</v>
      </c>
      <c r="E992" t="s">
        <v>96</v>
      </c>
      <c r="F992">
        <f>VLOOKUP(E992,Sheet2!D:E,2,FALSE)</f>
        <v>1271</v>
      </c>
      <c r="G992" t="s">
        <v>11</v>
      </c>
      <c r="H992" t="str">
        <f t="shared" si="30"/>
        <v>NAVERlauraclassy:naver</v>
      </c>
      <c r="I992" t="str">
        <f>"lauraclassy:naver"</f>
        <v>lauraclassy:naver</v>
      </c>
      <c r="J992">
        <v>374330</v>
      </c>
      <c r="K992" s="1">
        <v>44866</v>
      </c>
      <c r="L992" t="s">
        <v>1056</v>
      </c>
      <c r="M992" t="e">
        <f t="shared" si="31"/>
        <v>#N/A</v>
      </c>
      <c r="N992" t="e">
        <f>VLOOKUP(H992,Sheet1!G:H,2,FALSE)</f>
        <v>#N/A</v>
      </c>
      <c r="R992" t="s">
        <v>2916</v>
      </c>
      <c r="S992">
        <v>508070</v>
      </c>
    </row>
    <row r="993" spans="1:19" x14ac:dyDescent="0.3">
      <c r="A993" t="s">
        <v>8</v>
      </c>
      <c r="B993">
        <f>VLOOKUP(A993,Sheet2!B:F,5,FALSE)</f>
        <v>928</v>
      </c>
      <c r="C993" t="s">
        <v>9</v>
      </c>
      <c r="D993">
        <f>VLOOKUP(C993,Sheet2!C:G,5,FALSE)</f>
        <v>1202</v>
      </c>
      <c r="E993" t="s">
        <v>35</v>
      </c>
      <c r="F993">
        <f>VLOOKUP(E993,Sheet2!D:E,2,FALSE)</f>
        <v>51</v>
      </c>
      <c r="G993" t="s">
        <v>11</v>
      </c>
      <c r="H993" t="str">
        <f t="shared" si="30"/>
        <v>NAVERlawfirmdaejin:naver</v>
      </c>
      <c r="I993" t="str">
        <f>"lawfirmdaejin:naver"</f>
        <v>lawfirmdaejin:naver</v>
      </c>
      <c r="J993">
        <v>4744800</v>
      </c>
      <c r="K993" s="1">
        <v>44866</v>
      </c>
      <c r="L993" t="s">
        <v>407</v>
      </c>
      <c r="M993">
        <f t="shared" si="31"/>
        <v>4744800</v>
      </c>
      <c r="N993" t="e">
        <f>VLOOKUP(H993,Sheet1!G:H,2,FALSE)</f>
        <v>#N/A</v>
      </c>
      <c r="R993" t="s">
        <v>2917</v>
      </c>
      <c r="S993">
        <v>433690</v>
      </c>
    </row>
    <row r="994" spans="1:19" x14ac:dyDescent="0.3">
      <c r="A994" t="s">
        <v>8</v>
      </c>
      <c r="B994">
        <f>VLOOKUP(A994,Sheet2!B:F,5,FALSE)</f>
        <v>928</v>
      </c>
      <c r="C994" t="s">
        <v>9</v>
      </c>
      <c r="D994">
        <f>VLOOKUP(C994,Sheet2!C:G,5,FALSE)</f>
        <v>1202</v>
      </c>
      <c r="E994" t="s">
        <v>220</v>
      </c>
      <c r="F994">
        <f>VLOOKUP(E994,Sheet2!D:E,2,FALSE)</f>
        <v>1211</v>
      </c>
      <c r="G994" t="s">
        <v>11</v>
      </c>
      <c r="H994" t="str">
        <f t="shared" si="30"/>
        <v>NAVERlawnus</v>
      </c>
      <c r="I994" t="str">
        <f>"lawnus"</f>
        <v>lawnus</v>
      </c>
      <c r="J994">
        <v>19850290</v>
      </c>
      <c r="K994" s="1">
        <v>44866</v>
      </c>
      <c r="L994" t="s">
        <v>1057</v>
      </c>
      <c r="M994">
        <f t="shared" si="31"/>
        <v>19850290</v>
      </c>
      <c r="N994" t="e">
        <f>VLOOKUP(H994,Sheet1!G:H,2,FALSE)</f>
        <v>#N/A</v>
      </c>
      <c r="R994" t="s">
        <v>2918</v>
      </c>
      <c r="S994">
        <v>858410</v>
      </c>
    </row>
    <row r="995" spans="1:19" x14ac:dyDescent="0.3">
      <c r="A995" t="s">
        <v>8</v>
      </c>
      <c r="B995">
        <f>VLOOKUP(A995,Sheet2!B:F,5,FALSE)</f>
        <v>928</v>
      </c>
      <c r="C995" t="s">
        <v>9</v>
      </c>
      <c r="D995">
        <f>VLOOKUP(C995,Sheet2!C:G,5,FALSE)</f>
        <v>1202</v>
      </c>
      <c r="E995" t="s">
        <v>45</v>
      </c>
      <c r="F995">
        <f>VLOOKUP(E995,Sheet2!D:E,2,FALSE)</f>
        <v>26</v>
      </c>
      <c r="G995" t="s">
        <v>11</v>
      </c>
      <c r="H995" t="str">
        <f t="shared" si="30"/>
        <v>NAVERlbh6134</v>
      </c>
      <c r="I995" t="str">
        <f>"lbh6134"</f>
        <v>lbh6134</v>
      </c>
      <c r="J995">
        <v>26840</v>
      </c>
      <c r="K995" s="1">
        <v>44866</v>
      </c>
      <c r="L995" t="s">
        <v>1058</v>
      </c>
      <c r="M995">
        <f t="shared" si="31"/>
        <v>26840</v>
      </c>
      <c r="N995" t="e">
        <f>VLOOKUP(H995,Sheet1!G:H,2,FALSE)</f>
        <v>#N/A</v>
      </c>
      <c r="R995" t="s">
        <v>2919</v>
      </c>
      <c r="S995">
        <v>5340</v>
      </c>
    </row>
    <row r="996" spans="1:19" x14ac:dyDescent="0.3">
      <c r="A996" t="s">
        <v>41</v>
      </c>
      <c r="B996">
        <f>VLOOKUP(A996,Sheet2!B:F,5,FALSE)</f>
        <v>926</v>
      </c>
      <c r="C996" t="s">
        <v>56</v>
      </c>
      <c r="D996">
        <f>VLOOKUP(C996,Sheet2!C:G,5,FALSE)</f>
        <v>1207</v>
      </c>
      <c r="E996" t="s">
        <v>64</v>
      </c>
      <c r="F996">
        <f>VLOOKUP(E996,Sheet2!D:E,2,FALSE)</f>
        <v>201011</v>
      </c>
      <c r="G996" t="s">
        <v>11</v>
      </c>
      <c r="H996" t="str">
        <f t="shared" si="30"/>
        <v>NAVERlcs1478</v>
      </c>
      <c r="I996" t="str">
        <f>"lcs1478"</f>
        <v>lcs1478</v>
      </c>
      <c r="J996">
        <v>62840</v>
      </c>
      <c r="K996" s="1">
        <v>44866</v>
      </c>
      <c r="L996" t="s">
        <v>1059</v>
      </c>
      <c r="M996">
        <f t="shared" si="31"/>
        <v>62840</v>
      </c>
      <c r="N996" t="e">
        <f>VLOOKUP(H996,Sheet1!G:H,2,FALSE)</f>
        <v>#N/A</v>
      </c>
      <c r="R996" t="s">
        <v>2920</v>
      </c>
      <c r="S996">
        <v>299860</v>
      </c>
    </row>
    <row r="997" spans="1:19" x14ac:dyDescent="0.3">
      <c r="A997" t="s">
        <v>16</v>
      </c>
      <c r="B997">
        <f>VLOOKUP(A997,Sheet2!B:F,5,FALSE)</f>
        <v>927</v>
      </c>
      <c r="C997" t="s">
        <v>17</v>
      </c>
      <c r="D997">
        <f>VLOOKUP(C997,Sheet2!C:G,5,FALSE)</f>
        <v>1200</v>
      </c>
      <c r="E997" t="s">
        <v>446</v>
      </c>
      <c r="F997">
        <f>VLOOKUP(E997,Sheet2!D:E,2,FALSE)</f>
        <v>566</v>
      </c>
      <c r="G997" t="s">
        <v>11</v>
      </c>
      <c r="H997" t="str">
        <f t="shared" si="30"/>
        <v>NAVERldh930301:naver</v>
      </c>
      <c r="I997" t="str">
        <f>"ldh930301:naver"</f>
        <v>ldh930301:naver</v>
      </c>
      <c r="J997">
        <v>666550</v>
      </c>
      <c r="K997" s="1">
        <v>44866</v>
      </c>
      <c r="L997" t="s">
        <v>1060</v>
      </c>
      <c r="M997">
        <f t="shared" si="31"/>
        <v>666550</v>
      </c>
      <c r="N997" t="e">
        <f>VLOOKUP(H997,Sheet1!G:H,2,FALSE)</f>
        <v>#N/A</v>
      </c>
      <c r="R997" t="s">
        <v>2921</v>
      </c>
      <c r="S997">
        <v>439880</v>
      </c>
    </row>
    <row r="998" spans="1:19" x14ac:dyDescent="0.3">
      <c r="A998" t="s">
        <v>8</v>
      </c>
      <c r="B998">
        <f>VLOOKUP(A998,Sheet2!B:F,5,FALSE)</f>
        <v>928</v>
      </c>
      <c r="C998" t="s">
        <v>13</v>
      </c>
      <c r="D998">
        <f>VLOOKUP(C998,Sheet2!C:G,5,FALSE)</f>
        <v>1184</v>
      </c>
      <c r="E998" t="s">
        <v>14</v>
      </c>
      <c r="F998">
        <f>VLOOKUP(E998,Sheet2!D:E,2,FALSE)</f>
        <v>914</v>
      </c>
      <c r="G998" t="s">
        <v>11</v>
      </c>
      <c r="H998" t="str">
        <f t="shared" si="30"/>
        <v>NAVERleddis</v>
      </c>
      <c r="I998" t="str">
        <f>"leddis"</f>
        <v>leddis</v>
      </c>
      <c r="J998">
        <v>38150</v>
      </c>
      <c r="K998" s="1">
        <v>44866</v>
      </c>
      <c r="L998" t="s">
        <v>1061</v>
      </c>
      <c r="M998">
        <f t="shared" si="31"/>
        <v>38150</v>
      </c>
      <c r="N998" t="e">
        <f>VLOOKUP(H998,Sheet1!G:H,2,FALSE)</f>
        <v>#N/A</v>
      </c>
      <c r="R998" t="s">
        <v>2922</v>
      </c>
      <c r="S998">
        <v>913260</v>
      </c>
    </row>
    <row r="999" spans="1:19" x14ac:dyDescent="0.3">
      <c r="A999" t="s">
        <v>22</v>
      </c>
      <c r="B999">
        <f>VLOOKUP(A999,Sheet2!B:F,5,FALSE)</f>
        <v>809</v>
      </c>
      <c r="C999" t="s">
        <v>23</v>
      </c>
      <c r="D999">
        <f>VLOOKUP(C999,Sheet2!C:G,5,FALSE)</f>
        <v>810</v>
      </c>
      <c r="E999" t="s">
        <v>24</v>
      </c>
      <c r="F999">
        <f>VLOOKUP(E999,Sheet2!D:E,2,FALSE)</f>
        <v>201032</v>
      </c>
      <c r="G999" t="s">
        <v>11</v>
      </c>
      <c r="H999" t="str">
        <f t="shared" si="30"/>
        <v>NAVERlee2435559</v>
      </c>
      <c r="I999" t="str">
        <f>"lee2435559"</f>
        <v>lee2435559</v>
      </c>
      <c r="J999">
        <v>343270</v>
      </c>
      <c r="K999" s="1">
        <v>44866</v>
      </c>
      <c r="L999" t="s">
        <v>1062</v>
      </c>
      <c r="M999">
        <f t="shared" si="31"/>
        <v>343270</v>
      </c>
      <c r="N999" t="e">
        <f>VLOOKUP(H999,Sheet1!G:H,2,FALSE)</f>
        <v>#N/A</v>
      </c>
      <c r="R999" t="s">
        <v>2923</v>
      </c>
      <c r="S999">
        <v>10920</v>
      </c>
    </row>
    <row r="1000" spans="1:19" x14ac:dyDescent="0.3">
      <c r="A1000" t="s">
        <v>8</v>
      </c>
      <c r="B1000">
        <f>VLOOKUP(A1000,Sheet2!B:F,5,FALSE)</f>
        <v>928</v>
      </c>
      <c r="C1000" t="s">
        <v>9</v>
      </c>
      <c r="D1000">
        <f>VLOOKUP(C1000,Sheet2!C:G,5,FALSE)</f>
        <v>1202</v>
      </c>
      <c r="E1000" t="s">
        <v>39</v>
      </c>
      <c r="F1000">
        <f>VLOOKUP(E1000,Sheet2!D:E,2,FALSE)</f>
        <v>25</v>
      </c>
      <c r="G1000" t="s">
        <v>11</v>
      </c>
      <c r="H1000" t="str">
        <f t="shared" si="30"/>
        <v>NAVERleebboms</v>
      </c>
      <c r="I1000" t="str">
        <f>"leebboms"</f>
        <v>leebboms</v>
      </c>
      <c r="J1000">
        <v>90310</v>
      </c>
      <c r="K1000" s="1">
        <v>44866</v>
      </c>
      <c r="L1000" t="s">
        <v>1063</v>
      </c>
      <c r="M1000">
        <f t="shared" si="31"/>
        <v>90310</v>
      </c>
      <c r="N1000" t="e">
        <f>VLOOKUP(H1000,Sheet1!G:H,2,FALSE)</f>
        <v>#N/A</v>
      </c>
      <c r="R1000" t="s">
        <v>2924</v>
      </c>
      <c r="S1000">
        <v>0</v>
      </c>
    </row>
    <row r="1001" spans="1:19" x14ac:dyDescent="0.3">
      <c r="A1001" t="s">
        <v>8</v>
      </c>
      <c r="B1001">
        <f>VLOOKUP(A1001,Sheet2!B:F,5,FALSE)</f>
        <v>928</v>
      </c>
      <c r="C1001" t="s">
        <v>9</v>
      </c>
      <c r="D1001">
        <f>VLOOKUP(C1001,Sheet2!C:G,5,FALSE)</f>
        <v>1202</v>
      </c>
      <c r="E1001" t="s">
        <v>35</v>
      </c>
      <c r="F1001">
        <f>VLOOKUP(E1001,Sheet2!D:E,2,FALSE)</f>
        <v>51</v>
      </c>
      <c r="G1001" t="s">
        <v>11</v>
      </c>
      <c r="H1001" t="str">
        <f t="shared" si="30"/>
        <v>NAVERleebnbpop</v>
      </c>
      <c r="I1001" t="str">
        <f>"leebnbpop"</f>
        <v>leebnbpop</v>
      </c>
      <c r="J1001">
        <v>67110</v>
      </c>
      <c r="K1001" s="1">
        <v>44866</v>
      </c>
      <c r="L1001" t="s">
        <v>36</v>
      </c>
      <c r="M1001">
        <f t="shared" si="31"/>
        <v>67110</v>
      </c>
      <c r="N1001" t="e">
        <f>VLOOKUP(H1001,Sheet1!G:H,2,FALSE)</f>
        <v>#N/A</v>
      </c>
      <c r="R1001" t="s">
        <v>2925</v>
      </c>
      <c r="S1001">
        <v>210</v>
      </c>
    </row>
    <row r="1002" spans="1:19" x14ac:dyDescent="0.3">
      <c r="A1002" t="s">
        <v>8</v>
      </c>
      <c r="B1002">
        <f>VLOOKUP(A1002,Sheet2!B:F,5,FALSE)</f>
        <v>928</v>
      </c>
      <c r="C1002" t="s">
        <v>9</v>
      </c>
      <c r="D1002">
        <f>VLOOKUP(C1002,Sheet2!C:G,5,FALSE)</f>
        <v>1202</v>
      </c>
      <c r="E1002" t="s">
        <v>35</v>
      </c>
      <c r="F1002">
        <f>VLOOKUP(E1002,Sheet2!D:E,2,FALSE)</f>
        <v>51</v>
      </c>
      <c r="G1002" t="s">
        <v>11</v>
      </c>
      <c r="H1002" t="str">
        <f t="shared" si="30"/>
        <v>NAVERleebnbpop:naver</v>
      </c>
      <c r="I1002" t="str">
        <f>"leebnbpop:naver"</f>
        <v>leebnbpop:naver</v>
      </c>
      <c r="J1002">
        <v>183360</v>
      </c>
      <c r="K1002" s="1">
        <v>44866</v>
      </c>
      <c r="L1002" t="s">
        <v>1064</v>
      </c>
      <c r="M1002">
        <f t="shared" si="31"/>
        <v>183360</v>
      </c>
      <c r="N1002" t="e">
        <f>VLOOKUP(H1002,Sheet1!G:H,2,FALSE)</f>
        <v>#N/A</v>
      </c>
      <c r="R1002" t="s">
        <v>2926</v>
      </c>
      <c r="S1002">
        <v>151060</v>
      </c>
    </row>
    <row r="1003" spans="1:19" x14ac:dyDescent="0.3">
      <c r="A1003" t="s">
        <v>41</v>
      </c>
      <c r="B1003">
        <f>VLOOKUP(A1003,Sheet2!B:F,5,FALSE)</f>
        <v>926</v>
      </c>
      <c r="C1003" t="s">
        <v>42</v>
      </c>
      <c r="D1003">
        <f>VLOOKUP(C1003,Sheet2!C:G,5,FALSE)</f>
        <v>964</v>
      </c>
      <c r="E1003" t="s">
        <v>43</v>
      </c>
      <c r="F1003">
        <f>VLOOKUP(E1003,Sheet2!D:E,2,FALSE)</f>
        <v>200998</v>
      </c>
      <c r="G1003" t="s">
        <v>11</v>
      </c>
      <c r="H1003" t="str">
        <f t="shared" si="30"/>
        <v>NAVERleech0408</v>
      </c>
      <c r="I1003" t="str">
        <f>"leech0408"</f>
        <v>leech0408</v>
      </c>
      <c r="J1003">
        <v>130</v>
      </c>
      <c r="K1003" s="1">
        <v>44866</v>
      </c>
      <c r="L1003" t="s">
        <v>1065</v>
      </c>
      <c r="M1003">
        <f t="shared" si="31"/>
        <v>130</v>
      </c>
      <c r="N1003" t="e">
        <f>VLOOKUP(H1003,Sheet1!G:H,2,FALSE)</f>
        <v>#N/A</v>
      </c>
      <c r="R1003" t="s">
        <v>2927</v>
      </c>
      <c r="S1003">
        <v>14070</v>
      </c>
    </row>
    <row r="1004" spans="1:19" x14ac:dyDescent="0.3">
      <c r="A1004" t="s">
        <v>8</v>
      </c>
      <c r="B1004">
        <f>VLOOKUP(A1004,Sheet2!B:F,5,FALSE)</f>
        <v>928</v>
      </c>
      <c r="C1004" t="s">
        <v>9</v>
      </c>
      <c r="D1004">
        <f>VLOOKUP(C1004,Sheet2!C:G,5,FALSE)</f>
        <v>1202</v>
      </c>
      <c r="E1004" t="s">
        <v>73</v>
      </c>
      <c r="F1004">
        <f>VLOOKUP(E1004,Sheet2!D:E,2,FALSE)</f>
        <v>895</v>
      </c>
      <c r="G1004" t="s">
        <v>11</v>
      </c>
      <c r="H1004" t="str">
        <f t="shared" si="30"/>
        <v>NAVERleehobum85</v>
      </c>
      <c r="I1004" t="str">
        <f>"leehobum85"</f>
        <v>leehobum85</v>
      </c>
      <c r="J1004">
        <v>4361840</v>
      </c>
      <c r="K1004" s="1">
        <v>44866</v>
      </c>
      <c r="L1004" t="s">
        <v>1066</v>
      </c>
      <c r="M1004">
        <f t="shared" si="31"/>
        <v>4361840</v>
      </c>
      <c r="N1004" t="e">
        <f>VLOOKUP(H1004,Sheet1!G:H,2,FALSE)</f>
        <v>#N/A</v>
      </c>
      <c r="R1004" t="s">
        <v>2928</v>
      </c>
      <c r="S1004">
        <v>13960</v>
      </c>
    </row>
    <row r="1005" spans="1:19" x14ac:dyDescent="0.3">
      <c r="A1005" t="s">
        <v>8</v>
      </c>
      <c r="B1005">
        <f>VLOOKUP(A1005,Sheet2!B:F,5,FALSE)</f>
        <v>928</v>
      </c>
      <c r="C1005" t="s">
        <v>13</v>
      </c>
      <c r="D1005">
        <f>VLOOKUP(C1005,Sheet2!C:G,5,FALSE)</f>
        <v>1184</v>
      </c>
      <c r="E1005" t="s">
        <v>102</v>
      </c>
      <c r="F1005">
        <f>VLOOKUP(E1005,Sheet2!D:E,2,FALSE)</f>
        <v>917</v>
      </c>
      <c r="G1005" t="s">
        <v>11</v>
      </c>
      <c r="H1005" t="str">
        <f t="shared" si="30"/>
        <v>NAVERleeja486rr</v>
      </c>
      <c r="I1005" t="str">
        <f>"leeja486rr"</f>
        <v>leeja486rr</v>
      </c>
      <c r="J1005">
        <v>426320</v>
      </c>
      <c r="K1005" s="1">
        <v>44866</v>
      </c>
      <c r="L1005" t="s">
        <v>1067</v>
      </c>
      <c r="M1005">
        <f t="shared" si="31"/>
        <v>426320</v>
      </c>
      <c r="N1005" t="e">
        <f>VLOOKUP(H1005,Sheet1!G:H,2,FALSE)</f>
        <v>#N/A</v>
      </c>
      <c r="R1005" t="s">
        <v>2929</v>
      </c>
      <c r="S1005">
        <v>48640</v>
      </c>
    </row>
    <row r="1006" spans="1:19" x14ac:dyDescent="0.3">
      <c r="A1006" t="s">
        <v>8</v>
      </c>
      <c r="B1006">
        <f>VLOOKUP(A1006,Sheet2!B:F,5,FALSE)</f>
        <v>928</v>
      </c>
      <c r="C1006" t="s">
        <v>9</v>
      </c>
      <c r="D1006">
        <f>VLOOKUP(C1006,Sheet2!C:G,5,FALSE)</f>
        <v>1202</v>
      </c>
      <c r="E1006" t="s">
        <v>75</v>
      </c>
      <c r="F1006">
        <f>VLOOKUP(E1006,Sheet2!D:E,2,FALSE)</f>
        <v>50</v>
      </c>
      <c r="G1006" t="s">
        <v>11</v>
      </c>
      <c r="H1006" t="str">
        <f t="shared" si="30"/>
        <v>NAVERleejs9210</v>
      </c>
      <c r="I1006" t="str">
        <f>"leejs9210"</f>
        <v>leejs9210</v>
      </c>
      <c r="J1006">
        <v>374480</v>
      </c>
      <c r="K1006" s="1">
        <v>44866</v>
      </c>
      <c r="L1006" t="s">
        <v>1068</v>
      </c>
      <c r="M1006">
        <f t="shared" si="31"/>
        <v>287880</v>
      </c>
      <c r="N1006" t="e">
        <f>VLOOKUP(H1006,Sheet1!G:H,2,FALSE)</f>
        <v>#N/A</v>
      </c>
      <c r="R1006" t="s">
        <v>2930</v>
      </c>
      <c r="S1006">
        <v>137130</v>
      </c>
    </row>
    <row r="1007" spans="1:19" x14ac:dyDescent="0.3">
      <c r="A1007" t="s">
        <v>8</v>
      </c>
      <c r="B1007">
        <f>VLOOKUP(A1007,Sheet2!B:F,5,FALSE)</f>
        <v>928</v>
      </c>
      <c r="C1007" t="s">
        <v>13</v>
      </c>
      <c r="D1007">
        <f>VLOOKUP(C1007,Sheet2!C:G,5,FALSE)</f>
        <v>1184</v>
      </c>
      <c r="E1007" t="s">
        <v>51</v>
      </c>
      <c r="F1007">
        <f>VLOOKUP(E1007,Sheet2!D:E,2,FALSE)</f>
        <v>1274</v>
      </c>
      <c r="G1007" t="s">
        <v>11</v>
      </c>
      <c r="H1007" t="str">
        <f t="shared" si="30"/>
        <v>NAVERleesangjun68</v>
      </c>
      <c r="I1007" t="str">
        <f>"leesangjun68"</f>
        <v>leesangjun68</v>
      </c>
      <c r="J1007">
        <v>88870</v>
      </c>
      <c r="K1007" s="1">
        <v>44866</v>
      </c>
      <c r="L1007" t="s">
        <v>1069</v>
      </c>
      <c r="M1007">
        <f t="shared" si="31"/>
        <v>88870</v>
      </c>
      <c r="N1007" t="e">
        <f>VLOOKUP(H1007,Sheet1!G:H,2,FALSE)</f>
        <v>#N/A</v>
      </c>
      <c r="R1007" t="s">
        <v>2931</v>
      </c>
      <c r="S1007">
        <v>213270</v>
      </c>
    </row>
    <row r="1008" spans="1:19" x14ac:dyDescent="0.3">
      <c r="A1008" t="s">
        <v>41</v>
      </c>
      <c r="B1008">
        <f>VLOOKUP(A1008,Sheet2!B:F,5,FALSE)</f>
        <v>926</v>
      </c>
      <c r="C1008" t="s">
        <v>56</v>
      </c>
      <c r="D1008">
        <f>VLOOKUP(C1008,Sheet2!C:G,5,FALSE)</f>
        <v>1207</v>
      </c>
      <c r="E1008" t="s">
        <v>57</v>
      </c>
      <c r="F1008">
        <f>VLOOKUP(E1008,Sheet2!D:E,2,FALSE)</f>
        <v>200982</v>
      </c>
      <c r="G1008" t="s">
        <v>11</v>
      </c>
      <c r="H1008" t="str">
        <f t="shared" si="30"/>
        <v>NAVERleesbong3669</v>
      </c>
      <c r="I1008" t="str">
        <f>"leesbong3669"</f>
        <v>leesbong3669</v>
      </c>
      <c r="J1008">
        <v>104320</v>
      </c>
      <c r="K1008" s="1">
        <v>44866</v>
      </c>
      <c r="L1008" t="s">
        <v>1070</v>
      </c>
      <c r="M1008">
        <f t="shared" si="31"/>
        <v>104320</v>
      </c>
      <c r="N1008" t="e">
        <f>VLOOKUP(H1008,Sheet1!G:H,2,FALSE)</f>
        <v>#N/A</v>
      </c>
      <c r="R1008" t="s">
        <v>2932</v>
      </c>
      <c r="S1008">
        <v>6236870</v>
      </c>
    </row>
    <row r="1009" spans="1:19" x14ac:dyDescent="0.3">
      <c r="A1009" t="s">
        <v>41</v>
      </c>
      <c r="B1009">
        <f>VLOOKUP(A1009,Sheet2!B:F,5,FALSE)</f>
        <v>926</v>
      </c>
      <c r="C1009" t="s">
        <v>56</v>
      </c>
      <c r="D1009">
        <f>VLOOKUP(C1009,Sheet2!C:G,5,FALSE)</f>
        <v>1207</v>
      </c>
      <c r="E1009" t="s">
        <v>57</v>
      </c>
      <c r="F1009">
        <f>VLOOKUP(E1009,Sheet2!D:E,2,FALSE)</f>
        <v>200982</v>
      </c>
      <c r="G1009" t="s">
        <v>11</v>
      </c>
      <c r="H1009" t="str">
        <f t="shared" si="30"/>
        <v>NAVERleesibong65</v>
      </c>
      <c r="I1009" t="str">
        <f>"leesibong65"</f>
        <v>leesibong65</v>
      </c>
      <c r="J1009">
        <v>203830</v>
      </c>
      <c r="K1009" s="1">
        <v>44866</v>
      </c>
      <c r="L1009" t="s">
        <v>1070</v>
      </c>
      <c r="M1009">
        <f t="shared" si="31"/>
        <v>203830</v>
      </c>
      <c r="N1009" t="e">
        <f>VLOOKUP(H1009,Sheet1!G:H,2,FALSE)</f>
        <v>#N/A</v>
      </c>
      <c r="R1009" t="s">
        <v>2933</v>
      </c>
      <c r="S1009">
        <v>24960</v>
      </c>
    </row>
    <row r="1010" spans="1:19" x14ac:dyDescent="0.3">
      <c r="A1010" t="s">
        <v>8</v>
      </c>
      <c r="B1010">
        <f>VLOOKUP(A1010,Sheet2!B:F,5,FALSE)</f>
        <v>928</v>
      </c>
      <c r="C1010" t="s">
        <v>9</v>
      </c>
      <c r="D1010">
        <f>VLOOKUP(C1010,Sheet2!C:G,5,FALSE)</f>
        <v>1202</v>
      </c>
      <c r="E1010" t="s">
        <v>10</v>
      </c>
      <c r="F1010">
        <f>VLOOKUP(E1010,Sheet2!D:E,2,FALSE)</f>
        <v>939</v>
      </c>
      <c r="G1010" t="s">
        <v>11</v>
      </c>
      <c r="H1010" t="str">
        <f t="shared" si="30"/>
        <v>NAVERleesubok75</v>
      </c>
      <c r="I1010" t="str">
        <f>"leesubok75"</f>
        <v>leesubok75</v>
      </c>
      <c r="J1010">
        <v>122860</v>
      </c>
      <c r="K1010" s="1">
        <v>44866</v>
      </c>
      <c r="L1010" t="s">
        <v>1071</v>
      </c>
      <c r="M1010">
        <f t="shared" si="31"/>
        <v>122860</v>
      </c>
      <c r="N1010" t="e">
        <f>VLOOKUP(H1010,Sheet1!G:H,2,FALSE)</f>
        <v>#N/A</v>
      </c>
      <c r="R1010" t="s">
        <v>2934</v>
      </c>
      <c r="S1010">
        <v>72540</v>
      </c>
    </row>
    <row r="1011" spans="1:19" x14ac:dyDescent="0.3">
      <c r="A1011" t="s">
        <v>8</v>
      </c>
      <c r="B1011">
        <f>VLOOKUP(A1011,Sheet2!B:F,5,FALSE)</f>
        <v>928</v>
      </c>
      <c r="C1011" t="s">
        <v>13</v>
      </c>
      <c r="D1011">
        <f>VLOOKUP(C1011,Sheet2!C:G,5,FALSE)</f>
        <v>1184</v>
      </c>
      <c r="E1011" t="s">
        <v>14</v>
      </c>
      <c r="F1011">
        <f>VLOOKUP(E1011,Sheet2!D:E,2,FALSE)</f>
        <v>914</v>
      </c>
      <c r="G1011" t="s">
        <v>11</v>
      </c>
      <c r="H1011" t="str">
        <f t="shared" si="30"/>
        <v>NAVERleipang24</v>
      </c>
      <c r="I1011" t="str">
        <f>"leipang24"</f>
        <v>leipang24</v>
      </c>
      <c r="J1011">
        <v>1888040</v>
      </c>
      <c r="K1011" s="1">
        <v>44866</v>
      </c>
      <c r="L1011" t="s">
        <v>323</v>
      </c>
      <c r="M1011">
        <f t="shared" si="31"/>
        <v>1888040</v>
      </c>
      <c r="N1011" t="e">
        <f>VLOOKUP(H1011,Sheet1!G:H,2,FALSE)</f>
        <v>#N/A</v>
      </c>
      <c r="R1011" t="s">
        <v>2935</v>
      </c>
      <c r="S1011">
        <v>2121080</v>
      </c>
    </row>
    <row r="1012" spans="1:19" x14ac:dyDescent="0.3">
      <c r="A1012" t="s">
        <v>16</v>
      </c>
      <c r="B1012">
        <f>VLOOKUP(A1012,Sheet2!B:F,5,FALSE)</f>
        <v>927</v>
      </c>
      <c r="C1012" t="s">
        <v>17</v>
      </c>
      <c r="D1012">
        <f>VLOOKUP(C1012,Sheet2!C:G,5,FALSE)</f>
        <v>1200</v>
      </c>
      <c r="E1012" t="s">
        <v>137</v>
      </c>
      <c r="F1012">
        <f>VLOOKUP(E1012,Sheet2!D:E,2,FALSE)</f>
        <v>1012</v>
      </c>
      <c r="G1012" t="s">
        <v>11</v>
      </c>
      <c r="H1012" t="str">
        <f t="shared" si="30"/>
        <v>NAVERlelab_official:naver</v>
      </c>
      <c r="I1012" t="str">
        <f>"lelab_official:naver"</f>
        <v>lelab_official:naver</v>
      </c>
      <c r="J1012">
        <v>985960</v>
      </c>
      <c r="K1012" s="1">
        <v>44866</v>
      </c>
      <c r="L1012" t="s">
        <v>1072</v>
      </c>
      <c r="M1012">
        <f t="shared" si="31"/>
        <v>993980</v>
      </c>
      <c r="N1012" t="e">
        <f>VLOOKUP(H1012,Sheet1!G:H,2,FALSE)</f>
        <v>#N/A</v>
      </c>
      <c r="R1012" t="s">
        <v>2936</v>
      </c>
      <c r="S1012">
        <v>24490</v>
      </c>
    </row>
    <row r="1013" spans="1:19" x14ac:dyDescent="0.3">
      <c r="A1013" t="s">
        <v>41</v>
      </c>
      <c r="B1013">
        <f>VLOOKUP(A1013,Sheet2!B:F,5,FALSE)</f>
        <v>926</v>
      </c>
      <c r="C1013" t="s">
        <v>56</v>
      </c>
      <c r="D1013">
        <f>VLOOKUP(C1013,Sheet2!C:G,5,FALSE)</f>
        <v>1207</v>
      </c>
      <c r="E1013" t="s">
        <v>64</v>
      </c>
      <c r="F1013">
        <f>VLOOKUP(E1013,Sheet2!D:E,2,FALSE)</f>
        <v>201011</v>
      </c>
      <c r="G1013" t="s">
        <v>11</v>
      </c>
      <c r="H1013" t="str">
        <f t="shared" si="30"/>
        <v>NAVERleoholdings:naver</v>
      </c>
      <c r="I1013" t="str">
        <f>"leoholdings:naver"</f>
        <v>leoholdings:naver</v>
      </c>
      <c r="J1013">
        <v>2059313</v>
      </c>
      <c r="K1013" s="1">
        <v>44866</v>
      </c>
      <c r="L1013" t="s">
        <v>1073</v>
      </c>
      <c r="M1013">
        <f t="shared" si="31"/>
        <v>939340</v>
      </c>
      <c r="N1013" t="e">
        <f>VLOOKUP(H1013,Sheet1!G:H,2,FALSE)</f>
        <v>#N/A</v>
      </c>
      <c r="R1013" t="s">
        <v>2937</v>
      </c>
      <c r="S1013">
        <v>471210</v>
      </c>
    </row>
    <row r="1014" spans="1:19" x14ac:dyDescent="0.3">
      <c r="A1014" t="s">
        <v>8</v>
      </c>
      <c r="B1014">
        <f>VLOOKUP(A1014,Sheet2!B:F,5,FALSE)</f>
        <v>928</v>
      </c>
      <c r="C1014" t="s">
        <v>9</v>
      </c>
      <c r="D1014">
        <f>VLOOKUP(C1014,Sheet2!C:G,5,FALSE)</f>
        <v>1202</v>
      </c>
      <c r="E1014" t="s">
        <v>47</v>
      </c>
      <c r="F1014">
        <f>VLOOKUP(E1014,Sheet2!D:E,2,FALSE)</f>
        <v>898</v>
      </c>
      <c r="G1014" t="s">
        <v>11</v>
      </c>
      <c r="H1014" t="str">
        <f t="shared" si="30"/>
        <v>NAVERleroiq12</v>
      </c>
      <c r="I1014" t="str">
        <f>"leroiq12"</f>
        <v>leroiq12</v>
      </c>
      <c r="J1014">
        <v>199540</v>
      </c>
      <c r="K1014" s="1">
        <v>44866</v>
      </c>
      <c r="L1014" t="s">
        <v>1074</v>
      </c>
      <c r="M1014">
        <f t="shared" si="31"/>
        <v>199540</v>
      </c>
      <c r="N1014" t="e">
        <f>VLOOKUP(H1014,Sheet1!G:H,2,FALSE)</f>
        <v>#N/A</v>
      </c>
      <c r="R1014" t="s">
        <v>2938</v>
      </c>
      <c r="S1014">
        <v>1813970</v>
      </c>
    </row>
    <row r="1015" spans="1:19" x14ac:dyDescent="0.3">
      <c r="A1015" t="s">
        <v>8</v>
      </c>
      <c r="B1015">
        <f>VLOOKUP(A1015,Sheet2!B:F,5,FALSE)</f>
        <v>928</v>
      </c>
      <c r="C1015" t="s">
        <v>83</v>
      </c>
      <c r="D1015">
        <f>VLOOKUP(C1015,Sheet2!C:G,5,FALSE)</f>
        <v>960</v>
      </c>
      <c r="E1015" t="s">
        <v>84</v>
      </c>
      <c r="F1015">
        <f>VLOOKUP(E1015,Sheet2!D:E,2,FALSE)</f>
        <v>1632</v>
      </c>
      <c r="G1015" t="s">
        <v>11</v>
      </c>
      <c r="H1015" t="str">
        <f t="shared" si="30"/>
        <v>NAVERletalk_official:naver</v>
      </c>
      <c r="I1015" t="str">
        <f>"letalk_official:naver"</f>
        <v>letalk_official:naver</v>
      </c>
      <c r="J1015">
        <v>3130</v>
      </c>
      <c r="K1015" s="1">
        <v>44866</v>
      </c>
      <c r="L1015" t="s">
        <v>1075</v>
      </c>
      <c r="M1015">
        <f t="shared" si="31"/>
        <v>3130</v>
      </c>
      <c r="N1015" t="e">
        <f>VLOOKUP(H1015,Sheet1!G:H,2,FALSE)</f>
        <v>#N/A</v>
      </c>
      <c r="R1015" t="s">
        <v>2939</v>
      </c>
      <c r="S1015">
        <v>101620</v>
      </c>
    </row>
    <row r="1016" spans="1:19" x14ac:dyDescent="0.3">
      <c r="A1016" t="s">
        <v>16</v>
      </c>
      <c r="B1016">
        <f>VLOOKUP(A1016,Sheet2!B:F,5,FALSE)</f>
        <v>927</v>
      </c>
      <c r="C1016" t="s">
        <v>17</v>
      </c>
      <c r="D1016">
        <f>VLOOKUP(C1016,Sheet2!C:G,5,FALSE)</f>
        <v>1200</v>
      </c>
      <c r="E1016" t="s">
        <v>100</v>
      </c>
      <c r="F1016">
        <f>VLOOKUP(E1016,Sheet2!D:E,2,FALSE)</f>
        <v>201038</v>
      </c>
      <c r="G1016" t="s">
        <v>11</v>
      </c>
      <c r="H1016" t="str">
        <f t="shared" si="30"/>
        <v>NAVERlethogy</v>
      </c>
      <c r="I1016" t="str">
        <f>"lethogy"</f>
        <v>lethogy</v>
      </c>
      <c r="J1016">
        <v>90640</v>
      </c>
      <c r="K1016" s="1">
        <v>44866</v>
      </c>
      <c r="L1016" t="s">
        <v>1076</v>
      </c>
      <c r="M1016">
        <f t="shared" si="31"/>
        <v>90640</v>
      </c>
      <c r="N1016" t="e">
        <f>VLOOKUP(H1016,Sheet1!G:H,2,FALSE)</f>
        <v>#N/A</v>
      </c>
      <c r="R1016" t="s">
        <v>2940</v>
      </c>
      <c r="S1016">
        <v>2030030</v>
      </c>
    </row>
    <row r="1017" spans="1:19" x14ac:dyDescent="0.3">
      <c r="A1017" t="s">
        <v>8</v>
      </c>
      <c r="B1017">
        <f>VLOOKUP(A1017,Sheet2!B:F,5,FALSE)</f>
        <v>928</v>
      </c>
      <c r="C1017" t="s">
        <v>13</v>
      </c>
      <c r="D1017">
        <f>VLOOKUP(C1017,Sheet2!C:G,5,FALSE)</f>
        <v>1184</v>
      </c>
      <c r="E1017" t="s">
        <v>102</v>
      </c>
      <c r="F1017">
        <f>VLOOKUP(E1017,Sheet2!D:E,2,FALSE)</f>
        <v>917</v>
      </c>
      <c r="G1017" t="s">
        <v>11</v>
      </c>
      <c r="H1017" t="str">
        <f t="shared" si="30"/>
        <v>NAVERlgtotalid:naver</v>
      </c>
      <c r="I1017" t="str">
        <f>"lgtotalid:naver"</f>
        <v>lgtotalid:naver</v>
      </c>
      <c r="J1017">
        <v>25090</v>
      </c>
      <c r="K1017" s="1">
        <v>44866</v>
      </c>
      <c r="L1017" t="s">
        <v>1077</v>
      </c>
      <c r="M1017">
        <f t="shared" si="31"/>
        <v>25090</v>
      </c>
      <c r="N1017" t="e">
        <f>VLOOKUP(H1017,Sheet1!G:H,2,FALSE)</f>
        <v>#N/A</v>
      </c>
      <c r="R1017" t="s">
        <v>2941</v>
      </c>
      <c r="S1017">
        <v>593820</v>
      </c>
    </row>
    <row r="1018" spans="1:19" x14ac:dyDescent="0.3">
      <c r="A1018" t="s">
        <v>8</v>
      </c>
      <c r="B1018">
        <f>VLOOKUP(A1018,Sheet2!B:F,5,FALSE)</f>
        <v>928</v>
      </c>
      <c r="C1018" t="s">
        <v>13</v>
      </c>
      <c r="D1018">
        <f>VLOOKUP(C1018,Sheet2!C:G,5,FALSE)</f>
        <v>1184</v>
      </c>
      <c r="E1018" t="s">
        <v>335</v>
      </c>
      <c r="F1018">
        <f>VLOOKUP(E1018,Sheet2!D:E,2,FALSE)</f>
        <v>201090</v>
      </c>
      <c r="G1018" t="s">
        <v>11</v>
      </c>
      <c r="H1018" t="str">
        <f t="shared" si="30"/>
        <v>NAVERlgxnote</v>
      </c>
      <c r="I1018" t="str">
        <f>"lgxnote"</f>
        <v>lgxnote</v>
      </c>
      <c r="J1018">
        <v>2778470</v>
      </c>
      <c r="K1018" s="1">
        <v>44866</v>
      </c>
      <c r="L1018" t="s">
        <v>1078</v>
      </c>
      <c r="M1018">
        <f t="shared" si="31"/>
        <v>2778470</v>
      </c>
      <c r="N1018" t="e">
        <f>VLOOKUP(H1018,Sheet1!G:H,2,FALSE)</f>
        <v>#N/A</v>
      </c>
      <c r="R1018" t="s">
        <v>2942</v>
      </c>
      <c r="S1018">
        <v>8020</v>
      </c>
    </row>
    <row r="1019" spans="1:19" x14ac:dyDescent="0.3">
      <c r="A1019" t="s">
        <v>8</v>
      </c>
      <c r="B1019">
        <f>VLOOKUP(A1019,Sheet2!B:F,5,FALSE)</f>
        <v>928</v>
      </c>
      <c r="C1019" t="s">
        <v>13</v>
      </c>
      <c r="D1019">
        <f>VLOOKUP(C1019,Sheet2!C:G,5,FALSE)</f>
        <v>1184</v>
      </c>
      <c r="E1019" t="s">
        <v>51</v>
      </c>
      <c r="F1019">
        <f>VLOOKUP(E1019,Sheet2!D:E,2,FALSE)</f>
        <v>1274</v>
      </c>
      <c r="G1019" t="s">
        <v>11</v>
      </c>
      <c r="H1019" t="str">
        <f t="shared" si="30"/>
        <v>NAVERlhc1105:naver</v>
      </c>
      <c r="I1019" t="str">
        <f>"lhc1105:naver"</f>
        <v>lhc1105:naver</v>
      </c>
      <c r="J1019">
        <v>62413</v>
      </c>
      <c r="K1019" s="1">
        <v>44866</v>
      </c>
      <c r="L1019" t="s">
        <v>1079</v>
      </c>
      <c r="M1019">
        <f t="shared" si="31"/>
        <v>62424</v>
      </c>
      <c r="N1019" t="e">
        <f>VLOOKUP(H1019,Sheet1!G:H,2,FALSE)</f>
        <v>#N/A</v>
      </c>
      <c r="R1019" t="s">
        <v>2943</v>
      </c>
      <c r="S1019">
        <v>82110</v>
      </c>
    </row>
    <row r="1020" spans="1:19" x14ac:dyDescent="0.3">
      <c r="A1020" t="s">
        <v>8</v>
      </c>
      <c r="B1020">
        <f>VLOOKUP(A1020,Sheet2!B:F,5,FALSE)</f>
        <v>928</v>
      </c>
      <c r="C1020" t="s">
        <v>13</v>
      </c>
      <c r="D1020">
        <f>VLOOKUP(C1020,Sheet2!C:G,5,FALSE)</f>
        <v>1184</v>
      </c>
      <c r="E1020" t="s">
        <v>51</v>
      </c>
      <c r="F1020">
        <f>VLOOKUP(E1020,Sheet2!D:E,2,FALSE)</f>
        <v>1274</v>
      </c>
      <c r="G1020" t="s">
        <v>11</v>
      </c>
      <c r="H1020" t="str">
        <f t="shared" si="30"/>
        <v>NAVERlhs15</v>
      </c>
      <c r="I1020" t="str">
        <f>"lhs15"</f>
        <v>lhs15</v>
      </c>
      <c r="J1020">
        <v>241160</v>
      </c>
      <c r="K1020" s="1">
        <v>44866</v>
      </c>
      <c r="L1020" t="s">
        <v>1080</v>
      </c>
      <c r="M1020">
        <f t="shared" si="31"/>
        <v>241160</v>
      </c>
      <c r="N1020" t="e">
        <f>VLOOKUP(H1020,Sheet1!G:H,2,FALSE)</f>
        <v>#N/A</v>
      </c>
      <c r="R1020" t="s">
        <v>2944</v>
      </c>
      <c r="S1020">
        <v>210830</v>
      </c>
    </row>
    <row r="1021" spans="1:19" x14ac:dyDescent="0.3">
      <c r="A1021" t="s">
        <v>41</v>
      </c>
      <c r="B1021">
        <f>VLOOKUP(A1021,Sheet2!B:F,5,FALSE)</f>
        <v>926</v>
      </c>
      <c r="C1021" t="s">
        <v>56</v>
      </c>
      <c r="D1021">
        <f>VLOOKUP(C1021,Sheet2!C:G,5,FALSE)</f>
        <v>1207</v>
      </c>
      <c r="E1021" t="s">
        <v>62</v>
      </c>
      <c r="F1021">
        <f>VLOOKUP(E1021,Sheet2!D:E,2,FALSE)</f>
        <v>201037</v>
      </c>
      <c r="G1021" t="s">
        <v>11</v>
      </c>
      <c r="H1021" t="str">
        <f t="shared" si="30"/>
        <v>NAVERlianbeankn</v>
      </c>
      <c r="I1021" t="str">
        <f>"lianbeankn"</f>
        <v>lianbeankn</v>
      </c>
      <c r="J1021">
        <v>257290</v>
      </c>
      <c r="K1021" s="1">
        <v>44866</v>
      </c>
      <c r="L1021" t="s">
        <v>1081</v>
      </c>
      <c r="M1021">
        <f t="shared" si="31"/>
        <v>257290</v>
      </c>
      <c r="N1021" t="e">
        <f>VLOOKUP(H1021,Sheet1!G:H,2,FALSE)</f>
        <v>#N/A</v>
      </c>
      <c r="R1021" t="s">
        <v>2945</v>
      </c>
      <c r="S1021">
        <v>25730</v>
      </c>
    </row>
    <row r="1022" spans="1:19" x14ac:dyDescent="0.3">
      <c r="A1022" t="s">
        <v>8</v>
      </c>
      <c r="B1022">
        <f>VLOOKUP(A1022,Sheet2!B:F,5,FALSE)</f>
        <v>928</v>
      </c>
      <c r="C1022" t="s">
        <v>9</v>
      </c>
      <c r="D1022">
        <f>VLOOKUP(C1022,Sheet2!C:G,5,FALSE)</f>
        <v>1202</v>
      </c>
      <c r="E1022" t="s">
        <v>27</v>
      </c>
      <c r="F1022">
        <f>VLOOKUP(E1022,Sheet2!D:E,2,FALSE)</f>
        <v>806</v>
      </c>
      <c r="G1022" t="s">
        <v>11</v>
      </c>
      <c r="H1022" t="str">
        <f t="shared" si="30"/>
        <v>NAVERlim1718</v>
      </c>
      <c r="I1022" t="str">
        <f>"lim1718"</f>
        <v>lim1718</v>
      </c>
      <c r="J1022">
        <v>1580</v>
      </c>
      <c r="K1022" s="1">
        <v>44866</v>
      </c>
      <c r="L1022" t="s">
        <v>1082</v>
      </c>
      <c r="M1022">
        <f t="shared" si="31"/>
        <v>1580</v>
      </c>
      <c r="N1022" t="e">
        <f>VLOOKUP(H1022,Sheet1!G:H,2,FALSE)</f>
        <v>#N/A</v>
      </c>
      <c r="R1022" t="s">
        <v>2946</v>
      </c>
      <c r="S1022">
        <v>72150</v>
      </c>
    </row>
    <row r="1023" spans="1:19" x14ac:dyDescent="0.3">
      <c r="A1023" t="s">
        <v>8</v>
      </c>
      <c r="B1023">
        <f>VLOOKUP(A1023,Sheet2!B:F,5,FALSE)</f>
        <v>928</v>
      </c>
      <c r="C1023" t="s">
        <v>9</v>
      </c>
      <c r="D1023">
        <f>VLOOKUP(C1023,Sheet2!C:G,5,FALSE)</f>
        <v>1202</v>
      </c>
      <c r="E1023" t="s">
        <v>45</v>
      </c>
      <c r="F1023">
        <f>VLOOKUP(E1023,Sheet2!D:E,2,FALSE)</f>
        <v>26</v>
      </c>
      <c r="G1023" t="s">
        <v>11</v>
      </c>
      <c r="H1023" t="str">
        <f t="shared" si="30"/>
        <v>NAVERlim51366</v>
      </c>
      <c r="I1023" t="str">
        <f>"lim51366"</f>
        <v>lim51366</v>
      </c>
      <c r="J1023">
        <v>442674610</v>
      </c>
      <c r="K1023" s="1">
        <v>44866</v>
      </c>
      <c r="L1023" t="s">
        <v>1083</v>
      </c>
      <c r="M1023">
        <f t="shared" si="31"/>
        <v>304284950</v>
      </c>
      <c r="N1023" t="str">
        <f>VLOOKUP(H1023,Sheet1!G:H,2,FALSE)</f>
        <v>담당 마케터 외 보안 문제로 데이터 노출 꺼려함.</v>
      </c>
      <c r="R1023" t="s">
        <v>2947</v>
      </c>
      <c r="S1023">
        <v>70</v>
      </c>
    </row>
    <row r="1024" spans="1:19" x14ac:dyDescent="0.3">
      <c r="A1024" t="s">
        <v>8</v>
      </c>
      <c r="B1024">
        <f>VLOOKUP(A1024,Sheet2!B:F,5,FALSE)</f>
        <v>928</v>
      </c>
      <c r="C1024" t="s">
        <v>9</v>
      </c>
      <c r="D1024">
        <f>VLOOKUP(C1024,Sheet2!C:G,5,FALSE)</f>
        <v>1202</v>
      </c>
      <c r="E1024" t="s">
        <v>45</v>
      </c>
      <c r="F1024">
        <f>VLOOKUP(E1024,Sheet2!D:E,2,FALSE)</f>
        <v>26</v>
      </c>
      <c r="G1024" t="s">
        <v>11</v>
      </c>
      <c r="H1024" t="str">
        <f t="shared" si="30"/>
        <v>NAVERlim513666</v>
      </c>
      <c r="I1024" t="str">
        <f>"lim513666"</f>
        <v>lim513666</v>
      </c>
      <c r="J1024">
        <v>22415040</v>
      </c>
      <c r="K1024" s="1">
        <v>44866</v>
      </c>
      <c r="L1024" t="s">
        <v>1084</v>
      </c>
      <c r="M1024">
        <f t="shared" si="31"/>
        <v>19873620</v>
      </c>
      <c r="N1024" t="str">
        <f>VLOOKUP(H1024,Sheet1!G:H,2,FALSE)</f>
        <v>담당 마케터 외 보안 문제로 데이터 노출 꺼려함.</v>
      </c>
      <c r="R1024" t="s">
        <v>2948</v>
      </c>
      <c r="S1024">
        <v>790</v>
      </c>
    </row>
    <row r="1025" spans="1:19" x14ac:dyDescent="0.3">
      <c r="A1025" t="s">
        <v>8</v>
      </c>
      <c r="B1025">
        <f>VLOOKUP(A1025,Sheet2!B:F,5,FALSE)</f>
        <v>928</v>
      </c>
      <c r="C1025" t="s">
        <v>9</v>
      </c>
      <c r="D1025">
        <f>VLOOKUP(C1025,Sheet2!C:G,5,FALSE)</f>
        <v>1202</v>
      </c>
      <c r="E1025" t="s">
        <v>45</v>
      </c>
      <c r="F1025">
        <f>VLOOKUP(E1025,Sheet2!D:E,2,FALSE)</f>
        <v>26</v>
      </c>
      <c r="G1025" t="s">
        <v>11</v>
      </c>
      <c r="H1025" t="str">
        <f t="shared" si="30"/>
        <v>NAVERlim5136666</v>
      </c>
      <c r="I1025" t="str">
        <f>"lim5136666"</f>
        <v>lim5136666</v>
      </c>
      <c r="J1025">
        <v>12857720</v>
      </c>
      <c r="K1025" s="1">
        <v>44866</v>
      </c>
      <c r="L1025" t="s">
        <v>1084</v>
      </c>
      <c r="M1025">
        <f t="shared" si="31"/>
        <v>10236270</v>
      </c>
      <c r="N1025" t="e">
        <f>VLOOKUP(H1025,Sheet1!G:H,2,FALSE)</f>
        <v>#N/A</v>
      </c>
      <c r="R1025" t="s">
        <v>2949</v>
      </c>
      <c r="S1025">
        <v>1001000</v>
      </c>
    </row>
    <row r="1026" spans="1:19" x14ac:dyDescent="0.3">
      <c r="A1026" t="s">
        <v>41</v>
      </c>
      <c r="B1026">
        <f>VLOOKUP(A1026,Sheet2!B:F,5,FALSE)</f>
        <v>926</v>
      </c>
      <c r="C1026" t="s">
        <v>56</v>
      </c>
      <c r="D1026">
        <f>VLOOKUP(C1026,Sheet2!C:G,5,FALSE)</f>
        <v>1207</v>
      </c>
      <c r="E1026" t="s">
        <v>57</v>
      </c>
      <c r="F1026">
        <f>VLOOKUP(E1026,Sheet2!D:E,2,FALSE)</f>
        <v>200982</v>
      </c>
      <c r="G1026" t="s">
        <v>11</v>
      </c>
      <c r="H1026" t="str">
        <f t="shared" si="30"/>
        <v>NAVERlime9513:naver</v>
      </c>
      <c r="I1026" t="str">
        <f>"lime9513:naver"</f>
        <v>lime9513:naver</v>
      </c>
      <c r="J1026">
        <v>6230</v>
      </c>
      <c r="K1026" s="1">
        <v>44866</v>
      </c>
      <c r="L1026" t="s">
        <v>1085</v>
      </c>
      <c r="M1026">
        <f t="shared" si="31"/>
        <v>6230</v>
      </c>
      <c r="N1026" t="e">
        <f>VLOOKUP(H1026,Sheet1!G:H,2,FALSE)</f>
        <v>#N/A</v>
      </c>
      <c r="R1026" t="s">
        <v>2950</v>
      </c>
      <c r="S1026">
        <v>25120</v>
      </c>
    </row>
    <row r="1027" spans="1:19" x14ac:dyDescent="0.3">
      <c r="A1027" t="s">
        <v>8</v>
      </c>
      <c r="B1027">
        <f>VLOOKUP(A1027,Sheet2!B:F,5,FALSE)</f>
        <v>928</v>
      </c>
      <c r="C1027" t="s">
        <v>13</v>
      </c>
      <c r="D1027">
        <f>VLOOKUP(C1027,Sheet2!C:G,5,FALSE)</f>
        <v>1184</v>
      </c>
      <c r="E1027" t="s">
        <v>51</v>
      </c>
      <c r="F1027">
        <f>VLOOKUP(E1027,Sheet2!D:E,2,FALSE)</f>
        <v>1274</v>
      </c>
      <c r="G1027" t="s">
        <v>11</v>
      </c>
      <c r="H1027" t="str">
        <f t="shared" ref="H1027:H1090" si="32">CONCATENATE(G1027,I1027)</f>
        <v>NAVERlimeh06588</v>
      </c>
      <c r="I1027" t="str">
        <f>"limeh06588"</f>
        <v>limeh06588</v>
      </c>
      <c r="J1027">
        <v>484160</v>
      </c>
      <c r="K1027" s="1">
        <v>44866</v>
      </c>
      <c r="L1027" t="s">
        <v>1086</v>
      </c>
      <c r="M1027">
        <f t="shared" ref="M1027:M1090" si="33">VLOOKUP(H1027,R:S,2,FALSE)</f>
        <v>484160</v>
      </c>
      <c r="N1027" t="e">
        <f>VLOOKUP(H1027,Sheet1!G:H,2,FALSE)</f>
        <v>#N/A</v>
      </c>
      <c r="R1027" t="s">
        <v>2951</v>
      </c>
      <c r="S1027">
        <v>1182640</v>
      </c>
    </row>
    <row r="1028" spans="1:19" x14ac:dyDescent="0.3">
      <c r="A1028" t="s">
        <v>8</v>
      </c>
      <c r="B1028">
        <f>VLOOKUP(A1028,Sheet2!B:F,5,FALSE)</f>
        <v>928</v>
      </c>
      <c r="C1028" t="s">
        <v>13</v>
      </c>
      <c r="D1028">
        <f>VLOOKUP(C1028,Sheet2!C:G,5,FALSE)</f>
        <v>1184</v>
      </c>
      <c r="E1028" t="s">
        <v>115</v>
      </c>
      <c r="F1028">
        <f>VLOOKUP(E1028,Sheet2!D:E,2,FALSE)</f>
        <v>1548</v>
      </c>
      <c r="G1028" t="s">
        <v>11</v>
      </c>
      <c r="H1028" t="str">
        <f t="shared" si="32"/>
        <v>NAVERlimsungil196</v>
      </c>
      <c r="I1028" t="str">
        <f>"limsungil196"</f>
        <v>limsungil196</v>
      </c>
      <c r="J1028">
        <v>4056430</v>
      </c>
      <c r="K1028" s="1">
        <v>44866</v>
      </c>
      <c r="L1028" t="s">
        <v>1087</v>
      </c>
      <c r="M1028">
        <f t="shared" si="33"/>
        <v>4056430</v>
      </c>
      <c r="N1028" t="e">
        <f>VLOOKUP(H1028,Sheet1!G:H,2,FALSE)</f>
        <v>#N/A</v>
      </c>
      <c r="R1028" t="s">
        <v>2952</v>
      </c>
      <c r="S1028">
        <v>70</v>
      </c>
    </row>
    <row r="1029" spans="1:19" x14ac:dyDescent="0.3">
      <c r="A1029" t="s">
        <v>8</v>
      </c>
      <c r="B1029">
        <f>VLOOKUP(A1029,Sheet2!B:F,5,FALSE)</f>
        <v>928</v>
      </c>
      <c r="C1029" t="s">
        <v>13</v>
      </c>
      <c r="D1029">
        <f>VLOOKUP(C1029,Sheet2!C:G,5,FALSE)</f>
        <v>1184</v>
      </c>
      <c r="E1029" t="s">
        <v>1088</v>
      </c>
      <c r="F1029">
        <f>VLOOKUP(E1029,Sheet2!D:E,2,FALSE)</f>
        <v>201047</v>
      </c>
      <c r="G1029" t="s">
        <v>11</v>
      </c>
      <c r="H1029" t="str">
        <f t="shared" si="32"/>
        <v>NAVERline1675</v>
      </c>
      <c r="I1029" t="str">
        <f>"line1675"</f>
        <v>line1675</v>
      </c>
      <c r="J1029">
        <v>3910580</v>
      </c>
      <c r="K1029" s="1">
        <v>44866</v>
      </c>
      <c r="L1029" t="s">
        <v>1089</v>
      </c>
      <c r="M1029">
        <f t="shared" si="33"/>
        <v>2910600</v>
      </c>
      <c r="N1029" t="e">
        <f>VLOOKUP(H1029,Sheet1!G:H,2,FALSE)</f>
        <v>#N/A</v>
      </c>
      <c r="R1029" t="s">
        <v>2953</v>
      </c>
      <c r="S1029">
        <v>934050</v>
      </c>
    </row>
    <row r="1030" spans="1:19" x14ac:dyDescent="0.3">
      <c r="A1030" t="s">
        <v>8</v>
      </c>
      <c r="B1030">
        <f>VLOOKUP(A1030,Sheet2!B:F,5,FALSE)</f>
        <v>928</v>
      </c>
      <c r="C1030" t="s">
        <v>13</v>
      </c>
      <c r="D1030">
        <f>VLOOKUP(C1030,Sheet2!C:G,5,FALSE)</f>
        <v>1184</v>
      </c>
      <c r="E1030" t="s">
        <v>115</v>
      </c>
      <c r="F1030">
        <f>VLOOKUP(E1030,Sheet2!D:E,2,FALSE)</f>
        <v>1548</v>
      </c>
      <c r="G1030" t="s">
        <v>11</v>
      </c>
      <c r="H1030" t="str">
        <f t="shared" si="32"/>
        <v>NAVERlinepluscosmetics:naver</v>
      </c>
      <c r="I1030" t="str">
        <f>"linepluscosmetics:naver"</f>
        <v>linepluscosmetics:naver</v>
      </c>
      <c r="J1030">
        <v>443321</v>
      </c>
      <c r="K1030" s="1">
        <v>44866</v>
      </c>
      <c r="L1030" t="s">
        <v>1090</v>
      </c>
      <c r="M1030">
        <f t="shared" si="33"/>
        <v>0</v>
      </c>
      <c r="N1030" t="e">
        <f>VLOOKUP(H1030,Sheet1!G:H,2,FALSE)</f>
        <v>#N/A</v>
      </c>
      <c r="R1030" t="s">
        <v>2954</v>
      </c>
      <c r="S1030">
        <v>559420</v>
      </c>
    </row>
    <row r="1031" spans="1:19" x14ac:dyDescent="0.3">
      <c r="A1031" t="s">
        <v>41</v>
      </c>
      <c r="B1031">
        <f>VLOOKUP(A1031,Sheet2!B:F,5,FALSE)</f>
        <v>926</v>
      </c>
      <c r="C1031" t="s">
        <v>56</v>
      </c>
      <c r="D1031">
        <f>VLOOKUP(C1031,Sheet2!C:G,5,FALSE)</f>
        <v>1207</v>
      </c>
      <c r="E1031" t="s">
        <v>62</v>
      </c>
      <c r="F1031">
        <f>VLOOKUP(E1031,Sheet2!D:E,2,FALSE)</f>
        <v>201037</v>
      </c>
      <c r="G1031" t="s">
        <v>11</v>
      </c>
      <c r="H1031" t="str">
        <f t="shared" si="32"/>
        <v>NAVERlion8711:naver</v>
      </c>
      <c r="I1031" t="str">
        <f>"lion8711:naver"</f>
        <v>lion8711:naver</v>
      </c>
      <c r="J1031">
        <v>58420</v>
      </c>
      <c r="K1031" s="1">
        <v>44866</v>
      </c>
      <c r="L1031" t="s">
        <v>1091</v>
      </c>
      <c r="M1031">
        <f t="shared" si="33"/>
        <v>58420</v>
      </c>
      <c r="N1031" t="e">
        <f>VLOOKUP(H1031,Sheet1!G:H,2,FALSE)</f>
        <v>#N/A</v>
      </c>
      <c r="R1031" t="s">
        <v>2955</v>
      </c>
      <c r="S1031">
        <v>75310</v>
      </c>
    </row>
    <row r="1032" spans="1:19" x14ac:dyDescent="0.3">
      <c r="A1032" t="s">
        <v>16</v>
      </c>
      <c r="B1032">
        <f>VLOOKUP(A1032,Sheet2!B:F,5,FALSE)</f>
        <v>927</v>
      </c>
      <c r="C1032" t="s">
        <v>17</v>
      </c>
      <c r="D1032">
        <f>VLOOKUP(C1032,Sheet2!C:G,5,FALSE)</f>
        <v>1200</v>
      </c>
      <c r="E1032" t="s">
        <v>93</v>
      </c>
      <c r="F1032">
        <f>VLOOKUP(E1032,Sheet2!D:E,2,FALSE)</f>
        <v>930</v>
      </c>
      <c r="G1032" t="s">
        <v>11</v>
      </c>
      <c r="H1032" t="str">
        <f t="shared" si="32"/>
        <v>NAVERlivingit</v>
      </c>
      <c r="I1032" t="str">
        <f>"livingit"</f>
        <v>livingit</v>
      </c>
      <c r="J1032">
        <v>2055370</v>
      </c>
      <c r="K1032" s="1">
        <v>44866</v>
      </c>
      <c r="L1032" t="s">
        <v>1092</v>
      </c>
      <c r="M1032">
        <f t="shared" si="33"/>
        <v>2022060</v>
      </c>
      <c r="N1032" t="e">
        <f>VLOOKUP(H1032,Sheet1!G:H,2,FALSE)</f>
        <v>#N/A</v>
      </c>
      <c r="R1032" t="s">
        <v>2956</v>
      </c>
      <c r="S1032">
        <v>4490</v>
      </c>
    </row>
    <row r="1033" spans="1:19" x14ac:dyDescent="0.3">
      <c r="A1033" t="s">
        <v>16</v>
      </c>
      <c r="B1033">
        <f>VLOOKUP(A1033,Sheet2!B:F,5,FALSE)</f>
        <v>927</v>
      </c>
      <c r="C1033" t="s">
        <v>17</v>
      </c>
      <c r="D1033">
        <f>VLOOKUP(C1033,Sheet2!C:G,5,FALSE)</f>
        <v>1200</v>
      </c>
      <c r="E1033" t="s">
        <v>371</v>
      </c>
      <c r="F1033">
        <f>VLOOKUP(E1033,Sheet2!D:E,2,FALSE)</f>
        <v>551</v>
      </c>
      <c r="G1033" t="s">
        <v>11</v>
      </c>
      <c r="H1033" t="str">
        <f t="shared" si="32"/>
        <v>NAVERlivingn</v>
      </c>
      <c r="I1033" t="str">
        <f>"livingn"</f>
        <v>livingn</v>
      </c>
      <c r="J1033">
        <v>65660</v>
      </c>
      <c r="K1033" s="1">
        <v>44866</v>
      </c>
      <c r="L1033" t="s">
        <v>1093</v>
      </c>
      <c r="M1033">
        <f t="shared" si="33"/>
        <v>65660</v>
      </c>
      <c r="N1033" t="e">
        <f>VLOOKUP(H1033,Sheet1!G:H,2,FALSE)</f>
        <v>#N/A</v>
      </c>
      <c r="R1033" t="s">
        <v>2957</v>
      </c>
      <c r="S1033">
        <v>3180</v>
      </c>
    </row>
    <row r="1034" spans="1:19" x14ac:dyDescent="0.3">
      <c r="A1034" t="s">
        <v>8</v>
      </c>
      <c r="B1034">
        <f>VLOOKUP(A1034,Sheet2!B:F,5,FALSE)</f>
        <v>928</v>
      </c>
      <c r="C1034" t="s">
        <v>13</v>
      </c>
      <c r="D1034">
        <f>VLOOKUP(C1034,Sheet2!C:G,5,FALSE)</f>
        <v>1184</v>
      </c>
      <c r="E1034" t="s">
        <v>217</v>
      </c>
      <c r="F1034">
        <f>VLOOKUP(E1034,Sheet2!D:E,2,FALSE)</f>
        <v>201027</v>
      </c>
      <c r="G1034" t="s">
        <v>11</v>
      </c>
      <c r="H1034" t="str">
        <f t="shared" si="32"/>
        <v>NAVERlja5406</v>
      </c>
      <c r="I1034" t="str">
        <f>"lja5406"</f>
        <v>lja5406</v>
      </c>
      <c r="J1034">
        <v>5120</v>
      </c>
      <c r="K1034" s="1">
        <v>44866</v>
      </c>
      <c r="L1034" t="s">
        <v>1094</v>
      </c>
      <c r="M1034">
        <f t="shared" si="33"/>
        <v>5120</v>
      </c>
      <c r="N1034" t="e">
        <f>VLOOKUP(H1034,Sheet1!G:H,2,FALSE)</f>
        <v>#N/A</v>
      </c>
      <c r="R1034" t="s">
        <v>2958</v>
      </c>
      <c r="S1034">
        <v>158140</v>
      </c>
    </row>
    <row r="1035" spans="1:19" x14ac:dyDescent="0.3">
      <c r="A1035" t="s">
        <v>8</v>
      </c>
      <c r="B1035">
        <f>VLOOKUP(A1035,Sheet2!B:F,5,FALSE)</f>
        <v>928</v>
      </c>
      <c r="C1035" t="s">
        <v>9</v>
      </c>
      <c r="D1035">
        <f>VLOOKUP(C1035,Sheet2!C:G,5,FALSE)</f>
        <v>1202</v>
      </c>
      <c r="E1035" t="s">
        <v>122</v>
      </c>
      <c r="F1035">
        <f>VLOOKUP(E1035,Sheet2!D:E,2,FALSE)</f>
        <v>251</v>
      </c>
      <c r="G1035" t="s">
        <v>11</v>
      </c>
      <c r="H1035" t="str">
        <f t="shared" si="32"/>
        <v>NAVERlkj2916</v>
      </c>
      <c r="I1035" t="str">
        <f>"lkj2916"</f>
        <v>lkj2916</v>
      </c>
      <c r="J1035">
        <v>630</v>
      </c>
      <c r="K1035" s="1">
        <v>44866</v>
      </c>
      <c r="L1035" t="s">
        <v>1095</v>
      </c>
      <c r="M1035">
        <f t="shared" si="33"/>
        <v>630</v>
      </c>
      <c r="N1035" t="e">
        <f>VLOOKUP(H1035,Sheet1!G:H,2,FALSE)</f>
        <v>#N/A</v>
      </c>
      <c r="R1035" t="s">
        <v>2959</v>
      </c>
      <c r="S1035">
        <v>13350</v>
      </c>
    </row>
    <row r="1036" spans="1:19" x14ac:dyDescent="0.3">
      <c r="A1036" t="s">
        <v>8</v>
      </c>
      <c r="B1036">
        <f>VLOOKUP(A1036,Sheet2!B:F,5,FALSE)</f>
        <v>928</v>
      </c>
      <c r="C1036" t="s">
        <v>9</v>
      </c>
      <c r="D1036">
        <f>VLOOKUP(C1036,Sheet2!C:G,5,FALSE)</f>
        <v>1202</v>
      </c>
      <c r="E1036" t="s">
        <v>37</v>
      </c>
      <c r="F1036">
        <f>VLOOKUP(E1036,Sheet2!D:E,2,FALSE)</f>
        <v>81</v>
      </c>
      <c r="G1036" t="s">
        <v>11</v>
      </c>
      <c r="H1036" t="str">
        <f t="shared" si="32"/>
        <v>NAVERlks2821</v>
      </c>
      <c r="I1036" t="str">
        <f>"lks2821"</f>
        <v>lks2821</v>
      </c>
      <c r="J1036">
        <v>586060</v>
      </c>
      <c r="K1036" s="1">
        <v>44866</v>
      </c>
      <c r="L1036" t="s">
        <v>1096</v>
      </c>
      <c r="M1036">
        <f t="shared" si="33"/>
        <v>586060</v>
      </c>
      <c r="N1036" t="e">
        <f>VLOOKUP(H1036,Sheet1!G:H,2,FALSE)</f>
        <v>#N/A</v>
      </c>
      <c r="R1036" t="s">
        <v>2960</v>
      </c>
      <c r="S1036">
        <v>583400</v>
      </c>
    </row>
    <row r="1037" spans="1:19" x14ac:dyDescent="0.3">
      <c r="A1037" t="s">
        <v>16</v>
      </c>
      <c r="B1037">
        <f>VLOOKUP(A1037,Sheet2!B:F,5,FALSE)</f>
        <v>927</v>
      </c>
      <c r="C1037" t="s">
        <v>17</v>
      </c>
      <c r="D1037">
        <f>VLOOKUP(C1037,Sheet2!C:G,5,FALSE)</f>
        <v>1200</v>
      </c>
      <c r="E1037" t="s">
        <v>93</v>
      </c>
      <c r="F1037">
        <f>VLOOKUP(E1037,Sheet2!D:E,2,FALSE)</f>
        <v>930</v>
      </c>
      <c r="G1037" t="s">
        <v>11</v>
      </c>
      <c r="H1037" t="str">
        <f t="shared" si="32"/>
        <v>NAVERllb1106:naver</v>
      </c>
      <c r="I1037" t="str">
        <f>"llb1106:naver"</f>
        <v>llb1106:naver</v>
      </c>
      <c r="J1037">
        <v>2077610</v>
      </c>
      <c r="K1037" s="1">
        <v>44866</v>
      </c>
      <c r="L1037" t="s">
        <v>1097</v>
      </c>
      <c r="M1037">
        <f t="shared" si="33"/>
        <v>2077610</v>
      </c>
      <c r="N1037" t="e">
        <f>VLOOKUP(H1037,Sheet1!G:H,2,FALSE)</f>
        <v>#N/A</v>
      </c>
      <c r="R1037" t="s">
        <v>2961</v>
      </c>
      <c r="S1037">
        <v>34060</v>
      </c>
    </row>
    <row r="1038" spans="1:19" x14ac:dyDescent="0.3">
      <c r="A1038" t="s">
        <v>8</v>
      </c>
      <c r="B1038">
        <f>VLOOKUP(A1038,Sheet2!B:F,5,FALSE)</f>
        <v>928</v>
      </c>
      <c r="C1038" t="s">
        <v>9</v>
      </c>
      <c r="D1038">
        <f>VLOOKUP(C1038,Sheet2!C:G,5,FALSE)</f>
        <v>1202</v>
      </c>
      <c r="E1038" t="s">
        <v>122</v>
      </c>
      <c r="F1038">
        <f>VLOOKUP(E1038,Sheet2!D:E,2,FALSE)</f>
        <v>251</v>
      </c>
      <c r="G1038" t="s">
        <v>11</v>
      </c>
      <c r="H1038" t="str">
        <f t="shared" si="32"/>
        <v>NAVERlldygs</v>
      </c>
      <c r="I1038" t="str">
        <f>"lldygs"</f>
        <v>lldygs</v>
      </c>
      <c r="J1038">
        <v>132710</v>
      </c>
      <c r="K1038" s="1">
        <v>44866</v>
      </c>
      <c r="L1038" t="s">
        <v>1098</v>
      </c>
      <c r="M1038">
        <f t="shared" si="33"/>
        <v>132710</v>
      </c>
      <c r="N1038" t="e">
        <f>VLOOKUP(H1038,Sheet1!G:H,2,FALSE)</f>
        <v>#N/A</v>
      </c>
      <c r="R1038" t="s">
        <v>2962</v>
      </c>
      <c r="S1038">
        <v>2807810</v>
      </c>
    </row>
    <row r="1039" spans="1:19" x14ac:dyDescent="0.3">
      <c r="A1039" t="s">
        <v>8</v>
      </c>
      <c r="B1039">
        <f>VLOOKUP(A1039,Sheet2!B:F,5,FALSE)</f>
        <v>928</v>
      </c>
      <c r="C1039" t="s">
        <v>9</v>
      </c>
      <c r="D1039">
        <f>VLOOKUP(C1039,Sheet2!C:G,5,FALSE)</f>
        <v>1202</v>
      </c>
      <c r="E1039" t="s">
        <v>39</v>
      </c>
      <c r="F1039">
        <f>VLOOKUP(E1039,Sheet2!D:E,2,FALSE)</f>
        <v>25</v>
      </c>
      <c r="G1039" t="s">
        <v>11</v>
      </c>
      <c r="H1039" t="str">
        <f t="shared" si="32"/>
        <v>NAVERlogclean</v>
      </c>
      <c r="I1039" t="str">
        <f>"logclean"</f>
        <v>logclean</v>
      </c>
      <c r="J1039">
        <v>3230</v>
      </c>
      <c r="K1039" s="1">
        <v>44866</v>
      </c>
      <c r="L1039" t="s">
        <v>1099</v>
      </c>
      <c r="M1039">
        <f t="shared" si="33"/>
        <v>3230</v>
      </c>
      <c r="N1039" t="e">
        <f>VLOOKUP(H1039,Sheet1!G:H,2,FALSE)</f>
        <v>#N/A</v>
      </c>
      <c r="R1039" t="s">
        <v>2963</v>
      </c>
      <c r="S1039">
        <v>690810</v>
      </c>
    </row>
    <row r="1040" spans="1:19" x14ac:dyDescent="0.3">
      <c r="A1040" t="s">
        <v>16</v>
      </c>
      <c r="B1040">
        <f>VLOOKUP(A1040,Sheet2!B:F,5,FALSE)</f>
        <v>927</v>
      </c>
      <c r="C1040" t="s">
        <v>17</v>
      </c>
      <c r="D1040">
        <f>VLOOKUP(C1040,Sheet2!C:G,5,FALSE)</f>
        <v>1200</v>
      </c>
      <c r="E1040" t="s">
        <v>93</v>
      </c>
      <c r="F1040">
        <f>VLOOKUP(E1040,Sheet2!D:E,2,FALSE)</f>
        <v>930</v>
      </c>
      <c r="G1040" t="s">
        <v>11</v>
      </c>
      <c r="H1040" t="str">
        <f t="shared" si="32"/>
        <v>NAVERlohas_blind</v>
      </c>
      <c r="I1040" t="str">
        <f>"lohas_blind"</f>
        <v>lohas_blind</v>
      </c>
      <c r="J1040">
        <v>2722330</v>
      </c>
      <c r="K1040" s="1">
        <v>44866</v>
      </c>
      <c r="L1040" t="s">
        <v>1100</v>
      </c>
      <c r="M1040">
        <f t="shared" si="33"/>
        <v>2722330</v>
      </c>
      <c r="N1040" t="e">
        <f>VLOOKUP(H1040,Sheet1!G:H,2,FALSE)</f>
        <v>#N/A</v>
      </c>
      <c r="R1040" t="s">
        <v>2964</v>
      </c>
      <c r="S1040">
        <v>3351820</v>
      </c>
    </row>
    <row r="1041" spans="1:19" x14ac:dyDescent="0.3">
      <c r="A1041" t="s">
        <v>8</v>
      </c>
      <c r="B1041">
        <f>VLOOKUP(A1041,Sheet2!B:F,5,FALSE)</f>
        <v>928</v>
      </c>
      <c r="C1041" t="s">
        <v>9</v>
      </c>
      <c r="D1041">
        <f>VLOOKUP(C1041,Sheet2!C:G,5,FALSE)</f>
        <v>1202</v>
      </c>
      <c r="E1041" t="s">
        <v>31</v>
      </c>
      <c r="F1041">
        <f>VLOOKUP(E1041,Sheet2!D:E,2,FALSE)</f>
        <v>1040</v>
      </c>
      <c r="G1041" t="s">
        <v>11</v>
      </c>
      <c r="H1041" t="str">
        <f t="shared" si="32"/>
        <v>NAVERlongchina</v>
      </c>
      <c r="I1041" t="str">
        <f>"longchina"</f>
        <v>longchina</v>
      </c>
      <c r="J1041">
        <v>1750</v>
      </c>
      <c r="K1041" s="1">
        <v>44866</v>
      </c>
      <c r="L1041" t="s">
        <v>1101</v>
      </c>
      <c r="M1041">
        <f t="shared" si="33"/>
        <v>1750</v>
      </c>
      <c r="N1041" t="e">
        <f>VLOOKUP(H1041,Sheet1!G:H,2,FALSE)</f>
        <v>#N/A</v>
      </c>
      <c r="R1041" t="s">
        <v>2965</v>
      </c>
      <c r="S1041">
        <v>307140</v>
      </c>
    </row>
    <row r="1042" spans="1:19" x14ac:dyDescent="0.3">
      <c r="A1042" t="s">
        <v>41</v>
      </c>
      <c r="B1042">
        <f>VLOOKUP(A1042,Sheet2!B:F,5,FALSE)</f>
        <v>926</v>
      </c>
      <c r="C1042" t="s">
        <v>56</v>
      </c>
      <c r="D1042">
        <f>VLOOKUP(C1042,Sheet2!C:G,5,FALSE)</f>
        <v>1207</v>
      </c>
      <c r="E1042" t="s">
        <v>57</v>
      </c>
      <c r="F1042">
        <f>VLOOKUP(E1042,Sheet2!D:E,2,FALSE)</f>
        <v>200982</v>
      </c>
      <c r="G1042" t="s">
        <v>11</v>
      </c>
      <c r="H1042" t="str">
        <f t="shared" si="32"/>
        <v>NAVERlooe1220</v>
      </c>
      <c r="I1042" t="str">
        <f>"looe1220"</f>
        <v>looe1220</v>
      </c>
      <c r="J1042">
        <v>22720</v>
      </c>
      <c r="K1042" s="1">
        <v>44866</v>
      </c>
      <c r="L1042" t="s">
        <v>1102</v>
      </c>
      <c r="M1042">
        <f t="shared" si="33"/>
        <v>22720</v>
      </c>
      <c r="N1042" t="e">
        <f>VLOOKUP(H1042,Sheet1!G:H,2,FALSE)</f>
        <v>#N/A</v>
      </c>
      <c r="R1042" t="s">
        <v>2966</v>
      </c>
      <c r="S1042">
        <v>845900</v>
      </c>
    </row>
    <row r="1043" spans="1:19" x14ac:dyDescent="0.3">
      <c r="A1043" t="s">
        <v>22</v>
      </c>
      <c r="B1043">
        <f>VLOOKUP(A1043,Sheet2!B:F,5,FALSE)</f>
        <v>809</v>
      </c>
      <c r="C1043" t="s">
        <v>23</v>
      </c>
      <c r="D1043">
        <f>VLOOKUP(C1043,Sheet2!C:G,5,FALSE)</f>
        <v>810</v>
      </c>
      <c r="E1043" t="s">
        <v>86</v>
      </c>
      <c r="F1043">
        <f>VLOOKUP(E1043,Sheet2!D:E,2,FALSE)</f>
        <v>201021</v>
      </c>
      <c r="G1043" t="s">
        <v>11</v>
      </c>
      <c r="H1043" t="str">
        <f t="shared" si="32"/>
        <v>NAVERlookatitok</v>
      </c>
      <c r="I1043" t="str">
        <f>"lookatitok"</f>
        <v>lookatitok</v>
      </c>
      <c r="J1043">
        <v>280</v>
      </c>
      <c r="K1043" s="1">
        <v>44866</v>
      </c>
      <c r="L1043" t="s">
        <v>1103</v>
      </c>
      <c r="M1043">
        <f t="shared" si="33"/>
        <v>280</v>
      </c>
      <c r="N1043" t="e">
        <f>VLOOKUP(H1043,Sheet1!G:H,2,FALSE)</f>
        <v>#N/A</v>
      </c>
      <c r="R1043" t="s">
        <v>2967</v>
      </c>
      <c r="S1043">
        <v>3790310</v>
      </c>
    </row>
    <row r="1044" spans="1:19" x14ac:dyDescent="0.3">
      <c r="A1044" t="s">
        <v>8</v>
      </c>
      <c r="B1044">
        <f>VLOOKUP(A1044,Sheet2!B:F,5,FALSE)</f>
        <v>928</v>
      </c>
      <c r="C1044" t="s">
        <v>167</v>
      </c>
      <c r="D1044">
        <f>VLOOKUP(C1044,Sheet2!C:G,5,FALSE)</f>
        <v>935</v>
      </c>
      <c r="E1044" t="s">
        <v>168</v>
      </c>
      <c r="F1044">
        <f>VLOOKUP(E1044,Sheet2!D:E,2,FALSE)</f>
        <v>2</v>
      </c>
      <c r="G1044" t="s">
        <v>11</v>
      </c>
      <c r="H1044" t="str">
        <f t="shared" si="32"/>
        <v>NAVERlotteimall</v>
      </c>
      <c r="I1044" t="str">
        <f>"lotteimall"</f>
        <v>lotteimall</v>
      </c>
      <c r="J1044">
        <v>108488206</v>
      </c>
      <c r="K1044" s="1">
        <v>44866</v>
      </c>
      <c r="L1044" t="s">
        <v>1104</v>
      </c>
      <c r="M1044">
        <f t="shared" si="33"/>
        <v>99168210</v>
      </c>
      <c r="N1044" t="e">
        <f>VLOOKUP(H1044,Sheet1!G:H,2,FALSE)</f>
        <v>#N/A</v>
      </c>
      <c r="R1044" t="s">
        <v>2968</v>
      </c>
      <c r="S1044">
        <v>30825660</v>
      </c>
    </row>
    <row r="1045" spans="1:19" x14ac:dyDescent="0.3">
      <c r="A1045" t="s">
        <v>8</v>
      </c>
      <c r="B1045">
        <f>VLOOKUP(A1045,Sheet2!B:F,5,FALSE)</f>
        <v>928</v>
      </c>
      <c r="C1045" t="s">
        <v>167</v>
      </c>
      <c r="D1045">
        <f>VLOOKUP(C1045,Sheet2!C:G,5,FALSE)</f>
        <v>935</v>
      </c>
      <c r="E1045" t="s">
        <v>168</v>
      </c>
      <c r="F1045">
        <f>VLOOKUP(E1045,Sheet2!D:E,2,FALSE)</f>
        <v>2</v>
      </c>
      <c r="G1045" t="s">
        <v>11</v>
      </c>
      <c r="H1045" t="str">
        <f t="shared" si="32"/>
        <v>NAVERlotteimall2</v>
      </c>
      <c r="I1045" t="str">
        <f>"lotteimall2"</f>
        <v>lotteimall2</v>
      </c>
      <c r="J1045">
        <v>31928130</v>
      </c>
      <c r="K1045" s="1">
        <v>44866</v>
      </c>
      <c r="L1045" t="s">
        <v>1104</v>
      </c>
      <c r="M1045">
        <f t="shared" si="33"/>
        <v>31928130</v>
      </c>
      <c r="N1045" t="e">
        <f>VLOOKUP(H1045,Sheet1!G:H,2,FALSE)</f>
        <v>#N/A</v>
      </c>
      <c r="R1045" t="s">
        <v>2969</v>
      </c>
      <c r="S1045">
        <v>613250</v>
      </c>
    </row>
    <row r="1046" spans="1:19" x14ac:dyDescent="0.3">
      <c r="A1046" t="s">
        <v>8</v>
      </c>
      <c r="B1046">
        <f>VLOOKUP(A1046,Sheet2!B:F,5,FALSE)</f>
        <v>928</v>
      </c>
      <c r="C1046" t="s">
        <v>167</v>
      </c>
      <c r="D1046">
        <f>VLOOKUP(C1046,Sheet2!C:G,5,FALSE)</f>
        <v>935</v>
      </c>
      <c r="E1046" t="s">
        <v>168</v>
      </c>
      <c r="F1046">
        <f>VLOOKUP(E1046,Sheet2!D:E,2,FALSE)</f>
        <v>2</v>
      </c>
      <c r="G1046" t="s">
        <v>11</v>
      </c>
      <c r="H1046" t="str">
        <f t="shared" si="32"/>
        <v>NAVERlottesports1</v>
      </c>
      <c r="I1046" t="str">
        <f>"lottesports1"</f>
        <v>lottesports1</v>
      </c>
      <c r="J1046">
        <v>37018230</v>
      </c>
      <c r="K1046" s="1">
        <v>44866</v>
      </c>
      <c r="L1046" t="s">
        <v>1104</v>
      </c>
      <c r="M1046">
        <f t="shared" si="33"/>
        <v>37018230</v>
      </c>
      <c r="N1046" t="e">
        <f>VLOOKUP(H1046,Sheet1!G:H,2,FALSE)</f>
        <v>#N/A</v>
      </c>
      <c r="R1046" t="s">
        <v>2970</v>
      </c>
      <c r="S1046">
        <v>1470</v>
      </c>
    </row>
    <row r="1047" spans="1:19" x14ac:dyDescent="0.3">
      <c r="A1047" t="s">
        <v>8</v>
      </c>
      <c r="B1047">
        <f>VLOOKUP(A1047,Sheet2!B:F,5,FALSE)</f>
        <v>928</v>
      </c>
      <c r="C1047" t="s">
        <v>13</v>
      </c>
      <c r="D1047">
        <f>VLOOKUP(C1047,Sheet2!C:G,5,FALSE)</f>
        <v>1184</v>
      </c>
      <c r="E1047" t="s">
        <v>51</v>
      </c>
      <c r="F1047">
        <f>VLOOKUP(E1047,Sheet2!D:E,2,FALSE)</f>
        <v>1274</v>
      </c>
      <c r="G1047" t="s">
        <v>11</v>
      </c>
      <c r="H1047" t="str">
        <f t="shared" si="32"/>
        <v>NAVERlottesuper</v>
      </c>
      <c r="I1047" t="str">
        <f>"lottesuper"</f>
        <v>lottesuper</v>
      </c>
      <c r="J1047">
        <v>1854650</v>
      </c>
      <c r="K1047" s="1">
        <v>44866</v>
      </c>
      <c r="L1047" t="s">
        <v>1105</v>
      </c>
      <c r="M1047">
        <f t="shared" si="33"/>
        <v>1854650</v>
      </c>
      <c r="N1047" t="e">
        <f>VLOOKUP(H1047,Sheet1!G:H,2,FALSE)</f>
        <v>#N/A</v>
      </c>
      <c r="R1047" t="s">
        <v>2971</v>
      </c>
      <c r="S1047">
        <v>245250</v>
      </c>
    </row>
    <row r="1048" spans="1:19" x14ac:dyDescent="0.3">
      <c r="A1048" t="s">
        <v>8</v>
      </c>
      <c r="B1048">
        <f>VLOOKUP(A1048,Sheet2!B:F,5,FALSE)</f>
        <v>928</v>
      </c>
      <c r="C1048" t="s">
        <v>9</v>
      </c>
      <c r="D1048">
        <f>VLOOKUP(C1048,Sheet2!C:G,5,FALSE)</f>
        <v>1202</v>
      </c>
      <c r="E1048" t="s">
        <v>73</v>
      </c>
      <c r="F1048">
        <f>VLOOKUP(E1048,Sheet2!D:E,2,FALSE)</f>
        <v>895</v>
      </c>
      <c r="G1048" t="s">
        <v>11</v>
      </c>
      <c r="H1048" t="str">
        <f t="shared" si="32"/>
        <v>NAVERlottoone</v>
      </c>
      <c r="I1048" t="str">
        <f>"lottoone"</f>
        <v>lottoone</v>
      </c>
      <c r="J1048">
        <v>54830</v>
      </c>
      <c r="K1048" s="1">
        <v>44866</v>
      </c>
      <c r="L1048" t="s">
        <v>1106</v>
      </c>
      <c r="M1048">
        <f t="shared" si="33"/>
        <v>54830</v>
      </c>
      <c r="N1048" t="e">
        <f>VLOOKUP(H1048,Sheet1!G:H,2,FALSE)</f>
        <v>#N/A</v>
      </c>
      <c r="R1048" t="s">
        <v>2972</v>
      </c>
      <c r="S1048">
        <v>200</v>
      </c>
    </row>
    <row r="1049" spans="1:19" x14ac:dyDescent="0.3">
      <c r="A1049" t="s">
        <v>8</v>
      </c>
      <c r="B1049">
        <f>VLOOKUP(A1049,Sheet2!B:F,5,FALSE)</f>
        <v>928</v>
      </c>
      <c r="C1049" t="s">
        <v>9</v>
      </c>
      <c r="D1049">
        <f>VLOOKUP(C1049,Sheet2!C:G,5,FALSE)</f>
        <v>1202</v>
      </c>
      <c r="E1049" t="s">
        <v>31</v>
      </c>
      <c r="F1049">
        <f>VLOOKUP(E1049,Sheet2!D:E,2,FALSE)</f>
        <v>1040</v>
      </c>
      <c r="G1049" t="s">
        <v>11</v>
      </c>
      <c r="H1049" t="str">
        <f t="shared" si="32"/>
        <v>NAVERlovemell</v>
      </c>
      <c r="I1049" t="str">
        <f>"lovemell"</f>
        <v>lovemell</v>
      </c>
      <c r="J1049">
        <v>83200</v>
      </c>
      <c r="K1049" s="1">
        <v>44866</v>
      </c>
      <c r="L1049" t="s">
        <v>1107</v>
      </c>
      <c r="M1049">
        <f t="shared" si="33"/>
        <v>83200</v>
      </c>
      <c r="N1049" t="e">
        <f>VLOOKUP(H1049,Sheet1!G:H,2,FALSE)</f>
        <v>#N/A</v>
      </c>
      <c r="R1049" t="s">
        <v>2973</v>
      </c>
      <c r="S1049">
        <v>100</v>
      </c>
    </row>
    <row r="1050" spans="1:19" x14ac:dyDescent="0.3">
      <c r="A1050" t="s">
        <v>8</v>
      </c>
      <c r="B1050">
        <f>VLOOKUP(A1050,Sheet2!B:F,5,FALSE)</f>
        <v>928</v>
      </c>
      <c r="C1050" t="s">
        <v>9</v>
      </c>
      <c r="D1050">
        <f>VLOOKUP(C1050,Sheet2!C:G,5,FALSE)</f>
        <v>1202</v>
      </c>
      <c r="E1050" t="s">
        <v>27</v>
      </c>
      <c r="F1050">
        <f>VLOOKUP(E1050,Sheet2!D:E,2,FALSE)</f>
        <v>806</v>
      </c>
      <c r="G1050" t="s">
        <v>11</v>
      </c>
      <c r="H1050" t="str">
        <f t="shared" si="32"/>
        <v>NAVERlr84</v>
      </c>
      <c r="I1050" t="str">
        <f>"lr84"</f>
        <v>lr84</v>
      </c>
      <c r="J1050">
        <v>1560</v>
      </c>
      <c r="K1050" s="1">
        <v>44866</v>
      </c>
      <c r="L1050" t="s">
        <v>1108</v>
      </c>
      <c r="M1050" t="e">
        <f t="shared" si="33"/>
        <v>#N/A</v>
      </c>
      <c r="N1050" t="str">
        <f>VLOOKUP(H1050,Sheet1!G:H,2,FALSE)</f>
        <v>연락안됨</v>
      </c>
      <c r="R1050" t="s">
        <v>2974</v>
      </c>
      <c r="S1050">
        <v>35900</v>
      </c>
    </row>
    <row r="1051" spans="1:19" x14ac:dyDescent="0.3">
      <c r="A1051" t="s">
        <v>16</v>
      </c>
      <c r="B1051">
        <f>VLOOKUP(A1051,Sheet2!B:F,5,FALSE)</f>
        <v>927</v>
      </c>
      <c r="C1051" t="s">
        <v>17</v>
      </c>
      <c r="D1051">
        <f>VLOOKUP(C1051,Sheet2!C:G,5,FALSE)</f>
        <v>1200</v>
      </c>
      <c r="E1051" t="s">
        <v>66</v>
      </c>
      <c r="F1051">
        <f>VLOOKUP(E1051,Sheet2!D:E,2,FALSE)</f>
        <v>33</v>
      </c>
      <c r="G1051" t="s">
        <v>11</v>
      </c>
      <c r="H1051" t="str">
        <f t="shared" si="32"/>
        <v>NAVERlsh1987</v>
      </c>
      <c r="I1051" t="str">
        <f>"lsh1987"</f>
        <v>lsh1987</v>
      </c>
      <c r="J1051">
        <v>4485480</v>
      </c>
      <c r="K1051" s="1">
        <v>44866</v>
      </c>
      <c r="L1051" t="s">
        <v>215</v>
      </c>
      <c r="M1051">
        <f t="shared" si="33"/>
        <v>4485480</v>
      </c>
      <c r="N1051" t="e">
        <f>VLOOKUP(H1051,Sheet1!G:H,2,FALSE)</f>
        <v>#N/A</v>
      </c>
      <c r="R1051" t="s">
        <v>2975</v>
      </c>
      <c r="S1051">
        <v>388010</v>
      </c>
    </row>
    <row r="1052" spans="1:19" x14ac:dyDescent="0.3">
      <c r="A1052" t="s">
        <v>16</v>
      </c>
      <c r="B1052">
        <f>VLOOKUP(A1052,Sheet2!B:F,5,FALSE)</f>
        <v>927</v>
      </c>
      <c r="C1052" t="s">
        <v>17</v>
      </c>
      <c r="D1052">
        <f>VLOOKUP(C1052,Sheet2!C:G,5,FALSE)</f>
        <v>1200</v>
      </c>
      <c r="E1052" t="s">
        <v>53</v>
      </c>
      <c r="F1052">
        <f>VLOOKUP(E1052,Sheet2!D:E,2,FALSE)</f>
        <v>201080</v>
      </c>
      <c r="G1052" t="s">
        <v>11</v>
      </c>
      <c r="H1052" t="str">
        <f t="shared" si="32"/>
        <v>NAVERlsmeee:naver</v>
      </c>
      <c r="I1052" t="str">
        <f>"lsmeee:naver"</f>
        <v>lsmeee:naver</v>
      </c>
      <c r="J1052">
        <v>91830</v>
      </c>
      <c r="K1052" s="1">
        <v>44866</v>
      </c>
      <c r="L1052" t="s">
        <v>1109</v>
      </c>
      <c r="M1052">
        <f t="shared" si="33"/>
        <v>93630</v>
      </c>
      <c r="N1052" t="e">
        <f>VLOOKUP(H1052,Sheet1!G:H,2,FALSE)</f>
        <v>#N/A</v>
      </c>
      <c r="R1052" t="s">
        <v>2976</v>
      </c>
      <c r="S1052">
        <v>191740</v>
      </c>
    </row>
    <row r="1053" spans="1:19" x14ac:dyDescent="0.3">
      <c r="A1053" t="s">
        <v>22</v>
      </c>
      <c r="B1053">
        <f>VLOOKUP(A1053,Sheet2!B:F,5,FALSE)</f>
        <v>809</v>
      </c>
      <c r="C1053" t="s">
        <v>23</v>
      </c>
      <c r="D1053">
        <f>VLOOKUP(C1053,Sheet2!C:G,5,FALSE)</f>
        <v>810</v>
      </c>
      <c r="E1053" t="s">
        <v>529</v>
      </c>
      <c r="F1053">
        <f>VLOOKUP(E1053,Sheet2!D:E,2,FALSE)</f>
        <v>201053</v>
      </c>
      <c r="G1053" t="s">
        <v>11</v>
      </c>
      <c r="H1053" t="str">
        <f t="shared" si="32"/>
        <v>NAVERlsrudalsrud:naver</v>
      </c>
      <c r="I1053" t="str">
        <f>"lsrudalsrud:naver"</f>
        <v>lsrudalsrud:naver</v>
      </c>
      <c r="J1053">
        <v>172260</v>
      </c>
      <c r="K1053" s="1">
        <v>44866</v>
      </c>
      <c r="L1053" t="s">
        <v>1110</v>
      </c>
      <c r="M1053">
        <f t="shared" si="33"/>
        <v>172260</v>
      </c>
      <c r="N1053" t="e">
        <f>VLOOKUP(H1053,Sheet1!G:H,2,FALSE)</f>
        <v>#N/A</v>
      </c>
      <c r="R1053" t="s">
        <v>2977</v>
      </c>
      <c r="S1053">
        <v>809008</v>
      </c>
    </row>
    <row r="1054" spans="1:19" x14ac:dyDescent="0.3">
      <c r="A1054" t="s">
        <v>16</v>
      </c>
      <c r="B1054">
        <f>VLOOKUP(A1054,Sheet2!B:F,5,FALSE)</f>
        <v>927</v>
      </c>
      <c r="C1054" t="s">
        <v>17</v>
      </c>
      <c r="D1054">
        <f>VLOOKUP(C1054,Sheet2!C:G,5,FALSE)</f>
        <v>1200</v>
      </c>
      <c r="E1054" t="s">
        <v>29</v>
      </c>
      <c r="F1054">
        <f>VLOOKUP(E1054,Sheet2!D:E,2,FALSE)</f>
        <v>1496</v>
      </c>
      <c r="G1054" t="s">
        <v>11</v>
      </c>
      <c r="H1054" t="str">
        <f t="shared" si="32"/>
        <v>NAVERluckybuddha:naver</v>
      </c>
      <c r="I1054" t="str">
        <f>"luckybuddha:naver"</f>
        <v>luckybuddha:naver</v>
      </c>
      <c r="J1054">
        <v>1049060</v>
      </c>
      <c r="K1054" s="1">
        <v>44866</v>
      </c>
      <c r="L1054" t="s">
        <v>1111</v>
      </c>
      <c r="M1054">
        <f t="shared" si="33"/>
        <v>1049060</v>
      </c>
      <c r="N1054" t="e">
        <f>VLOOKUP(H1054,Sheet1!G:H,2,FALSE)</f>
        <v>#N/A</v>
      </c>
      <c r="R1054" t="s">
        <v>2978</v>
      </c>
      <c r="S1054">
        <v>1134850</v>
      </c>
    </row>
    <row r="1055" spans="1:19" x14ac:dyDescent="0.3">
      <c r="A1055" t="s">
        <v>8</v>
      </c>
      <c r="B1055">
        <f>VLOOKUP(A1055,Sheet2!B:F,5,FALSE)</f>
        <v>928</v>
      </c>
      <c r="C1055" t="s">
        <v>13</v>
      </c>
      <c r="D1055">
        <f>VLOOKUP(C1055,Sheet2!C:G,5,FALSE)</f>
        <v>1184</v>
      </c>
      <c r="E1055" t="s">
        <v>102</v>
      </c>
      <c r="F1055">
        <f>VLOOKUP(E1055,Sheet2!D:E,2,FALSE)</f>
        <v>917</v>
      </c>
      <c r="G1055" t="s">
        <v>11</v>
      </c>
      <c r="H1055" t="str">
        <f t="shared" si="32"/>
        <v>NAVERlululu25</v>
      </c>
      <c r="I1055" t="str">
        <f>"lululu25"</f>
        <v>lululu25</v>
      </c>
      <c r="J1055">
        <v>300</v>
      </c>
      <c r="K1055" s="1">
        <v>44866</v>
      </c>
      <c r="L1055" t="s">
        <v>1112</v>
      </c>
      <c r="M1055">
        <f t="shared" si="33"/>
        <v>300</v>
      </c>
      <c r="N1055" t="e">
        <f>VLOOKUP(H1055,Sheet1!G:H,2,FALSE)</f>
        <v>#N/A</v>
      </c>
      <c r="R1055" t="s">
        <v>2979</v>
      </c>
      <c r="S1055">
        <v>670</v>
      </c>
    </row>
    <row r="1056" spans="1:19" x14ac:dyDescent="0.3">
      <c r="A1056" t="s">
        <v>8</v>
      </c>
      <c r="B1056">
        <f>VLOOKUP(A1056,Sheet2!B:F,5,FALSE)</f>
        <v>928</v>
      </c>
      <c r="C1056" t="s">
        <v>9</v>
      </c>
      <c r="D1056">
        <f>VLOOKUP(C1056,Sheet2!C:G,5,FALSE)</f>
        <v>1202</v>
      </c>
      <c r="E1056" t="s">
        <v>20</v>
      </c>
      <c r="F1056">
        <f>VLOOKUP(E1056,Sheet2!D:E,2,FALSE)</f>
        <v>938</v>
      </c>
      <c r="G1056" t="s">
        <v>11</v>
      </c>
      <c r="H1056" t="str">
        <f t="shared" si="32"/>
        <v>NAVERluxkeeper</v>
      </c>
      <c r="I1056" t="str">
        <f>"luxkeeper"</f>
        <v>luxkeeper</v>
      </c>
      <c r="J1056">
        <v>2963596</v>
      </c>
      <c r="K1056" s="1">
        <v>44866</v>
      </c>
      <c r="L1056" t="s">
        <v>1113</v>
      </c>
      <c r="M1056">
        <f t="shared" si="33"/>
        <v>2963643</v>
      </c>
      <c r="N1056" t="e">
        <f>VLOOKUP(H1056,Sheet1!G:H,2,FALSE)</f>
        <v>#N/A</v>
      </c>
      <c r="R1056" t="s">
        <v>2980</v>
      </c>
      <c r="S1056">
        <v>1010</v>
      </c>
    </row>
    <row r="1057" spans="1:19" x14ac:dyDescent="0.3">
      <c r="A1057" t="s">
        <v>8</v>
      </c>
      <c r="B1057">
        <f>VLOOKUP(A1057,Sheet2!B:F,5,FALSE)</f>
        <v>928</v>
      </c>
      <c r="C1057" t="s">
        <v>13</v>
      </c>
      <c r="D1057">
        <f>VLOOKUP(C1057,Sheet2!C:G,5,FALSE)</f>
        <v>1184</v>
      </c>
      <c r="E1057" t="s">
        <v>59</v>
      </c>
      <c r="F1057">
        <f>VLOOKUP(E1057,Sheet2!D:E,2,FALSE)</f>
        <v>9</v>
      </c>
      <c r="G1057" t="s">
        <v>11</v>
      </c>
      <c r="H1057" t="str">
        <f t="shared" si="32"/>
        <v>NAVERlwelec</v>
      </c>
      <c r="I1057" t="str">
        <f>"lwelec"</f>
        <v>lwelec</v>
      </c>
      <c r="J1057">
        <v>5150</v>
      </c>
      <c r="K1057" s="1">
        <v>44866</v>
      </c>
      <c r="L1057" t="s">
        <v>1114</v>
      </c>
      <c r="M1057">
        <f t="shared" si="33"/>
        <v>5150</v>
      </c>
      <c r="N1057" t="e">
        <f>VLOOKUP(H1057,Sheet1!G:H,2,FALSE)</f>
        <v>#N/A</v>
      </c>
      <c r="R1057" t="s">
        <v>2981</v>
      </c>
      <c r="S1057">
        <v>0</v>
      </c>
    </row>
    <row r="1058" spans="1:19" x14ac:dyDescent="0.3">
      <c r="A1058" t="s">
        <v>41</v>
      </c>
      <c r="B1058">
        <f>VLOOKUP(A1058,Sheet2!B:F,5,FALSE)</f>
        <v>926</v>
      </c>
      <c r="C1058" t="s">
        <v>56</v>
      </c>
      <c r="D1058">
        <f>VLOOKUP(C1058,Sheet2!C:G,5,FALSE)</f>
        <v>1207</v>
      </c>
      <c r="E1058" t="s">
        <v>57</v>
      </c>
      <c r="F1058">
        <f>VLOOKUP(E1058,Sheet2!D:E,2,FALSE)</f>
        <v>200982</v>
      </c>
      <c r="G1058" t="s">
        <v>11</v>
      </c>
      <c r="H1058" t="str">
        <f t="shared" si="32"/>
        <v>NAVERlykkk88:naver</v>
      </c>
      <c r="I1058" t="str">
        <f>"lykkk88:naver"</f>
        <v>lykkk88:naver</v>
      </c>
      <c r="J1058">
        <v>266650</v>
      </c>
      <c r="K1058" s="1">
        <v>44866</v>
      </c>
      <c r="L1058" t="s">
        <v>1115</v>
      </c>
      <c r="M1058">
        <f t="shared" si="33"/>
        <v>266650</v>
      </c>
      <c r="N1058" t="e">
        <f>VLOOKUP(H1058,Sheet1!G:H,2,FALSE)</f>
        <v>#N/A</v>
      </c>
      <c r="R1058" t="s">
        <v>2982</v>
      </c>
      <c r="S1058">
        <v>202690</v>
      </c>
    </row>
    <row r="1059" spans="1:19" x14ac:dyDescent="0.3">
      <c r="A1059" t="s">
        <v>8</v>
      </c>
      <c r="B1059">
        <f>VLOOKUP(A1059,Sheet2!B:F,5,FALSE)</f>
        <v>928</v>
      </c>
      <c r="C1059" t="s">
        <v>9</v>
      </c>
      <c r="D1059">
        <f>VLOOKUP(C1059,Sheet2!C:G,5,FALSE)</f>
        <v>1202</v>
      </c>
      <c r="E1059" t="s">
        <v>122</v>
      </c>
      <c r="F1059">
        <f>VLOOKUP(E1059,Sheet2!D:E,2,FALSE)</f>
        <v>251</v>
      </c>
      <c r="G1059" t="s">
        <v>11</v>
      </c>
      <c r="H1059" t="str">
        <f t="shared" si="32"/>
        <v>NAVERm5582:naver</v>
      </c>
      <c r="I1059" t="str">
        <f>"m5582:naver"</f>
        <v>m5582:naver</v>
      </c>
      <c r="J1059">
        <v>6310</v>
      </c>
      <c r="K1059" s="1">
        <v>44866</v>
      </c>
      <c r="L1059" t="s">
        <v>1116</v>
      </c>
      <c r="M1059">
        <f t="shared" si="33"/>
        <v>6310</v>
      </c>
      <c r="N1059" t="e">
        <f>VLOOKUP(H1059,Sheet1!G:H,2,FALSE)</f>
        <v>#N/A</v>
      </c>
      <c r="R1059" t="s">
        <v>2983</v>
      </c>
      <c r="S1059">
        <v>679220</v>
      </c>
    </row>
    <row r="1060" spans="1:19" x14ac:dyDescent="0.3">
      <c r="A1060" t="s">
        <v>8</v>
      </c>
      <c r="B1060">
        <f>VLOOKUP(A1060,Sheet2!B:F,5,FALSE)</f>
        <v>928</v>
      </c>
      <c r="C1060" t="s">
        <v>9</v>
      </c>
      <c r="D1060">
        <f>VLOOKUP(C1060,Sheet2!C:G,5,FALSE)</f>
        <v>1202</v>
      </c>
      <c r="E1060" t="s">
        <v>27</v>
      </c>
      <c r="F1060">
        <f>VLOOKUP(E1060,Sheet2!D:E,2,FALSE)</f>
        <v>806</v>
      </c>
      <c r="G1060" t="s">
        <v>11</v>
      </c>
      <c r="H1060" t="str">
        <f t="shared" si="32"/>
        <v>NAVERmacgai7</v>
      </c>
      <c r="I1060" t="str">
        <f>"macgai7"</f>
        <v>macgai7</v>
      </c>
      <c r="J1060">
        <v>93910</v>
      </c>
      <c r="K1060" s="1">
        <v>44866</v>
      </c>
      <c r="L1060" t="s">
        <v>1117</v>
      </c>
      <c r="M1060">
        <f t="shared" si="33"/>
        <v>93910</v>
      </c>
      <c r="N1060" t="e">
        <f>VLOOKUP(H1060,Sheet1!G:H,2,FALSE)</f>
        <v>#N/A</v>
      </c>
      <c r="R1060" t="s">
        <v>2984</v>
      </c>
      <c r="S1060">
        <v>395510</v>
      </c>
    </row>
    <row r="1061" spans="1:19" x14ac:dyDescent="0.3">
      <c r="A1061" t="s">
        <v>41</v>
      </c>
      <c r="B1061">
        <f>VLOOKUP(A1061,Sheet2!B:F,5,FALSE)</f>
        <v>926</v>
      </c>
      <c r="C1061" t="s">
        <v>56</v>
      </c>
      <c r="D1061">
        <f>VLOOKUP(C1061,Sheet2!C:G,5,FALSE)</f>
        <v>1207</v>
      </c>
      <c r="E1061" t="s">
        <v>64</v>
      </c>
      <c r="F1061">
        <f>VLOOKUP(E1061,Sheet2!D:E,2,FALSE)</f>
        <v>201011</v>
      </c>
      <c r="G1061" t="s">
        <v>11</v>
      </c>
      <c r="H1061" t="str">
        <f t="shared" si="32"/>
        <v>NAVERmagachem</v>
      </c>
      <c r="I1061" t="str">
        <f>"magachem"</f>
        <v>magachem</v>
      </c>
      <c r="J1061">
        <v>406320</v>
      </c>
      <c r="K1061" s="1">
        <v>44866</v>
      </c>
      <c r="L1061" t="s">
        <v>1118</v>
      </c>
      <c r="M1061">
        <f t="shared" si="33"/>
        <v>406320</v>
      </c>
      <c r="N1061" t="e">
        <f>VLOOKUP(H1061,Sheet1!G:H,2,FALSE)</f>
        <v>#N/A</v>
      </c>
      <c r="R1061" t="s">
        <v>2985</v>
      </c>
      <c r="S1061">
        <v>1515440</v>
      </c>
    </row>
    <row r="1062" spans="1:19" x14ac:dyDescent="0.3">
      <c r="A1062" t="s">
        <v>8</v>
      </c>
      <c r="B1062">
        <f>VLOOKUP(A1062,Sheet2!B:F,5,FALSE)</f>
        <v>928</v>
      </c>
      <c r="C1062" t="s">
        <v>13</v>
      </c>
      <c r="D1062">
        <f>VLOOKUP(C1062,Sheet2!C:G,5,FALSE)</f>
        <v>1184</v>
      </c>
      <c r="E1062" t="s">
        <v>14</v>
      </c>
      <c r="F1062">
        <f>VLOOKUP(E1062,Sheet2!D:E,2,FALSE)</f>
        <v>914</v>
      </c>
      <c r="G1062" t="s">
        <v>11</v>
      </c>
      <c r="H1062" t="str">
        <f t="shared" si="32"/>
        <v>NAVERmakers79</v>
      </c>
      <c r="I1062" t="str">
        <f>"makers79"</f>
        <v>makers79</v>
      </c>
      <c r="J1062">
        <v>80230</v>
      </c>
      <c r="K1062" s="1">
        <v>44866</v>
      </c>
      <c r="L1062" t="s">
        <v>1119</v>
      </c>
      <c r="M1062">
        <f t="shared" si="33"/>
        <v>80230</v>
      </c>
      <c r="N1062" t="e">
        <f>VLOOKUP(H1062,Sheet1!G:H,2,FALSE)</f>
        <v>#N/A</v>
      </c>
      <c r="R1062" t="s">
        <v>2986</v>
      </c>
      <c r="S1062">
        <v>210</v>
      </c>
    </row>
    <row r="1063" spans="1:19" x14ac:dyDescent="0.3">
      <c r="A1063" t="s">
        <v>41</v>
      </c>
      <c r="B1063">
        <f>VLOOKUP(A1063,Sheet2!B:F,5,FALSE)</f>
        <v>926</v>
      </c>
      <c r="C1063" t="s">
        <v>525</v>
      </c>
      <c r="D1063">
        <f>VLOOKUP(C1063,Sheet2!C:G,5,FALSE)</f>
        <v>954</v>
      </c>
      <c r="E1063" t="s">
        <v>526</v>
      </c>
      <c r="F1063">
        <f>VLOOKUP(E1063,Sheet2!D:E,2,FALSE)</f>
        <v>200999</v>
      </c>
      <c r="G1063" t="s">
        <v>11</v>
      </c>
      <c r="H1063" t="str">
        <f t="shared" si="32"/>
        <v>NAVERmalldeview</v>
      </c>
      <c r="I1063" t="str">
        <f>"malldeview"</f>
        <v>malldeview</v>
      </c>
      <c r="J1063">
        <v>34310</v>
      </c>
      <c r="K1063" s="1">
        <v>44866</v>
      </c>
      <c r="L1063" t="s">
        <v>22</v>
      </c>
      <c r="M1063">
        <f t="shared" si="33"/>
        <v>34310</v>
      </c>
      <c r="N1063" t="e">
        <f>VLOOKUP(H1063,Sheet1!G:H,2,FALSE)</f>
        <v>#N/A</v>
      </c>
      <c r="R1063" t="s">
        <v>2987</v>
      </c>
      <c r="S1063">
        <v>2333540</v>
      </c>
    </row>
    <row r="1064" spans="1:19" x14ac:dyDescent="0.3">
      <c r="A1064" t="s">
        <v>8</v>
      </c>
      <c r="B1064">
        <f>VLOOKUP(A1064,Sheet2!B:F,5,FALSE)</f>
        <v>928</v>
      </c>
      <c r="C1064" t="s">
        <v>9</v>
      </c>
      <c r="D1064">
        <f>VLOOKUP(C1064,Sheet2!C:G,5,FALSE)</f>
        <v>1202</v>
      </c>
      <c r="E1064" t="s">
        <v>142</v>
      </c>
      <c r="F1064">
        <f>VLOOKUP(E1064,Sheet2!D:E,2,FALSE)</f>
        <v>652</v>
      </c>
      <c r="G1064" t="s">
        <v>11</v>
      </c>
      <c r="H1064" t="str">
        <f t="shared" si="32"/>
        <v>NAVERmandor3</v>
      </c>
      <c r="I1064" t="str">
        <f>"mandor3"</f>
        <v>mandor3</v>
      </c>
      <c r="J1064">
        <v>1419720</v>
      </c>
      <c r="K1064" s="1">
        <v>44866</v>
      </c>
      <c r="L1064" t="s">
        <v>1120</v>
      </c>
      <c r="M1064">
        <f t="shared" si="33"/>
        <v>1285410</v>
      </c>
      <c r="N1064" t="e">
        <f>VLOOKUP(H1064,Sheet1!G:H,2,FALSE)</f>
        <v>#N/A</v>
      </c>
      <c r="R1064" t="s">
        <v>2988</v>
      </c>
      <c r="S1064">
        <v>1390620</v>
      </c>
    </row>
    <row r="1065" spans="1:19" x14ac:dyDescent="0.3">
      <c r="A1065" t="s">
        <v>8</v>
      </c>
      <c r="B1065">
        <f>VLOOKUP(A1065,Sheet2!B:F,5,FALSE)</f>
        <v>928</v>
      </c>
      <c r="C1065" t="s">
        <v>9</v>
      </c>
      <c r="D1065">
        <f>VLOOKUP(C1065,Sheet2!C:G,5,FALSE)</f>
        <v>1202</v>
      </c>
      <c r="E1065" t="s">
        <v>73</v>
      </c>
      <c r="F1065">
        <f>VLOOKUP(E1065,Sheet2!D:E,2,FALSE)</f>
        <v>895</v>
      </c>
      <c r="G1065" t="s">
        <v>11</v>
      </c>
      <c r="H1065" t="str">
        <f t="shared" si="32"/>
        <v>NAVERmaria870</v>
      </c>
      <c r="I1065" t="str">
        <f>"maria870"</f>
        <v>maria870</v>
      </c>
      <c r="J1065">
        <v>26110</v>
      </c>
      <c r="K1065" s="1">
        <v>44866</v>
      </c>
      <c r="L1065" t="s">
        <v>1121</v>
      </c>
      <c r="M1065">
        <f t="shared" si="33"/>
        <v>26110</v>
      </c>
      <c r="N1065" t="e">
        <f>VLOOKUP(H1065,Sheet1!G:H,2,FALSE)</f>
        <v>#N/A</v>
      </c>
      <c r="R1065" t="s">
        <v>2989</v>
      </c>
      <c r="S1065">
        <v>2230</v>
      </c>
    </row>
    <row r="1066" spans="1:19" x14ac:dyDescent="0.3">
      <c r="A1066" t="s">
        <v>8</v>
      </c>
      <c r="B1066">
        <f>VLOOKUP(A1066,Sheet2!B:F,5,FALSE)</f>
        <v>928</v>
      </c>
      <c r="C1066" t="s">
        <v>9</v>
      </c>
      <c r="D1066">
        <f>VLOOKUP(C1066,Sheet2!C:G,5,FALSE)</f>
        <v>1202</v>
      </c>
      <c r="E1066" t="s">
        <v>20</v>
      </c>
      <c r="F1066">
        <f>VLOOKUP(E1066,Sheet2!D:E,2,FALSE)</f>
        <v>938</v>
      </c>
      <c r="G1066" t="s">
        <v>11</v>
      </c>
      <c r="H1066" t="str">
        <f t="shared" si="32"/>
        <v>NAVERmary194</v>
      </c>
      <c r="I1066" t="str">
        <f>"mary194"</f>
        <v>mary194</v>
      </c>
      <c r="J1066">
        <v>8190</v>
      </c>
      <c r="K1066" s="1">
        <v>44866</v>
      </c>
      <c r="L1066" t="s">
        <v>1122</v>
      </c>
      <c r="M1066">
        <f t="shared" si="33"/>
        <v>8190</v>
      </c>
      <c r="N1066" t="e">
        <f>VLOOKUP(H1066,Sheet1!G:H,2,FALSE)</f>
        <v>#N/A</v>
      </c>
      <c r="R1066" t="s">
        <v>2990</v>
      </c>
      <c r="S1066">
        <v>1540600</v>
      </c>
    </row>
    <row r="1067" spans="1:19" x14ac:dyDescent="0.3">
      <c r="A1067" t="s">
        <v>41</v>
      </c>
      <c r="B1067">
        <f>VLOOKUP(A1067,Sheet2!B:F,5,FALSE)</f>
        <v>926</v>
      </c>
      <c r="C1067" t="s">
        <v>42</v>
      </c>
      <c r="D1067">
        <f>VLOOKUP(C1067,Sheet2!C:G,5,FALSE)</f>
        <v>964</v>
      </c>
      <c r="E1067" t="s">
        <v>704</v>
      </c>
      <c r="F1067">
        <f>VLOOKUP(E1067,Sheet2!D:E,2,FALSE)</f>
        <v>1616</v>
      </c>
      <c r="G1067" t="s">
        <v>11</v>
      </c>
      <c r="H1067" t="str">
        <f t="shared" si="32"/>
        <v>NAVERmatrixwakeup</v>
      </c>
      <c r="I1067" t="str">
        <f>"matrixwakeup"</f>
        <v>matrixwakeup</v>
      </c>
      <c r="J1067">
        <v>780</v>
      </c>
      <c r="K1067" s="1">
        <v>44866</v>
      </c>
      <c r="L1067" t="s">
        <v>1123</v>
      </c>
      <c r="M1067">
        <f t="shared" si="33"/>
        <v>780</v>
      </c>
      <c r="N1067" t="e">
        <f>VLOOKUP(H1067,Sheet1!G:H,2,FALSE)</f>
        <v>#N/A</v>
      </c>
      <c r="R1067" t="s">
        <v>2991</v>
      </c>
      <c r="S1067">
        <v>165520</v>
      </c>
    </row>
    <row r="1068" spans="1:19" x14ac:dyDescent="0.3">
      <c r="A1068" t="s">
        <v>16</v>
      </c>
      <c r="B1068">
        <f>VLOOKUP(A1068,Sheet2!B:F,5,FALSE)</f>
        <v>927</v>
      </c>
      <c r="C1068" t="s">
        <v>17</v>
      </c>
      <c r="D1068">
        <f>VLOOKUP(C1068,Sheet2!C:G,5,FALSE)</f>
        <v>1200</v>
      </c>
      <c r="E1068" t="s">
        <v>137</v>
      </c>
      <c r="F1068">
        <f>VLOOKUP(E1068,Sheet2!D:E,2,FALSE)</f>
        <v>1012</v>
      </c>
      <c r="G1068" t="s">
        <v>11</v>
      </c>
      <c r="H1068" t="str">
        <f t="shared" si="32"/>
        <v>NAVERmatwoori</v>
      </c>
      <c r="I1068" t="str">
        <f>"matwoori"</f>
        <v>matwoori</v>
      </c>
      <c r="J1068">
        <v>96400</v>
      </c>
      <c r="K1068" s="1">
        <v>44866</v>
      </c>
      <c r="L1068" t="s">
        <v>1124</v>
      </c>
      <c r="M1068">
        <f t="shared" si="33"/>
        <v>96400</v>
      </c>
      <c r="N1068" t="e">
        <f>VLOOKUP(H1068,Sheet1!G:H,2,FALSE)</f>
        <v>#N/A</v>
      </c>
      <c r="R1068" t="s">
        <v>2992</v>
      </c>
      <c r="S1068">
        <v>149600</v>
      </c>
    </row>
    <row r="1069" spans="1:19" x14ac:dyDescent="0.3">
      <c r="A1069" t="s">
        <v>8</v>
      </c>
      <c r="B1069">
        <f>VLOOKUP(A1069,Sheet2!B:F,5,FALSE)</f>
        <v>928</v>
      </c>
      <c r="C1069" t="s">
        <v>13</v>
      </c>
      <c r="D1069">
        <f>VLOOKUP(C1069,Sheet2!C:G,5,FALSE)</f>
        <v>1184</v>
      </c>
      <c r="E1069" t="s">
        <v>59</v>
      </c>
      <c r="F1069">
        <f>VLOOKUP(E1069,Sheet2!D:E,2,FALSE)</f>
        <v>9</v>
      </c>
      <c r="G1069" t="s">
        <v>11</v>
      </c>
      <c r="H1069" t="str">
        <f t="shared" si="32"/>
        <v>NAVERmbcdoctor</v>
      </c>
      <c r="I1069" t="str">
        <f>"mbcdoctor"</f>
        <v>mbcdoctor</v>
      </c>
      <c r="J1069">
        <v>8060</v>
      </c>
      <c r="K1069" s="1">
        <v>44866</v>
      </c>
      <c r="L1069" t="s">
        <v>1125</v>
      </c>
      <c r="M1069">
        <f t="shared" si="33"/>
        <v>8060</v>
      </c>
      <c r="N1069" t="e">
        <f>VLOOKUP(H1069,Sheet1!G:H,2,FALSE)</f>
        <v>#N/A</v>
      </c>
      <c r="R1069" t="s">
        <v>2993</v>
      </c>
      <c r="S1069">
        <v>438160</v>
      </c>
    </row>
    <row r="1070" spans="1:19" x14ac:dyDescent="0.3">
      <c r="A1070" t="s">
        <v>41</v>
      </c>
      <c r="B1070">
        <f>VLOOKUP(A1070,Sheet2!B:F,5,FALSE)</f>
        <v>926</v>
      </c>
      <c r="C1070" t="s">
        <v>56</v>
      </c>
      <c r="D1070">
        <f>VLOOKUP(C1070,Sheet2!C:G,5,FALSE)</f>
        <v>1207</v>
      </c>
      <c r="E1070" t="s">
        <v>62</v>
      </c>
      <c r="F1070">
        <f>VLOOKUP(E1070,Sheet2!D:E,2,FALSE)</f>
        <v>201037</v>
      </c>
      <c r="G1070" t="s">
        <v>11</v>
      </c>
      <c r="H1070" t="str">
        <f t="shared" si="32"/>
        <v>NAVERmbikorea</v>
      </c>
      <c r="I1070" t="str">
        <f>"mbikorea"</f>
        <v>mbikorea</v>
      </c>
      <c r="J1070">
        <v>1597070</v>
      </c>
      <c r="K1070" s="1">
        <v>44866</v>
      </c>
      <c r="L1070" t="s">
        <v>1126</v>
      </c>
      <c r="M1070">
        <f t="shared" si="33"/>
        <v>1597830</v>
      </c>
      <c r="N1070" t="e">
        <f>VLOOKUP(H1070,Sheet1!G:H,2,FALSE)</f>
        <v>#N/A</v>
      </c>
      <c r="R1070" t="s">
        <v>2994</v>
      </c>
      <c r="S1070">
        <v>188840</v>
      </c>
    </row>
    <row r="1071" spans="1:19" x14ac:dyDescent="0.3">
      <c r="A1071" t="s">
        <v>8</v>
      </c>
      <c r="B1071">
        <f>VLOOKUP(A1071,Sheet2!B:F,5,FALSE)</f>
        <v>928</v>
      </c>
      <c r="C1071" t="s">
        <v>9</v>
      </c>
      <c r="D1071">
        <f>VLOOKUP(C1071,Sheet2!C:G,5,FALSE)</f>
        <v>1202</v>
      </c>
      <c r="E1071" t="s">
        <v>220</v>
      </c>
      <c r="F1071">
        <f>VLOOKUP(E1071,Sheet2!D:E,2,FALSE)</f>
        <v>1211</v>
      </c>
      <c r="G1071" t="s">
        <v>11</v>
      </c>
      <c r="H1071" t="str">
        <f t="shared" si="32"/>
        <v>NAVERmbk2920</v>
      </c>
      <c r="I1071" t="str">
        <f>"mbk2920"</f>
        <v>mbk2920</v>
      </c>
      <c r="J1071">
        <v>557840</v>
      </c>
      <c r="K1071" s="1">
        <v>44866</v>
      </c>
      <c r="L1071" t="s">
        <v>1127</v>
      </c>
      <c r="M1071">
        <f t="shared" si="33"/>
        <v>557840</v>
      </c>
      <c r="N1071" t="e">
        <f>VLOOKUP(H1071,Sheet1!G:H,2,FALSE)</f>
        <v>#N/A</v>
      </c>
      <c r="R1071" t="s">
        <v>2995</v>
      </c>
      <c r="S1071">
        <v>1660550</v>
      </c>
    </row>
    <row r="1072" spans="1:19" x14ac:dyDescent="0.3">
      <c r="A1072" t="s">
        <v>8</v>
      </c>
      <c r="B1072">
        <f>VLOOKUP(A1072,Sheet2!B:F,5,FALSE)</f>
        <v>928</v>
      </c>
      <c r="C1072" t="s">
        <v>13</v>
      </c>
      <c r="D1072">
        <f>VLOOKUP(C1072,Sheet2!C:G,5,FALSE)</f>
        <v>1184</v>
      </c>
      <c r="E1072" t="s">
        <v>51</v>
      </c>
      <c r="F1072">
        <f>VLOOKUP(E1072,Sheet2!D:E,2,FALSE)</f>
        <v>1274</v>
      </c>
      <c r="G1072" t="s">
        <v>11</v>
      </c>
      <c r="H1072" t="str">
        <f t="shared" si="32"/>
        <v>NAVERmcnylon</v>
      </c>
      <c r="I1072" t="str">
        <f>"mcnylon"</f>
        <v>mcnylon</v>
      </c>
      <c r="J1072">
        <v>47160</v>
      </c>
      <c r="K1072" s="1">
        <v>44866</v>
      </c>
      <c r="L1072" t="s">
        <v>1128</v>
      </c>
      <c r="M1072">
        <f t="shared" si="33"/>
        <v>47160</v>
      </c>
      <c r="N1072" t="e">
        <f>VLOOKUP(H1072,Sheet1!G:H,2,FALSE)</f>
        <v>#N/A</v>
      </c>
      <c r="R1072" t="s">
        <v>2996</v>
      </c>
      <c r="S1072">
        <v>191990</v>
      </c>
    </row>
    <row r="1073" spans="1:19" x14ac:dyDescent="0.3">
      <c r="A1073" t="s">
        <v>22</v>
      </c>
      <c r="B1073">
        <f>VLOOKUP(A1073,Sheet2!B:F,5,FALSE)</f>
        <v>809</v>
      </c>
      <c r="C1073" t="s">
        <v>23</v>
      </c>
      <c r="D1073">
        <f>VLOOKUP(C1073,Sheet2!C:G,5,FALSE)</f>
        <v>810</v>
      </c>
      <c r="E1073" t="s">
        <v>106</v>
      </c>
      <c r="F1073">
        <f>VLOOKUP(E1073,Sheet2!D:E,2,FALSE)</f>
        <v>1349</v>
      </c>
      <c r="G1073" t="s">
        <v>11</v>
      </c>
      <c r="H1073" t="str">
        <f t="shared" si="32"/>
        <v>NAVERmcsl_table</v>
      </c>
      <c r="I1073" t="str">
        <f>"mcsl_table"</f>
        <v>mcsl_table</v>
      </c>
      <c r="J1073">
        <v>37510</v>
      </c>
      <c r="K1073" s="1">
        <v>44866</v>
      </c>
      <c r="L1073" t="s">
        <v>1129</v>
      </c>
      <c r="M1073">
        <f t="shared" si="33"/>
        <v>37510</v>
      </c>
      <c r="N1073" t="e">
        <f>VLOOKUP(H1073,Sheet1!G:H,2,FALSE)</f>
        <v>#N/A</v>
      </c>
      <c r="R1073" t="s">
        <v>2997</v>
      </c>
      <c r="S1073">
        <v>448850</v>
      </c>
    </row>
    <row r="1074" spans="1:19" x14ac:dyDescent="0.3">
      <c r="A1074" t="s">
        <v>8</v>
      </c>
      <c r="B1074">
        <f>VLOOKUP(A1074,Sheet2!B:F,5,FALSE)</f>
        <v>928</v>
      </c>
      <c r="C1074" t="s">
        <v>9</v>
      </c>
      <c r="D1074">
        <f>VLOOKUP(C1074,Sheet2!C:G,5,FALSE)</f>
        <v>1202</v>
      </c>
      <c r="E1074" t="s">
        <v>220</v>
      </c>
      <c r="F1074">
        <f>VLOOKUP(E1074,Sheet2!D:E,2,FALSE)</f>
        <v>1211</v>
      </c>
      <c r="G1074" t="s">
        <v>11</v>
      </c>
      <c r="H1074" t="str">
        <f t="shared" si="32"/>
        <v>NAVERmdskorea</v>
      </c>
      <c r="I1074" t="str">
        <f>"mdskorea"</f>
        <v>mdskorea</v>
      </c>
      <c r="J1074">
        <v>2270</v>
      </c>
      <c r="K1074" s="1">
        <v>44866</v>
      </c>
      <c r="L1074" t="s">
        <v>1130</v>
      </c>
      <c r="M1074">
        <f t="shared" si="33"/>
        <v>2270</v>
      </c>
      <c r="N1074" t="e">
        <f>VLOOKUP(H1074,Sheet1!G:H,2,FALSE)</f>
        <v>#N/A</v>
      </c>
      <c r="R1074" t="s">
        <v>2998</v>
      </c>
      <c r="S1074">
        <v>401880</v>
      </c>
    </row>
    <row r="1075" spans="1:19" x14ac:dyDescent="0.3">
      <c r="A1075" t="s">
        <v>8</v>
      </c>
      <c r="B1075">
        <f>VLOOKUP(A1075,Sheet2!B:F,5,FALSE)</f>
        <v>928</v>
      </c>
      <c r="C1075" t="s">
        <v>13</v>
      </c>
      <c r="D1075">
        <f>VLOOKUP(C1075,Sheet2!C:G,5,FALSE)</f>
        <v>1184</v>
      </c>
      <c r="E1075" t="s">
        <v>59</v>
      </c>
      <c r="F1075">
        <f>VLOOKUP(E1075,Sheet2!D:E,2,FALSE)</f>
        <v>9</v>
      </c>
      <c r="G1075" t="s">
        <v>11</v>
      </c>
      <c r="H1075" t="str">
        <f t="shared" si="32"/>
        <v>NAVERmduk2635</v>
      </c>
      <c r="I1075" t="str">
        <f>"mduk2635"</f>
        <v>mduk2635</v>
      </c>
      <c r="J1075">
        <v>8590</v>
      </c>
      <c r="K1075" s="1">
        <v>44866</v>
      </c>
      <c r="L1075" t="s">
        <v>1131</v>
      </c>
      <c r="M1075">
        <f t="shared" si="33"/>
        <v>8590</v>
      </c>
      <c r="N1075" t="e">
        <f>VLOOKUP(H1075,Sheet1!G:H,2,FALSE)</f>
        <v>#N/A</v>
      </c>
      <c r="R1075" t="s">
        <v>2999</v>
      </c>
      <c r="S1075">
        <v>5830</v>
      </c>
    </row>
    <row r="1076" spans="1:19" x14ac:dyDescent="0.3">
      <c r="A1076" t="s">
        <v>8</v>
      </c>
      <c r="B1076">
        <f>VLOOKUP(A1076,Sheet2!B:F,5,FALSE)</f>
        <v>928</v>
      </c>
      <c r="C1076" t="s">
        <v>9</v>
      </c>
      <c r="D1076">
        <f>VLOOKUP(C1076,Sheet2!C:G,5,FALSE)</f>
        <v>1202</v>
      </c>
      <c r="E1076" t="s">
        <v>47</v>
      </c>
      <c r="F1076">
        <f>VLOOKUP(E1076,Sheet2!D:E,2,FALSE)</f>
        <v>898</v>
      </c>
      <c r="G1076" t="s">
        <v>11</v>
      </c>
      <c r="H1076" t="str">
        <f t="shared" si="32"/>
        <v>NAVERmec97:naver</v>
      </c>
      <c r="I1076" t="str">
        <f>"mec97:naver"</f>
        <v>mec97:naver</v>
      </c>
      <c r="J1076">
        <v>1532370</v>
      </c>
      <c r="K1076" s="1">
        <v>44866</v>
      </c>
      <c r="L1076" t="s">
        <v>1132</v>
      </c>
      <c r="M1076">
        <f t="shared" si="33"/>
        <v>1532370</v>
      </c>
      <c r="N1076" t="e">
        <f>VLOOKUP(H1076,Sheet1!G:H,2,FALSE)</f>
        <v>#N/A</v>
      </c>
      <c r="R1076" t="s">
        <v>3000</v>
      </c>
      <c r="S1076">
        <v>798480</v>
      </c>
    </row>
    <row r="1077" spans="1:19" x14ac:dyDescent="0.3">
      <c r="A1077" t="s">
        <v>16</v>
      </c>
      <c r="B1077">
        <f>VLOOKUP(A1077,Sheet2!B:F,5,FALSE)</f>
        <v>927</v>
      </c>
      <c r="C1077" t="s">
        <v>17</v>
      </c>
      <c r="D1077">
        <f>VLOOKUP(C1077,Sheet2!C:G,5,FALSE)</f>
        <v>1200</v>
      </c>
      <c r="E1077" t="s">
        <v>290</v>
      </c>
      <c r="F1077">
        <f>VLOOKUP(E1077,Sheet2!D:E,2,FALSE)</f>
        <v>556</v>
      </c>
      <c r="G1077" t="s">
        <v>11</v>
      </c>
      <c r="H1077" t="str">
        <f t="shared" si="32"/>
        <v>NAVERmecks0819:naver</v>
      </c>
      <c r="I1077" t="str">
        <f>"mecks0819:naver"</f>
        <v>mecks0819:naver</v>
      </c>
      <c r="J1077">
        <v>386120</v>
      </c>
      <c r="K1077" s="1">
        <v>44866</v>
      </c>
      <c r="L1077" t="s">
        <v>1133</v>
      </c>
      <c r="M1077">
        <f t="shared" si="33"/>
        <v>386120</v>
      </c>
      <c r="N1077" t="e">
        <f>VLOOKUP(H1077,Sheet1!G:H,2,FALSE)</f>
        <v>#N/A</v>
      </c>
      <c r="R1077" t="s">
        <v>3001</v>
      </c>
      <c r="S1077">
        <v>9100</v>
      </c>
    </row>
    <row r="1078" spans="1:19" x14ac:dyDescent="0.3">
      <c r="A1078" t="s">
        <v>8</v>
      </c>
      <c r="B1078">
        <f>VLOOKUP(A1078,Sheet2!B:F,5,FALSE)</f>
        <v>928</v>
      </c>
      <c r="C1078" t="s">
        <v>9</v>
      </c>
      <c r="D1078">
        <f>VLOOKUP(C1078,Sheet2!C:G,5,FALSE)</f>
        <v>1202</v>
      </c>
      <c r="E1078" t="s">
        <v>20</v>
      </c>
      <c r="F1078">
        <f>VLOOKUP(E1078,Sheet2!D:E,2,FALSE)</f>
        <v>938</v>
      </c>
      <c r="G1078" t="s">
        <v>11</v>
      </c>
      <c r="H1078" t="str">
        <f t="shared" si="32"/>
        <v>NAVERmediadu:naver</v>
      </c>
      <c r="I1078" t="str">
        <f>"mediadu:naver"</f>
        <v>mediadu:naver</v>
      </c>
      <c r="J1078">
        <v>292170</v>
      </c>
      <c r="K1078" s="1">
        <v>44866</v>
      </c>
      <c r="L1078" t="s">
        <v>1113</v>
      </c>
      <c r="M1078">
        <f t="shared" si="33"/>
        <v>292170</v>
      </c>
      <c r="N1078" t="e">
        <f>VLOOKUP(H1078,Sheet1!G:H,2,FALSE)</f>
        <v>#N/A</v>
      </c>
      <c r="R1078" t="s">
        <v>3002</v>
      </c>
      <c r="S1078">
        <v>596940</v>
      </c>
    </row>
    <row r="1079" spans="1:19" x14ac:dyDescent="0.3">
      <c r="A1079" t="s">
        <v>8</v>
      </c>
      <c r="B1079">
        <f>VLOOKUP(A1079,Sheet2!B:F,5,FALSE)</f>
        <v>928</v>
      </c>
      <c r="C1079" t="s">
        <v>9</v>
      </c>
      <c r="D1079">
        <f>VLOOKUP(C1079,Sheet2!C:G,5,FALSE)</f>
        <v>1202</v>
      </c>
      <c r="E1079" t="s">
        <v>37</v>
      </c>
      <c r="F1079">
        <f>VLOOKUP(E1079,Sheet2!D:E,2,FALSE)</f>
        <v>81</v>
      </c>
      <c r="G1079" t="s">
        <v>11</v>
      </c>
      <c r="H1079" t="str">
        <f t="shared" si="32"/>
        <v>NAVERmedicats</v>
      </c>
      <c r="I1079" t="str">
        <f>"medicats"</f>
        <v>medicats</v>
      </c>
      <c r="J1079">
        <v>1575970</v>
      </c>
      <c r="K1079" s="1">
        <v>44866</v>
      </c>
      <c r="L1079" t="s">
        <v>1134</v>
      </c>
      <c r="M1079">
        <f t="shared" si="33"/>
        <v>1575970</v>
      </c>
      <c r="N1079" t="e">
        <f>VLOOKUP(H1079,Sheet1!G:H,2,FALSE)</f>
        <v>#N/A</v>
      </c>
      <c r="R1079" t="s">
        <v>3003</v>
      </c>
      <c r="S1079">
        <v>100</v>
      </c>
    </row>
    <row r="1080" spans="1:19" x14ac:dyDescent="0.3">
      <c r="A1080" t="s">
        <v>8</v>
      </c>
      <c r="B1080">
        <f>VLOOKUP(A1080,Sheet2!B:F,5,FALSE)</f>
        <v>928</v>
      </c>
      <c r="C1080" t="s">
        <v>9</v>
      </c>
      <c r="D1080">
        <f>VLOOKUP(C1080,Sheet2!C:G,5,FALSE)</f>
        <v>1202</v>
      </c>
      <c r="E1080" t="s">
        <v>10</v>
      </c>
      <c r="F1080">
        <f>VLOOKUP(E1080,Sheet2!D:E,2,FALSE)</f>
        <v>939</v>
      </c>
      <c r="G1080" t="s">
        <v>11</v>
      </c>
      <c r="H1080" t="str">
        <f t="shared" si="32"/>
        <v>NAVERmedimecca</v>
      </c>
      <c r="I1080" t="str">
        <f>"medimecca"</f>
        <v>medimecca</v>
      </c>
      <c r="J1080">
        <v>4340</v>
      </c>
      <c r="K1080" s="1">
        <v>44866</v>
      </c>
      <c r="L1080" t="s">
        <v>1135</v>
      </c>
      <c r="M1080">
        <f t="shared" si="33"/>
        <v>4340</v>
      </c>
      <c r="N1080" t="e">
        <f>VLOOKUP(H1080,Sheet1!G:H,2,FALSE)</f>
        <v>#N/A</v>
      </c>
      <c r="R1080" t="s">
        <v>3004</v>
      </c>
      <c r="S1080">
        <v>131340</v>
      </c>
    </row>
    <row r="1081" spans="1:19" x14ac:dyDescent="0.3">
      <c r="A1081" t="s">
        <v>16</v>
      </c>
      <c r="B1081">
        <f>VLOOKUP(A1081,Sheet2!B:F,5,FALSE)</f>
        <v>927</v>
      </c>
      <c r="C1081" t="s">
        <v>17</v>
      </c>
      <c r="D1081">
        <f>VLOOKUP(C1081,Sheet2!C:G,5,FALSE)</f>
        <v>1200</v>
      </c>
      <c r="E1081" t="s">
        <v>78</v>
      </c>
      <c r="F1081">
        <f>VLOOKUP(E1081,Sheet2!D:E,2,FALSE)</f>
        <v>57</v>
      </c>
      <c r="G1081" t="s">
        <v>11</v>
      </c>
      <c r="H1081" t="str">
        <f t="shared" si="32"/>
        <v>NAVERmeditree12</v>
      </c>
      <c r="I1081" t="str">
        <f>"meditree12"</f>
        <v>meditree12</v>
      </c>
      <c r="J1081">
        <v>12106350</v>
      </c>
      <c r="K1081" s="1">
        <v>44866</v>
      </c>
      <c r="L1081" t="s">
        <v>1136</v>
      </c>
      <c r="M1081">
        <f t="shared" si="33"/>
        <v>12132660</v>
      </c>
      <c r="N1081" t="e">
        <f>VLOOKUP(H1081,Sheet1!G:H,2,FALSE)</f>
        <v>#N/A</v>
      </c>
      <c r="R1081" t="s">
        <v>3005</v>
      </c>
      <c r="S1081">
        <v>16040</v>
      </c>
    </row>
    <row r="1082" spans="1:19" x14ac:dyDescent="0.3">
      <c r="A1082" t="s">
        <v>41</v>
      </c>
      <c r="B1082">
        <f>VLOOKUP(A1082,Sheet2!B:F,5,FALSE)</f>
        <v>926</v>
      </c>
      <c r="C1082" t="s">
        <v>56</v>
      </c>
      <c r="D1082">
        <f>VLOOKUP(C1082,Sheet2!C:G,5,FALSE)</f>
        <v>1207</v>
      </c>
      <c r="E1082" t="s">
        <v>57</v>
      </c>
      <c r="F1082">
        <f>VLOOKUP(E1082,Sheet2!D:E,2,FALSE)</f>
        <v>200982</v>
      </c>
      <c r="G1082" t="s">
        <v>11</v>
      </c>
      <c r="H1082" t="str">
        <f t="shared" si="32"/>
        <v>NAVERmeetyeo</v>
      </c>
      <c r="I1082" t="str">
        <f>"meetyeo"</f>
        <v>meetyeo</v>
      </c>
      <c r="J1082">
        <v>509770</v>
      </c>
      <c r="K1082" s="1">
        <v>44866</v>
      </c>
      <c r="L1082" t="s">
        <v>1137</v>
      </c>
      <c r="M1082">
        <f t="shared" si="33"/>
        <v>509770</v>
      </c>
      <c r="N1082" t="e">
        <f>VLOOKUP(H1082,Sheet1!G:H,2,FALSE)</f>
        <v>#N/A</v>
      </c>
      <c r="R1082" t="s">
        <v>3006</v>
      </c>
      <c r="S1082">
        <v>2245030</v>
      </c>
    </row>
    <row r="1083" spans="1:19" x14ac:dyDescent="0.3">
      <c r="A1083" t="s">
        <v>8</v>
      </c>
      <c r="B1083">
        <f>VLOOKUP(A1083,Sheet2!B:F,5,FALSE)</f>
        <v>928</v>
      </c>
      <c r="C1083" t="s">
        <v>13</v>
      </c>
      <c r="D1083">
        <f>VLOOKUP(C1083,Sheet2!C:G,5,FALSE)</f>
        <v>1184</v>
      </c>
      <c r="E1083" t="s">
        <v>118</v>
      </c>
      <c r="F1083">
        <f>VLOOKUP(E1083,Sheet2!D:E,2,FALSE)</f>
        <v>201004</v>
      </c>
      <c r="G1083" t="s">
        <v>11</v>
      </c>
      <c r="H1083" t="str">
        <f t="shared" si="32"/>
        <v>NAVERmeharoad</v>
      </c>
      <c r="I1083" t="str">
        <f>"meharoad"</f>
        <v>meharoad</v>
      </c>
      <c r="J1083">
        <v>3666602</v>
      </c>
      <c r="K1083" s="1">
        <v>44866</v>
      </c>
      <c r="L1083" t="s">
        <v>1138</v>
      </c>
      <c r="M1083">
        <f t="shared" si="33"/>
        <v>1346610</v>
      </c>
      <c r="N1083" t="e">
        <f>VLOOKUP(H1083,Sheet1!G:H,2,FALSE)</f>
        <v>#N/A</v>
      </c>
      <c r="R1083" t="s">
        <v>3007</v>
      </c>
      <c r="S1083">
        <v>6780</v>
      </c>
    </row>
    <row r="1084" spans="1:19" x14ac:dyDescent="0.3">
      <c r="A1084" t="s">
        <v>16</v>
      </c>
      <c r="B1084">
        <f>VLOOKUP(A1084,Sheet2!B:F,5,FALSE)</f>
        <v>927</v>
      </c>
      <c r="C1084" t="s">
        <v>17</v>
      </c>
      <c r="D1084">
        <f>VLOOKUP(C1084,Sheet2!C:G,5,FALSE)</f>
        <v>1200</v>
      </c>
      <c r="E1084" t="s">
        <v>29</v>
      </c>
      <c r="F1084">
        <f>VLOOKUP(E1084,Sheet2!D:E,2,FALSE)</f>
        <v>1496</v>
      </c>
      <c r="G1084" t="s">
        <v>11</v>
      </c>
      <c r="H1084" t="str">
        <f t="shared" si="32"/>
        <v>NAVERmesacompany</v>
      </c>
      <c r="I1084" t="str">
        <f>"mesacompany"</f>
        <v>mesacompany</v>
      </c>
      <c r="J1084">
        <v>17336530</v>
      </c>
      <c r="K1084" s="1">
        <v>44866</v>
      </c>
      <c r="L1084" t="s">
        <v>1139</v>
      </c>
      <c r="M1084">
        <f t="shared" si="33"/>
        <v>17336530</v>
      </c>
      <c r="N1084" t="e">
        <f>VLOOKUP(H1084,Sheet1!G:H,2,FALSE)</f>
        <v>#N/A</v>
      </c>
      <c r="R1084" t="s">
        <v>3008</v>
      </c>
      <c r="S1084">
        <v>818250</v>
      </c>
    </row>
    <row r="1085" spans="1:19" x14ac:dyDescent="0.3">
      <c r="A1085" t="s">
        <v>8</v>
      </c>
      <c r="B1085">
        <f>VLOOKUP(A1085,Sheet2!B:F,5,FALSE)</f>
        <v>928</v>
      </c>
      <c r="C1085" t="s">
        <v>13</v>
      </c>
      <c r="D1085">
        <f>VLOOKUP(C1085,Sheet2!C:G,5,FALSE)</f>
        <v>1184</v>
      </c>
      <c r="E1085" t="s">
        <v>14</v>
      </c>
      <c r="F1085">
        <f>VLOOKUP(E1085,Sheet2!D:E,2,FALSE)</f>
        <v>914</v>
      </c>
      <c r="G1085" t="s">
        <v>11</v>
      </c>
      <c r="H1085" t="str">
        <f t="shared" si="32"/>
        <v>NAVERmetanetmcc</v>
      </c>
      <c r="I1085" t="str">
        <f>"metanetmcc"</f>
        <v>metanetmcc</v>
      </c>
      <c r="J1085">
        <v>2429960</v>
      </c>
      <c r="K1085" s="1">
        <v>44866</v>
      </c>
      <c r="L1085" t="s">
        <v>323</v>
      </c>
      <c r="M1085">
        <f t="shared" si="33"/>
        <v>2429960</v>
      </c>
      <c r="N1085" t="e">
        <f>VLOOKUP(H1085,Sheet1!G:H,2,FALSE)</f>
        <v>#N/A</v>
      </c>
      <c r="R1085" t="s">
        <v>3009</v>
      </c>
      <c r="S1085">
        <v>4479770</v>
      </c>
    </row>
    <row r="1086" spans="1:19" x14ac:dyDescent="0.3">
      <c r="A1086" t="s">
        <v>8</v>
      </c>
      <c r="B1086">
        <f>VLOOKUP(A1086,Sheet2!B:F,5,FALSE)</f>
        <v>928</v>
      </c>
      <c r="C1086" t="s">
        <v>9</v>
      </c>
      <c r="D1086">
        <f>VLOOKUP(C1086,Sheet2!C:G,5,FALSE)</f>
        <v>1202</v>
      </c>
      <c r="E1086" t="s">
        <v>310</v>
      </c>
      <c r="F1086">
        <f>VLOOKUP(E1086,Sheet2!D:E,2,FALSE)</f>
        <v>201113</v>
      </c>
      <c r="G1086" t="s">
        <v>11</v>
      </c>
      <c r="H1086" t="str">
        <f t="shared" si="32"/>
        <v>NAVERmidamhi:naver</v>
      </c>
      <c r="I1086" t="str">
        <f>"midamhi:naver"</f>
        <v>midamhi:naver</v>
      </c>
      <c r="J1086">
        <v>93900</v>
      </c>
      <c r="K1086" s="1">
        <v>44866</v>
      </c>
      <c r="L1086" t="s">
        <v>1140</v>
      </c>
      <c r="M1086">
        <f t="shared" si="33"/>
        <v>93900</v>
      </c>
      <c r="N1086" t="e">
        <f>VLOOKUP(H1086,Sheet1!G:H,2,FALSE)</f>
        <v>#N/A</v>
      </c>
      <c r="R1086" t="s">
        <v>3010</v>
      </c>
      <c r="S1086">
        <v>1631160</v>
      </c>
    </row>
    <row r="1087" spans="1:19" x14ac:dyDescent="0.3">
      <c r="A1087" t="s">
        <v>8</v>
      </c>
      <c r="B1087">
        <f>VLOOKUP(A1087,Sheet2!B:F,5,FALSE)</f>
        <v>928</v>
      </c>
      <c r="C1087" t="s">
        <v>13</v>
      </c>
      <c r="D1087">
        <f>VLOOKUP(C1087,Sheet2!C:G,5,FALSE)</f>
        <v>1184</v>
      </c>
      <c r="E1087" t="s">
        <v>118</v>
      </c>
      <c r="F1087">
        <f>VLOOKUP(E1087,Sheet2!D:E,2,FALSE)</f>
        <v>201004</v>
      </c>
      <c r="G1087" t="s">
        <v>11</v>
      </c>
      <c r="H1087" t="str">
        <f t="shared" si="32"/>
        <v>NAVERmielle3</v>
      </c>
      <c r="I1087" t="str">
        <f>"mielle3"</f>
        <v>mielle3</v>
      </c>
      <c r="J1087">
        <v>555290</v>
      </c>
      <c r="K1087" s="1">
        <v>44866</v>
      </c>
      <c r="L1087" t="s">
        <v>1141</v>
      </c>
      <c r="M1087">
        <f t="shared" si="33"/>
        <v>555290</v>
      </c>
      <c r="N1087" t="e">
        <f>VLOOKUP(H1087,Sheet1!G:H,2,FALSE)</f>
        <v>#N/A</v>
      </c>
      <c r="R1087" t="s">
        <v>3011</v>
      </c>
      <c r="S1087">
        <v>0</v>
      </c>
    </row>
    <row r="1088" spans="1:19" x14ac:dyDescent="0.3">
      <c r="A1088" t="s">
        <v>8</v>
      </c>
      <c r="B1088">
        <f>VLOOKUP(A1088,Sheet2!B:F,5,FALSE)</f>
        <v>928</v>
      </c>
      <c r="C1088" t="s">
        <v>9</v>
      </c>
      <c r="D1088">
        <f>VLOOKUP(C1088,Sheet2!C:G,5,FALSE)</f>
        <v>1202</v>
      </c>
      <c r="E1088" t="s">
        <v>45</v>
      </c>
      <c r="F1088">
        <f>VLOOKUP(E1088,Sheet2!D:E,2,FALSE)</f>
        <v>26</v>
      </c>
      <c r="G1088" t="s">
        <v>11</v>
      </c>
      <c r="H1088" t="str">
        <f t="shared" si="32"/>
        <v>NAVERmihwa9681</v>
      </c>
      <c r="I1088" t="str">
        <f>"mihwa9681"</f>
        <v>mihwa9681</v>
      </c>
      <c r="J1088">
        <v>210</v>
      </c>
      <c r="K1088" s="1">
        <v>44866</v>
      </c>
      <c r="L1088" t="s">
        <v>1142</v>
      </c>
      <c r="M1088">
        <f t="shared" si="33"/>
        <v>210</v>
      </c>
      <c r="N1088" t="e">
        <f>VLOOKUP(H1088,Sheet1!G:H,2,FALSE)</f>
        <v>#N/A</v>
      </c>
      <c r="R1088" t="s">
        <v>3012</v>
      </c>
      <c r="S1088">
        <v>449060</v>
      </c>
    </row>
    <row r="1089" spans="1:19" x14ac:dyDescent="0.3">
      <c r="A1089" t="s">
        <v>8</v>
      </c>
      <c r="B1089">
        <f>VLOOKUP(A1089,Sheet2!B:F,5,FALSE)</f>
        <v>928</v>
      </c>
      <c r="C1089" t="s">
        <v>9</v>
      </c>
      <c r="D1089">
        <f>VLOOKUP(C1089,Sheet2!C:G,5,FALSE)</f>
        <v>1202</v>
      </c>
      <c r="E1089" t="s">
        <v>37</v>
      </c>
      <c r="F1089">
        <f>VLOOKUP(E1089,Sheet2!D:E,2,FALSE)</f>
        <v>81</v>
      </c>
      <c r="G1089" t="s">
        <v>11</v>
      </c>
      <c r="H1089" t="str">
        <f t="shared" si="32"/>
        <v>NAVERmillesia</v>
      </c>
      <c r="I1089" t="str">
        <f>"millesia"</f>
        <v>millesia</v>
      </c>
      <c r="J1089">
        <v>3023190</v>
      </c>
      <c r="K1089" s="1">
        <v>44866</v>
      </c>
      <c r="L1089" t="s">
        <v>1143</v>
      </c>
      <c r="M1089">
        <f t="shared" si="33"/>
        <v>3023190</v>
      </c>
      <c r="N1089" t="e">
        <f>VLOOKUP(H1089,Sheet1!G:H,2,FALSE)</f>
        <v>#N/A</v>
      </c>
      <c r="R1089" t="s">
        <v>3013</v>
      </c>
      <c r="S1089">
        <v>94290</v>
      </c>
    </row>
    <row r="1090" spans="1:19" x14ac:dyDescent="0.3">
      <c r="A1090" t="s">
        <v>8</v>
      </c>
      <c r="B1090">
        <f>VLOOKUP(A1090,Sheet2!B:F,5,FALSE)</f>
        <v>928</v>
      </c>
      <c r="C1090" t="s">
        <v>13</v>
      </c>
      <c r="D1090">
        <f>VLOOKUP(C1090,Sheet2!C:G,5,FALSE)</f>
        <v>1184</v>
      </c>
      <c r="E1090" t="s">
        <v>59</v>
      </c>
      <c r="F1090">
        <f>VLOOKUP(E1090,Sheet2!D:E,2,FALSE)</f>
        <v>9</v>
      </c>
      <c r="G1090" t="s">
        <v>11</v>
      </c>
      <c r="H1090" t="str">
        <f t="shared" si="32"/>
        <v>NAVERmillingind</v>
      </c>
      <c r="I1090" t="str">
        <f>"millingind"</f>
        <v>millingind</v>
      </c>
      <c r="J1090">
        <v>13860</v>
      </c>
      <c r="K1090" s="1">
        <v>44866</v>
      </c>
      <c r="L1090" t="s">
        <v>1144</v>
      </c>
      <c r="M1090">
        <f t="shared" si="33"/>
        <v>13860</v>
      </c>
      <c r="N1090" t="e">
        <f>VLOOKUP(H1090,Sheet1!G:H,2,FALSE)</f>
        <v>#N/A</v>
      </c>
      <c r="R1090" t="s">
        <v>3014</v>
      </c>
      <c r="S1090">
        <v>2856220</v>
      </c>
    </row>
    <row r="1091" spans="1:19" x14ac:dyDescent="0.3">
      <c r="A1091" t="s">
        <v>16</v>
      </c>
      <c r="B1091">
        <f>VLOOKUP(A1091,Sheet2!B:F,5,FALSE)</f>
        <v>927</v>
      </c>
      <c r="C1091" t="s">
        <v>17</v>
      </c>
      <c r="D1091">
        <f>VLOOKUP(C1091,Sheet2!C:G,5,FALSE)</f>
        <v>1200</v>
      </c>
      <c r="E1091" t="s">
        <v>137</v>
      </c>
      <c r="F1091">
        <f>VLOOKUP(E1091,Sheet2!D:E,2,FALSE)</f>
        <v>1012</v>
      </c>
      <c r="G1091" t="s">
        <v>11</v>
      </c>
      <c r="H1091" t="str">
        <f t="shared" ref="H1091:H1154" si="34">CONCATENATE(G1091,I1091)</f>
        <v>NAVERminewonta:naver</v>
      </c>
      <c r="I1091" t="str">
        <f>"minewonta:naver"</f>
        <v>minewonta:naver</v>
      </c>
      <c r="J1091">
        <v>15230</v>
      </c>
      <c r="K1091" s="1">
        <v>44866</v>
      </c>
      <c r="L1091" t="s">
        <v>1145</v>
      </c>
      <c r="M1091">
        <f t="shared" ref="M1091:M1154" si="35">VLOOKUP(H1091,R:S,2,FALSE)</f>
        <v>15230</v>
      </c>
      <c r="N1091" t="e">
        <f>VLOOKUP(H1091,Sheet1!G:H,2,FALSE)</f>
        <v>#N/A</v>
      </c>
      <c r="R1091" t="s">
        <v>3015</v>
      </c>
      <c r="S1091">
        <v>7050</v>
      </c>
    </row>
    <row r="1092" spans="1:19" x14ac:dyDescent="0.3">
      <c r="A1092" t="s">
        <v>16</v>
      </c>
      <c r="B1092">
        <f>VLOOKUP(A1092,Sheet2!B:F,5,FALSE)</f>
        <v>927</v>
      </c>
      <c r="C1092" t="s">
        <v>17</v>
      </c>
      <c r="D1092">
        <f>VLOOKUP(C1092,Sheet2!C:G,5,FALSE)</f>
        <v>1200</v>
      </c>
      <c r="E1092" t="s">
        <v>66</v>
      </c>
      <c r="F1092">
        <f>VLOOKUP(E1092,Sheet2!D:E,2,FALSE)</f>
        <v>33</v>
      </c>
      <c r="G1092" t="s">
        <v>11</v>
      </c>
      <c r="H1092" t="str">
        <f t="shared" si="34"/>
        <v>NAVERminikiland:naver</v>
      </c>
      <c r="I1092" t="str">
        <f>"minikiland:naver"</f>
        <v>minikiland:naver</v>
      </c>
      <c r="J1092">
        <v>374690</v>
      </c>
      <c r="K1092" s="1">
        <v>44866</v>
      </c>
      <c r="L1092" t="s">
        <v>1146</v>
      </c>
      <c r="M1092">
        <f t="shared" si="35"/>
        <v>376780</v>
      </c>
      <c r="N1092" t="e">
        <f>VLOOKUP(H1092,Sheet1!G:H,2,FALSE)</f>
        <v>#N/A</v>
      </c>
      <c r="R1092" t="s">
        <v>3016</v>
      </c>
      <c r="S1092">
        <v>3632670</v>
      </c>
    </row>
    <row r="1093" spans="1:19" x14ac:dyDescent="0.3">
      <c r="A1093" t="s">
        <v>8</v>
      </c>
      <c r="B1093">
        <f>VLOOKUP(A1093,Sheet2!B:F,5,FALSE)</f>
        <v>928</v>
      </c>
      <c r="C1093" t="s">
        <v>13</v>
      </c>
      <c r="D1093">
        <f>VLOOKUP(C1093,Sheet2!C:G,5,FALSE)</f>
        <v>1184</v>
      </c>
      <c r="E1093" t="s">
        <v>118</v>
      </c>
      <c r="F1093">
        <f>VLOOKUP(E1093,Sheet2!D:E,2,FALSE)</f>
        <v>201004</v>
      </c>
      <c r="G1093" t="s">
        <v>11</v>
      </c>
      <c r="H1093" t="str">
        <f t="shared" si="34"/>
        <v>NAVERmipull</v>
      </c>
      <c r="I1093" t="str">
        <f>"mipull"</f>
        <v>mipull</v>
      </c>
      <c r="J1093">
        <v>366820</v>
      </c>
      <c r="K1093" s="1">
        <v>44866</v>
      </c>
      <c r="L1093" t="s">
        <v>1147</v>
      </c>
      <c r="M1093">
        <f t="shared" si="35"/>
        <v>366820</v>
      </c>
      <c r="N1093" t="e">
        <f>VLOOKUP(H1093,Sheet1!G:H,2,FALSE)</f>
        <v>#N/A</v>
      </c>
      <c r="R1093" t="s">
        <v>3017</v>
      </c>
      <c r="S1093">
        <v>2781750</v>
      </c>
    </row>
    <row r="1094" spans="1:19" x14ac:dyDescent="0.3">
      <c r="A1094" t="s">
        <v>8</v>
      </c>
      <c r="B1094">
        <f>VLOOKUP(A1094,Sheet2!B:F,5,FALSE)</f>
        <v>928</v>
      </c>
      <c r="C1094" t="s">
        <v>9</v>
      </c>
      <c r="D1094">
        <f>VLOOKUP(C1094,Sheet2!C:G,5,FALSE)</f>
        <v>1202</v>
      </c>
      <c r="E1094" t="s">
        <v>10</v>
      </c>
      <c r="F1094">
        <f>VLOOKUP(E1094,Sheet2!D:E,2,FALSE)</f>
        <v>939</v>
      </c>
      <c r="G1094" t="s">
        <v>11</v>
      </c>
      <c r="H1094" t="str">
        <f t="shared" si="34"/>
        <v>NAVERmirae434</v>
      </c>
      <c r="I1094" t="str">
        <f>"mirae434"</f>
        <v>mirae434</v>
      </c>
      <c r="J1094">
        <v>17130</v>
      </c>
      <c r="K1094" s="1">
        <v>44866</v>
      </c>
      <c r="L1094" t="s">
        <v>1022</v>
      </c>
      <c r="M1094">
        <f t="shared" si="35"/>
        <v>17130</v>
      </c>
      <c r="N1094" t="e">
        <f>VLOOKUP(H1094,Sheet1!G:H,2,FALSE)</f>
        <v>#N/A</v>
      </c>
      <c r="R1094" t="s">
        <v>3018</v>
      </c>
      <c r="S1094">
        <v>163450</v>
      </c>
    </row>
    <row r="1095" spans="1:19" x14ac:dyDescent="0.3">
      <c r="A1095" t="s">
        <v>8</v>
      </c>
      <c r="B1095">
        <f>VLOOKUP(A1095,Sheet2!B:F,5,FALSE)</f>
        <v>928</v>
      </c>
      <c r="C1095" t="s">
        <v>9</v>
      </c>
      <c r="D1095">
        <f>VLOOKUP(C1095,Sheet2!C:G,5,FALSE)</f>
        <v>1202</v>
      </c>
      <c r="E1095" t="s">
        <v>31</v>
      </c>
      <c r="F1095">
        <f>VLOOKUP(E1095,Sheet2!D:E,2,FALSE)</f>
        <v>1040</v>
      </c>
      <c r="G1095" t="s">
        <v>11</v>
      </c>
      <c r="H1095" t="str">
        <f t="shared" si="34"/>
        <v>NAVERmirae73</v>
      </c>
      <c r="I1095" t="str">
        <f>"mirae73"</f>
        <v>mirae73</v>
      </c>
      <c r="J1095">
        <v>308090</v>
      </c>
      <c r="K1095" s="1">
        <v>44866</v>
      </c>
      <c r="L1095" t="s">
        <v>1148</v>
      </c>
      <c r="M1095">
        <f t="shared" si="35"/>
        <v>308090</v>
      </c>
      <c r="N1095" t="e">
        <f>VLOOKUP(H1095,Sheet1!G:H,2,FALSE)</f>
        <v>#N/A</v>
      </c>
      <c r="R1095" t="s">
        <v>3019</v>
      </c>
      <c r="S1095">
        <v>52500</v>
      </c>
    </row>
    <row r="1096" spans="1:19" x14ac:dyDescent="0.3">
      <c r="A1096" t="s">
        <v>8</v>
      </c>
      <c r="B1096">
        <f>VLOOKUP(A1096,Sheet2!B:F,5,FALSE)</f>
        <v>928</v>
      </c>
      <c r="C1096" t="s">
        <v>13</v>
      </c>
      <c r="D1096">
        <f>VLOOKUP(C1096,Sheet2!C:G,5,FALSE)</f>
        <v>1184</v>
      </c>
      <c r="E1096" t="s">
        <v>102</v>
      </c>
      <c r="F1096">
        <f>VLOOKUP(E1096,Sheet2!D:E,2,FALSE)</f>
        <v>917</v>
      </c>
      <c r="G1096" t="s">
        <v>11</v>
      </c>
      <c r="H1096" t="str">
        <f t="shared" si="34"/>
        <v>NAVERmireng2013</v>
      </c>
      <c r="I1096" t="str">
        <f>"mireng2013"</f>
        <v>mireng2013</v>
      </c>
      <c r="J1096">
        <v>44940</v>
      </c>
      <c r="K1096" s="1">
        <v>44866</v>
      </c>
      <c r="L1096" t="s">
        <v>1149</v>
      </c>
      <c r="M1096">
        <f t="shared" si="35"/>
        <v>44940</v>
      </c>
      <c r="N1096" t="e">
        <f>VLOOKUP(H1096,Sheet1!G:H,2,FALSE)</f>
        <v>#N/A</v>
      </c>
      <c r="R1096" t="s">
        <v>3020</v>
      </c>
      <c r="S1096">
        <v>86720</v>
      </c>
    </row>
    <row r="1097" spans="1:19" x14ac:dyDescent="0.3">
      <c r="A1097" t="s">
        <v>8</v>
      </c>
      <c r="B1097">
        <f>VLOOKUP(A1097,Sheet2!B:F,5,FALSE)</f>
        <v>928</v>
      </c>
      <c r="C1097" t="s">
        <v>9</v>
      </c>
      <c r="D1097">
        <f>VLOOKUP(C1097,Sheet2!C:G,5,FALSE)</f>
        <v>1202</v>
      </c>
      <c r="E1097" t="s">
        <v>73</v>
      </c>
      <c r="F1097">
        <f>VLOOKUP(E1097,Sheet2!D:E,2,FALSE)</f>
        <v>895</v>
      </c>
      <c r="G1097" t="s">
        <v>11</v>
      </c>
      <c r="H1097" t="str">
        <f t="shared" si="34"/>
        <v>NAVERmisiktable</v>
      </c>
      <c r="I1097" t="str">
        <f>"misiktable"</f>
        <v>misiktable</v>
      </c>
      <c r="J1097">
        <v>45510</v>
      </c>
      <c r="K1097" s="1">
        <v>44866</v>
      </c>
      <c r="L1097" t="s">
        <v>1150</v>
      </c>
      <c r="M1097">
        <f t="shared" si="35"/>
        <v>45510</v>
      </c>
      <c r="N1097" t="e">
        <f>VLOOKUP(H1097,Sheet1!G:H,2,FALSE)</f>
        <v>#N/A</v>
      </c>
      <c r="R1097" t="s">
        <v>3021</v>
      </c>
      <c r="S1097">
        <v>2610</v>
      </c>
    </row>
    <row r="1098" spans="1:19" x14ac:dyDescent="0.3">
      <c r="A1098" t="s">
        <v>8</v>
      </c>
      <c r="B1098">
        <f>VLOOKUP(A1098,Sheet2!B:F,5,FALSE)</f>
        <v>928</v>
      </c>
      <c r="C1098" t="s">
        <v>13</v>
      </c>
      <c r="D1098">
        <f>VLOOKUP(C1098,Sheet2!C:G,5,FALSE)</f>
        <v>1184</v>
      </c>
      <c r="E1098" t="s">
        <v>14</v>
      </c>
      <c r="F1098">
        <f>VLOOKUP(E1098,Sheet2!D:E,2,FALSE)</f>
        <v>914</v>
      </c>
      <c r="G1098" t="s">
        <v>11</v>
      </c>
      <c r="H1098" t="str">
        <f t="shared" si="34"/>
        <v>NAVERmiskos</v>
      </c>
      <c r="I1098" t="str">
        <f>"miskos"</f>
        <v>miskos</v>
      </c>
      <c r="J1098">
        <v>1052610</v>
      </c>
      <c r="K1098" s="1">
        <v>44866</v>
      </c>
      <c r="L1098" t="s">
        <v>1151</v>
      </c>
      <c r="M1098">
        <f t="shared" si="35"/>
        <v>1052610</v>
      </c>
      <c r="N1098" t="e">
        <f>VLOOKUP(H1098,Sheet1!G:H,2,FALSE)</f>
        <v>#N/A</v>
      </c>
      <c r="R1098" t="s">
        <v>3022</v>
      </c>
      <c r="S1098">
        <v>1059220</v>
      </c>
    </row>
    <row r="1099" spans="1:19" x14ac:dyDescent="0.3">
      <c r="A1099" t="s">
        <v>8</v>
      </c>
      <c r="B1099">
        <f>VLOOKUP(A1099,Sheet2!B:F,5,FALSE)</f>
        <v>928</v>
      </c>
      <c r="C1099" t="s">
        <v>9</v>
      </c>
      <c r="D1099">
        <f>VLOOKUP(C1099,Sheet2!C:G,5,FALSE)</f>
        <v>1202</v>
      </c>
      <c r="E1099" t="s">
        <v>37</v>
      </c>
      <c r="F1099">
        <f>VLOOKUP(E1099,Sheet2!D:E,2,FALSE)</f>
        <v>81</v>
      </c>
      <c r="G1099" t="s">
        <v>11</v>
      </c>
      <c r="H1099" t="str">
        <f t="shared" si="34"/>
        <v>NAVERmiso_cu</v>
      </c>
      <c r="I1099" t="str">
        <f>"miso_cu"</f>
        <v>miso_cu</v>
      </c>
      <c r="J1099">
        <v>2451070</v>
      </c>
      <c r="K1099" s="1">
        <v>44866</v>
      </c>
      <c r="L1099" t="s">
        <v>1152</v>
      </c>
      <c r="M1099">
        <f t="shared" si="35"/>
        <v>2451070</v>
      </c>
      <c r="N1099" t="e">
        <f>VLOOKUP(H1099,Sheet1!G:H,2,FALSE)</f>
        <v>#N/A</v>
      </c>
      <c r="R1099" t="s">
        <v>3023</v>
      </c>
      <c r="S1099">
        <v>2287790</v>
      </c>
    </row>
    <row r="1100" spans="1:19" x14ac:dyDescent="0.3">
      <c r="A1100" t="s">
        <v>16</v>
      </c>
      <c r="B1100">
        <f>VLOOKUP(A1100,Sheet2!B:F,5,FALSE)</f>
        <v>927</v>
      </c>
      <c r="C1100" t="s">
        <v>17</v>
      </c>
      <c r="D1100">
        <f>VLOOKUP(C1100,Sheet2!C:G,5,FALSE)</f>
        <v>1200</v>
      </c>
      <c r="E1100" t="s">
        <v>66</v>
      </c>
      <c r="F1100">
        <f>VLOOKUP(E1100,Sheet2!D:E,2,FALSE)</f>
        <v>33</v>
      </c>
      <c r="G1100" t="s">
        <v>11</v>
      </c>
      <c r="H1100" t="str">
        <f t="shared" si="34"/>
        <v>NAVERmisunglove2</v>
      </c>
      <c r="I1100" t="str">
        <f>"misunglove2"</f>
        <v>misunglove2</v>
      </c>
      <c r="J1100">
        <v>4470</v>
      </c>
      <c r="K1100" s="1">
        <v>44866</v>
      </c>
      <c r="L1100" t="s">
        <v>1153</v>
      </c>
      <c r="M1100">
        <f t="shared" si="35"/>
        <v>4470</v>
      </c>
      <c r="N1100" t="e">
        <f>VLOOKUP(H1100,Sheet1!G:H,2,FALSE)</f>
        <v>#N/A</v>
      </c>
      <c r="R1100" t="s">
        <v>3024</v>
      </c>
      <c r="S1100">
        <v>180</v>
      </c>
    </row>
    <row r="1101" spans="1:19" x14ac:dyDescent="0.3">
      <c r="A1101" t="s">
        <v>8</v>
      </c>
      <c r="B1101">
        <f>VLOOKUP(A1101,Sheet2!B:F,5,FALSE)</f>
        <v>928</v>
      </c>
      <c r="C1101" t="s">
        <v>9</v>
      </c>
      <c r="D1101">
        <f>VLOOKUP(C1101,Sheet2!C:G,5,FALSE)</f>
        <v>1202</v>
      </c>
      <c r="E1101" t="s">
        <v>37</v>
      </c>
      <c r="F1101">
        <f>VLOOKUP(E1101,Sheet2!D:E,2,FALSE)</f>
        <v>81</v>
      </c>
      <c r="G1101" t="s">
        <v>11</v>
      </c>
      <c r="H1101" t="str">
        <f t="shared" si="34"/>
        <v>NAVERmj950627:naver</v>
      </c>
      <c r="I1101" t="str">
        <f>"mj950627:naver"</f>
        <v>mj950627:naver</v>
      </c>
      <c r="J1101">
        <v>218450</v>
      </c>
      <c r="K1101" s="1">
        <v>44866</v>
      </c>
      <c r="L1101" t="s">
        <v>1154</v>
      </c>
      <c r="M1101">
        <f t="shared" si="35"/>
        <v>218450</v>
      </c>
      <c r="N1101" t="e">
        <f>VLOOKUP(H1101,Sheet1!G:H,2,FALSE)</f>
        <v>#N/A</v>
      </c>
      <c r="R1101" t="s">
        <v>3025</v>
      </c>
      <c r="S1101">
        <v>125300</v>
      </c>
    </row>
    <row r="1102" spans="1:19" x14ac:dyDescent="0.3">
      <c r="A1102" t="s">
        <v>8</v>
      </c>
      <c r="B1102">
        <f>VLOOKUP(A1102,Sheet2!B:F,5,FALSE)</f>
        <v>928</v>
      </c>
      <c r="C1102" t="s">
        <v>13</v>
      </c>
      <c r="D1102">
        <f>VLOOKUP(C1102,Sheet2!C:G,5,FALSE)</f>
        <v>1184</v>
      </c>
      <c r="E1102" t="s">
        <v>115</v>
      </c>
      <c r="F1102">
        <f>VLOOKUP(E1102,Sheet2!D:E,2,FALSE)</f>
        <v>1548</v>
      </c>
      <c r="G1102" t="s">
        <v>11</v>
      </c>
      <c r="H1102" t="str">
        <f t="shared" si="34"/>
        <v>NAVERmjbelly</v>
      </c>
      <c r="I1102" t="str">
        <f>"mjbelly"</f>
        <v>mjbelly</v>
      </c>
      <c r="J1102">
        <v>67640</v>
      </c>
      <c r="K1102" s="1">
        <v>44866</v>
      </c>
      <c r="L1102" t="s">
        <v>1155</v>
      </c>
      <c r="M1102">
        <f t="shared" si="35"/>
        <v>67640</v>
      </c>
      <c r="N1102" t="e">
        <f>VLOOKUP(H1102,Sheet1!G:H,2,FALSE)</f>
        <v>#N/A</v>
      </c>
      <c r="R1102" t="s">
        <v>3026</v>
      </c>
      <c r="S1102">
        <v>842880</v>
      </c>
    </row>
    <row r="1103" spans="1:19" x14ac:dyDescent="0.3">
      <c r="A1103" t="s">
        <v>16</v>
      </c>
      <c r="B1103">
        <f>VLOOKUP(A1103,Sheet2!B:F,5,FALSE)</f>
        <v>927</v>
      </c>
      <c r="C1103" t="s">
        <v>17</v>
      </c>
      <c r="D1103">
        <f>VLOOKUP(C1103,Sheet2!C:G,5,FALSE)</f>
        <v>1200</v>
      </c>
      <c r="E1103" t="s">
        <v>137</v>
      </c>
      <c r="F1103">
        <f>VLOOKUP(E1103,Sheet2!D:E,2,FALSE)</f>
        <v>1012</v>
      </c>
      <c r="G1103" t="s">
        <v>11</v>
      </c>
      <c r="H1103" t="str">
        <f t="shared" si="34"/>
        <v>NAVERmkoreamall:naver</v>
      </c>
      <c r="I1103" t="str">
        <f>"mkoreamall:naver"</f>
        <v>mkoreamall:naver</v>
      </c>
      <c r="J1103">
        <v>114420</v>
      </c>
      <c r="K1103" s="1">
        <v>44866</v>
      </c>
      <c r="L1103" t="s">
        <v>1156</v>
      </c>
      <c r="M1103">
        <f t="shared" si="35"/>
        <v>114420</v>
      </c>
      <c r="N1103" t="e">
        <f>VLOOKUP(H1103,Sheet1!G:H,2,FALSE)</f>
        <v>#N/A</v>
      </c>
      <c r="R1103" t="s">
        <v>3027</v>
      </c>
      <c r="S1103">
        <v>389850</v>
      </c>
    </row>
    <row r="1104" spans="1:19" x14ac:dyDescent="0.3">
      <c r="A1104" t="s">
        <v>16</v>
      </c>
      <c r="B1104">
        <f>VLOOKUP(A1104,Sheet2!B:F,5,FALSE)</f>
        <v>927</v>
      </c>
      <c r="C1104" t="s">
        <v>17</v>
      </c>
      <c r="D1104">
        <f>VLOOKUP(C1104,Sheet2!C:G,5,FALSE)</f>
        <v>1200</v>
      </c>
      <c r="E1104" t="s">
        <v>96</v>
      </c>
      <c r="F1104">
        <f>VLOOKUP(E1104,Sheet2!D:E,2,FALSE)</f>
        <v>1271</v>
      </c>
      <c r="G1104" t="s">
        <v>11</v>
      </c>
      <c r="H1104" t="str">
        <f t="shared" si="34"/>
        <v>NAVERmnec9889:naver</v>
      </c>
      <c r="I1104" t="str">
        <f>"mnec9889:naver"</f>
        <v>mnec9889:naver</v>
      </c>
      <c r="J1104">
        <v>699260</v>
      </c>
      <c r="K1104" s="1">
        <v>44866</v>
      </c>
      <c r="L1104" t="s">
        <v>1157</v>
      </c>
      <c r="M1104">
        <f t="shared" si="35"/>
        <v>699260</v>
      </c>
      <c r="N1104" t="e">
        <f>VLOOKUP(H1104,Sheet1!G:H,2,FALSE)</f>
        <v>#N/A</v>
      </c>
      <c r="R1104" t="s">
        <v>3028</v>
      </c>
      <c r="S1104">
        <v>10700</v>
      </c>
    </row>
    <row r="1105" spans="1:19" x14ac:dyDescent="0.3">
      <c r="A1105" t="s">
        <v>8</v>
      </c>
      <c r="B1105">
        <f>VLOOKUP(A1105,Sheet2!B:F,5,FALSE)</f>
        <v>928</v>
      </c>
      <c r="C1105" t="s">
        <v>9</v>
      </c>
      <c r="D1105">
        <f>VLOOKUP(C1105,Sheet2!C:G,5,FALSE)</f>
        <v>1202</v>
      </c>
      <c r="E1105" t="s">
        <v>10</v>
      </c>
      <c r="F1105">
        <f>VLOOKUP(E1105,Sheet2!D:E,2,FALSE)</f>
        <v>939</v>
      </c>
      <c r="G1105" t="s">
        <v>11</v>
      </c>
      <c r="H1105" t="str">
        <f t="shared" si="34"/>
        <v>NAVERmoabank</v>
      </c>
      <c r="I1105" t="str">
        <f>"moabank"</f>
        <v>moabank</v>
      </c>
      <c r="J1105">
        <v>3523308</v>
      </c>
      <c r="K1105" s="1">
        <v>44866</v>
      </c>
      <c r="L1105" t="s">
        <v>1158</v>
      </c>
      <c r="M1105">
        <f t="shared" si="35"/>
        <v>0</v>
      </c>
      <c r="N1105" t="e">
        <f>VLOOKUP(H1105,Sheet1!G:H,2,FALSE)</f>
        <v>#N/A</v>
      </c>
      <c r="R1105" t="s">
        <v>3029</v>
      </c>
      <c r="S1105">
        <v>957620</v>
      </c>
    </row>
    <row r="1106" spans="1:19" x14ac:dyDescent="0.3">
      <c r="A1106" t="s">
        <v>8</v>
      </c>
      <c r="B1106">
        <f>VLOOKUP(A1106,Sheet2!B:F,5,FALSE)</f>
        <v>928</v>
      </c>
      <c r="C1106" t="s">
        <v>9</v>
      </c>
      <c r="D1106">
        <f>VLOOKUP(C1106,Sheet2!C:G,5,FALSE)</f>
        <v>1202</v>
      </c>
      <c r="E1106" t="s">
        <v>47</v>
      </c>
      <c r="F1106">
        <f>VLOOKUP(E1106,Sheet2!D:E,2,FALSE)</f>
        <v>898</v>
      </c>
      <c r="G1106" t="s">
        <v>11</v>
      </c>
      <c r="H1106" t="str">
        <f t="shared" si="34"/>
        <v>NAVERmobidoo</v>
      </c>
      <c r="I1106" t="str">
        <f>"mobidoo"</f>
        <v>mobidoo</v>
      </c>
      <c r="J1106">
        <v>3964670</v>
      </c>
      <c r="K1106" s="1">
        <v>44866</v>
      </c>
      <c r="L1106" t="s">
        <v>1159</v>
      </c>
      <c r="M1106">
        <f t="shared" si="35"/>
        <v>2764700</v>
      </c>
      <c r="N1106" t="e">
        <f>VLOOKUP(H1106,Sheet1!G:H,2,FALSE)</f>
        <v>#N/A</v>
      </c>
      <c r="R1106" t="s">
        <v>3030</v>
      </c>
      <c r="S1106">
        <v>848090</v>
      </c>
    </row>
    <row r="1107" spans="1:19" x14ac:dyDescent="0.3">
      <c r="A1107" t="s">
        <v>8</v>
      </c>
      <c r="B1107">
        <f>VLOOKUP(A1107,Sheet2!B:F,5,FALSE)</f>
        <v>928</v>
      </c>
      <c r="C1107" t="s">
        <v>9</v>
      </c>
      <c r="D1107">
        <f>VLOOKUP(C1107,Sheet2!C:G,5,FALSE)</f>
        <v>1202</v>
      </c>
      <c r="E1107" t="s">
        <v>47</v>
      </c>
      <c r="F1107">
        <f>VLOOKUP(E1107,Sheet2!D:E,2,FALSE)</f>
        <v>898</v>
      </c>
      <c r="G1107" t="s">
        <v>11</v>
      </c>
      <c r="H1107" t="str">
        <f t="shared" si="34"/>
        <v>NAVERmobiletour</v>
      </c>
      <c r="I1107" t="str">
        <f>"mobiletour"</f>
        <v>mobiletour</v>
      </c>
      <c r="J1107">
        <v>1310620</v>
      </c>
      <c r="K1107" s="1">
        <v>44866</v>
      </c>
      <c r="L1107" t="s">
        <v>1160</v>
      </c>
      <c r="M1107">
        <f t="shared" si="35"/>
        <v>1310620</v>
      </c>
      <c r="N1107" t="e">
        <f>VLOOKUP(H1107,Sheet1!G:H,2,FALSE)</f>
        <v>#N/A</v>
      </c>
      <c r="R1107" t="s">
        <v>3031</v>
      </c>
      <c r="S1107">
        <v>523320</v>
      </c>
    </row>
    <row r="1108" spans="1:19" x14ac:dyDescent="0.3">
      <c r="A1108" t="s">
        <v>8</v>
      </c>
      <c r="B1108">
        <f>VLOOKUP(A1108,Sheet2!B:F,5,FALSE)</f>
        <v>928</v>
      </c>
      <c r="C1108" t="s">
        <v>9</v>
      </c>
      <c r="D1108">
        <f>VLOOKUP(C1108,Sheet2!C:G,5,FALSE)</f>
        <v>1202</v>
      </c>
      <c r="E1108" t="s">
        <v>47</v>
      </c>
      <c r="F1108">
        <f>VLOOKUP(E1108,Sheet2!D:E,2,FALSE)</f>
        <v>898</v>
      </c>
      <c r="G1108" t="s">
        <v>11</v>
      </c>
      <c r="H1108" t="str">
        <f t="shared" si="34"/>
        <v>NAVERmobyscomfort</v>
      </c>
      <c r="I1108" t="str">
        <f>"mobyscomfort"</f>
        <v>mobyscomfort</v>
      </c>
      <c r="J1108">
        <v>127810</v>
      </c>
      <c r="K1108" s="1">
        <v>44866</v>
      </c>
      <c r="L1108" t="s">
        <v>1161</v>
      </c>
      <c r="M1108">
        <f t="shared" si="35"/>
        <v>127810</v>
      </c>
      <c r="N1108" t="e">
        <f>VLOOKUP(H1108,Sheet1!G:H,2,FALSE)</f>
        <v>#N/A</v>
      </c>
      <c r="R1108" t="s">
        <v>3032</v>
      </c>
      <c r="S1108">
        <v>64190</v>
      </c>
    </row>
    <row r="1109" spans="1:19" x14ac:dyDescent="0.3">
      <c r="A1109" t="s">
        <v>8</v>
      </c>
      <c r="B1109">
        <f>VLOOKUP(A1109,Sheet2!B:F,5,FALSE)</f>
        <v>928</v>
      </c>
      <c r="C1109" t="s">
        <v>9</v>
      </c>
      <c r="D1109">
        <f>VLOOKUP(C1109,Sheet2!C:G,5,FALSE)</f>
        <v>1202</v>
      </c>
      <c r="E1109" t="s">
        <v>33</v>
      </c>
      <c r="F1109">
        <f>VLOOKUP(E1109,Sheet2!D:E,2,FALSE)</f>
        <v>933</v>
      </c>
      <c r="G1109" t="s">
        <v>11</v>
      </c>
      <c r="H1109" t="str">
        <f t="shared" si="34"/>
        <v>NAVERmocons</v>
      </c>
      <c r="I1109" t="str">
        <f>"mocons"</f>
        <v>mocons</v>
      </c>
      <c r="J1109">
        <v>392270</v>
      </c>
      <c r="K1109" s="1">
        <v>44866</v>
      </c>
      <c r="L1109" t="s">
        <v>1162</v>
      </c>
      <c r="M1109">
        <f t="shared" si="35"/>
        <v>392730</v>
      </c>
      <c r="N1109" t="e">
        <f>VLOOKUP(H1109,Sheet1!G:H,2,FALSE)</f>
        <v>#N/A</v>
      </c>
      <c r="R1109" t="s">
        <v>3033</v>
      </c>
      <c r="S1109">
        <v>259470</v>
      </c>
    </row>
    <row r="1110" spans="1:19" x14ac:dyDescent="0.3">
      <c r="A1110" t="s">
        <v>8</v>
      </c>
      <c r="B1110">
        <f>VLOOKUP(A1110,Sheet2!B:F,5,FALSE)</f>
        <v>928</v>
      </c>
      <c r="C1110" t="s">
        <v>13</v>
      </c>
      <c r="D1110">
        <f>VLOOKUP(C1110,Sheet2!C:G,5,FALSE)</f>
        <v>1184</v>
      </c>
      <c r="E1110" t="s">
        <v>51</v>
      </c>
      <c r="F1110">
        <f>VLOOKUP(E1110,Sheet2!D:E,2,FALSE)</f>
        <v>1274</v>
      </c>
      <c r="G1110" t="s">
        <v>11</v>
      </c>
      <c r="H1110" t="str">
        <f t="shared" si="34"/>
        <v>NAVERmode17</v>
      </c>
      <c r="I1110" t="str">
        <f>"mode17"</f>
        <v>mode17</v>
      </c>
      <c r="J1110">
        <v>78800</v>
      </c>
      <c r="K1110" s="1">
        <v>44866</v>
      </c>
      <c r="L1110" t="s">
        <v>1163</v>
      </c>
      <c r="M1110">
        <f t="shared" si="35"/>
        <v>78800</v>
      </c>
      <c r="N1110" t="e">
        <f>VLOOKUP(H1110,Sheet1!G:H,2,FALSE)</f>
        <v>#N/A</v>
      </c>
      <c r="R1110" t="s">
        <v>3034</v>
      </c>
      <c r="S1110">
        <v>28330</v>
      </c>
    </row>
    <row r="1111" spans="1:19" x14ac:dyDescent="0.3">
      <c r="A1111" t="s">
        <v>8</v>
      </c>
      <c r="B1111">
        <f>VLOOKUP(A1111,Sheet2!B:F,5,FALSE)</f>
        <v>928</v>
      </c>
      <c r="C1111" t="s">
        <v>13</v>
      </c>
      <c r="D1111">
        <f>VLOOKUP(C1111,Sheet2!C:G,5,FALSE)</f>
        <v>1184</v>
      </c>
      <c r="E1111" t="s">
        <v>115</v>
      </c>
      <c r="F1111">
        <f>VLOOKUP(E1111,Sheet2!D:E,2,FALSE)</f>
        <v>1548</v>
      </c>
      <c r="G1111" t="s">
        <v>11</v>
      </c>
      <c r="H1111" t="str">
        <f t="shared" si="34"/>
        <v>NAVERmodelsale</v>
      </c>
      <c r="I1111" t="str">
        <f>"modelsale"</f>
        <v>modelsale</v>
      </c>
      <c r="J1111">
        <v>154230</v>
      </c>
      <c r="K1111" s="1">
        <v>44866</v>
      </c>
      <c r="L1111" t="s">
        <v>1164</v>
      </c>
      <c r="M1111">
        <f t="shared" si="35"/>
        <v>154230</v>
      </c>
      <c r="N1111" t="e">
        <f>VLOOKUP(H1111,Sheet1!G:H,2,FALSE)</f>
        <v>#N/A</v>
      </c>
      <c r="R1111" t="s">
        <v>3035</v>
      </c>
      <c r="S1111">
        <v>1300</v>
      </c>
    </row>
    <row r="1112" spans="1:19" x14ac:dyDescent="0.3">
      <c r="A1112" t="s">
        <v>41</v>
      </c>
      <c r="B1112">
        <f>VLOOKUP(A1112,Sheet2!B:F,5,FALSE)</f>
        <v>926</v>
      </c>
      <c r="C1112" t="s">
        <v>56</v>
      </c>
      <c r="D1112">
        <f>VLOOKUP(C1112,Sheet2!C:G,5,FALSE)</f>
        <v>1207</v>
      </c>
      <c r="E1112" t="s">
        <v>57</v>
      </c>
      <c r="F1112">
        <f>VLOOKUP(E1112,Sheet2!D:E,2,FALSE)</f>
        <v>200982</v>
      </c>
      <c r="G1112" t="s">
        <v>11</v>
      </c>
      <c r="H1112" t="str">
        <f t="shared" si="34"/>
        <v>NAVERmodoo6638:naver</v>
      </c>
      <c r="I1112" t="str">
        <f>"modoo6638:naver"</f>
        <v>modoo6638:naver</v>
      </c>
      <c r="J1112">
        <v>50020</v>
      </c>
      <c r="K1112" s="1">
        <v>44866</v>
      </c>
      <c r="L1112" t="s">
        <v>1165</v>
      </c>
      <c r="M1112">
        <f t="shared" si="35"/>
        <v>50020</v>
      </c>
      <c r="N1112" t="e">
        <f>VLOOKUP(H1112,Sheet1!G:H,2,FALSE)</f>
        <v>#N/A</v>
      </c>
      <c r="R1112" t="s">
        <v>3036</v>
      </c>
      <c r="S1112">
        <v>18920</v>
      </c>
    </row>
    <row r="1113" spans="1:19" x14ac:dyDescent="0.3">
      <c r="A1113" t="s">
        <v>16</v>
      </c>
      <c r="B1113">
        <f>VLOOKUP(A1113,Sheet2!B:F,5,FALSE)</f>
        <v>927</v>
      </c>
      <c r="C1113" t="s">
        <v>17</v>
      </c>
      <c r="D1113">
        <f>VLOOKUP(C1113,Sheet2!C:G,5,FALSE)</f>
        <v>1200</v>
      </c>
      <c r="E1113" t="s">
        <v>93</v>
      </c>
      <c r="F1113">
        <f>VLOOKUP(E1113,Sheet2!D:E,2,FALSE)</f>
        <v>930</v>
      </c>
      <c r="G1113" t="s">
        <v>11</v>
      </c>
      <c r="H1113" t="str">
        <f t="shared" si="34"/>
        <v>NAVERmodupanda</v>
      </c>
      <c r="I1113" t="str">
        <f>"modupanda"</f>
        <v>modupanda</v>
      </c>
      <c r="J1113">
        <v>7500</v>
      </c>
      <c r="K1113" s="1">
        <v>44866</v>
      </c>
      <c r="L1113" t="s">
        <v>1166</v>
      </c>
      <c r="M1113">
        <f t="shared" si="35"/>
        <v>7500</v>
      </c>
      <c r="N1113" t="e">
        <f>VLOOKUP(H1113,Sheet1!G:H,2,FALSE)</f>
        <v>#N/A</v>
      </c>
      <c r="R1113" t="s">
        <v>3037</v>
      </c>
      <c r="S1113">
        <v>221320</v>
      </c>
    </row>
    <row r="1114" spans="1:19" x14ac:dyDescent="0.3">
      <c r="A1114" t="s">
        <v>8</v>
      </c>
      <c r="B1114">
        <f>VLOOKUP(A1114,Sheet2!B:F,5,FALSE)</f>
        <v>928</v>
      </c>
      <c r="C1114" t="s">
        <v>13</v>
      </c>
      <c r="D1114">
        <f>VLOOKUP(C1114,Sheet2!C:G,5,FALSE)</f>
        <v>1184</v>
      </c>
      <c r="E1114" t="s">
        <v>102</v>
      </c>
      <c r="F1114">
        <f>VLOOKUP(E1114,Sheet2!D:E,2,FALSE)</f>
        <v>917</v>
      </c>
      <c r="G1114" t="s">
        <v>11</v>
      </c>
      <c r="H1114" t="str">
        <f t="shared" si="34"/>
        <v>NAVERmoens2018</v>
      </c>
      <c r="I1114" t="str">
        <f>"moens2018"</f>
        <v>moens2018</v>
      </c>
      <c r="J1114">
        <v>9410</v>
      </c>
      <c r="K1114" s="1">
        <v>44866</v>
      </c>
      <c r="L1114" t="s">
        <v>1167</v>
      </c>
      <c r="M1114">
        <f t="shared" si="35"/>
        <v>9410</v>
      </c>
      <c r="N1114" t="e">
        <f>VLOOKUP(H1114,Sheet1!G:H,2,FALSE)</f>
        <v>#N/A</v>
      </c>
      <c r="R1114" t="s">
        <v>3038</v>
      </c>
      <c r="S1114">
        <v>635910</v>
      </c>
    </row>
    <row r="1115" spans="1:19" x14ac:dyDescent="0.3">
      <c r="A1115" t="s">
        <v>41</v>
      </c>
      <c r="B1115">
        <f>VLOOKUP(A1115,Sheet2!B:F,5,FALSE)</f>
        <v>926</v>
      </c>
      <c r="C1115" t="s">
        <v>56</v>
      </c>
      <c r="D1115">
        <f>VLOOKUP(C1115,Sheet2!C:G,5,FALSE)</f>
        <v>1207</v>
      </c>
      <c r="E1115" t="s">
        <v>64</v>
      </c>
      <c r="F1115">
        <f>VLOOKUP(E1115,Sheet2!D:E,2,FALSE)</f>
        <v>201011</v>
      </c>
      <c r="G1115" t="s">
        <v>11</v>
      </c>
      <c r="H1115" t="str">
        <f t="shared" si="34"/>
        <v>NAVERmoggoge</v>
      </c>
      <c r="I1115" t="str">
        <f>"moggoge"</f>
        <v>moggoge</v>
      </c>
      <c r="J1115">
        <v>145260</v>
      </c>
      <c r="K1115" s="1">
        <v>44866</v>
      </c>
      <c r="L1115" t="s">
        <v>1168</v>
      </c>
      <c r="M1115">
        <f t="shared" si="35"/>
        <v>145260</v>
      </c>
      <c r="N1115" t="e">
        <f>VLOOKUP(H1115,Sheet1!G:H,2,FALSE)</f>
        <v>#N/A</v>
      </c>
      <c r="R1115" t="s">
        <v>3039</v>
      </c>
      <c r="S1115">
        <v>34280</v>
      </c>
    </row>
    <row r="1116" spans="1:19" x14ac:dyDescent="0.3">
      <c r="A1116" t="s">
        <v>8</v>
      </c>
      <c r="B1116">
        <f>VLOOKUP(A1116,Sheet2!B:F,5,FALSE)</f>
        <v>928</v>
      </c>
      <c r="C1116" t="s">
        <v>9</v>
      </c>
      <c r="D1116">
        <f>VLOOKUP(C1116,Sheet2!C:G,5,FALSE)</f>
        <v>1202</v>
      </c>
      <c r="E1116" t="s">
        <v>33</v>
      </c>
      <c r="F1116">
        <f>VLOOKUP(E1116,Sheet2!D:E,2,FALSE)</f>
        <v>933</v>
      </c>
      <c r="G1116" t="s">
        <v>11</v>
      </c>
      <c r="H1116" t="str">
        <f t="shared" si="34"/>
        <v>NAVERmoksoo1</v>
      </c>
      <c r="I1116" t="str">
        <f>"moksoo1"</f>
        <v>moksoo1</v>
      </c>
      <c r="J1116">
        <v>476140</v>
      </c>
      <c r="K1116" s="1">
        <v>44866</v>
      </c>
      <c r="L1116" t="s">
        <v>1169</v>
      </c>
      <c r="M1116">
        <f t="shared" si="35"/>
        <v>476140</v>
      </c>
      <c r="N1116" t="e">
        <f>VLOOKUP(H1116,Sheet1!G:H,2,FALSE)</f>
        <v>#N/A</v>
      </c>
      <c r="R1116" t="s">
        <v>3040</v>
      </c>
      <c r="S1116">
        <v>1030</v>
      </c>
    </row>
    <row r="1117" spans="1:19" x14ac:dyDescent="0.3">
      <c r="A1117" t="s">
        <v>8</v>
      </c>
      <c r="B1117">
        <f>VLOOKUP(A1117,Sheet2!B:F,5,FALSE)</f>
        <v>928</v>
      </c>
      <c r="C1117" t="s">
        <v>9</v>
      </c>
      <c r="D1117">
        <f>VLOOKUP(C1117,Sheet2!C:G,5,FALSE)</f>
        <v>1202</v>
      </c>
      <c r="E1117" t="s">
        <v>10</v>
      </c>
      <c r="F1117">
        <f>VLOOKUP(E1117,Sheet2!D:E,2,FALSE)</f>
        <v>939</v>
      </c>
      <c r="G1117" t="s">
        <v>11</v>
      </c>
      <c r="H1117" t="str">
        <f t="shared" si="34"/>
        <v>NAVERmomjari1_</v>
      </c>
      <c r="I1117" t="str">
        <f>"momjari1_"</f>
        <v>momjari1_</v>
      </c>
      <c r="J1117">
        <v>149560</v>
      </c>
      <c r="K1117" s="1">
        <v>44866</v>
      </c>
      <c r="L1117" t="s">
        <v>1170</v>
      </c>
      <c r="M1117">
        <f t="shared" si="35"/>
        <v>149560</v>
      </c>
      <c r="N1117" t="e">
        <f>VLOOKUP(H1117,Sheet1!G:H,2,FALSE)</f>
        <v>#N/A</v>
      </c>
      <c r="R1117" t="s">
        <v>3041</v>
      </c>
      <c r="S1117">
        <v>10370</v>
      </c>
    </row>
    <row r="1118" spans="1:19" x14ac:dyDescent="0.3">
      <c r="A1118" t="s">
        <v>16</v>
      </c>
      <c r="B1118">
        <f>VLOOKUP(A1118,Sheet2!B:F,5,FALSE)</f>
        <v>927</v>
      </c>
      <c r="C1118" t="s">
        <v>17</v>
      </c>
      <c r="D1118">
        <f>VLOOKUP(C1118,Sheet2!C:G,5,FALSE)</f>
        <v>1200</v>
      </c>
      <c r="E1118" t="s">
        <v>66</v>
      </c>
      <c r="F1118">
        <f>VLOOKUP(E1118,Sheet2!D:E,2,FALSE)</f>
        <v>33</v>
      </c>
      <c r="G1118" t="s">
        <v>11</v>
      </c>
      <c r="H1118" t="str">
        <f t="shared" si="34"/>
        <v>NAVERmoms-cookingbox:naver</v>
      </c>
      <c r="I1118" t="str">
        <f>"moms-cookingbox:naver"</f>
        <v>moms-cookingbox:naver</v>
      </c>
      <c r="J1118">
        <v>5180</v>
      </c>
      <c r="K1118" s="1">
        <v>44866</v>
      </c>
      <c r="L1118" t="s">
        <v>1171</v>
      </c>
      <c r="M1118">
        <f t="shared" si="35"/>
        <v>5180</v>
      </c>
      <c r="N1118" t="e">
        <f>VLOOKUP(H1118,Sheet1!G:H,2,FALSE)</f>
        <v>#N/A</v>
      </c>
      <c r="R1118" t="s">
        <v>3042</v>
      </c>
      <c r="S1118">
        <v>403230</v>
      </c>
    </row>
    <row r="1119" spans="1:19" x14ac:dyDescent="0.3">
      <c r="A1119" t="s">
        <v>8</v>
      </c>
      <c r="B1119">
        <f>VLOOKUP(A1119,Sheet2!B:F,5,FALSE)</f>
        <v>928</v>
      </c>
      <c r="C1119" t="s">
        <v>13</v>
      </c>
      <c r="D1119">
        <f>VLOOKUP(C1119,Sheet2!C:G,5,FALSE)</f>
        <v>1184</v>
      </c>
      <c r="E1119" t="s">
        <v>51</v>
      </c>
      <c r="F1119">
        <f>VLOOKUP(E1119,Sheet2!D:E,2,FALSE)</f>
        <v>1274</v>
      </c>
      <c r="G1119" t="s">
        <v>11</v>
      </c>
      <c r="H1119" t="str">
        <f t="shared" si="34"/>
        <v>NAVERmondrianseoulitaewon:naver</v>
      </c>
      <c r="I1119" t="str">
        <f>"mondrianseoulitaewon:naver"</f>
        <v>mondrianseoulitaewon:naver</v>
      </c>
      <c r="J1119">
        <v>2884820</v>
      </c>
      <c r="K1119" s="1">
        <v>44866</v>
      </c>
      <c r="L1119" t="s">
        <v>1172</v>
      </c>
      <c r="M1119">
        <f t="shared" si="35"/>
        <v>684840</v>
      </c>
      <c r="N1119" t="e">
        <f>VLOOKUP(H1119,Sheet1!G:H,2,FALSE)</f>
        <v>#N/A</v>
      </c>
      <c r="R1119" t="s">
        <v>3043</v>
      </c>
      <c r="S1119">
        <v>11980520</v>
      </c>
    </row>
    <row r="1120" spans="1:19" x14ac:dyDescent="0.3">
      <c r="A1120" t="s">
        <v>41</v>
      </c>
      <c r="B1120">
        <f>VLOOKUP(A1120,Sheet2!B:F,5,FALSE)</f>
        <v>926</v>
      </c>
      <c r="C1120" t="s">
        <v>56</v>
      </c>
      <c r="D1120">
        <f>VLOOKUP(C1120,Sheet2!C:G,5,FALSE)</f>
        <v>1207</v>
      </c>
      <c r="E1120" t="s">
        <v>253</v>
      </c>
      <c r="F1120">
        <f>VLOOKUP(E1120,Sheet2!D:E,2,FALSE)</f>
        <v>1328</v>
      </c>
      <c r="G1120" t="s">
        <v>11</v>
      </c>
      <c r="H1120" t="str">
        <f t="shared" si="34"/>
        <v>NAVERmongdang1004</v>
      </c>
      <c r="I1120" t="str">
        <f>"mongdang1004"</f>
        <v>mongdang1004</v>
      </c>
      <c r="J1120">
        <v>9800</v>
      </c>
      <c r="K1120" s="1">
        <v>44866</v>
      </c>
      <c r="L1120" t="s">
        <v>1173</v>
      </c>
      <c r="M1120">
        <f t="shared" si="35"/>
        <v>9800</v>
      </c>
      <c r="N1120" t="e">
        <f>VLOOKUP(H1120,Sheet1!G:H,2,FALSE)</f>
        <v>#N/A</v>
      </c>
      <c r="R1120" t="s">
        <v>3044</v>
      </c>
      <c r="S1120">
        <v>1957840</v>
      </c>
    </row>
    <row r="1121" spans="1:19" x14ac:dyDescent="0.3">
      <c r="A1121" t="s">
        <v>41</v>
      </c>
      <c r="B1121">
        <f>VLOOKUP(A1121,Sheet2!B:F,5,FALSE)</f>
        <v>926</v>
      </c>
      <c r="C1121" t="s">
        <v>56</v>
      </c>
      <c r="D1121">
        <f>VLOOKUP(C1121,Sheet2!C:G,5,FALSE)</f>
        <v>1207</v>
      </c>
      <c r="E1121" t="s">
        <v>64</v>
      </c>
      <c r="F1121">
        <f>VLOOKUP(E1121,Sheet2!D:E,2,FALSE)</f>
        <v>201011</v>
      </c>
      <c r="G1121" t="s">
        <v>11</v>
      </c>
      <c r="H1121" t="str">
        <f t="shared" si="34"/>
        <v>NAVERmonitorlee</v>
      </c>
      <c r="I1121" t="str">
        <f>"monitorlee"</f>
        <v>monitorlee</v>
      </c>
      <c r="J1121">
        <v>236170</v>
      </c>
      <c r="K1121" s="1">
        <v>44866</v>
      </c>
      <c r="L1121" t="s">
        <v>1174</v>
      </c>
      <c r="M1121">
        <f t="shared" si="35"/>
        <v>236170</v>
      </c>
      <c r="N1121" t="e">
        <f>VLOOKUP(H1121,Sheet1!G:H,2,FALSE)</f>
        <v>#N/A</v>
      </c>
      <c r="R1121" t="s">
        <v>3045</v>
      </c>
      <c r="S1121">
        <v>227050</v>
      </c>
    </row>
    <row r="1122" spans="1:19" x14ac:dyDescent="0.3">
      <c r="A1122" t="s">
        <v>8</v>
      </c>
      <c r="B1122">
        <f>VLOOKUP(A1122,Sheet2!B:F,5,FALSE)</f>
        <v>928</v>
      </c>
      <c r="C1122" t="s">
        <v>13</v>
      </c>
      <c r="D1122">
        <f>VLOOKUP(C1122,Sheet2!C:G,5,FALSE)</f>
        <v>1184</v>
      </c>
      <c r="E1122" t="s">
        <v>115</v>
      </c>
      <c r="F1122">
        <f>VLOOKUP(E1122,Sheet2!D:E,2,FALSE)</f>
        <v>1548</v>
      </c>
      <c r="G1122" t="s">
        <v>11</v>
      </c>
      <c r="H1122" t="str">
        <f t="shared" si="34"/>
        <v>NAVERmontable_official:naver</v>
      </c>
      <c r="I1122" t="str">
        <f>"montable_official:naver"</f>
        <v>montable_official:naver</v>
      </c>
      <c r="J1122">
        <v>13900</v>
      </c>
      <c r="K1122" s="1">
        <v>44866</v>
      </c>
      <c r="L1122" t="s">
        <v>1175</v>
      </c>
      <c r="M1122">
        <f t="shared" si="35"/>
        <v>13900</v>
      </c>
      <c r="N1122" t="e">
        <f>VLOOKUP(H1122,Sheet1!G:H,2,FALSE)</f>
        <v>#N/A</v>
      </c>
      <c r="R1122" t="s">
        <v>3046</v>
      </c>
      <c r="S1122">
        <v>60780</v>
      </c>
    </row>
    <row r="1123" spans="1:19" x14ac:dyDescent="0.3">
      <c r="A1123" t="s">
        <v>8</v>
      </c>
      <c r="B1123">
        <f>VLOOKUP(A1123,Sheet2!B:F,5,FALSE)</f>
        <v>928</v>
      </c>
      <c r="C1123" t="s">
        <v>13</v>
      </c>
      <c r="D1123">
        <f>VLOOKUP(C1123,Sheet2!C:G,5,FALSE)</f>
        <v>1184</v>
      </c>
      <c r="E1123" t="s">
        <v>118</v>
      </c>
      <c r="F1123">
        <f>VLOOKUP(E1123,Sheet2!D:E,2,FALSE)</f>
        <v>201004</v>
      </c>
      <c r="G1123" t="s">
        <v>11</v>
      </c>
      <c r="H1123" t="str">
        <f t="shared" si="34"/>
        <v>NAVERmoogigae11</v>
      </c>
      <c r="I1123" t="str">
        <f>"moogigae11"</f>
        <v>moogigae11</v>
      </c>
      <c r="J1123">
        <v>376960</v>
      </c>
      <c r="K1123" s="1">
        <v>44866</v>
      </c>
      <c r="L1123" t="s">
        <v>1176</v>
      </c>
      <c r="M1123">
        <f t="shared" si="35"/>
        <v>376960</v>
      </c>
      <c r="N1123" t="e">
        <f>VLOOKUP(H1123,Sheet1!G:H,2,FALSE)</f>
        <v>#N/A</v>
      </c>
      <c r="R1123" t="s">
        <v>3047</v>
      </c>
      <c r="S1123">
        <v>524340</v>
      </c>
    </row>
    <row r="1124" spans="1:19" x14ac:dyDescent="0.3">
      <c r="A1124" t="s">
        <v>8</v>
      </c>
      <c r="B1124">
        <f>VLOOKUP(A1124,Sheet2!B:F,5,FALSE)</f>
        <v>928</v>
      </c>
      <c r="C1124" t="s">
        <v>13</v>
      </c>
      <c r="D1124">
        <f>VLOOKUP(C1124,Sheet2!C:G,5,FALSE)</f>
        <v>1184</v>
      </c>
      <c r="E1124" t="s">
        <v>51</v>
      </c>
      <c r="F1124">
        <f>VLOOKUP(E1124,Sheet2!D:E,2,FALSE)</f>
        <v>1274</v>
      </c>
      <c r="G1124" t="s">
        <v>11</v>
      </c>
      <c r="H1124" t="str">
        <f t="shared" si="34"/>
        <v>NAVERmoonsr68</v>
      </c>
      <c r="I1124" t="str">
        <f>"moonsr68"</f>
        <v>moonsr68</v>
      </c>
      <c r="J1124">
        <v>436976</v>
      </c>
      <c r="K1124" s="1">
        <v>44866</v>
      </c>
      <c r="L1124" t="s">
        <v>1177</v>
      </c>
      <c r="M1124" t="e">
        <f t="shared" si="35"/>
        <v>#N/A</v>
      </c>
      <c r="N1124" t="e">
        <f>VLOOKUP(H1124,Sheet1!G:H,2,FALSE)</f>
        <v>#N/A</v>
      </c>
      <c r="R1124" t="s">
        <v>3048</v>
      </c>
      <c r="S1124">
        <v>69490</v>
      </c>
    </row>
    <row r="1125" spans="1:19" x14ac:dyDescent="0.3">
      <c r="A1125" t="s">
        <v>8</v>
      </c>
      <c r="B1125">
        <f>VLOOKUP(A1125,Sheet2!B:F,5,FALSE)</f>
        <v>928</v>
      </c>
      <c r="C1125" t="s">
        <v>9</v>
      </c>
      <c r="D1125">
        <f>VLOOKUP(C1125,Sheet2!C:G,5,FALSE)</f>
        <v>1202</v>
      </c>
      <c r="E1125" t="s">
        <v>73</v>
      </c>
      <c r="F1125">
        <f>VLOOKUP(E1125,Sheet2!D:E,2,FALSE)</f>
        <v>895</v>
      </c>
      <c r="G1125" t="s">
        <v>11</v>
      </c>
      <c r="H1125" t="str">
        <f t="shared" si="34"/>
        <v>NAVERmostar</v>
      </c>
      <c r="I1125" t="str">
        <f>"mostar"</f>
        <v>mostar</v>
      </c>
      <c r="J1125">
        <v>4380</v>
      </c>
      <c r="K1125" s="1">
        <v>44866</v>
      </c>
      <c r="L1125" t="s">
        <v>1178</v>
      </c>
      <c r="M1125">
        <f t="shared" si="35"/>
        <v>4380</v>
      </c>
      <c r="N1125" t="e">
        <f>VLOOKUP(H1125,Sheet1!G:H,2,FALSE)</f>
        <v>#N/A</v>
      </c>
      <c r="R1125" t="s">
        <v>3049</v>
      </c>
      <c r="S1125">
        <v>210</v>
      </c>
    </row>
    <row r="1126" spans="1:19" x14ac:dyDescent="0.3">
      <c r="A1126" t="s">
        <v>8</v>
      </c>
      <c r="B1126">
        <f>VLOOKUP(A1126,Sheet2!B:F,5,FALSE)</f>
        <v>928</v>
      </c>
      <c r="C1126" t="s">
        <v>9</v>
      </c>
      <c r="D1126">
        <f>VLOOKUP(C1126,Sheet2!C:G,5,FALSE)</f>
        <v>1202</v>
      </c>
      <c r="E1126" t="s">
        <v>73</v>
      </c>
      <c r="F1126">
        <f>VLOOKUP(E1126,Sheet2!D:E,2,FALSE)</f>
        <v>895</v>
      </c>
      <c r="G1126" t="s">
        <v>11</v>
      </c>
      <c r="H1126" t="str">
        <f t="shared" si="34"/>
        <v>NAVERmostar1212</v>
      </c>
      <c r="I1126" t="str">
        <f>"mostar1212"</f>
        <v>mostar1212</v>
      </c>
      <c r="J1126">
        <v>450</v>
      </c>
      <c r="K1126" s="1">
        <v>44866</v>
      </c>
      <c r="L1126" t="s">
        <v>1178</v>
      </c>
      <c r="M1126">
        <f t="shared" si="35"/>
        <v>450</v>
      </c>
      <c r="N1126" t="e">
        <f>VLOOKUP(H1126,Sheet1!G:H,2,FALSE)</f>
        <v>#N/A</v>
      </c>
      <c r="R1126" t="s">
        <v>3050</v>
      </c>
      <c r="S1126">
        <v>77030</v>
      </c>
    </row>
    <row r="1127" spans="1:19" x14ac:dyDescent="0.3">
      <c r="A1127" t="s">
        <v>8</v>
      </c>
      <c r="B1127">
        <f>VLOOKUP(A1127,Sheet2!B:F,5,FALSE)</f>
        <v>928</v>
      </c>
      <c r="C1127" t="s">
        <v>9</v>
      </c>
      <c r="D1127">
        <f>VLOOKUP(C1127,Sheet2!C:G,5,FALSE)</f>
        <v>1202</v>
      </c>
      <c r="E1127" t="s">
        <v>10</v>
      </c>
      <c r="F1127">
        <f>VLOOKUP(E1127,Sheet2!D:E,2,FALSE)</f>
        <v>939</v>
      </c>
      <c r="G1127" t="s">
        <v>11</v>
      </c>
      <c r="H1127" t="str">
        <f t="shared" si="34"/>
        <v>NAVERmps4981:naver</v>
      </c>
      <c r="I1127" t="str">
        <f>"mps4981:naver"</f>
        <v>mps4981:naver</v>
      </c>
      <c r="J1127">
        <v>730</v>
      </c>
      <c r="K1127" s="1">
        <v>44866</v>
      </c>
      <c r="L1127" t="s">
        <v>1179</v>
      </c>
      <c r="M1127">
        <f t="shared" si="35"/>
        <v>730</v>
      </c>
      <c r="N1127" t="e">
        <f>VLOOKUP(H1127,Sheet1!G:H,2,FALSE)</f>
        <v>#N/A</v>
      </c>
      <c r="R1127" t="s">
        <v>3051</v>
      </c>
      <c r="S1127">
        <v>99610</v>
      </c>
    </row>
    <row r="1128" spans="1:19" x14ac:dyDescent="0.3">
      <c r="A1128" t="s">
        <v>16</v>
      </c>
      <c r="B1128">
        <f>VLOOKUP(A1128,Sheet2!B:F,5,FALSE)</f>
        <v>927</v>
      </c>
      <c r="C1128" t="s">
        <v>17</v>
      </c>
      <c r="D1128">
        <f>VLOOKUP(C1128,Sheet2!C:G,5,FALSE)</f>
        <v>1200</v>
      </c>
      <c r="E1128" t="s">
        <v>66</v>
      </c>
      <c r="F1128">
        <f>VLOOKUP(E1128,Sheet2!D:E,2,FALSE)</f>
        <v>33</v>
      </c>
      <c r="G1128" t="s">
        <v>11</v>
      </c>
      <c r="H1128" t="str">
        <f t="shared" si="34"/>
        <v>NAVERmr-living:naver</v>
      </c>
      <c r="I1128" t="str">
        <f>"mr-living:naver"</f>
        <v>mr-living:naver</v>
      </c>
      <c r="J1128">
        <v>149310</v>
      </c>
      <c r="K1128" s="1">
        <v>44866</v>
      </c>
      <c r="L1128" t="s">
        <v>1180</v>
      </c>
      <c r="M1128">
        <f t="shared" si="35"/>
        <v>150140</v>
      </c>
      <c r="N1128" t="e">
        <f>VLOOKUP(H1128,Sheet1!G:H,2,FALSE)</f>
        <v>#N/A</v>
      </c>
      <c r="R1128" t="s">
        <v>3052</v>
      </c>
      <c r="S1128">
        <v>2573070</v>
      </c>
    </row>
    <row r="1129" spans="1:19" x14ac:dyDescent="0.3">
      <c r="A1129" t="s">
        <v>16</v>
      </c>
      <c r="B1129">
        <f>VLOOKUP(A1129,Sheet2!B:F,5,FALSE)</f>
        <v>927</v>
      </c>
      <c r="C1129" t="s">
        <v>17</v>
      </c>
      <c r="D1129">
        <f>VLOOKUP(C1129,Sheet2!C:G,5,FALSE)</f>
        <v>1200</v>
      </c>
      <c r="E1129" t="s">
        <v>78</v>
      </c>
      <c r="F1129">
        <f>VLOOKUP(E1129,Sheet2!D:E,2,FALSE)</f>
        <v>57</v>
      </c>
      <c r="G1129" t="s">
        <v>11</v>
      </c>
      <c r="H1129" t="str">
        <f t="shared" si="34"/>
        <v>NAVERmr3jjang</v>
      </c>
      <c r="I1129" t="str">
        <f>"mr3jjang"</f>
        <v>mr3jjang</v>
      </c>
      <c r="J1129">
        <v>9650</v>
      </c>
      <c r="K1129" s="1">
        <v>44866</v>
      </c>
      <c r="L1129" t="s">
        <v>1181</v>
      </c>
      <c r="M1129">
        <f t="shared" si="35"/>
        <v>9650</v>
      </c>
      <c r="N1129" t="e">
        <f>VLOOKUP(H1129,Sheet1!G:H,2,FALSE)</f>
        <v>#N/A</v>
      </c>
      <c r="R1129" t="s">
        <v>3053</v>
      </c>
      <c r="S1129">
        <v>33620</v>
      </c>
    </row>
    <row r="1130" spans="1:19" x14ac:dyDescent="0.3">
      <c r="A1130" t="s">
        <v>8</v>
      </c>
      <c r="B1130">
        <f>VLOOKUP(A1130,Sheet2!B:F,5,FALSE)</f>
        <v>928</v>
      </c>
      <c r="C1130" t="s">
        <v>13</v>
      </c>
      <c r="D1130">
        <f>VLOOKUP(C1130,Sheet2!C:G,5,FALSE)</f>
        <v>1184</v>
      </c>
      <c r="E1130" t="s">
        <v>217</v>
      </c>
      <c r="F1130">
        <f>VLOOKUP(E1130,Sheet2!D:E,2,FALSE)</f>
        <v>201027</v>
      </c>
      <c r="G1130" t="s">
        <v>11</v>
      </c>
      <c r="H1130" t="str">
        <f t="shared" si="34"/>
        <v>NAVERmred6462</v>
      </c>
      <c r="I1130" t="str">
        <f>"mred6462"</f>
        <v>mred6462</v>
      </c>
      <c r="J1130">
        <v>87500</v>
      </c>
      <c r="K1130" s="1">
        <v>44866</v>
      </c>
      <c r="L1130" t="s">
        <v>1182</v>
      </c>
      <c r="M1130">
        <f t="shared" si="35"/>
        <v>87500</v>
      </c>
      <c r="N1130" t="e">
        <f>VLOOKUP(H1130,Sheet1!G:H,2,FALSE)</f>
        <v>#N/A</v>
      </c>
      <c r="R1130" t="s">
        <v>3054</v>
      </c>
      <c r="S1130">
        <v>2279480</v>
      </c>
    </row>
    <row r="1131" spans="1:19" x14ac:dyDescent="0.3">
      <c r="A1131" t="s">
        <v>16</v>
      </c>
      <c r="B1131">
        <f>VLOOKUP(A1131,Sheet2!B:F,5,FALSE)</f>
        <v>927</v>
      </c>
      <c r="C1131" t="s">
        <v>17</v>
      </c>
      <c r="D1131">
        <f>VLOOKUP(C1131,Sheet2!C:G,5,FALSE)</f>
        <v>1200</v>
      </c>
      <c r="E1131" t="s">
        <v>262</v>
      </c>
      <c r="F1131">
        <f>VLOOKUP(E1131,Sheet2!D:E,2,FALSE)</f>
        <v>1594</v>
      </c>
      <c r="G1131" t="s">
        <v>11</v>
      </c>
      <c r="H1131" t="str">
        <f t="shared" si="34"/>
        <v>NAVERmrlighting1</v>
      </c>
      <c r="I1131" t="str">
        <f>"mrlighting1"</f>
        <v>mrlighting1</v>
      </c>
      <c r="J1131">
        <v>106780</v>
      </c>
      <c r="K1131" s="1">
        <v>44866</v>
      </c>
      <c r="L1131" t="s">
        <v>1183</v>
      </c>
      <c r="M1131">
        <f t="shared" si="35"/>
        <v>106780</v>
      </c>
      <c r="N1131" t="e">
        <f>VLOOKUP(H1131,Sheet1!G:H,2,FALSE)</f>
        <v>#N/A</v>
      </c>
      <c r="R1131" t="s">
        <v>3055</v>
      </c>
      <c r="S1131">
        <v>7079570</v>
      </c>
    </row>
    <row r="1132" spans="1:19" x14ac:dyDescent="0.3">
      <c r="A1132" t="s">
        <v>8</v>
      </c>
      <c r="B1132">
        <f>VLOOKUP(A1132,Sheet2!B:F,5,FALSE)</f>
        <v>928</v>
      </c>
      <c r="C1132" t="s">
        <v>167</v>
      </c>
      <c r="D1132">
        <f>VLOOKUP(C1132,Sheet2!C:G,5,FALSE)</f>
        <v>935</v>
      </c>
      <c r="E1132" t="s">
        <v>168</v>
      </c>
      <c r="F1132">
        <f>VLOOKUP(E1132,Sheet2!D:E,2,FALSE)</f>
        <v>2</v>
      </c>
      <c r="G1132" t="s">
        <v>11</v>
      </c>
      <c r="H1132" t="str">
        <f t="shared" si="34"/>
        <v>NAVERms2k</v>
      </c>
      <c r="I1132" t="str">
        <f>"ms2k"</f>
        <v>ms2k</v>
      </c>
      <c r="J1132">
        <v>28430220</v>
      </c>
      <c r="K1132" s="1">
        <v>44866</v>
      </c>
      <c r="L1132" t="s">
        <v>671</v>
      </c>
      <c r="M1132">
        <f t="shared" si="35"/>
        <v>28430220</v>
      </c>
      <c r="N1132" t="e">
        <f>VLOOKUP(H1132,Sheet1!G:H,2,FALSE)</f>
        <v>#N/A</v>
      </c>
      <c r="R1132" t="s">
        <v>3056</v>
      </c>
      <c r="S1132">
        <v>70340</v>
      </c>
    </row>
    <row r="1133" spans="1:19" x14ac:dyDescent="0.3">
      <c r="A1133" t="s">
        <v>8</v>
      </c>
      <c r="B1133">
        <f>VLOOKUP(A1133,Sheet2!B:F,5,FALSE)</f>
        <v>928</v>
      </c>
      <c r="C1133" t="s">
        <v>9</v>
      </c>
      <c r="D1133">
        <f>VLOOKUP(C1133,Sheet2!C:G,5,FALSE)</f>
        <v>1202</v>
      </c>
      <c r="E1133" t="s">
        <v>33</v>
      </c>
      <c r="F1133">
        <f>VLOOKUP(E1133,Sheet2!D:E,2,FALSE)</f>
        <v>933</v>
      </c>
      <c r="G1133" t="s">
        <v>11</v>
      </c>
      <c r="H1133" t="str">
        <f t="shared" si="34"/>
        <v>NAVERmsh0819</v>
      </c>
      <c r="I1133" t="str">
        <f>"msh0819"</f>
        <v>msh0819</v>
      </c>
      <c r="J1133">
        <v>102730</v>
      </c>
      <c r="K1133" s="1">
        <v>44866</v>
      </c>
      <c r="L1133" t="s">
        <v>1184</v>
      </c>
      <c r="M1133">
        <f t="shared" si="35"/>
        <v>102730</v>
      </c>
      <c r="N1133" t="e">
        <f>VLOOKUP(H1133,Sheet1!G:H,2,FALSE)</f>
        <v>#N/A</v>
      </c>
      <c r="R1133" t="s">
        <v>3057</v>
      </c>
      <c r="S1133">
        <v>56910</v>
      </c>
    </row>
    <row r="1134" spans="1:19" x14ac:dyDescent="0.3">
      <c r="A1134" t="s">
        <v>41</v>
      </c>
      <c r="B1134">
        <f>VLOOKUP(A1134,Sheet2!B:F,5,FALSE)</f>
        <v>926</v>
      </c>
      <c r="C1134" t="s">
        <v>42</v>
      </c>
      <c r="D1134">
        <f>VLOOKUP(C1134,Sheet2!C:G,5,FALSE)</f>
        <v>964</v>
      </c>
      <c r="E1134" t="s">
        <v>43</v>
      </c>
      <c r="F1134">
        <f>VLOOKUP(E1134,Sheet2!D:E,2,FALSE)</f>
        <v>200998</v>
      </c>
      <c r="G1134" t="s">
        <v>11</v>
      </c>
      <c r="H1134" t="str">
        <f t="shared" si="34"/>
        <v>NAVERmsn0609</v>
      </c>
      <c r="I1134" t="str">
        <f>"msn0609"</f>
        <v>msn0609</v>
      </c>
      <c r="J1134">
        <v>1150</v>
      </c>
      <c r="K1134" s="1">
        <v>44866</v>
      </c>
      <c r="L1134" t="s">
        <v>1185</v>
      </c>
      <c r="M1134">
        <f t="shared" si="35"/>
        <v>1150</v>
      </c>
      <c r="N1134" t="e">
        <f>VLOOKUP(H1134,Sheet1!G:H,2,FALSE)</f>
        <v>#N/A</v>
      </c>
      <c r="R1134" t="s">
        <v>3058</v>
      </c>
      <c r="S1134">
        <v>222080</v>
      </c>
    </row>
    <row r="1135" spans="1:19" x14ac:dyDescent="0.3">
      <c r="A1135" t="s">
        <v>16</v>
      </c>
      <c r="B1135">
        <f>VLOOKUP(A1135,Sheet2!B:F,5,FALSE)</f>
        <v>927</v>
      </c>
      <c r="C1135" t="s">
        <v>17</v>
      </c>
      <c r="D1135">
        <f>VLOOKUP(C1135,Sheet2!C:G,5,FALSE)</f>
        <v>1200</v>
      </c>
      <c r="E1135" t="s">
        <v>29</v>
      </c>
      <c r="F1135">
        <f>VLOOKUP(E1135,Sheet2!D:E,2,FALSE)</f>
        <v>1496</v>
      </c>
      <c r="G1135" t="s">
        <v>11</v>
      </c>
      <c r="H1135" t="str">
        <f t="shared" si="34"/>
        <v>NAVERmsunhe2:naver</v>
      </c>
      <c r="I1135" t="str">
        <f>"msunhe2:naver"</f>
        <v>msunhe2:naver</v>
      </c>
      <c r="J1135">
        <v>1650130</v>
      </c>
      <c r="K1135" s="1">
        <v>44866</v>
      </c>
      <c r="L1135" t="s">
        <v>1186</v>
      </c>
      <c r="M1135">
        <f t="shared" si="35"/>
        <v>1650130</v>
      </c>
      <c r="N1135" t="e">
        <f>VLOOKUP(H1135,Sheet1!G:H,2,FALSE)</f>
        <v>#N/A</v>
      </c>
      <c r="R1135" t="s">
        <v>3059</v>
      </c>
      <c r="S1135">
        <v>413470</v>
      </c>
    </row>
    <row r="1136" spans="1:19" x14ac:dyDescent="0.3">
      <c r="A1136" t="s">
        <v>8</v>
      </c>
      <c r="B1136">
        <f>VLOOKUP(A1136,Sheet2!B:F,5,FALSE)</f>
        <v>928</v>
      </c>
      <c r="C1136" t="s">
        <v>9</v>
      </c>
      <c r="D1136">
        <f>VLOOKUP(C1136,Sheet2!C:G,5,FALSE)</f>
        <v>1202</v>
      </c>
      <c r="E1136" t="s">
        <v>10</v>
      </c>
      <c r="F1136">
        <f>VLOOKUP(E1136,Sheet2!D:E,2,FALSE)</f>
        <v>939</v>
      </c>
      <c r="G1136" t="s">
        <v>11</v>
      </c>
      <c r="H1136" t="str">
        <f t="shared" si="34"/>
        <v>NAVERmsy</v>
      </c>
      <c r="I1136" t="str">
        <f>"msy"</f>
        <v>msy</v>
      </c>
      <c r="J1136">
        <v>45454240</v>
      </c>
      <c r="K1136" s="1">
        <v>44866</v>
      </c>
      <c r="L1136" t="s">
        <v>1187</v>
      </c>
      <c r="M1136">
        <f t="shared" si="35"/>
        <v>44954250</v>
      </c>
      <c r="N1136" t="e">
        <f>VLOOKUP(H1136,Sheet1!G:H,2,FALSE)</f>
        <v>#N/A</v>
      </c>
      <c r="R1136" t="s">
        <v>3060</v>
      </c>
      <c r="S1136">
        <v>1135960</v>
      </c>
    </row>
    <row r="1137" spans="1:19" x14ac:dyDescent="0.3">
      <c r="A1137" t="s">
        <v>8</v>
      </c>
      <c r="B1137">
        <f>VLOOKUP(A1137,Sheet2!B:F,5,FALSE)</f>
        <v>928</v>
      </c>
      <c r="C1137" t="s">
        <v>9</v>
      </c>
      <c r="D1137">
        <f>VLOOKUP(C1137,Sheet2!C:G,5,FALSE)</f>
        <v>1202</v>
      </c>
      <c r="E1137" t="s">
        <v>45</v>
      </c>
      <c r="F1137">
        <f>VLOOKUP(E1137,Sheet2!D:E,2,FALSE)</f>
        <v>26</v>
      </c>
      <c r="G1137" t="s">
        <v>11</v>
      </c>
      <c r="H1137" t="str">
        <f t="shared" si="34"/>
        <v>NAVERmtherapy7</v>
      </c>
      <c r="I1137" t="str">
        <f>"mtherapy7"</f>
        <v>mtherapy7</v>
      </c>
      <c r="J1137">
        <v>171930</v>
      </c>
      <c r="K1137" s="1">
        <v>44866</v>
      </c>
      <c r="L1137" t="s">
        <v>1188</v>
      </c>
      <c r="M1137">
        <f t="shared" si="35"/>
        <v>145420</v>
      </c>
      <c r="N1137" t="e">
        <f>VLOOKUP(H1137,Sheet1!G:H,2,FALSE)</f>
        <v>#N/A</v>
      </c>
      <c r="R1137" t="s">
        <v>3061</v>
      </c>
      <c r="S1137">
        <v>3750</v>
      </c>
    </row>
    <row r="1138" spans="1:19" x14ac:dyDescent="0.3">
      <c r="A1138" t="s">
        <v>16</v>
      </c>
      <c r="B1138">
        <f>VLOOKUP(A1138,Sheet2!B:F,5,FALSE)</f>
        <v>927</v>
      </c>
      <c r="C1138" t="s">
        <v>17</v>
      </c>
      <c r="D1138">
        <f>VLOOKUP(C1138,Sheet2!C:G,5,FALSE)</f>
        <v>1200</v>
      </c>
      <c r="E1138" t="s">
        <v>262</v>
      </c>
      <c r="F1138">
        <f>VLOOKUP(E1138,Sheet2!D:E,2,FALSE)</f>
        <v>1594</v>
      </c>
      <c r="G1138" t="s">
        <v>11</v>
      </c>
      <c r="H1138" t="str">
        <f t="shared" si="34"/>
        <v>NAVERmugboya16:naver</v>
      </c>
      <c r="I1138" t="str">
        <f>"mugboya16:naver"</f>
        <v>mugboya16:naver</v>
      </c>
      <c r="J1138">
        <v>2343720</v>
      </c>
      <c r="K1138" s="1">
        <v>44866</v>
      </c>
      <c r="L1138" t="s">
        <v>1189</v>
      </c>
      <c r="M1138">
        <f t="shared" si="35"/>
        <v>2343720</v>
      </c>
      <c r="N1138" t="e">
        <f>VLOOKUP(H1138,Sheet1!G:H,2,FALSE)</f>
        <v>#N/A</v>
      </c>
      <c r="R1138" t="s">
        <v>3062</v>
      </c>
      <c r="S1138">
        <v>9513380</v>
      </c>
    </row>
    <row r="1139" spans="1:19" x14ac:dyDescent="0.3">
      <c r="A1139" t="s">
        <v>8</v>
      </c>
      <c r="B1139">
        <f>VLOOKUP(A1139,Sheet2!B:F,5,FALSE)</f>
        <v>928</v>
      </c>
      <c r="C1139" t="s">
        <v>9</v>
      </c>
      <c r="D1139">
        <f>VLOOKUP(C1139,Sheet2!C:G,5,FALSE)</f>
        <v>1202</v>
      </c>
      <c r="E1139" t="s">
        <v>39</v>
      </c>
      <c r="F1139">
        <f>VLOOKUP(E1139,Sheet2!D:E,2,FALSE)</f>
        <v>25</v>
      </c>
      <c r="G1139" t="s">
        <v>11</v>
      </c>
      <c r="H1139" t="str">
        <f t="shared" si="34"/>
        <v>NAVERmuka0000</v>
      </c>
      <c r="I1139" t="str">
        <f>"muka0000"</f>
        <v>muka0000</v>
      </c>
      <c r="J1139">
        <v>93330</v>
      </c>
      <c r="K1139" s="1">
        <v>44866</v>
      </c>
      <c r="L1139" t="s">
        <v>1190</v>
      </c>
      <c r="M1139">
        <f t="shared" si="35"/>
        <v>93330</v>
      </c>
      <c r="N1139" t="e">
        <f>VLOOKUP(H1139,Sheet1!G:H,2,FALSE)</f>
        <v>#N/A</v>
      </c>
      <c r="R1139" t="s">
        <v>3063</v>
      </c>
      <c r="S1139">
        <v>554970</v>
      </c>
    </row>
    <row r="1140" spans="1:19" x14ac:dyDescent="0.3">
      <c r="A1140" t="s">
        <v>8</v>
      </c>
      <c r="B1140">
        <f>VLOOKUP(A1140,Sheet2!B:F,5,FALSE)</f>
        <v>928</v>
      </c>
      <c r="C1140" t="s">
        <v>13</v>
      </c>
      <c r="D1140">
        <f>VLOOKUP(C1140,Sheet2!C:G,5,FALSE)</f>
        <v>1184</v>
      </c>
      <c r="E1140" t="s">
        <v>51</v>
      </c>
      <c r="F1140">
        <f>VLOOKUP(E1140,Sheet2!D:E,2,FALSE)</f>
        <v>1274</v>
      </c>
      <c r="G1140" t="s">
        <v>11</v>
      </c>
      <c r="H1140" t="str">
        <f t="shared" si="34"/>
        <v>NAVERmunarchi124</v>
      </c>
      <c r="I1140" t="str">
        <f>"munarchi124"</f>
        <v>munarchi124</v>
      </c>
      <c r="J1140">
        <v>150</v>
      </c>
      <c r="K1140" s="1">
        <v>44866</v>
      </c>
      <c r="L1140" t="s">
        <v>1191</v>
      </c>
      <c r="M1140">
        <f t="shared" si="35"/>
        <v>150</v>
      </c>
      <c r="N1140" t="e">
        <f>VLOOKUP(H1140,Sheet1!G:H,2,FALSE)</f>
        <v>#N/A</v>
      </c>
      <c r="R1140" t="s">
        <v>3064</v>
      </c>
      <c r="S1140">
        <v>16380</v>
      </c>
    </row>
    <row r="1141" spans="1:19" x14ac:dyDescent="0.3">
      <c r="A1141" t="s">
        <v>8</v>
      </c>
      <c r="B1141">
        <f>VLOOKUP(A1141,Sheet2!B:F,5,FALSE)</f>
        <v>928</v>
      </c>
      <c r="C1141" t="s">
        <v>9</v>
      </c>
      <c r="D1141">
        <f>VLOOKUP(C1141,Sheet2!C:G,5,FALSE)</f>
        <v>1202</v>
      </c>
      <c r="E1141" t="s">
        <v>220</v>
      </c>
      <c r="F1141">
        <f>VLOOKUP(E1141,Sheet2!D:E,2,FALSE)</f>
        <v>1211</v>
      </c>
      <c r="G1141" t="s">
        <v>11</v>
      </c>
      <c r="H1141" t="str">
        <f t="shared" si="34"/>
        <v>NAVERmunseo</v>
      </c>
      <c r="I1141" t="str">
        <f>"munseo"</f>
        <v>munseo</v>
      </c>
      <c r="J1141">
        <v>1016590</v>
      </c>
      <c r="K1141" s="1">
        <v>44866</v>
      </c>
      <c r="L1141" t="s">
        <v>1192</v>
      </c>
      <c r="M1141">
        <f t="shared" si="35"/>
        <v>1016590</v>
      </c>
      <c r="N1141" t="e">
        <f>VLOOKUP(H1141,Sheet1!G:H,2,FALSE)</f>
        <v>#N/A</v>
      </c>
      <c r="R1141" t="s">
        <v>3065</v>
      </c>
      <c r="S1141">
        <v>510930</v>
      </c>
    </row>
    <row r="1142" spans="1:19" x14ac:dyDescent="0.3">
      <c r="A1142" t="s">
        <v>8</v>
      </c>
      <c r="B1142">
        <f>VLOOKUP(A1142,Sheet2!B:F,5,FALSE)</f>
        <v>928</v>
      </c>
      <c r="C1142" t="s">
        <v>13</v>
      </c>
      <c r="D1142">
        <f>VLOOKUP(C1142,Sheet2!C:G,5,FALSE)</f>
        <v>1184</v>
      </c>
      <c r="E1142" t="s">
        <v>118</v>
      </c>
      <c r="F1142">
        <f>VLOOKUP(E1142,Sheet2!D:E,2,FALSE)</f>
        <v>201004</v>
      </c>
      <c r="G1142" t="s">
        <v>11</v>
      </c>
      <c r="H1142" t="str">
        <f t="shared" si="34"/>
        <v>NAVERmutu</v>
      </c>
      <c r="I1142" t="str">
        <f>"mutu"</f>
        <v>mutu</v>
      </c>
      <c r="J1142">
        <v>94110</v>
      </c>
      <c r="K1142" s="1">
        <v>44866</v>
      </c>
      <c r="L1142" t="s">
        <v>1193</v>
      </c>
      <c r="M1142">
        <f t="shared" si="35"/>
        <v>94110</v>
      </c>
      <c r="N1142" t="e">
        <f>VLOOKUP(H1142,Sheet1!G:H,2,FALSE)</f>
        <v>#N/A</v>
      </c>
      <c r="R1142" t="s">
        <v>3066</v>
      </c>
      <c r="S1142">
        <v>605460</v>
      </c>
    </row>
    <row r="1143" spans="1:19" x14ac:dyDescent="0.3">
      <c r="A1143" t="s">
        <v>8</v>
      </c>
      <c r="B1143">
        <f>VLOOKUP(A1143,Sheet2!B:F,5,FALSE)</f>
        <v>928</v>
      </c>
      <c r="C1143" t="s">
        <v>13</v>
      </c>
      <c r="D1143">
        <f>VLOOKUP(C1143,Sheet2!C:G,5,FALSE)</f>
        <v>1184</v>
      </c>
      <c r="E1143" t="s">
        <v>14</v>
      </c>
      <c r="F1143">
        <f>VLOOKUP(E1143,Sheet2!D:E,2,FALSE)</f>
        <v>914</v>
      </c>
      <c r="G1143" t="s">
        <v>11</v>
      </c>
      <c r="H1143" t="str">
        <f t="shared" si="34"/>
        <v>NAVERmycompany9818:naver</v>
      </c>
      <c r="I1143" t="str">
        <f>"mycompany9818:naver"</f>
        <v>mycompany9818:naver</v>
      </c>
      <c r="J1143">
        <v>1091020</v>
      </c>
      <c r="K1143" s="1">
        <v>44866</v>
      </c>
      <c r="L1143" t="s">
        <v>1194</v>
      </c>
      <c r="M1143">
        <f t="shared" si="35"/>
        <v>1091020</v>
      </c>
      <c r="N1143" t="e">
        <f>VLOOKUP(H1143,Sheet1!G:H,2,FALSE)</f>
        <v>#N/A</v>
      </c>
      <c r="R1143" t="s">
        <v>3067</v>
      </c>
      <c r="S1143">
        <v>48950</v>
      </c>
    </row>
    <row r="1144" spans="1:19" x14ac:dyDescent="0.3">
      <c r="A1144" t="s">
        <v>8</v>
      </c>
      <c r="B1144">
        <f>VLOOKUP(A1144,Sheet2!B:F,5,FALSE)</f>
        <v>928</v>
      </c>
      <c r="C1144" t="s">
        <v>9</v>
      </c>
      <c r="D1144">
        <f>VLOOKUP(C1144,Sheet2!C:G,5,FALSE)</f>
        <v>1202</v>
      </c>
      <c r="E1144" t="s">
        <v>142</v>
      </c>
      <c r="F1144">
        <f>VLOOKUP(E1144,Sheet2!D:E,2,FALSE)</f>
        <v>652</v>
      </c>
      <c r="G1144" t="s">
        <v>11</v>
      </c>
      <c r="H1144" t="str">
        <f t="shared" si="34"/>
        <v>NAVERmygguna</v>
      </c>
      <c r="I1144" t="str">
        <f>"mygguna"</f>
        <v>mygguna</v>
      </c>
      <c r="J1144">
        <v>1902100</v>
      </c>
      <c r="K1144" s="1">
        <v>44866</v>
      </c>
      <c r="L1144" t="s">
        <v>1195</v>
      </c>
      <c r="M1144">
        <f t="shared" si="35"/>
        <v>1902100</v>
      </c>
      <c r="N1144" t="e">
        <f>VLOOKUP(H1144,Sheet1!G:H,2,FALSE)</f>
        <v>#N/A</v>
      </c>
      <c r="R1144" t="s">
        <v>3068</v>
      </c>
      <c r="S1144">
        <v>1460100</v>
      </c>
    </row>
    <row r="1145" spans="1:19" x14ac:dyDescent="0.3">
      <c r="A1145" t="s">
        <v>16</v>
      </c>
      <c r="B1145">
        <f>VLOOKUP(A1145,Sheet2!B:F,5,FALSE)</f>
        <v>927</v>
      </c>
      <c r="C1145" t="s">
        <v>17</v>
      </c>
      <c r="D1145">
        <f>VLOOKUP(C1145,Sheet2!C:G,5,FALSE)</f>
        <v>1200</v>
      </c>
      <c r="E1145" t="s">
        <v>93</v>
      </c>
      <c r="F1145">
        <f>VLOOKUP(E1145,Sheet2!D:E,2,FALSE)</f>
        <v>930</v>
      </c>
      <c r="G1145" t="s">
        <v>11</v>
      </c>
      <c r="H1145" t="str">
        <f t="shared" si="34"/>
        <v>NAVERmyheim1203</v>
      </c>
      <c r="I1145" t="str">
        <f>"myheim1203"</f>
        <v>myheim1203</v>
      </c>
      <c r="J1145">
        <v>28260</v>
      </c>
      <c r="K1145" s="1">
        <v>44866</v>
      </c>
      <c r="L1145" t="s">
        <v>1196</v>
      </c>
      <c r="M1145">
        <f t="shared" si="35"/>
        <v>28260</v>
      </c>
      <c r="N1145" t="e">
        <f>VLOOKUP(H1145,Sheet1!G:H,2,FALSE)</f>
        <v>#N/A</v>
      </c>
      <c r="R1145" t="s">
        <v>3069</v>
      </c>
      <c r="S1145">
        <v>4870</v>
      </c>
    </row>
    <row r="1146" spans="1:19" x14ac:dyDescent="0.3">
      <c r="A1146" t="s">
        <v>8</v>
      </c>
      <c r="B1146">
        <f>VLOOKUP(A1146,Sheet2!B:F,5,FALSE)</f>
        <v>928</v>
      </c>
      <c r="C1146" t="s">
        <v>13</v>
      </c>
      <c r="D1146">
        <f>VLOOKUP(C1146,Sheet2!C:G,5,FALSE)</f>
        <v>1184</v>
      </c>
      <c r="E1146" t="s">
        <v>51</v>
      </c>
      <c r="F1146">
        <f>VLOOKUP(E1146,Sheet2!D:E,2,FALSE)</f>
        <v>1274</v>
      </c>
      <c r="G1146" t="s">
        <v>11</v>
      </c>
      <c r="H1146" t="str">
        <f t="shared" si="34"/>
        <v>NAVERmyoll</v>
      </c>
      <c r="I1146" t="str">
        <f>"myoll"</f>
        <v>myoll</v>
      </c>
      <c r="J1146">
        <v>210</v>
      </c>
      <c r="K1146" s="1">
        <v>44866</v>
      </c>
      <c r="L1146" t="s">
        <v>1197</v>
      </c>
      <c r="M1146">
        <f t="shared" si="35"/>
        <v>210</v>
      </c>
      <c r="N1146" t="e">
        <f>VLOOKUP(H1146,Sheet1!G:H,2,FALSE)</f>
        <v>#N/A</v>
      </c>
      <c r="R1146" t="s">
        <v>3070</v>
      </c>
      <c r="S1146">
        <v>132910</v>
      </c>
    </row>
    <row r="1147" spans="1:19" x14ac:dyDescent="0.3">
      <c r="A1147" t="s">
        <v>8</v>
      </c>
      <c r="B1147">
        <f>VLOOKUP(A1147,Sheet2!B:F,5,FALSE)</f>
        <v>928</v>
      </c>
      <c r="C1147" t="s">
        <v>9</v>
      </c>
      <c r="D1147">
        <f>VLOOKUP(C1147,Sheet2!C:G,5,FALSE)</f>
        <v>1202</v>
      </c>
      <c r="E1147" t="s">
        <v>27</v>
      </c>
      <c r="F1147">
        <f>VLOOKUP(E1147,Sheet2!D:E,2,FALSE)</f>
        <v>806</v>
      </c>
      <c r="G1147" t="s">
        <v>11</v>
      </c>
      <c r="H1147" t="str">
        <f t="shared" si="34"/>
        <v>NAVERmypartyboy00:naver</v>
      </c>
      <c r="I1147" t="str">
        <f>"mypartyboy00:naver"</f>
        <v>mypartyboy00:naver</v>
      </c>
      <c r="J1147">
        <v>113490</v>
      </c>
      <c r="K1147" s="1">
        <v>44866</v>
      </c>
      <c r="L1147" t="s">
        <v>1198</v>
      </c>
      <c r="M1147">
        <f t="shared" si="35"/>
        <v>113490</v>
      </c>
      <c r="N1147" t="e">
        <f>VLOOKUP(H1147,Sheet1!G:H,2,FALSE)</f>
        <v>#N/A</v>
      </c>
      <c r="R1147" t="s">
        <v>3071</v>
      </c>
      <c r="S1147">
        <v>264530</v>
      </c>
    </row>
    <row r="1148" spans="1:19" x14ac:dyDescent="0.3">
      <c r="A1148" t="s">
        <v>8</v>
      </c>
      <c r="B1148">
        <f>VLOOKUP(A1148,Sheet2!B:F,5,FALSE)</f>
        <v>928</v>
      </c>
      <c r="C1148" t="s">
        <v>13</v>
      </c>
      <c r="D1148">
        <f>VLOOKUP(C1148,Sheet2!C:G,5,FALSE)</f>
        <v>1184</v>
      </c>
      <c r="E1148" t="s">
        <v>51</v>
      </c>
      <c r="F1148">
        <f>VLOOKUP(E1148,Sheet2!D:E,2,FALSE)</f>
        <v>1274</v>
      </c>
      <c r="G1148" t="s">
        <v>11</v>
      </c>
      <c r="H1148" t="str">
        <f t="shared" si="34"/>
        <v>NAVERmyungin0404</v>
      </c>
      <c r="I1148" t="str">
        <f>"myungin0404"</f>
        <v>myungin0404</v>
      </c>
      <c r="J1148">
        <v>2120</v>
      </c>
      <c r="K1148" s="1">
        <v>44866</v>
      </c>
      <c r="L1148" t="s">
        <v>1199</v>
      </c>
      <c r="M1148">
        <f t="shared" si="35"/>
        <v>2120</v>
      </c>
      <c r="N1148" t="e">
        <f>VLOOKUP(H1148,Sheet1!G:H,2,FALSE)</f>
        <v>#N/A</v>
      </c>
      <c r="R1148" t="s">
        <v>3072</v>
      </c>
      <c r="S1148">
        <v>2739240</v>
      </c>
    </row>
    <row r="1149" spans="1:19" x14ac:dyDescent="0.3">
      <c r="A1149" t="s">
        <v>8</v>
      </c>
      <c r="B1149">
        <f>VLOOKUP(A1149,Sheet2!B:F,5,FALSE)</f>
        <v>928</v>
      </c>
      <c r="C1149" t="s">
        <v>9</v>
      </c>
      <c r="D1149">
        <f>VLOOKUP(C1149,Sheet2!C:G,5,FALSE)</f>
        <v>1202</v>
      </c>
      <c r="E1149" t="s">
        <v>45</v>
      </c>
      <c r="F1149">
        <f>VLOOKUP(E1149,Sheet2!D:E,2,FALSE)</f>
        <v>26</v>
      </c>
      <c r="G1149" t="s">
        <v>11</v>
      </c>
      <c r="H1149" t="str">
        <f t="shared" si="34"/>
        <v>NAVERmyuzkorea</v>
      </c>
      <c r="I1149" t="str">
        <f>"myuzkorea"</f>
        <v>myuzkorea</v>
      </c>
      <c r="J1149">
        <v>115710</v>
      </c>
      <c r="K1149" s="1">
        <v>44866</v>
      </c>
      <c r="L1149" t="s">
        <v>1200</v>
      </c>
      <c r="M1149">
        <f t="shared" si="35"/>
        <v>115710</v>
      </c>
      <c r="N1149" t="e">
        <f>VLOOKUP(H1149,Sheet1!G:H,2,FALSE)</f>
        <v>#N/A</v>
      </c>
      <c r="R1149" t="s">
        <v>3073</v>
      </c>
      <c r="S1149">
        <v>34160</v>
      </c>
    </row>
    <row r="1150" spans="1:19" x14ac:dyDescent="0.3">
      <c r="A1150" t="s">
        <v>8</v>
      </c>
      <c r="B1150">
        <f>VLOOKUP(A1150,Sheet2!B:F,5,FALSE)</f>
        <v>928</v>
      </c>
      <c r="C1150" t="s">
        <v>13</v>
      </c>
      <c r="D1150">
        <f>VLOOKUP(C1150,Sheet2!C:G,5,FALSE)</f>
        <v>1184</v>
      </c>
      <c r="E1150" t="s">
        <v>115</v>
      </c>
      <c r="F1150">
        <f>VLOOKUP(E1150,Sheet2!D:E,2,FALSE)</f>
        <v>1548</v>
      </c>
      <c r="G1150" t="s">
        <v>11</v>
      </c>
      <c r="H1150" t="str">
        <f t="shared" si="34"/>
        <v>NAVERmzfhrtl</v>
      </c>
      <c r="I1150" t="str">
        <f>"mzfhrtl"</f>
        <v>mzfhrtl</v>
      </c>
      <c r="J1150">
        <v>17610</v>
      </c>
      <c r="K1150" s="1">
        <v>44866</v>
      </c>
      <c r="L1150" t="s">
        <v>1201</v>
      </c>
      <c r="M1150">
        <f t="shared" si="35"/>
        <v>17610</v>
      </c>
      <c r="N1150" t="e">
        <f>VLOOKUP(H1150,Sheet1!G:H,2,FALSE)</f>
        <v>#N/A</v>
      </c>
      <c r="R1150" t="s">
        <v>3074</v>
      </c>
      <c r="S1150">
        <v>1507010</v>
      </c>
    </row>
    <row r="1151" spans="1:19" x14ac:dyDescent="0.3">
      <c r="A1151" t="s">
        <v>16</v>
      </c>
      <c r="B1151">
        <f>VLOOKUP(A1151,Sheet2!B:F,5,FALSE)</f>
        <v>927</v>
      </c>
      <c r="C1151" t="s">
        <v>17</v>
      </c>
      <c r="D1151">
        <f>VLOOKUP(C1151,Sheet2!C:G,5,FALSE)</f>
        <v>1200</v>
      </c>
      <c r="E1151" t="s">
        <v>137</v>
      </c>
      <c r="F1151">
        <f>VLOOKUP(E1151,Sheet2!D:E,2,FALSE)</f>
        <v>1012</v>
      </c>
      <c r="G1151" t="s">
        <v>11</v>
      </c>
      <c r="H1151" t="str">
        <f t="shared" si="34"/>
        <v>NAVERn_monopoly</v>
      </c>
      <c r="I1151" t="str">
        <f>"n_monopoly"</f>
        <v>n_monopoly</v>
      </c>
      <c r="J1151">
        <v>140</v>
      </c>
      <c r="K1151" s="1">
        <v>44866</v>
      </c>
      <c r="L1151" t="s">
        <v>1202</v>
      </c>
      <c r="M1151">
        <f t="shared" si="35"/>
        <v>140</v>
      </c>
      <c r="N1151" t="e">
        <f>VLOOKUP(H1151,Sheet1!G:H,2,FALSE)</f>
        <v>#N/A</v>
      </c>
      <c r="R1151" t="s">
        <v>3075</v>
      </c>
      <c r="S1151">
        <v>644080</v>
      </c>
    </row>
    <row r="1152" spans="1:19" x14ac:dyDescent="0.3">
      <c r="A1152" t="s">
        <v>16</v>
      </c>
      <c r="B1152">
        <f>VLOOKUP(A1152,Sheet2!B:F,5,FALSE)</f>
        <v>927</v>
      </c>
      <c r="C1152" t="s">
        <v>17</v>
      </c>
      <c r="D1152">
        <f>VLOOKUP(C1152,Sheet2!C:G,5,FALSE)</f>
        <v>1200</v>
      </c>
      <c r="E1152" t="s">
        <v>66</v>
      </c>
      <c r="F1152">
        <f>VLOOKUP(E1152,Sheet2!D:E,2,FALSE)</f>
        <v>33</v>
      </c>
      <c r="G1152" t="s">
        <v>11</v>
      </c>
      <c r="H1152" t="str">
        <f t="shared" si="34"/>
        <v>NAVERn4244</v>
      </c>
      <c r="I1152" t="str">
        <f>"n4244"</f>
        <v>n4244</v>
      </c>
      <c r="J1152">
        <v>753120</v>
      </c>
      <c r="K1152" s="1">
        <v>44866</v>
      </c>
      <c r="L1152" t="s">
        <v>1203</v>
      </c>
      <c r="M1152">
        <f t="shared" si="35"/>
        <v>753120</v>
      </c>
      <c r="N1152" t="e">
        <f>VLOOKUP(H1152,Sheet1!G:H,2,FALSE)</f>
        <v>#N/A</v>
      </c>
      <c r="R1152" t="s">
        <v>3076</v>
      </c>
      <c r="S1152">
        <v>10889880</v>
      </c>
    </row>
    <row r="1153" spans="1:19" x14ac:dyDescent="0.3">
      <c r="A1153" t="s">
        <v>8</v>
      </c>
      <c r="B1153">
        <f>VLOOKUP(A1153,Sheet2!B:F,5,FALSE)</f>
        <v>928</v>
      </c>
      <c r="C1153" t="s">
        <v>9</v>
      </c>
      <c r="D1153">
        <f>VLOOKUP(C1153,Sheet2!C:G,5,FALSE)</f>
        <v>1202</v>
      </c>
      <c r="E1153" t="s">
        <v>20</v>
      </c>
      <c r="F1153">
        <f>VLOOKUP(E1153,Sheet2!D:E,2,FALSE)</f>
        <v>938</v>
      </c>
      <c r="G1153" t="s">
        <v>11</v>
      </c>
      <c r="H1153" t="str">
        <f t="shared" si="34"/>
        <v>NAVERna114sin</v>
      </c>
      <c r="I1153" t="str">
        <f>"na114sin"</f>
        <v>na114sin</v>
      </c>
      <c r="J1153">
        <v>5140</v>
      </c>
      <c r="K1153" s="1">
        <v>44866</v>
      </c>
      <c r="L1153" t="s">
        <v>1204</v>
      </c>
      <c r="M1153">
        <f t="shared" si="35"/>
        <v>2720</v>
      </c>
      <c r="N1153" t="e">
        <f>VLOOKUP(H1153,Sheet1!G:H,2,FALSE)</f>
        <v>#N/A</v>
      </c>
      <c r="R1153" t="s">
        <v>3077</v>
      </c>
      <c r="S1153">
        <v>70</v>
      </c>
    </row>
    <row r="1154" spans="1:19" x14ac:dyDescent="0.3">
      <c r="A1154" t="s">
        <v>8</v>
      </c>
      <c r="B1154">
        <f>VLOOKUP(A1154,Sheet2!B:F,5,FALSE)</f>
        <v>928</v>
      </c>
      <c r="C1154" t="s">
        <v>9</v>
      </c>
      <c r="D1154">
        <f>VLOOKUP(C1154,Sheet2!C:G,5,FALSE)</f>
        <v>1202</v>
      </c>
      <c r="E1154" t="s">
        <v>122</v>
      </c>
      <c r="F1154">
        <f>VLOOKUP(E1154,Sheet2!D:E,2,FALSE)</f>
        <v>251</v>
      </c>
      <c r="G1154" t="s">
        <v>11</v>
      </c>
      <c r="H1154" t="str">
        <f t="shared" si="34"/>
        <v>NAVERnabinamucat</v>
      </c>
      <c r="I1154" t="str">
        <f>"nabinamucat"</f>
        <v>nabinamucat</v>
      </c>
      <c r="J1154">
        <v>1420460</v>
      </c>
      <c r="K1154" s="1">
        <v>44866</v>
      </c>
      <c r="L1154" t="s">
        <v>1205</v>
      </c>
      <c r="M1154">
        <f t="shared" si="35"/>
        <v>920470</v>
      </c>
      <c r="N1154" t="e">
        <f>VLOOKUP(H1154,Sheet1!G:H,2,FALSE)</f>
        <v>#N/A</v>
      </c>
      <c r="R1154" t="s">
        <v>3078</v>
      </c>
      <c r="S1154">
        <v>8560</v>
      </c>
    </row>
    <row r="1155" spans="1:19" x14ac:dyDescent="0.3">
      <c r="A1155" t="s">
        <v>8</v>
      </c>
      <c r="B1155">
        <f>VLOOKUP(A1155,Sheet2!B:F,5,FALSE)</f>
        <v>928</v>
      </c>
      <c r="C1155" t="s">
        <v>9</v>
      </c>
      <c r="D1155">
        <f>VLOOKUP(C1155,Sheet2!C:G,5,FALSE)</f>
        <v>1202</v>
      </c>
      <c r="E1155" t="s">
        <v>47</v>
      </c>
      <c r="F1155">
        <f>VLOOKUP(E1155,Sheet2!D:E,2,FALSE)</f>
        <v>898</v>
      </c>
      <c r="G1155" t="s">
        <v>11</v>
      </c>
      <c r="H1155" t="str">
        <f t="shared" ref="H1155:H1218" si="36">CONCATENATE(G1155,I1155)</f>
        <v>NAVERnamuhncare:naver</v>
      </c>
      <c r="I1155" t="str">
        <f>"namuhncare:naver"</f>
        <v>namuhncare:naver</v>
      </c>
      <c r="J1155">
        <v>1956140</v>
      </c>
      <c r="K1155" s="1">
        <v>44866</v>
      </c>
      <c r="L1155" t="s">
        <v>1206</v>
      </c>
      <c r="M1155">
        <f t="shared" ref="M1155:M1218" si="37">VLOOKUP(H1155,R:S,2,FALSE)</f>
        <v>1256160</v>
      </c>
      <c r="N1155" t="e">
        <f>VLOOKUP(H1155,Sheet1!G:H,2,FALSE)</f>
        <v>#N/A</v>
      </c>
      <c r="R1155" t="s">
        <v>3079</v>
      </c>
      <c r="S1155">
        <v>125740</v>
      </c>
    </row>
    <row r="1156" spans="1:19" x14ac:dyDescent="0.3">
      <c r="A1156" t="s">
        <v>8</v>
      </c>
      <c r="B1156">
        <f>VLOOKUP(A1156,Sheet2!B:F,5,FALSE)</f>
        <v>928</v>
      </c>
      <c r="C1156" t="s">
        <v>9</v>
      </c>
      <c r="D1156">
        <f>VLOOKUP(C1156,Sheet2!C:G,5,FALSE)</f>
        <v>1202</v>
      </c>
      <c r="E1156" t="s">
        <v>27</v>
      </c>
      <c r="F1156">
        <f>VLOOKUP(E1156,Sheet2!D:E,2,FALSE)</f>
        <v>806</v>
      </c>
      <c r="G1156" t="s">
        <v>11</v>
      </c>
      <c r="H1156" t="str">
        <f t="shared" si="36"/>
        <v>NAVERnana5654:naver</v>
      </c>
      <c r="I1156" t="str">
        <f>"nana5654:naver"</f>
        <v>nana5654:naver</v>
      </c>
      <c r="J1156">
        <v>404914</v>
      </c>
      <c r="K1156" s="1">
        <v>44866</v>
      </c>
      <c r="L1156" t="s">
        <v>1207</v>
      </c>
      <c r="M1156">
        <f t="shared" si="37"/>
        <v>404960</v>
      </c>
      <c r="N1156" t="e">
        <f>VLOOKUP(H1156,Sheet1!G:H,2,FALSE)</f>
        <v>#N/A</v>
      </c>
      <c r="R1156" t="s">
        <v>3080</v>
      </c>
      <c r="S1156">
        <v>413910</v>
      </c>
    </row>
    <row r="1157" spans="1:19" x14ac:dyDescent="0.3">
      <c r="A1157" t="s">
        <v>8</v>
      </c>
      <c r="B1157">
        <f>VLOOKUP(A1157,Sheet2!B:F,5,FALSE)</f>
        <v>928</v>
      </c>
      <c r="C1157" t="s">
        <v>9</v>
      </c>
      <c r="D1157">
        <f>VLOOKUP(C1157,Sheet2!C:G,5,FALSE)</f>
        <v>1202</v>
      </c>
      <c r="E1157" t="s">
        <v>27</v>
      </c>
      <c r="F1157">
        <f>VLOOKUP(E1157,Sheet2!D:E,2,FALSE)</f>
        <v>806</v>
      </c>
      <c r="G1157" t="s">
        <v>11</v>
      </c>
      <c r="H1157" t="str">
        <f t="shared" si="36"/>
        <v>NAVERnaniwa1128:naver</v>
      </c>
      <c r="I1157" t="str">
        <f>"naniwa1128:naver"</f>
        <v>naniwa1128:naver</v>
      </c>
      <c r="J1157">
        <v>118300</v>
      </c>
      <c r="K1157" s="1">
        <v>44866</v>
      </c>
      <c r="L1157" t="s">
        <v>1208</v>
      </c>
      <c r="M1157">
        <f t="shared" si="37"/>
        <v>148280</v>
      </c>
      <c r="N1157" t="e">
        <f>VLOOKUP(H1157,Sheet1!G:H,2,FALSE)</f>
        <v>#N/A</v>
      </c>
      <c r="R1157" t="s">
        <v>3081</v>
      </c>
      <c r="S1157">
        <v>177870</v>
      </c>
    </row>
    <row r="1158" spans="1:19" x14ac:dyDescent="0.3">
      <c r="A1158" t="s">
        <v>8</v>
      </c>
      <c r="B1158">
        <f>VLOOKUP(A1158,Sheet2!B:F,5,FALSE)</f>
        <v>928</v>
      </c>
      <c r="C1158" t="s">
        <v>9</v>
      </c>
      <c r="D1158">
        <f>VLOOKUP(C1158,Sheet2!C:G,5,FALSE)</f>
        <v>1202</v>
      </c>
      <c r="E1158" t="s">
        <v>20</v>
      </c>
      <c r="F1158">
        <f>VLOOKUP(E1158,Sheet2!D:E,2,FALSE)</f>
        <v>938</v>
      </c>
      <c r="G1158" t="s">
        <v>11</v>
      </c>
      <c r="H1158" t="str">
        <f t="shared" si="36"/>
        <v>NAVERnanocu</v>
      </c>
      <c r="I1158" t="str">
        <f>"nanocu"</f>
        <v>nanocu</v>
      </c>
      <c r="J1158">
        <v>185380</v>
      </c>
      <c r="K1158" s="1">
        <v>44866</v>
      </c>
      <c r="L1158" t="s">
        <v>1209</v>
      </c>
      <c r="M1158">
        <f t="shared" si="37"/>
        <v>185380</v>
      </c>
      <c r="N1158" t="e">
        <f>VLOOKUP(H1158,Sheet1!G:H,2,FALSE)</f>
        <v>#N/A</v>
      </c>
      <c r="R1158" t="s">
        <v>3082</v>
      </c>
      <c r="S1158">
        <v>29270</v>
      </c>
    </row>
    <row r="1159" spans="1:19" x14ac:dyDescent="0.3">
      <c r="A1159" t="s">
        <v>8</v>
      </c>
      <c r="B1159">
        <f>VLOOKUP(A1159,Sheet2!B:F,5,FALSE)</f>
        <v>928</v>
      </c>
      <c r="C1159" t="s">
        <v>13</v>
      </c>
      <c r="D1159">
        <f>VLOOKUP(C1159,Sheet2!C:G,5,FALSE)</f>
        <v>1184</v>
      </c>
      <c r="E1159" t="s">
        <v>335</v>
      </c>
      <c r="F1159">
        <f>VLOOKUP(E1159,Sheet2!D:E,2,FALSE)</f>
        <v>201090</v>
      </c>
      <c r="G1159" t="s">
        <v>11</v>
      </c>
      <c r="H1159" t="str">
        <f t="shared" si="36"/>
        <v>NAVERnanosport</v>
      </c>
      <c r="I1159" t="str">
        <f>"nanosport"</f>
        <v>nanosport</v>
      </c>
      <c r="J1159">
        <v>217400</v>
      </c>
      <c r="K1159" s="1">
        <v>44866</v>
      </c>
      <c r="L1159" t="s">
        <v>1210</v>
      </c>
      <c r="M1159">
        <f t="shared" si="37"/>
        <v>217400</v>
      </c>
      <c r="N1159" t="e">
        <f>VLOOKUP(H1159,Sheet1!G:H,2,FALSE)</f>
        <v>#N/A</v>
      </c>
      <c r="R1159" t="s">
        <v>3083</v>
      </c>
      <c r="S1159">
        <v>47711550</v>
      </c>
    </row>
    <row r="1160" spans="1:19" x14ac:dyDescent="0.3">
      <c r="A1160" t="s">
        <v>8</v>
      </c>
      <c r="B1160">
        <f>VLOOKUP(A1160,Sheet2!B:F,5,FALSE)</f>
        <v>928</v>
      </c>
      <c r="C1160" t="s">
        <v>9</v>
      </c>
      <c r="D1160">
        <f>VLOOKUP(C1160,Sheet2!C:G,5,FALSE)</f>
        <v>1202</v>
      </c>
      <c r="E1160" t="s">
        <v>45</v>
      </c>
      <c r="F1160">
        <f>VLOOKUP(E1160,Sheet2!D:E,2,FALSE)</f>
        <v>26</v>
      </c>
      <c r="G1160" t="s">
        <v>11</v>
      </c>
      <c r="H1160" t="str">
        <f t="shared" si="36"/>
        <v>NAVERnanumi9996</v>
      </c>
      <c r="I1160" t="str">
        <f>"nanumi9996"</f>
        <v>nanumi9996</v>
      </c>
      <c r="J1160">
        <v>661160</v>
      </c>
      <c r="K1160" s="1">
        <v>44866</v>
      </c>
      <c r="L1160" t="s">
        <v>1211</v>
      </c>
      <c r="M1160">
        <f t="shared" si="37"/>
        <v>479830</v>
      </c>
      <c r="N1160" t="e">
        <f>VLOOKUP(H1160,Sheet1!G:H,2,FALSE)</f>
        <v>#N/A</v>
      </c>
      <c r="R1160" t="s">
        <v>3084</v>
      </c>
      <c r="S1160">
        <v>2861330</v>
      </c>
    </row>
    <row r="1161" spans="1:19" x14ac:dyDescent="0.3">
      <c r="A1161" t="s">
        <v>8</v>
      </c>
      <c r="B1161">
        <f>VLOOKUP(A1161,Sheet2!B:F,5,FALSE)</f>
        <v>928</v>
      </c>
      <c r="C1161" t="s">
        <v>13</v>
      </c>
      <c r="D1161">
        <f>VLOOKUP(C1161,Sheet2!C:G,5,FALSE)</f>
        <v>1184</v>
      </c>
      <c r="E1161" t="s">
        <v>51</v>
      </c>
      <c r="F1161">
        <f>VLOOKUP(E1161,Sheet2!D:E,2,FALSE)</f>
        <v>1274</v>
      </c>
      <c r="G1161" t="s">
        <v>11</v>
      </c>
      <c r="H1161" t="str">
        <f t="shared" si="36"/>
        <v>NAVERnara11</v>
      </c>
      <c r="I1161" t="str">
        <f>"nara11"</f>
        <v>nara11</v>
      </c>
      <c r="J1161">
        <v>24100</v>
      </c>
      <c r="K1161" s="1">
        <v>44866</v>
      </c>
      <c r="L1161" t="s">
        <v>1212</v>
      </c>
      <c r="M1161">
        <f t="shared" si="37"/>
        <v>24100</v>
      </c>
      <c r="N1161" t="e">
        <f>VLOOKUP(H1161,Sheet1!G:H,2,FALSE)</f>
        <v>#N/A</v>
      </c>
      <c r="R1161" t="s">
        <v>3085</v>
      </c>
      <c r="S1161">
        <v>1223940</v>
      </c>
    </row>
    <row r="1162" spans="1:19" x14ac:dyDescent="0.3">
      <c r="A1162" t="s">
        <v>41</v>
      </c>
      <c r="B1162">
        <f>VLOOKUP(A1162,Sheet2!B:F,5,FALSE)</f>
        <v>926</v>
      </c>
      <c r="C1162" t="s">
        <v>56</v>
      </c>
      <c r="D1162">
        <f>VLOOKUP(C1162,Sheet2!C:G,5,FALSE)</f>
        <v>1207</v>
      </c>
      <c r="E1162" t="s">
        <v>62</v>
      </c>
      <c r="F1162">
        <f>VLOOKUP(E1162,Sheet2!D:E,2,FALSE)</f>
        <v>201037</v>
      </c>
      <c r="G1162" t="s">
        <v>11</v>
      </c>
      <c r="H1162" t="str">
        <f t="shared" si="36"/>
        <v>NAVERnarzio_hong</v>
      </c>
      <c r="I1162" t="str">
        <f>"narzio_hong"</f>
        <v>narzio_hong</v>
      </c>
      <c r="J1162">
        <v>6377277</v>
      </c>
      <c r="K1162" s="1">
        <v>44866</v>
      </c>
      <c r="L1162" t="s">
        <v>1213</v>
      </c>
      <c r="M1162">
        <f t="shared" si="37"/>
        <v>643970</v>
      </c>
      <c r="N1162" t="e">
        <f>VLOOKUP(H1162,Sheet1!G:H,2,FALSE)</f>
        <v>#N/A</v>
      </c>
      <c r="R1162" t="s">
        <v>3086</v>
      </c>
      <c r="S1162">
        <v>239370</v>
      </c>
    </row>
    <row r="1163" spans="1:19" x14ac:dyDescent="0.3">
      <c r="A1163" t="s">
        <v>8</v>
      </c>
      <c r="B1163">
        <f>VLOOKUP(A1163,Sheet2!B:F,5,FALSE)</f>
        <v>928</v>
      </c>
      <c r="C1163" t="s">
        <v>13</v>
      </c>
      <c r="D1163">
        <f>VLOOKUP(C1163,Sheet2!C:G,5,FALSE)</f>
        <v>1184</v>
      </c>
      <c r="E1163" t="s">
        <v>102</v>
      </c>
      <c r="F1163">
        <f>VLOOKUP(E1163,Sheet2!D:E,2,FALSE)</f>
        <v>917</v>
      </c>
      <c r="G1163" t="s">
        <v>11</v>
      </c>
      <c r="H1163" t="str">
        <f t="shared" si="36"/>
        <v>NAVERnatureobgy</v>
      </c>
      <c r="I1163" t="str">
        <f>"natureobgy"</f>
        <v>natureobgy</v>
      </c>
      <c r="J1163">
        <v>82320</v>
      </c>
      <c r="K1163" s="1">
        <v>44866</v>
      </c>
      <c r="L1163" t="s">
        <v>1214</v>
      </c>
      <c r="M1163">
        <f t="shared" si="37"/>
        <v>82320</v>
      </c>
      <c r="N1163" t="e">
        <f>VLOOKUP(H1163,Sheet1!G:H,2,FALSE)</f>
        <v>#N/A</v>
      </c>
      <c r="R1163" t="s">
        <v>3087</v>
      </c>
      <c r="S1163">
        <v>1447880</v>
      </c>
    </row>
    <row r="1164" spans="1:19" x14ac:dyDescent="0.3">
      <c r="A1164" t="s">
        <v>8</v>
      </c>
      <c r="B1164">
        <f>VLOOKUP(A1164,Sheet2!B:F,5,FALSE)</f>
        <v>928</v>
      </c>
      <c r="C1164" t="s">
        <v>9</v>
      </c>
      <c r="D1164">
        <f>VLOOKUP(C1164,Sheet2!C:G,5,FALSE)</f>
        <v>1202</v>
      </c>
      <c r="E1164" t="s">
        <v>35</v>
      </c>
      <c r="F1164">
        <f>VLOOKUP(E1164,Sheet2!D:E,2,FALSE)</f>
        <v>51</v>
      </c>
      <c r="G1164" t="s">
        <v>11</v>
      </c>
      <c r="H1164" t="str">
        <f t="shared" si="36"/>
        <v>NAVERnauryart</v>
      </c>
      <c r="I1164" t="str">
        <f>"nauryart"</f>
        <v>nauryart</v>
      </c>
      <c r="J1164">
        <v>20150</v>
      </c>
      <c r="K1164" s="1">
        <v>44866</v>
      </c>
      <c r="L1164" t="s">
        <v>1215</v>
      </c>
      <c r="M1164">
        <f t="shared" si="37"/>
        <v>20150</v>
      </c>
      <c r="N1164" t="e">
        <f>VLOOKUP(H1164,Sheet1!G:H,2,FALSE)</f>
        <v>#N/A</v>
      </c>
      <c r="R1164" t="s">
        <v>3088</v>
      </c>
      <c r="S1164">
        <v>882930</v>
      </c>
    </row>
    <row r="1165" spans="1:19" x14ac:dyDescent="0.3">
      <c r="A1165" t="s">
        <v>8</v>
      </c>
      <c r="B1165">
        <f>VLOOKUP(A1165,Sheet2!B:F,5,FALSE)</f>
        <v>928</v>
      </c>
      <c r="C1165" t="s">
        <v>9</v>
      </c>
      <c r="D1165">
        <f>VLOOKUP(C1165,Sheet2!C:G,5,FALSE)</f>
        <v>1202</v>
      </c>
      <c r="E1165" t="s">
        <v>35</v>
      </c>
      <c r="F1165">
        <f>VLOOKUP(E1165,Sheet2!D:E,2,FALSE)</f>
        <v>51</v>
      </c>
      <c r="G1165" t="s">
        <v>11</v>
      </c>
      <c r="H1165" t="str">
        <f t="shared" si="36"/>
        <v>NAVERnaurylaw1004</v>
      </c>
      <c r="I1165" t="str">
        <f>"naurylaw1004"</f>
        <v>naurylaw1004</v>
      </c>
      <c r="J1165">
        <v>31063570</v>
      </c>
      <c r="K1165" s="1">
        <v>44866</v>
      </c>
      <c r="L1165" t="s">
        <v>1215</v>
      </c>
      <c r="M1165" t="e">
        <f t="shared" si="37"/>
        <v>#N/A</v>
      </c>
      <c r="N1165" t="str">
        <f>VLOOKUP(H1165,Sheet1!G:H,2,FALSE)</f>
        <v>광고운영 내역 정보보호로 계정권한 삭제</v>
      </c>
      <c r="R1165" t="s">
        <v>3089</v>
      </c>
      <c r="S1165">
        <v>2457770</v>
      </c>
    </row>
    <row r="1166" spans="1:19" x14ac:dyDescent="0.3">
      <c r="A1166" t="s">
        <v>41</v>
      </c>
      <c r="B1166">
        <f>VLOOKUP(A1166,Sheet2!B:F,5,FALSE)</f>
        <v>926</v>
      </c>
      <c r="C1166" t="s">
        <v>56</v>
      </c>
      <c r="D1166">
        <f>VLOOKUP(C1166,Sheet2!C:G,5,FALSE)</f>
        <v>1207</v>
      </c>
      <c r="E1166" t="s">
        <v>57</v>
      </c>
      <c r="F1166">
        <f>VLOOKUP(E1166,Sheet2!D:E,2,FALSE)</f>
        <v>200982</v>
      </c>
      <c r="G1166" t="s">
        <v>11</v>
      </c>
      <c r="H1166" t="str">
        <f t="shared" si="36"/>
        <v>NAVERnaver72</v>
      </c>
      <c r="I1166" t="str">
        <f>"naver72"</f>
        <v>naver72</v>
      </c>
      <c r="J1166">
        <v>11110</v>
      </c>
      <c r="K1166" s="1">
        <v>44866</v>
      </c>
      <c r="L1166" t="s">
        <v>1216</v>
      </c>
      <c r="M1166">
        <f t="shared" si="37"/>
        <v>11159</v>
      </c>
      <c r="N1166" t="e">
        <f>VLOOKUP(H1166,Sheet1!G:H,2,FALSE)</f>
        <v>#N/A</v>
      </c>
      <c r="R1166" t="s">
        <v>3090</v>
      </c>
      <c r="S1166">
        <v>192330</v>
      </c>
    </row>
    <row r="1167" spans="1:19" x14ac:dyDescent="0.3">
      <c r="A1167" t="s">
        <v>8</v>
      </c>
      <c r="B1167">
        <f>VLOOKUP(A1167,Sheet2!B:F,5,FALSE)</f>
        <v>928</v>
      </c>
      <c r="C1167" t="s">
        <v>9</v>
      </c>
      <c r="D1167">
        <f>VLOOKUP(C1167,Sheet2!C:G,5,FALSE)</f>
        <v>1202</v>
      </c>
      <c r="E1167" t="s">
        <v>27</v>
      </c>
      <c r="F1167">
        <f>VLOOKUP(E1167,Sheet2!D:E,2,FALSE)</f>
        <v>806</v>
      </c>
      <c r="G1167" t="s">
        <v>11</v>
      </c>
      <c r="H1167" t="str">
        <f t="shared" si="36"/>
        <v>NAVERncr0331</v>
      </c>
      <c r="I1167" t="str">
        <f>"ncr0331"</f>
        <v>ncr0331</v>
      </c>
      <c r="J1167">
        <v>2148850</v>
      </c>
      <c r="K1167" s="1">
        <v>44866</v>
      </c>
      <c r="L1167" t="s">
        <v>109</v>
      </c>
      <c r="M1167">
        <f t="shared" si="37"/>
        <v>2148850</v>
      </c>
      <c r="N1167" t="e">
        <f>VLOOKUP(H1167,Sheet1!G:H,2,FALSE)</f>
        <v>#N/A</v>
      </c>
      <c r="R1167" t="s">
        <v>3091</v>
      </c>
      <c r="S1167">
        <v>26600</v>
      </c>
    </row>
    <row r="1168" spans="1:19" x14ac:dyDescent="0.3">
      <c r="A1168" t="s">
        <v>16</v>
      </c>
      <c r="B1168">
        <f>VLOOKUP(A1168,Sheet2!B:F,5,FALSE)</f>
        <v>927</v>
      </c>
      <c r="C1168" t="s">
        <v>17</v>
      </c>
      <c r="D1168">
        <f>VLOOKUP(C1168,Sheet2!C:G,5,FALSE)</f>
        <v>1200</v>
      </c>
      <c r="E1168" t="s">
        <v>100</v>
      </c>
      <c r="F1168">
        <f>VLOOKUP(E1168,Sheet2!D:E,2,FALSE)</f>
        <v>201038</v>
      </c>
      <c r="G1168" t="s">
        <v>11</v>
      </c>
      <c r="H1168" t="str">
        <f t="shared" si="36"/>
        <v>NAVERnct20:naver</v>
      </c>
      <c r="I1168" t="str">
        <f>"nct20:naver"</f>
        <v>nct20:naver</v>
      </c>
      <c r="J1168">
        <v>89070</v>
      </c>
      <c r="K1168" s="1">
        <v>44866</v>
      </c>
      <c r="L1168" t="s">
        <v>1217</v>
      </c>
      <c r="M1168">
        <f t="shared" si="37"/>
        <v>89070</v>
      </c>
      <c r="N1168" t="e">
        <f>VLOOKUP(H1168,Sheet1!G:H,2,FALSE)</f>
        <v>#N/A</v>
      </c>
      <c r="R1168" t="s">
        <v>3092</v>
      </c>
      <c r="S1168">
        <v>9810</v>
      </c>
    </row>
    <row r="1169" spans="1:19" x14ac:dyDescent="0.3">
      <c r="A1169" t="s">
        <v>8</v>
      </c>
      <c r="B1169">
        <f>VLOOKUP(A1169,Sheet2!B:F,5,FALSE)</f>
        <v>928</v>
      </c>
      <c r="C1169" t="s">
        <v>13</v>
      </c>
      <c r="D1169">
        <f>VLOOKUP(C1169,Sheet2!C:G,5,FALSE)</f>
        <v>1184</v>
      </c>
      <c r="E1169" t="s">
        <v>115</v>
      </c>
      <c r="F1169">
        <f>VLOOKUP(E1169,Sheet2!D:E,2,FALSE)</f>
        <v>1548</v>
      </c>
      <c r="G1169" t="s">
        <v>11</v>
      </c>
      <c r="H1169" t="str">
        <f t="shared" si="36"/>
        <v>NAVERncy60</v>
      </c>
      <c r="I1169" t="str">
        <f>"ncy60"</f>
        <v>ncy60</v>
      </c>
      <c r="J1169">
        <v>58230</v>
      </c>
      <c r="K1169" s="1">
        <v>44866</v>
      </c>
      <c r="L1169" t="s">
        <v>1218</v>
      </c>
      <c r="M1169">
        <f t="shared" si="37"/>
        <v>58230</v>
      </c>
      <c r="N1169" t="e">
        <f>VLOOKUP(H1169,Sheet1!G:H,2,FALSE)</f>
        <v>#N/A</v>
      </c>
      <c r="R1169" t="s">
        <v>3093</v>
      </c>
      <c r="S1169">
        <v>412340</v>
      </c>
    </row>
    <row r="1170" spans="1:19" x14ac:dyDescent="0.3">
      <c r="A1170" t="s">
        <v>16</v>
      </c>
      <c r="B1170">
        <f>VLOOKUP(A1170,Sheet2!B:F,5,FALSE)</f>
        <v>927</v>
      </c>
      <c r="C1170" t="s">
        <v>17</v>
      </c>
      <c r="D1170">
        <f>VLOOKUP(C1170,Sheet2!C:G,5,FALSE)</f>
        <v>1200</v>
      </c>
      <c r="E1170" t="s">
        <v>53</v>
      </c>
      <c r="F1170">
        <f>VLOOKUP(E1170,Sheet2!D:E,2,FALSE)</f>
        <v>201080</v>
      </c>
      <c r="G1170" t="s">
        <v>11</v>
      </c>
      <c r="H1170" t="str">
        <f t="shared" si="36"/>
        <v>NAVERndonq:naver</v>
      </c>
      <c r="I1170" t="str">
        <f>"ndonq:naver"</f>
        <v>ndonq:naver</v>
      </c>
      <c r="J1170">
        <v>107880</v>
      </c>
      <c r="K1170" s="1">
        <v>44866</v>
      </c>
      <c r="L1170" t="s">
        <v>1219</v>
      </c>
      <c r="M1170">
        <f t="shared" si="37"/>
        <v>107880</v>
      </c>
      <c r="N1170" t="e">
        <f>VLOOKUP(H1170,Sheet1!G:H,2,FALSE)</f>
        <v>#N/A</v>
      </c>
      <c r="R1170" t="s">
        <v>3094</v>
      </c>
      <c r="S1170">
        <v>11330</v>
      </c>
    </row>
    <row r="1171" spans="1:19" x14ac:dyDescent="0.3">
      <c r="A1171" t="s">
        <v>8</v>
      </c>
      <c r="B1171">
        <f>VLOOKUP(A1171,Sheet2!B:F,5,FALSE)</f>
        <v>928</v>
      </c>
      <c r="C1171" t="s">
        <v>9</v>
      </c>
      <c r="D1171">
        <f>VLOOKUP(C1171,Sheet2!C:G,5,FALSE)</f>
        <v>1202</v>
      </c>
      <c r="E1171" t="s">
        <v>35</v>
      </c>
      <c r="F1171">
        <f>VLOOKUP(E1171,Sheet2!D:E,2,FALSE)</f>
        <v>51</v>
      </c>
      <c r="G1171" t="s">
        <v>11</v>
      </c>
      <c r="H1171" t="str">
        <f t="shared" si="36"/>
        <v>NAVERndyes</v>
      </c>
      <c r="I1171" t="str">
        <f>"ndyes"</f>
        <v>ndyes</v>
      </c>
      <c r="J1171">
        <v>36140</v>
      </c>
      <c r="K1171" s="1">
        <v>44866</v>
      </c>
      <c r="L1171" t="s">
        <v>36</v>
      </c>
      <c r="M1171">
        <f t="shared" si="37"/>
        <v>36140</v>
      </c>
      <c r="N1171" t="e">
        <f>VLOOKUP(H1171,Sheet1!G:H,2,FALSE)</f>
        <v>#N/A</v>
      </c>
      <c r="R1171" t="s">
        <v>3095</v>
      </c>
      <c r="S1171">
        <v>1255710</v>
      </c>
    </row>
    <row r="1172" spans="1:19" x14ac:dyDescent="0.3">
      <c r="A1172" t="s">
        <v>8</v>
      </c>
      <c r="B1172">
        <f>VLOOKUP(A1172,Sheet2!B:F,5,FALSE)</f>
        <v>928</v>
      </c>
      <c r="C1172" t="s">
        <v>9</v>
      </c>
      <c r="D1172">
        <f>VLOOKUP(C1172,Sheet2!C:G,5,FALSE)</f>
        <v>1202</v>
      </c>
      <c r="E1172" t="s">
        <v>20</v>
      </c>
      <c r="F1172">
        <f>VLOOKUP(E1172,Sheet2!D:E,2,FALSE)</f>
        <v>938</v>
      </c>
      <c r="G1172" t="s">
        <v>11</v>
      </c>
      <c r="H1172" t="str">
        <f t="shared" si="36"/>
        <v>NAVERneoblind</v>
      </c>
      <c r="I1172" t="str">
        <f>"neoblind"</f>
        <v>neoblind</v>
      </c>
      <c r="J1172">
        <v>596355</v>
      </c>
      <c r="K1172" s="1">
        <v>44866</v>
      </c>
      <c r="L1172" t="s">
        <v>1220</v>
      </c>
      <c r="M1172">
        <f t="shared" si="37"/>
        <v>596396</v>
      </c>
      <c r="N1172" t="e">
        <f>VLOOKUP(H1172,Sheet1!G:H,2,FALSE)</f>
        <v>#N/A</v>
      </c>
      <c r="R1172" t="s">
        <v>3096</v>
      </c>
      <c r="S1172">
        <v>493670</v>
      </c>
    </row>
    <row r="1173" spans="1:19" x14ac:dyDescent="0.3">
      <c r="A1173" t="s">
        <v>8</v>
      </c>
      <c r="B1173">
        <f>VLOOKUP(A1173,Sheet2!B:F,5,FALSE)</f>
        <v>928</v>
      </c>
      <c r="C1173" t="s">
        <v>9</v>
      </c>
      <c r="D1173">
        <f>VLOOKUP(C1173,Sheet2!C:G,5,FALSE)</f>
        <v>1202</v>
      </c>
      <c r="E1173" t="s">
        <v>45</v>
      </c>
      <c r="F1173">
        <f>VLOOKUP(E1173,Sheet2!D:E,2,FALSE)</f>
        <v>26</v>
      </c>
      <c r="G1173" t="s">
        <v>11</v>
      </c>
      <c r="H1173" t="str">
        <f t="shared" si="36"/>
        <v>NAVERneofocus14</v>
      </c>
      <c r="I1173" t="str">
        <f>"neofocus14"</f>
        <v>neofocus14</v>
      </c>
      <c r="J1173">
        <v>1200180</v>
      </c>
      <c r="K1173" s="1">
        <v>44866</v>
      </c>
      <c r="L1173" t="s">
        <v>1221</v>
      </c>
      <c r="M1173">
        <f t="shared" si="37"/>
        <v>1200180</v>
      </c>
      <c r="N1173" t="e">
        <f>VLOOKUP(H1173,Sheet1!G:H,2,FALSE)</f>
        <v>#N/A</v>
      </c>
      <c r="R1173" t="s">
        <v>3097</v>
      </c>
      <c r="S1173">
        <v>948960</v>
      </c>
    </row>
    <row r="1174" spans="1:19" x14ac:dyDescent="0.3">
      <c r="A1174" t="s">
        <v>41</v>
      </c>
      <c r="B1174">
        <f>VLOOKUP(A1174,Sheet2!B:F,5,FALSE)</f>
        <v>926</v>
      </c>
      <c r="C1174" t="s">
        <v>42</v>
      </c>
      <c r="D1174">
        <f>VLOOKUP(C1174,Sheet2!C:G,5,FALSE)</f>
        <v>964</v>
      </c>
      <c r="E1174" t="s">
        <v>43</v>
      </c>
      <c r="F1174">
        <f>VLOOKUP(E1174,Sheet2!D:E,2,FALSE)</f>
        <v>200998</v>
      </c>
      <c r="G1174" t="s">
        <v>11</v>
      </c>
      <c r="H1174" t="str">
        <f t="shared" si="36"/>
        <v>NAVERneon2014</v>
      </c>
      <c r="I1174" t="str">
        <f>"neon2014"</f>
        <v>neon2014</v>
      </c>
      <c r="J1174">
        <v>11930</v>
      </c>
      <c r="K1174" s="1">
        <v>44866</v>
      </c>
      <c r="L1174" t="s">
        <v>1222</v>
      </c>
      <c r="M1174">
        <f t="shared" si="37"/>
        <v>11930</v>
      </c>
      <c r="N1174" t="e">
        <f>VLOOKUP(H1174,Sheet1!G:H,2,FALSE)</f>
        <v>#N/A</v>
      </c>
      <c r="R1174" t="s">
        <v>3098</v>
      </c>
      <c r="S1174">
        <v>476950</v>
      </c>
    </row>
    <row r="1175" spans="1:19" x14ac:dyDescent="0.3">
      <c r="A1175" t="s">
        <v>8</v>
      </c>
      <c r="B1175">
        <f>VLOOKUP(A1175,Sheet2!B:F,5,FALSE)</f>
        <v>928</v>
      </c>
      <c r="C1175" t="s">
        <v>223</v>
      </c>
      <c r="D1175">
        <f>VLOOKUP(C1175,Sheet2!C:G,5,FALSE)</f>
        <v>966</v>
      </c>
      <c r="E1175" t="s">
        <v>224</v>
      </c>
      <c r="F1175">
        <f>VLOOKUP(E1175,Sheet2!D:E,2,FALSE)</f>
        <v>201008</v>
      </c>
      <c r="G1175" t="s">
        <v>11</v>
      </c>
      <c r="H1175" t="str">
        <f t="shared" si="36"/>
        <v>NAVERneoneo45</v>
      </c>
      <c r="I1175" t="str">
        <f>"neoneo45"</f>
        <v>neoneo45</v>
      </c>
      <c r="J1175">
        <v>61660</v>
      </c>
      <c r="K1175" s="1">
        <v>44866</v>
      </c>
      <c r="L1175" t="s">
        <v>1223</v>
      </c>
      <c r="M1175">
        <f t="shared" si="37"/>
        <v>61660</v>
      </c>
      <c r="N1175" t="e">
        <f>VLOOKUP(H1175,Sheet1!G:H,2,FALSE)</f>
        <v>#N/A</v>
      </c>
      <c r="R1175" t="s">
        <v>3099</v>
      </c>
      <c r="S1175">
        <v>2694860</v>
      </c>
    </row>
    <row r="1176" spans="1:19" x14ac:dyDescent="0.3">
      <c r="A1176" t="s">
        <v>8</v>
      </c>
      <c r="B1176">
        <f>VLOOKUP(A1176,Sheet2!B:F,5,FALSE)</f>
        <v>928</v>
      </c>
      <c r="C1176" t="s">
        <v>9</v>
      </c>
      <c r="D1176">
        <f>VLOOKUP(C1176,Sheet2!C:G,5,FALSE)</f>
        <v>1202</v>
      </c>
      <c r="E1176" t="s">
        <v>391</v>
      </c>
      <c r="F1176">
        <f>VLOOKUP(E1176,Sheet2!D:E,2,FALSE)</f>
        <v>1216</v>
      </c>
      <c r="G1176" t="s">
        <v>11</v>
      </c>
      <c r="H1176" t="str">
        <f t="shared" si="36"/>
        <v>NAVERnew300wins</v>
      </c>
      <c r="I1176" t="str">
        <f>"new300wins"</f>
        <v>new300wins</v>
      </c>
      <c r="J1176">
        <v>3776280</v>
      </c>
      <c r="K1176" s="1">
        <v>44866</v>
      </c>
      <c r="L1176" t="s">
        <v>1224</v>
      </c>
      <c r="M1176">
        <f t="shared" si="37"/>
        <v>3776280</v>
      </c>
      <c r="N1176" t="e">
        <f>VLOOKUP(H1176,Sheet1!G:H,2,FALSE)</f>
        <v>#N/A</v>
      </c>
      <c r="R1176" t="s">
        <v>3100</v>
      </c>
      <c r="S1176">
        <v>0</v>
      </c>
    </row>
    <row r="1177" spans="1:19" x14ac:dyDescent="0.3">
      <c r="A1177" t="s">
        <v>16</v>
      </c>
      <c r="B1177">
        <f>VLOOKUP(A1177,Sheet2!B:F,5,FALSE)</f>
        <v>927</v>
      </c>
      <c r="C1177" t="s">
        <v>17</v>
      </c>
      <c r="D1177">
        <f>VLOOKUP(C1177,Sheet2!C:G,5,FALSE)</f>
        <v>1200</v>
      </c>
      <c r="E1177" t="s">
        <v>244</v>
      </c>
      <c r="F1177">
        <f>VLOOKUP(E1177,Sheet2!D:E,2,FALSE)</f>
        <v>817</v>
      </c>
      <c r="G1177" t="s">
        <v>11</v>
      </c>
      <c r="H1177" t="str">
        <f t="shared" si="36"/>
        <v>NAVERnewcazon:naver</v>
      </c>
      <c r="I1177" t="str">
        <f>"newcazon:naver"</f>
        <v>newcazon:naver</v>
      </c>
      <c r="J1177">
        <v>980730</v>
      </c>
      <c r="K1177" s="1">
        <v>44866</v>
      </c>
      <c r="L1177" t="s">
        <v>1225</v>
      </c>
      <c r="M1177">
        <f t="shared" si="37"/>
        <v>980730</v>
      </c>
      <c r="N1177" t="e">
        <f>VLOOKUP(H1177,Sheet1!G:H,2,FALSE)</f>
        <v>#N/A</v>
      </c>
      <c r="R1177" t="s">
        <v>3101</v>
      </c>
      <c r="S1177">
        <v>562230</v>
      </c>
    </row>
    <row r="1178" spans="1:19" x14ac:dyDescent="0.3">
      <c r="A1178" t="s">
        <v>8</v>
      </c>
      <c r="B1178">
        <f>VLOOKUP(A1178,Sheet2!B:F,5,FALSE)</f>
        <v>928</v>
      </c>
      <c r="C1178" t="s">
        <v>9</v>
      </c>
      <c r="D1178">
        <f>VLOOKUP(C1178,Sheet2!C:G,5,FALSE)</f>
        <v>1202</v>
      </c>
      <c r="E1178" t="s">
        <v>39</v>
      </c>
      <c r="F1178">
        <f>VLOOKUP(E1178,Sheet2!D:E,2,FALSE)</f>
        <v>25</v>
      </c>
      <c r="G1178" t="s">
        <v>11</v>
      </c>
      <c r="H1178" t="str">
        <f t="shared" si="36"/>
        <v>NAVERnewgensauna</v>
      </c>
      <c r="I1178" t="str">
        <f>"newgensauna"</f>
        <v>newgensauna</v>
      </c>
      <c r="J1178">
        <v>3335190</v>
      </c>
      <c r="K1178" s="1">
        <v>44866</v>
      </c>
      <c r="L1178" t="s">
        <v>1226</v>
      </c>
      <c r="M1178">
        <f t="shared" si="37"/>
        <v>3335190</v>
      </c>
      <c r="N1178" t="e">
        <f>VLOOKUP(H1178,Sheet1!G:H,2,FALSE)</f>
        <v>#N/A</v>
      </c>
      <c r="R1178" t="s">
        <v>3102</v>
      </c>
      <c r="S1178">
        <v>1036390</v>
      </c>
    </row>
    <row r="1179" spans="1:19" x14ac:dyDescent="0.3">
      <c r="A1179" t="s">
        <v>8</v>
      </c>
      <c r="B1179">
        <f>VLOOKUP(A1179,Sheet2!B:F,5,FALSE)</f>
        <v>928</v>
      </c>
      <c r="C1179" t="s">
        <v>9</v>
      </c>
      <c r="D1179">
        <f>VLOOKUP(C1179,Sheet2!C:G,5,FALSE)</f>
        <v>1202</v>
      </c>
      <c r="E1179" t="s">
        <v>37</v>
      </c>
      <c r="F1179">
        <f>VLOOKUP(E1179,Sheet2!D:E,2,FALSE)</f>
        <v>81</v>
      </c>
      <c r="G1179" t="s">
        <v>11</v>
      </c>
      <c r="H1179" t="str">
        <f t="shared" si="36"/>
        <v>NAVERnewk2s</v>
      </c>
      <c r="I1179" t="str">
        <f>"newk2s"</f>
        <v>newk2s</v>
      </c>
      <c r="J1179">
        <v>70</v>
      </c>
      <c r="K1179" s="1">
        <v>44866</v>
      </c>
      <c r="L1179" t="s">
        <v>1227</v>
      </c>
      <c r="M1179" t="e">
        <f t="shared" si="37"/>
        <v>#N/A</v>
      </c>
      <c r="N1179" t="str">
        <f>VLOOKUP(H1179,Sheet1!G:H,2,FALSE)</f>
        <v>휴면계정 연락 불가</v>
      </c>
      <c r="R1179" t="s">
        <v>3103</v>
      </c>
      <c r="S1179">
        <v>49610</v>
      </c>
    </row>
    <row r="1180" spans="1:19" x14ac:dyDescent="0.3">
      <c r="A1180" t="s">
        <v>16</v>
      </c>
      <c r="B1180">
        <f>VLOOKUP(A1180,Sheet2!B:F,5,FALSE)</f>
        <v>927</v>
      </c>
      <c r="C1180" t="s">
        <v>17</v>
      </c>
      <c r="D1180">
        <f>VLOOKUP(C1180,Sheet2!C:G,5,FALSE)</f>
        <v>1200</v>
      </c>
      <c r="E1180" t="s">
        <v>96</v>
      </c>
      <c r="F1180">
        <f>VLOOKUP(E1180,Sheet2!D:E,2,FALSE)</f>
        <v>1271</v>
      </c>
      <c r="G1180" t="s">
        <v>11</v>
      </c>
      <c r="H1180" t="str">
        <f t="shared" si="36"/>
        <v>NAVERnexniz1:naver</v>
      </c>
      <c r="I1180" t="str">
        <f>"nexniz1:naver"</f>
        <v>nexniz1:naver</v>
      </c>
      <c r="J1180">
        <v>545800</v>
      </c>
      <c r="K1180" s="1">
        <v>44866</v>
      </c>
      <c r="L1180" t="s">
        <v>1228</v>
      </c>
      <c r="M1180">
        <f t="shared" si="37"/>
        <v>545800</v>
      </c>
      <c r="N1180" t="e">
        <f>VLOOKUP(H1180,Sheet1!G:H,2,FALSE)</f>
        <v>#N/A</v>
      </c>
      <c r="R1180" t="s">
        <v>3104</v>
      </c>
      <c r="S1180">
        <v>1597070</v>
      </c>
    </row>
    <row r="1181" spans="1:19" x14ac:dyDescent="0.3">
      <c r="A1181" t="s">
        <v>22</v>
      </c>
      <c r="B1181">
        <f>VLOOKUP(A1181,Sheet2!B:F,5,FALSE)</f>
        <v>809</v>
      </c>
      <c r="C1181" t="s">
        <v>23</v>
      </c>
      <c r="D1181">
        <f>VLOOKUP(C1181,Sheet2!C:G,5,FALSE)</f>
        <v>810</v>
      </c>
      <c r="E1181" t="s">
        <v>86</v>
      </c>
      <c r="F1181">
        <f>VLOOKUP(E1181,Sheet2!D:E,2,FALSE)</f>
        <v>201021</v>
      </c>
      <c r="G1181" t="s">
        <v>11</v>
      </c>
      <c r="H1181" t="str">
        <f t="shared" si="36"/>
        <v>NAVERnexsoshop</v>
      </c>
      <c r="I1181" t="str">
        <f>"nexsoshop"</f>
        <v>nexsoshop</v>
      </c>
      <c r="J1181">
        <v>727070</v>
      </c>
      <c r="K1181" s="1">
        <v>44866</v>
      </c>
      <c r="L1181" t="s">
        <v>1229</v>
      </c>
      <c r="M1181">
        <f t="shared" si="37"/>
        <v>727070</v>
      </c>
      <c r="N1181" t="e">
        <f>VLOOKUP(H1181,Sheet1!G:H,2,FALSE)</f>
        <v>#N/A</v>
      </c>
      <c r="R1181" t="s">
        <v>3105</v>
      </c>
      <c r="S1181">
        <v>198460</v>
      </c>
    </row>
    <row r="1182" spans="1:19" x14ac:dyDescent="0.3">
      <c r="A1182" t="s">
        <v>8</v>
      </c>
      <c r="B1182">
        <f>VLOOKUP(A1182,Sheet2!B:F,5,FALSE)</f>
        <v>928</v>
      </c>
      <c r="C1182" t="s">
        <v>13</v>
      </c>
      <c r="D1182">
        <f>VLOOKUP(C1182,Sheet2!C:G,5,FALSE)</f>
        <v>1184</v>
      </c>
      <c r="E1182" t="s">
        <v>217</v>
      </c>
      <c r="F1182">
        <f>VLOOKUP(E1182,Sheet2!D:E,2,FALSE)</f>
        <v>201027</v>
      </c>
      <c r="G1182" t="s">
        <v>11</v>
      </c>
      <c r="H1182" t="str">
        <f t="shared" si="36"/>
        <v>NAVERnh178961</v>
      </c>
      <c r="I1182" t="str">
        <f>"nh178961"</f>
        <v>nh178961</v>
      </c>
      <c r="J1182">
        <v>401330</v>
      </c>
      <c r="K1182" s="1">
        <v>44866</v>
      </c>
      <c r="L1182" t="s">
        <v>1230</v>
      </c>
      <c r="M1182">
        <f t="shared" si="37"/>
        <v>401330</v>
      </c>
      <c r="N1182" t="e">
        <f>VLOOKUP(H1182,Sheet1!G:H,2,FALSE)</f>
        <v>#N/A</v>
      </c>
      <c r="R1182" t="s">
        <v>3106</v>
      </c>
      <c r="S1182">
        <v>535850</v>
      </c>
    </row>
    <row r="1183" spans="1:19" x14ac:dyDescent="0.3">
      <c r="A1183" t="s">
        <v>8</v>
      </c>
      <c r="B1183">
        <f>VLOOKUP(A1183,Sheet2!B:F,5,FALSE)</f>
        <v>928</v>
      </c>
      <c r="C1183" t="s">
        <v>9</v>
      </c>
      <c r="D1183">
        <f>VLOOKUP(C1183,Sheet2!C:G,5,FALSE)</f>
        <v>1202</v>
      </c>
      <c r="E1183" t="s">
        <v>73</v>
      </c>
      <c r="F1183">
        <f>VLOOKUP(E1183,Sheet2!D:E,2,FALSE)</f>
        <v>895</v>
      </c>
      <c r="G1183" t="s">
        <v>11</v>
      </c>
      <c r="H1183" t="str">
        <f t="shared" si="36"/>
        <v>NAVERnhj981124:naver</v>
      </c>
      <c r="I1183" t="str">
        <f>"nhj981124:naver"</f>
        <v>nhj981124:naver</v>
      </c>
      <c r="J1183">
        <v>6480</v>
      </c>
      <c r="K1183" s="1">
        <v>44866</v>
      </c>
      <c r="L1183" t="s">
        <v>1231</v>
      </c>
      <c r="M1183">
        <f t="shared" si="37"/>
        <v>6480</v>
      </c>
      <c r="N1183" t="e">
        <f>VLOOKUP(H1183,Sheet1!G:H,2,FALSE)</f>
        <v>#N/A</v>
      </c>
      <c r="R1183" t="s">
        <v>3107</v>
      </c>
      <c r="S1183">
        <v>0</v>
      </c>
    </row>
    <row r="1184" spans="1:19" x14ac:dyDescent="0.3">
      <c r="A1184" t="s">
        <v>8</v>
      </c>
      <c r="B1184">
        <f>VLOOKUP(A1184,Sheet2!B:F,5,FALSE)</f>
        <v>928</v>
      </c>
      <c r="C1184" t="s">
        <v>167</v>
      </c>
      <c r="D1184">
        <f>VLOOKUP(C1184,Sheet2!C:G,5,FALSE)</f>
        <v>935</v>
      </c>
      <c r="E1184" t="s">
        <v>168</v>
      </c>
      <c r="F1184">
        <f>VLOOKUP(E1184,Sheet2!D:E,2,FALSE)</f>
        <v>2</v>
      </c>
      <c r="G1184" t="s">
        <v>11</v>
      </c>
      <c r="H1184" t="str">
        <f t="shared" si="36"/>
        <v>NAVERnhnad_rdh</v>
      </c>
      <c r="I1184" t="str">
        <f>"nhnad_rdh"</f>
        <v>nhnad_rdh</v>
      </c>
      <c r="J1184">
        <v>45250710</v>
      </c>
      <c r="K1184" s="1">
        <v>44866</v>
      </c>
      <c r="L1184" t="s">
        <v>671</v>
      </c>
      <c r="M1184">
        <f t="shared" si="37"/>
        <v>45250710</v>
      </c>
      <c r="N1184" t="e">
        <f>VLOOKUP(H1184,Sheet1!G:H,2,FALSE)</f>
        <v>#N/A</v>
      </c>
      <c r="R1184" t="s">
        <v>3108</v>
      </c>
      <c r="S1184">
        <v>3080</v>
      </c>
    </row>
    <row r="1185" spans="1:19" x14ac:dyDescent="0.3">
      <c r="A1185" t="s">
        <v>8</v>
      </c>
      <c r="B1185">
        <f>VLOOKUP(A1185,Sheet2!B:F,5,FALSE)</f>
        <v>928</v>
      </c>
      <c r="C1185" t="s">
        <v>9</v>
      </c>
      <c r="D1185">
        <f>VLOOKUP(C1185,Sheet2!C:G,5,FALSE)</f>
        <v>1202</v>
      </c>
      <c r="E1185" t="s">
        <v>45</v>
      </c>
      <c r="F1185">
        <f>VLOOKUP(E1185,Sheet2!D:E,2,FALSE)</f>
        <v>26</v>
      </c>
      <c r="G1185" t="s">
        <v>11</v>
      </c>
      <c r="H1185" t="str">
        <f t="shared" si="36"/>
        <v>NAVERnina1207</v>
      </c>
      <c r="I1185" t="str">
        <f>"nina1207"</f>
        <v>nina1207</v>
      </c>
      <c r="J1185">
        <v>21391</v>
      </c>
      <c r="K1185" s="1">
        <v>44866</v>
      </c>
      <c r="L1185" t="s">
        <v>1232</v>
      </c>
      <c r="M1185">
        <f t="shared" si="37"/>
        <v>21440</v>
      </c>
      <c r="N1185" t="e">
        <f>VLOOKUP(H1185,Sheet1!G:H,2,FALSE)</f>
        <v>#N/A</v>
      </c>
      <c r="R1185" t="s">
        <v>3109</v>
      </c>
      <c r="S1185">
        <v>210940</v>
      </c>
    </row>
    <row r="1186" spans="1:19" x14ac:dyDescent="0.3">
      <c r="A1186" t="s">
        <v>41</v>
      </c>
      <c r="B1186">
        <f>VLOOKUP(A1186,Sheet2!B:F,5,FALSE)</f>
        <v>926</v>
      </c>
      <c r="C1186" t="s">
        <v>56</v>
      </c>
      <c r="D1186">
        <f>VLOOKUP(C1186,Sheet2!C:G,5,FALSE)</f>
        <v>1207</v>
      </c>
      <c r="E1186" t="s">
        <v>57</v>
      </c>
      <c r="F1186">
        <f>VLOOKUP(E1186,Sheet2!D:E,2,FALSE)</f>
        <v>200982</v>
      </c>
      <c r="G1186" t="s">
        <v>11</v>
      </c>
      <c r="H1186" t="str">
        <f t="shared" si="36"/>
        <v>NAVERnncdesign</v>
      </c>
      <c r="I1186" t="str">
        <f>"nncdesign"</f>
        <v>nncdesign</v>
      </c>
      <c r="J1186">
        <v>449190</v>
      </c>
      <c r="K1186" s="1">
        <v>44866</v>
      </c>
      <c r="L1186" t="s">
        <v>1233</v>
      </c>
      <c r="M1186">
        <f t="shared" si="37"/>
        <v>449190</v>
      </c>
      <c r="N1186" t="e">
        <f>VLOOKUP(H1186,Sheet1!G:H,2,FALSE)</f>
        <v>#N/A</v>
      </c>
      <c r="R1186" t="s">
        <v>3110</v>
      </c>
      <c r="S1186">
        <v>1900420</v>
      </c>
    </row>
    <row r="1187" spans="1:19" x14ac:dyDescent="0.3">
      <c r="A1187" t="s">
        <v>16</v>
      </c>
      <c r="B1187">
        <f>VLOOKUP(A1187,Sheet2!B:F,5,FALSE)</f>
        <v>927</v>
      </c>
      <c r="C1187" t="s">
        <v>17</v>
      </c>
      <c r="D1187">
        <f>VLOOKUP(C1187,Sheet2!C:G,5,FALSE)</f>
        <v>1200</v>
      </c>
      <c r="E1187" t="s">
        <v>371</v>
      </c>
      <c r="F1187">
        <f>VLOOKUP(E1187,Sheet2!D:E,2,FALSE)</f>
        <v>551</v>
      </c>
      <c r="G1187" t="s">
        <v>11</v>
      </c>
      <c r="H1187" t="str">
        <f t="shared" si="36"/>
        <v>NAVERno-day:naver</v>
      </c>
      <c r="I1187" t="str">
        <f>"no-day:naver"</f>
        <v>no-day:naver</v>
      </c>
      <c r="J1187">
        <v>705360</v>
      </c>
      <c r="K1187" s="1">
        <v>44866</v>
      </c>
      <c r="L1187" t="s">
        <v>1234</v>
      </c>
      <c r="M1187">
        <f t="shared" si="37"/>
        <v>705360</v>
      </c>
      <c r="N1187" t="e">
        <f>VLOOKUP(H1187,Sheet1!G:H,2,FALSE)</f>
        <v>#N/A</v>
      </c>
      <c r="R1187" t="s">
        <v>3111</v>
      </c>
      <c r="S1187">
        <v>985770</v>
      </c>
    </row>
    <row r="1188" spans="1:19" x14ac:dyDescent="0.3">
      <c r="A1188" t="s">
        <v>16</v>
      </c>
      <c r="B1188">
        <f>VLOOKUP(A1188,Sheet2!B:F,5,FALSE)</f>
        <v>927</v>
      </c>
      <c r="C1188" t="s">
        <v>17</v>
      </c>
      <c r="D1188">
        <f>VLOOKUP(C1188,Sheet2!C:G,5,FALSE)</f>
        <v>1200</v>
      </c>
      <c r="E1188" t="s">
        <v>96</v>
      </c>
      <c r="F1188">
        <f>VLOOKUP(E1188,Sheet2!D:E,2,FALSE)</f>
        <v>1271</v>
      </c>
      <c r="G1188" t="s">
        <v>11</v>
      </c>
      <c r="H1188" t="str">
        <f t="shared" si="36"/>
        <v>NAVERnobleskin1</v>
      </c>
      <c r="I1188" t="str">
        <f>"nobleskin1"</f>
        <v>nobleskin1</v>
      </c>
      <c r="J1188">
        <v>350</v>
      </c>
      <c r="K1188" s="1">
        <v>44866</v>
      </c>
      <c r="L1188" t="s">
        <v>1235</v>
      </c>
      <c r="M1188">
        <f t="shared" si="37"/>
        <v>350</v>
      </c>
      <c r="N1188" t="e">
        <f>VLOOKUP(H1188,Sheet1!G:H,2,FALSE)</f>
        <v>#N/A</v>
      </c>
      <c r="R1188" t="s">
        <v>3112</v>
      </c>
      <c r="S1188">
        <v>68410</v>
      </c>
    </row>
    <row r="1189" spans="1:19" x14ac:dyDescent="0.3">
      <c r="A1189" t="s">
        <v>8</v>
      </c>
      <c r="B1189">
        <f>VLOOKUP(A1189,Sheet2!B:F,5,FALSE)</f>
        <v>928</v>
      </c>
      <c r="C1189" t="s">
        <v>13</v>
      </c>
      <c r="D1189">
        <f>VLOOKUP(C1189,Sheet2!C:G,5,FALSE)</f>
        <v>1184</v>
      </c>
      <c r="E1189" t="s">
        <v>14</v>
      </c>
      <c r="F1189">
        <f>VLOOKUP(E1189,Sheet2!D:E,2,FALSE)</f>
        <v>914</v>
      </c>
      <c r="G1189" t="s">
        <v>11</v>
      </c>
      <c r="H1189" t="str">
        <f t="shared" si="36"/>
        <v>NAVERnochearchive:naver</v>
      </c>
      <c r="I1189" t="str">
        <f>"nochearchive:naver"</f>
        <v>nochearchive:naver</v>
      </c>
      <c r="J1189">
        <v>3300</v>
      </c>
      <c r="K1189" s="1">
        <v>44866</v>
      </c>
      <c r="L1189" t="s">
        <v>1236</v>
      </c>
      <c r="M1189">
        <f t="shared" si="37"/>
        <v>3300</v>
      </c>
      <c r="N1189" t="e">
        <f>VLOOKUP(H1189,Sheet1!G:H,2,FALSE)</f>
        <v>#N/A</v>
      </c>
      <c r="R1189" t="s">
        <v>3113</v>
      </c>
      <c r="S1189">
        <v>1067340</v>
      </c>
    </row>
    <row r="1190" spans="1:19" x14ac:dyDescent="0.3">
      <c r="A1190" t="s">
        <v>41</v>
      </c>
      <c r="B1190">
        <f>VLOOKUP(A1190,Sheet2!B:F,5,FALSE)</f>
        <v>926</v>
      </c>
      <c r="C1190" t="s">
        <v>525</v>
      </c>
      <c r="D1190">
        <f>VLOOKUP(C1190,Sheet2!C:G,5,FALSE)</f>
        <v>954</v>
      </c>
      <c r="E1190" t="s">
        <v>526</v>
      </c>
      <c r="F1190">
        <f>VLOOKUP(E1190,Sheet2!D:E,2,FALSE)</f>
        <v>200999</v>
      </c>
      <c r="G1190" t="s">
        <v>11</v>
      </c>
      <c r="H1190" t="str">
        <f t="shared" si="36"/>
        <v>NAVERnollae93</v>
      </c>
      <c r="I1190" t="str">
        <f>"nollae93"</f>
        <v>nollae93</v>
      </c>
      <c r="J1190">
        <v>8130950</v>
      </c>
      <c r="K1190" s="1">
        <v>44866</v>
      </c>
      <c r="L1190" t="s">
        <v>1237</v>
      </c>
      <c r="M1190">
        <f t="shared" si="37"/>
        <v>8130950</v>
      </c>
      <c r="N1190" t="e">
        <f>VLOOKUP(H1190,Sheet1!G:H,2,FALSE)</f>
        <v>#N/A</v>
      </c>
      <c r="R1190" t="s">
        <v>3114</v>
      </c>
      <c r="S1190">
        <v>7520</v>
      </c>
    </row>
    <row r="1191" spans="1:19" x14ac:dyDescent="0.3">
      <c r="A1191" t="s">
        <v>8</v>
      </c>
      <c r="B1191">
        <f>VLOOKUP(A1191,Sheet2!B:F,5,FALSE)</f>
        <v>928</v>
      </c>
      <c r="C1191" t="s">
        <v>223</v>
      </c>
      <c r="D1191">
        <f>VLOOKUP(C1191,Sheet2!C:G,5,FALSE)</f>
        <v>966</v>
      </c>
      <c r="E1191" t="s">
        <v>224</v>
      </c>
      <c r="F1191">
        <f>VLOOKUP(E1191,Sheet2!D:E,2,FALSE)</f>
        <v>201008</v>
      </c>
      <c r="G1191" t="s">
        <v>11</v>
      </c>
      <c r="H1191" t="str">
        <f t="shared" si="36"/>
        <v>NAVERnonfiction40</v>
      </c>
      <c r="I1191" t="str">
        <f>"nonfiction40"</f>
        <v>nonfiction40</v>
      </c>
      <c r="J1191">
        <v>28411013</v>
      </c>
      <c r="K1191" s="1">
        <v>44866</v>
      </c>
      <c r="L1191" t="s">
        <v>1238</v>
      </c>
      <c r="M1191">
        <f t="shared" si="37"/>
        <v>5153400</v>
      </c>
      <c r="N1191" t="e">
        <f>VLOOKUP(H1191,Sheet1!G:H,2,FALSE)</f>
        <v>#N/A</v>
      </c>
      <c r="R1191" t="s">
        <v>3115</v>
      </c>
      <c r="S1191">
        <v>248990</v>
      </c>
    </row>
    <row r="1192" spans="1:19" x14ac:dyDescent="0.3">
      <c r="A1192" t="s">
        <v>8</v>
      </c>
      <c r="B1192">
        <f>VLOOKUP(A1192,Sheet2!B:F,5,FALSE)</f>
        <v>928</v>
      </c>
      <c r="C1192" t="s">
        <v>9</v>
      </c>
      <c r="D1192">
        <f>VLOOKUP(C1192,Sheet2!C:G,5,FALSE)</f>
        <v>1202</v>
      </c>
      <c r="E1192" t="s">
        <v>45</v>
      </c>
      <c r="F1192">
        <f>VLOOKUP(E1192,Sheet2!D:E,2,FALSE)</f>
        <v>26</v>
      </c>
      <c r="G1192" t="s">
        <v>11</v>
      </c>
      <c r="H1192" t="str">
        <f t="shared" si="36"/>
        <v>NAVERnoori2502</v>
      </c>
      <c r="I1192" t="str">
        <f>"noori2502"</f>
        <v>noori2502</v>
      </c>
      <c r="J1192">
        <v>304870</v>
      </c>
      <c r="K1192" s="1">
        <v>44866</v>
      </c>
      <c r="L1192" t="s">
        <v>1239</v>
      </c>
      <c r="M1192">
        <f t="shared" si="37"/>
        <v>304870</v>
      </c>
      <c r="N1192" t="e">
        <f>VLOOKUP(H1192,Sheet1!G:H,2,FALSE)</f>
        <v>#N/A</v>
      </c>
      <c r="R1192" t="s">
        <v>3116</v>
      </c>
      <c r="S1192">
        <v>190550</v>
      </c>
    </row>
    <row r="1193" spans="1:19" x14ac:dyDescent="0.3">
      <c r="A1193" t="s">
        <v>8</v>
      </c>
      <c r="B1193">
        <f>VLOOKUP(A1193,Sheet2!B:F,5,FALSE)</f>
        <v>928</v>
      </c>
      <c r="C1193" t="s">
        <v>13</v>
      </c>
      <c r="D1193">
        <f>VLOOKUP(C1193,Sheet2!C:G,5,FALSE)</f>
        <v>1184</v>
      </c>
      <c r="E1193" t="s">
        <v>115</v>
      </c>
      <c r="F1193">
        <f>VLOOKUP(E1193,Sheet2!D:E,2,FALSE)</f>
        <v>1548</v>
      </c>
      <c r="G1193" t="s">
        <v>11</v>
      </c>
      <c r="H1193" t="str">
        <f t="shared" si="36"/>
        <v>NAVERnornza1212</v>
      </c>
      <c r="I1193" t="str">
        <f>"nornza1212"</f>
        <v>nornza1212</v>
      </c>
      <c r="J1193">
        <v>531380</v>
      </c>
      <c r="K1193" s="1">
        <v>44866</v>
      </c>
      <c r="L1193" t="s">
        <v>1240</v>
      </c>
      <c r="M1193">
        <f t="shared" si="37"/>
        <v>531380</v>
      </c>
      <c r="N1193" t="e">
        <f>VLOOKUP(H1193,Sheet1!G:H,2,FALSE)</f>
        <v>#N/A</v>
      </c>
      <c r="R1193" t="s">
        <v>3117</v>
      </c>
      <c r="S1193">
        <v>124040</v>
      </c>
    </row>
    <row r="1194" spans="1:19" x14ac:dyDescent="0.3">
      <c r="A1194" t="s">
        <v>16</v>
      </c>
      <c r="B1194">
        <f>VLOOKUP(A1194,Sheet2!B:F,5,FALSE)</f>
        <v>927</v>
      </c>
      <c r="C1194" t="s">
        <v>17</v>
      </c>
      <c r="D1194">
        <f>VLOOKUP(C1194,Sheet2!C:G,5,FALSE)</f>
        <v>1200</v>
      </c>
      <c r="E1194" t="s">
        <v>446</v>
      </c>
      <c r="F1194">
        <f>VLOOKUP(E1194,Sheet2!D:E,2,FALSE)</f>
        <v>566</v>
      </c>
      <c r="G1194" t="s">
        <v>11</v>
      </c>
      <c r="H1194" t="str">
        <f t="shared" si="36"/>
        <v>NAVERnote4you</v>
      </c>
      <c r="I1194" t="str">
        <f>"note4you"</f>
        <v>note4you</v>
      </c>
      <c r="J1194">
        <v>102940</v>
      </c>
      <c r="K1194" s="1">
        <v>44866</v>
      </c>
      <c r="L1194" t="s">
        <v>1241</v>
      </c>
      <c r="M1194">
        <f t="shared" si="37"/>
        <v>102940</v>
      </c>
      <c r="N1194" t="e">
        <f>VLOOKUP(H1194,Sheet1!G:H,2,FALSE)</f>
        <v>#N/A</v>
      </c>
      <c r="R1194" t="s">
        <v>3118</v>
      </c>
      <c r="S1194">
        <v>45930</v>
      </c>
    </row>
    <row r="1195" spans="1:19" x14ac:dyDescent="0.3">
      <c r="A1195" t="s">
        <v>16</v>
      </c>
      <c r="B1195">
        <f>VLOOKUP(A1195,Sheet2!B:F,5,FALSE)</f>
        <v>927</v>
      </c>
      <c r="C1195" t="s">
        <v>17</v>
      </c>
      <c r="D1195">
        <f>VLOOKUP(C1195,Sheet2!C:G,5,FALSE)</f>
        <v>1200</v>
      </c>
      <c r="E1195" t="s">
        <v>244</v>
      </c>
      <c r="F1195">
        <f>VLOOKUP(E1195,Sheet2!D:E,2,FALSE)</f>
        <v>817</v>
      </c>
      <c r="G1195" t="s">
        <v>11</v>
      </c>
      <c r="H1195" t="str">
        <f t="shared" si="36"/>
        <v>NAVERnovita016</v>
      </c>
      <c r="I1195" t="str">
        <f>"novita016"</f>
        <v>novita016</v>
      </c>
      <c r="J1195">
        <v>12724360</v>
      </c>
      <c r="K1195" s="1">
        <v>44866</v>
      </c>
      <c r="L1195" t="s">
        <v>1242</v>
      </c>
      <c r="M1195">
        <f t="shared" si="37"/>
        <v>12724360</v>
      </c>
      <c r="N1195" t="e">
        <f>VLOOKUP(H1195,Sheet1!G:H,2,FALSE)</f>
        <v>#N/A</v>
      </c>
      <c r="R1195" t="s">
        <v>3119</v>
      </c>
      <c r="S1195">
        <v>2510860</v>
      </c>
    </row>
    <row r="1196" spans="1:19" x14ac:dyDescent="0.3">
      <c r="A1196" t="s">
        <v>8</v>
      </c>
      <c r="B1196">
        <f>VLOOKUP(A1196,Sheet2!B:F,5,FALSE)</f>
        <v>928</v>
      </c>
      <c r="C1196" t="s">
        <v>223</v>
      </c>
      <c r="D1196">
        <f>VLOOKUP(C1196,Sheet2!C:G,5,FALSE)</f>
        <v>966</v>
      </c>
      <c r="E1196" t="s">
        <v>224</v>
      </c>
      <c r="F1196">
        <f>VLOOKUP(E1196,Sheet2!D:E,2,FALSE)</f>
        <v>201008</v>
      </c>
      <c r="G1196" t="s">
        <v>11</v>
      </c>
      <c r="H1196" t="str">
        <f t="shared" si="36"/>
        <v>NAVERnowon123</v>
      </c>
      <c r="I1196" t="str">
        <f>"nowon123"</f>
        <v>nowon123</v>
      </c>
      <c r="J1196">
        <v>980140</v>
      </c>
      <c r="K1196" s="1">
        <v>44866</v>
      </c>
      <c r="L1196" t="s">
        <v>225</v>
      </c>
      <c r="M1196">
        <f t="shared" si="37"/>
        <v>980140</v>
      </c>
      <c r="N1196" t="e">
        <f>VLOOKUP(H1196,Sheet1!G:H,2,FALSE)</f>
        <v>#N/A</v>
      </c>
      <c r="R1196" t="s">
        <v>3120</v>
      </c>
      <c r="S1196">
        <v>697300</v>
      </c>
    </row>
    <row r="1197" spans="1:19" x14ac:dyDescent="0.3">
      <c r="A1197" t="s">
        <v>8</v>
      </c>
      <c r="B1197">
        <f>VLOOKUP(A1197,Sheet2!B:F,5,FALSE)</f>
        <v>928</v>
      </c>
      <c r="C1197" t="s">
        <v>9</v>
      </c>
      <c r="D1197">
        <f>VLOOKUP(C1197,Sheet2!C:G,5,FALSE)</f>
        <v>1202</v>
      </c>
      <c r="E1197" t="s">
        <v>20</v>
      </c>
      <c r="F1197">
        <f>VLOOKUP(E1197,Sheet2!D:E,2,FALSE)</f>
        <v>938</v>
      </c>
      <c r="G1197" t="s">
        <v>11</v>
      </c>
      <c r="H1197" t="str">
        <f t="shared" si="36"/>
        <v>NAVERnplus_dolls</v>
      </c>
      <c r="I1197" t="str">
        <f>"nplus_dolls"</f>
        <v>nplus_dolls</v>
      </c>
      <c r="J1197">
        <v>2447320</v>
      </c>
      <c r="K1197" s="1">
        <v>44866</v>
      </c>
      <c r="L1197" t="s">
        <v>1243</v>
      </c>
      <c r="M1197">
        <f t="shared" si="37"/>
        <v>2447320</v>
      </c>
      <c r="N1197" t="e">
        <f>VLOOKUP(H1197,Sheet1!G:H,2,FALSE)</f>
        <v>#N/A</v>
      </c>
      <c r="R1197" t="s">
        <v>3121</v>
      </c>
      <c r="S1197">
        <v>0</v>
      </c>
    </row>
    <row r="1198" spans="1:19" x14ac:dyDescent="0.3">
      <c r="A1198" t="s">
        <v>8</v>
      </c>
      <c r="B1198">
        <f>VLOOKUP(A1198,Sheet2!B:F,5,FALSE)</f>
        <v>928</v>
      </c>
      <c r="C1198" t="s">
        <v>9</v>
      </c>
      <c r="D1198">
        <f>VLOOKUP(C1198,Sheet2!C:G,5,FALSE)</f>
        <v>1202</v>
      </c>
      <c r="E1198" t="s">
        <v>31</v>
      </c>
      <c r="F1198">
        <f>VLOOKUP(E1198,Sheet2!D:E,2,FALSE)</f>
        <v>1040</v>
      </c>
      <c r="G1198" t="s">
        <v>11</v>
      </c>
      <c r="H1198" t="str">
        <f t="shared" si="36"/>
        <v>NAVERnsispeech:naver</v>
      </c>
      <c r="I1198" t="str">
        <f>"nsispeech:naver"</f>
        <v>nsispeech:naver</v>
      </c>
      <c r="J1198">
        <v>44100</v>
      </c>
      <c r="K1198" s="1">
        <v>44866</v>
      </c>
      <c r="L1198" t="s">
        <v>1244</v>
      </c>
      <c r="M1198">
        <f t="shared" si="37"/>
        <v>44560</v>
      </c>
      <c r="N1198" t="e">
        <f>VLOOKUP(H1198,Sheet1!G:H,2,FALSE)</f>
        <v>#N/A</v>
      </c>
      <c r="R1198" t="s">
        <v>3122</v>
      </c>
      <c r="S1198">
        <v>15392270</v>
      </c>
    </row>
    <row r="1199" spans="1:19" x14ac:dyDescent="0.3">
      <c r="A1199" t="s">
        <v>8</v>
      </c>
      <c r="B1199">
        <f>VLOOKUP(A1199,Sheet2!B:F,5,FALSE)</f>
        <v>928</v>
      </c>
      <c r="C1199" t="s">
        <v>9</v>
      </c>
      <c r="D1199">
        <f>VLOOKUP(C1199,Sheet2!C:G,5,FALSE)</f>
        <v>1202</v>
      </c>
      <c r="E1199" t="s">
        <v>20</v>
      </c>
      <c r="F1199">
        <f>VLOOKUP(E1199,Sheet2!D:E,2,FALSE)</f>
        <v>938</v>
      </c>
      <c r="G1199" t="s">
        <v>11</v>
      </c>
      <c r="H1199" t="str">
        <f t="shared" si="36"/>
        <v>NAVERnsjun2000</v>
      </c>
      <c r="I1199" t="str">
        <f>"nsjun2000"</f>
        <v>nsjun2000</v>
      </c>
      <c r="J1199">
        <v>273840</v>
      </c>
      <c r="K1199" s="1">
        <v>44866</v>
      </c>
      <c r="L1199" t="s">
        <v>1245</v>
      </c>
      <c r="M1199">
        <f t="shared" si="37"/>
        <v>273840</v>
      </c>
      <c r="N1199" t="e">
        <f>VLOOKUP(H1199,Sheet1!G:H,2,FALSE)</f>
        <v>#N/A</v>
      </c>
      <c r="R1199" t="s">
        <v>3123</v>
      </c>
      <c r="S1199">
        <v>228680</v>
      </c>
    </row>
    <row r="1200" spans="1:19" x14ac:dyDescent="0.3">
      <c r="A1200" t="s">
        <v>8</v>
      </c>
      <c r="B1200">
        <f>VLOOKUP(A1200,Sheet2!B:F,5,FALSE)</f>
        <v>928</v>
      </c>
      <c r="C1200" t="s">
        <v>13</v>
      </c>
      <c r="D1200">
        <f>VLOOKUP(C1200,Sheet2!C:G,5,FALSE)</f>
        <v>1184</v>
      </c>
      <c r="E1200" t="s">
        <v>51</v>
      </c>
      <c r="F1200">
        <f>VLOOKUP(E1200,Sheet2!D:E,2,FALSE)</f>
        <v>1274</v>
      </c>
      <c r="G1200" t="s">
        <v>11</v>
      </c>
      <c r="H1200" t="str">
        <f t="shared" si="36"/>
        <v>NAVERnsy1004</v>
      </c>
      <c r="I1200" t="str">
        <f>"nsy1004"</f>
        <v>nsy1004</v>
      </c>
      <c r="J1200">
        <v>115040</v>
      </c>
      <c r="K1200" s="1">
        <v>44866</v>
      </c>
      <c r="L1200" t="s">
        <v>1246</v>
      </c>
      <c r="M1200">
        <f t="shared" si="37"/>
        <v>115040</v>
      </c>
      <c r="N1200" t="e">
        <f>VLOOKUP(H1200,Sheet1!G:H,2,FALSE)</f>
        <v>#N/A</v>
      </c>
      <c r="R1200" t="s">
        <v>3124</v>
      </c>
      <c r="S1200">
        <v>61840</v>
      </c>
    </row>
    <row r="1201" spans="1:19" x14ac:dyDescent="0.3">
      <c r="A1201" t="s">
        <v>8</v>
      </c>
      <c r="B1201">
        <f>VLOOKUP(A1201,Sheet2!B:F,5,FALSE)</f>
        <v>928</v>
      </c>
      <c r="C1201" t="s">
        <v>13</v>
      </c>
      <c r="D1201">
        <f>VLOOKUP(C1201,Sheet2!C:G,5,FALSE)</f>
        <v>1184</v>
      </c>
      <c r="E1201" t="s">
        <v>14</v>
      </c>
      <c r="F1201">
        <f>VLOOKUP(E1201,Sheet2!D:E,2,FALSE)</f>
        <v>914</v>
      </c>
      <c r="G1201" t="s">
        <v>11</v>
      </c>
      <c r="H1201" t="str">
        <f t="shared" si="36"/>
        <v>NAVERnu2216:naver</v>
      </c>
      <c r="I1201" t="str">
        <f>"nu2216:naver"</f>
        <v>nu2216:naver</v>
      </c>
      <c r="J1201">
        <v>15800</v>
      </c>
      <c r="K1201" s="1">
        <v>44866</v>
      </c>
      <c r="L1201" t="s">
        <v>1247</v>
      </c>
      <c r="M1201">
        <f t="shared" si="37"/>
        <v>15800</v>
      </c>
      <c r="N1201" t="e">
        <f>VLOOKUP(H1201,Sheet1!G:H,2,FALSE)</f>
        <v>#N/A</v>
      </c>
      <c r="R1201" t="s">
        <v>3125</v>
      </c>
      <c r="S1201">
        <v>140</v>
      </c>
    </row>
    <row r="1202" spans="1:19" x14ac:dyDescent="0.3">
      <c r="A1202" t="s">
        <v>8</v>
      </c>
      <c r="B1202">
        <f>VLOOKUP(A1202,Sheet2!B:F,5,FALSE)</f>
        <v>928</v>
      </c>
      <c r="C1202" t="s">
        <v>13</v>
      </c>
      <c r="D1202">
        <f>VLOOKUP(C1202,Sheet2!C:G,5,FALSE)</f>
        <v>1184</v>
      </c>
      <c r="E1202" t="s">
        <v>59</v>
      </c>
      <c r="F1202">
        <f>VLOOKUP(E1202,Sheet2!D:E,2,FALSE)</f>
        <v>9</v>
      </c>
      <c r="G1202" t="s">
        <v>11</v>
      </c>
      <c r="H1202" t="str">
        <f t="shared" si="36"/>
        <v>NAVERnulpr</v>
      </c>
      <c r="I1202" t="str">
        <f>"nulpr"</f>
        <v>nulpr</v>
      </c>
      <c r="J1202">
        <v>47360</v>
      </c>
      <c r="K1202" s="1">
        <v>44866</v>
      </c>
      <c r="L1202" t="s">
        <v>1248</v>
      </c>
      <c r="M1202">
        <f t="shared" si="37"/>
        <v>47360</v>
      </c>
      <c r="N1202" t="e">
        <f>VLOOKUP(H1202,Sheet1!G:H,2,FALSE)</f>
        <v>#N/A</v>
      </c>
      <c r="R1202" t="s">
        <v>3126</v>
      </c>
      <c r="S1202">
        <v>9960</v>
      </c>
    </row>
    <row r="1203" spans="1:19" x14ac:dyDescent="0.3">
      <c r="A1203" t="s">
        <v>16</v>
      </c>
      <c r="B1203">
        <f>VLOOKUP(A1203,Sheet2!B:F,5,FALSE)</f>
        <v>927</v>
      </c>
      <c r="C1203" t="s">
        <v>17</v>
      </c>
      <c r="D1203">
        <f>VLOOKUP(C1203,Sheet2!C:G,5,FALSE)</f>
        <v>1200</v>
      </c>
      <c r="E1203" t="s">
        <v>29</v>
      </c>
      <c r="F1203">
        <f>VLOOKUP(E1203,Sheet2!D:E,2,FALSE)</f>
        <v>1496</v>
      </c>
      <c r="G1203" t="s">
        <v>11</v>
      </c>
      <c r="H1203" t="str">
        <f t="shared" si="36"/>
        <v>NAVERnuripet</v>
      </c>
      <c r="I1203" t="str">
        <f>"nuripet"</f>
        <v>nuripet</v>
      </c>
      <c r="J1203">
        <v>360</v>
      </c>
      <c r="K1203" s="1">
        <v>44866</v>
      </c>
      <c r="L1203" t="s">
        <v>1249</v>
      </c>
      <c r="M1203">
        <f t="shared" si="37"/>
        <v>360</v>
      </c>
      <c r="N1203" t="e">
        <f>VLOOKUP(H1203,Sheet1!G:H,2,FALSE)</f>
        <v>#N/A</v>
      </c>
      <c r="R1203" t="s">
        <v>3127</v>
      </c>
      <c r="S1203">
        <v>694440</v>
      </c>
    </row>
    <row r="1204" spans="1:19" x14ac:dyDescent="0.3">
      <c r="A1204" t="s">
        <v>16</v>
      </c>
      <c r="B1204">
        <f>VLOOKUP(A1204,Sheet2!B:F,5,FALSE)</f>
        <v>927</v>
      </c>
      <c r="C1204" t="s">
        <v>17</v>
      </c>
      <c r="D1204">
        <f>VLOOKUP(C1204,Sheet2!C:G,5,FALSE)</f>
        <v>1200</v>
      </c>
      <c r="E1204" t="s">
        <v>244</v>
      </c>
      <c r="F1204">
        <f>VLOOKUP(E1204,Sheet2!D:E,2,FALSE)</f>
        <v>817</v>
      </c>
      <c r="G1204" t="s">
        <v>11</v>
      </c>
      <c r="H1204" t="str">
        <f t="shared" si="36"/>
        <v>NAVERnutriplan</v>
      </c>
      <c r="I1204" t="str">
        <f>"nutriplan"</f>
        <v>nutriplan</v>
      </c>
      <c r="J1204">
        <v>271900</v>
      </c>
      <c r="K1204" s="1">
        <v>44866</v>
      </c>
      <c r="L1204" t="s">
        <v>1250</v>
      </c>
      <c r="M1204">
        <f t="shared" si="37"/>
        <v>271900</v>
      </c>
      <c r="N1204" t="e">
        <f>VLOOKUP(H1204,Sheet1!G:H,2,FALSE)</f>
        <v>#N/A</v>
      </c>
      <c r="R1204" t="s">
        <v>3128</v>
      </c>
      <c r="S1204">
        <v>383670</v>
      </c>
    </row>
    <row r="1205" spans="1:19" x14ac:dyDescent="0.3">
      <c r="A1205" t="s">
        <v>8</v>
      </c>
      <c r="B1205">
        <f>VLOOKUP(A1205,Sheet2!B:F,5,FALSE)</f>
        <v>928</v>
      </c>
      <c r="C1205" t="s">
        <v>9</v>
      </c>
      <c r="D1205">
        <f>VLOOKUP(C1205,Sheet2!C:G,5,FALSE)</f>
        <v>1202</v>
      </c>
      <c r="E1205" t="s">
        <v>35</v>
      </c>
      <c r="F1205">
        <f>VLOOKUP(E1205,Sheet2!D:E,2,FALSE)</f>
        <v>51</v>
      </c>
      <c r="G1205" t="s">
        <v>11</v>
      </c>
      <c r="H1205" t="str">
        <f t="shared" si="36"/>
        <v>NAVERnw8272</v>
      </c>
      <c r="I1205" t="str">
        <f>"nw8272"</f>
        <v>nw8272</v>
      </c>
      <c r="J1205">
        <v>294960</v>
      </c>
      <c r="K1205" s="1">
        <v>44866</v>
      </c>
      <c r="L1205" t="s">
        <v>1251</v>
      </c>
      <c r="M1205">
        <f t="shared" si="37"/>
        <v>294960</v>
      </c>
      <c r="N1205" t="e">
        <f>VLOOKUP(H1205,Sheet1!G:H,2,FALSE)</f>
        <v>#N/A</v>
      </c>
      <c r="R1205" t="s">
        <v>3129</v>
      </c>
      <c r="S1205">
        <v>213010</v>
      </c>
    </row>
    <row r="1206" spans="1:19" x14ac:dyDescent="0.3">
      <c r="A1206" t="s">
        <v>8</v>
      </c>
      <c r="B1206">
        <f>VLOOKUP(A1206,Sheet2!B:F,5,FALSE)</f>
        <v>928</v>
      </c>
      <c r="C1206" t="s">
        <v>9</v>
      </c>
      <c r="D1206">
        <f>VLOOKUP(C1206,Sheet2!C:G,5,FALSE)</f>
        <v>1202</v>
      </c>
      <c r="E1206" t="s">
        <v>37</v>
      </c>
      <c r="F1206">
        <f>VLOOKUP(E1206,Sheet2!D:E,2,FALSE)</f>
        <v>81</v>
      </c>
      <c r="G1206" t="s">
        <v>11</v>
      </c>
      <c r="H1206" t="str">
        <f t="shared" si="36"/>
        <v>NAVERnyblock</v>
      </c>
      <c r="I1206" t="str">
        <f>"nyblock"</f>
        <v>nyblock</v>
      </c>
      <c r="J1206">
        <v>297520</v>
      </c>
      <c r="K1206" s="1">
        <v>44866</v>
      </c>
      <c r="L1206" t="s">
        <v>1252</v>
      </c>
      <c r="M1206">
        <f t="shared" si="37"/>
        <v>297520</v>
      </c>
      <c r="N1206" t="e">
        <f>VLOOKUP(H1206,Sheet1!G:H,2,FALSE)</f>
        <v>#N/A</v>
      </c>
      <c r="R1206" t="s">
        <v>3130</v>
      </c>
      <c r="S1206">
        <v>21990</v>
      </c>
    </row>
    <row r="1207" spans="1:19" x14ac:dyDescent="0.3">
      <c r="A1207" t="s">
        <v>8</v>
      </c>
      <c r="B1207">
        <f>VLOOKUP(A1207,Sheet2!B:F,5,FALSE)</f>
        <v>928</v>
      </c>
      <c r="C1207" t="s">
        <v>13</v>
      </c>
      <c r="D1207">
        <f>VLOOKUP(C1207,Sheet2!C:G,5,FALSE)</f>
        <v>1184</v>
      </c>
      <c r="E1207" t="s">
        <v>115</v>
      </c>
      <c r="F1207">
        <f>VLOOKUP(E1207,Sheet2!D:E,2,FALSE)</f>
        <v>1548</v>
      </c>
      <c r="G1207" t="s">
        <v>11</v>
      </c>
      <c r="H1207" t="str">
        <f t="shared" si="36"/>
        <v>NAVERo112152606</v>
      </c>
      <c r="I1207" t="str">
        <f>"o112152606"</f>
        <v>o112152606</v>
      </c>
      <c r="J1207">
        <v>630</v>
      </c>
      <c r="K1207" s="1">
        <v>44866</v>
      </c>
      <c r="L1207" t="s">
        <v>1253</v>
      </c>
      <c r="M1207">
        <f t="shared" si="37"/>
        <v>630</v>
      </c>
      <c r="N1207" t="e">
        <f>VLOOKUP(H1207,Sheet1!G:H,2,FALSE)</f>
        <v>#N/A</v>
      </c>
      <c r="R1207" t="s">
        <v>3131</v>
      </c>
      <c r="S1207">
        <v>919550</v>
      </c>
    </row>
    <row r="1208" spans="1:19" x14ac:dyDescent="0.3">
      <c r="A1208" t="s">
        <v>8</v>
      </c>
      <c r="B1208">
        <f>VLOOKUP(A1208,Sheet2!B:F,5,FALSE)</f>
        <v>928</v>
      </c>
      <c r="C1208" t="s">
        <v>9</v>
      </c>
      <c r="D1208">
        <f>VLOOKUP(C1208,Sheet2!C:G,5,FALSE)</f>
        <v>1202</v>
      </c>
      <c r="E1208" t="s">
        <v>27</v>
      </c>
      <c r="F1208">
        <f>VLOOKUP(E1208,Sheet2!D:E,2,FALSE)</f>
        <v>806</v>
      </c>
      <c r="G1208" t="s">
        <v>11</v>
      </c>
      <c r="H1208" t="str">
        <f t="shared" si="36"/>
        <v>NAVERo2heal</v>
      </c>
      <c r="I1208" t="str">
        <f>"o2heal"</f>
        <v>o2heal</v>
      </c>
      <c r="J1208">
        <v>453884</v>
      </c>
      <c r="K1208" s="1">
        <v>44866</v>
      </c>
      <c r="L1208" t="s">
        <v>1254</v>
      </c>
      <c r="M1208">
        <f t="shared" si="37"/>
        <v>476628</v>
      </c>
      <c r="N1208" t="e">
        <f>VLOOKUP(H1208,Sheet1!G:H,2,FALSE)</f>
        <v>#N/A</v>
      </c>
      <c r="R1208" t="s">
        <v>3132</v>
      </c>
      <c r="S1208">
        <v>277960</v>
      </c>
    </row>
    <row r="1209" spans="1:19" x14ac:dyDescent="0.3">
      <c r="A1209" t="s">
        <v>8</v>
      </c>
      <c r="B1209">
        <f>VLOOKUP(A1209,Sheet2!B:F,5,FALSE)</f>
        <v>928</v>
      </c>
      <c r="C1209" t="s">
        <v>167</v>
      </c>
      <c r="D1209">
        <f>VLOOKUP(C1209,Sheet2!C:G,5,FALSE)</f>
        <v>935</v>
      </c>
      <c r="E1209" t="s">
        <v>168</v>
      </c>
      <c r="F1209">
        <f>VLOOKUP(E1209,Sheet2!D:E,2,FALSE)</f>
        <v>2</v>
      </c>
      <c r="G1209" t="s">
        <v>11</v>
      </c>
      <c r="H1209" t="str">
        <f t="shared" si="36"/>
        <v>NAVERo2owmpo</v>
      </c>
      <c r="I1209" t="str">
        <f>"o2owmpo"</f>
        <v>o2owmpo</v>
      </c>
      <c r="J1209">
        <v>13693560</v>
      </c>
      <c r="K1209" s="1">
        <v>44866</v>
      </c>
      <c r="L1209" t="s">
        <v>671</v>
      </c>
      <c r="M1209">
        <f t="shared" si="37"/>
        <v>13693560</v>
      </c>
      <c r="N1209" t="e">
        <f>VLOOKUP(H1209,Sheet1!G:H,2,FALSE)</f>
        <v>#N/A</v>
      </c>
      <c r="R1209" t="s">
        <v>3133</v>
      </c>
      <c r="S1209">
        <v>417130</v>
      </c>
    </row>
    <row r="1210" spans="1:19" x14ac:dyDescent="0.3">
      <c r="A1210" t="s">
        <v>8</v>
      </c>
      <c r="B1210">
        <f>VLOOKUP(A1210,Sheet2!B:F,5,FALSE)</f>
        <v>928</v>
      </c>
      <c r="C1210" t="s">
        <v>9</v>
      </c>
      <c r="D1210">
        <f>VLOOKUP(C1210,Sheet2!C:G,5,FALSE)</f>
        <v>1202</v>
      </c>
      <c r="E1210" t="s">
        <v>220</v>
      </c>
      <c r="F1210">
        <f>VLOOKUP(E1210,Sheet2!D:E,2,FALSE)</f>
        <v>1211</v>
      </c>
      <c r="G1210" t="s">
        <v>11</v>
      </c>
      <c r="H1210" t="str">
        <f t="shared" si="36"/>
        <v>NAVERoa990003</v>
      </c>
      <c r="I1210" t="str">
        <f>"oa990003"</f>
        <v>oa990003</v>
      </c>
      <c r="J1210">
        <v>1016750</v>
      </c>
      <c r="K1210" s="1">
        <v>44866</v>
      </c>
      <c r="L1210" t="s">
        <v>1255</v>
      </c>
      <c r="M1210">
        <f t="shared" si="37"/>
        <v>1016750</v>
      </c>
      <c r="N1210" t="e">
        <f>VLOOKUP(H1210,Sheet1!G:H,2,FALSE)</f>
        <v>#N/A</v>
      </c>
      <c r="R1210" t="s">
        <v>3134</v>
      </c>
      <c r="S1210">
        <v>2850</v>
      </c>
    </row>
    <row r="1211" spans="1:19" x14ac:dyDescent="0.3">
      <c r="A1211" t="s">
        <v>41</v>
      </c>
      <c r="B1211">
        <f>VLOOKUP(A1211,Sheet2!B:F,5,FALSE)</f>
        <v>926</v>
      </c>
      <c r="C1211" t="s">
        <v>42</v>
      </c>
      <c r="D1211">
        <f>VLOOKUP(C1211,Sheet2!C:G,5,FALSE)</f>
        <v>964</v>
      </c>
      <c r="E1211" t="s">
        <v>43</v>
      </c>
      <c r="F1211">
        <f>VLOOKUP(E1211,Sheet2!D:E,2,FALSE)</f>
        <v>200998</v>
      </c>
      <c r="G1211" t="s">
        <v>11</v>
      </c>
      <c r="H1211" t="str">
        <f t="shared" si="36"/>
        <v>NAVERoasistrans</v>
      </c>
      <c r="I1211" t="str">
        <f>"oasistrans"</f>
        <v>oasistrans</v>
      </c>
      <c r="J1211">
        <v>1890</v>
      </c>
      <c r="K1211" s="1">
        <v>44866</v>
      </c>
      <c r="L1211" t="s">
        <v>1256</v>
      </c>
      <c r="M1211">
        <f t="shared" si="37"/>
        <v>1890</v>
      </c>
      <c r="N1211" t="e">
        <f>VLOOKUP(H1211,Sheet1!G:H,2,FALSE)</f>
        <v>#N/A</v>
      </c>
      <c r="R1211" t="s">
        <v>3135</v>
      </c>
      <c r="S1211">
        <v>63590</v>
      </c>
    </row>
    <row r="1212" spans="1:19" x14ac:dyDescent="0.3">
      <c r="A1212" t="s">
        <v>8</v>
      </c>
      <c r="B1212">
        <f>VLOOKUP(A1212,Sheet2!B:F,5,FALSE)</f>
        <v>928</v>
      </c>
      <c r="C1212" t="s">
        <v>9</v>
      </c>
      <c r="D1212">
        <f>VLOOKUP(C1212,Sheet2!C:G,5,FALSE)</f>
        <v>1202</v>
      </c>
      <c r="E1212" t="s">
        <v>33</v>
      </c>
      <c r="F1212">
        <f>VLOOKUP(E1212,Sheet2!D:E,2,FALSE)</f>
        <v>933</v>
      </c>
      <c r="G1212" t="s">
        <v>11</v>
      </c>
      <c r="H1212" t="str">
        <f t="shared" si="36"/>
        <v>NAVERobc3331</v>
      </c>
      <c r="I1212" t="str">
        <f>"obc3331"</f>
        <v>obc3331</v>
      </c>
      <c r="J1212">
        <v>169300</v>
      </c>
      <c r="K1212" s="1">
        <v>44866</v>
      </c>
      <c r="L1212" t="s">
        <v>1257</v>
      </c>
      <c r="M1212">
        <f t="shared" si="37"/>
        <v>169300</v>
      </c>
      <c r="N1212" t="e">
        <f>VLOOKUP(H1212,Sheet1!G:H,2,FALSE)</f>
        <v>#N/A</v>
      </c>
      <c r="R1212" t="s">
        <v>3136</v>
      </c>
      <c r="S1212">
        <v>236650</v>
      </c>
    </row>
    <row r="1213" spans="1:19" x14ac:dyDescent="0.3">
      <c r="A1213" t="s">
        <v>8</v>
      </c>
      <c r="B1213">
        <f>VLOOKUP(A1213,Sheet2!B:F,5,FALSE)</f>
        <v>928</v>
      </c>
      <c r="C1213" t="s">
        <v>13</v>
      </c>
      <c r="D1213">
        <f>VLOOKUP(C1213,Sheet2!C:G,5,FALSE)</f>
        <v>1184</v>
      </c>
      <c r="E1213" t="s">
        <v>118</v>
      </c>
      <c r="F1213">
        <f>VLOOKUP(E1213,Sheet2!D:E,2,FALSE)</f>
        <v>201004</v>
      </c>
      <c r="G1213" t="s">
        <v>11</v>
      </c>
      <c r="H1213" t="str">
        <f t="shared" si="36"/>
        <v>NAVERobid</v>
      </c>
      <c r="I1213" t="str">
        <f>"obid"</f>
        <v>obid</v>
      </c>
      <c r="J1213">
        <v>1851500</v>
      </c>
      <c r="K1213" s="1">
        <v>44866</v>
      </c>
      <c r="L1213" t="s">
        <v>1258</v>
      </c>
      <c r="M1213">
        <f t="shared" si="37"/>
        <v>1851500</v>
      </c>
      <c r="N1213" t="e">
        <f>VLOOKUP(H1213,Sheet1!G:H,2,FALSE)</f>
        <v>#N/A</v>
      </c>
      <c r="R1213" t="s">
        <v>3137</v>
      </c>
      <c r="S1213">
        <v>24126</v>
      </c>
    </row>
    <row r="1214" spans="1:19" x14ac:dyDescent="0.3">
      <c r="A1214" t="s">
        <v>8</v>
      </c>
      <c r="B1214">
        <f>VLOOKUP(A1214,Sheet2!B:F,5,FALSE)</f>
        <v>928</v>
      </c>
      <c r="C1214" t="s">
        <v>9</v>
      </c>
      <c r="D1214">
        <f>VLOOKUP(C1214,Sheet2!C:G,5,FALSE)</f>
        <v>1202</v>
      </c>
      <c r="E1214" t="s">
        <v>73</v>
      </c>
      <c r="F1214">
        <f>VLOOKUP(E1214,Sheet2!D:E,2,FALSE)</f>
        <v>895</v>
      </c>
      <c r="G1214" t="s">
        <v>11</v>
      </c>
      <c r="H1214" t="str">
        <f t="shared" si="36"/>
        <v>NAVERobiwood</v>
      </c>
      <c r="I1214" t="str">
        <f>"obiwood"</f>
        <v>obiwood</v>
      </c>
      <c r="J1214">
        <v>210620</v>
      </c>
      <c r="K1214" s="1">
        <v>44866</v>
      </c>
      <c r="L1214" t="s">
        <v>1259</v>
      </c>
      <c r="M1214">
        <f t="shared" si="37"/>
        <v>210620</v>
      </c>
      <c r="N1214" t="e">
        <f>VLOOKUP(H1214,Sheet1!G:H,2,FALSE)</f>
        <v>#N/A</v>
      </c>
      <c r="R1214" t="s">
        <v>3138</v>
      </c>
      <c r="S1214">
        <v>85850</v>
      </c>
    </row>
    <row r="1215" spans="1:19" x14ac:dyDescent="0.3">
      <c r="A1215" t="s">
        <v>16</v>
      </c>
      <c r="B1215">
        <f>VLOOKUP(A1215,Sheet2!B:F,5,FALSE)</f>
        <v>927</v>
      </c>
      <c r="C1215" t="s">
        <v>17</v>
      </c>
      <c r="D1215">
        <f>VLOOKUP(C1215,Sheet2!C:G,5,FALSE)</f>
        <v>1200</v>
      </c>
      <c r="E1215" t="s">
        <v>96</v>
      </c>
      <c r="F1215">
        <f>VLOOKUP(E1215,Sheet2!D:E,2,FALSE)</f>
        <v>1271</v>
      </c>
      <c r="G1215" t="s">
        <v>11</v>
      </c>
      <c r="H1215" t="str">
        <f t="shared" si="36"/>
        <v>NAVERobt3269</v>
      </c>
      <c r="I1215" t="str">
        <f>"obt3269"</f>
        <v>obt3269</v>
      </c>
      <c r="J1215">
        <v>9470</v>
      </c>
      <c r="K1215" s="1">
        <v>44866</v>
      </c>
      <c r="L1215" t="s">
        <v>1260</v>
      </c>
      <c r="M1215">
        <f t="shared" si="37"/>
        <v>9470</v>
      </c>
      <c r="N1215" t="e">
        <f>VLOOKUP(H1215,Sheet1!G:H,2,FALSE)</f>
        <v>#N/A</v>
      </c>
      <c r="R1215" t="s">
        <v>3139</v>
      </c>
      <c r="S1215">
        <v>14502380</v>
      </c>
    </row>
    <row r="1216" spans="1:19" x14ac:dyDescent="0.3">
      <c r="A1216" t="s">
        <v>8</v>
      </c>
      <c r="B1216">
        <f>VLOOKUP(A1216,Sheet2!B:F,5,FALSE)</f>
        <v>928</v>
      </c>
      <c r="C1216" t="s">
        <v>223</v>
      </c>
      <c r="D1216">
        <f>VLOOKUP(C1216,Sheet2!C:G,5,FALSE)</f>
        <v>966</v>
      </c>
      <c r="E1216" t="s">
        <v>224</v>
      </c>
      <c r="F1216">
        <f>VLOOKUP(E1216,Sheet2!D:E,2,FALSE)</f>
        <v>201008</v>
      </c>
      <c r="G1216" t="s">
        <v>11</v>
      </c>
      <c r="H1216" t="str">
        <f t="shared" si="36"/>
        <v>NAVERoclock24</v>
      </c>
      <c r="I1216" t="str">
        <f>"oclock24"</f>
        <v>oclock24</v>
      </c>
      <c r="J1216">
        <v>13127030</v>
      </c>
      <c r="K1216" s="1">
        <v>44866</v>
      </c>
      <c r="L1216" t="s">
        <v>225</v>
      </c>
      <c r="M1216">
        <f t="shared" si="37"/>
        <v>10227040</v>
      </c>
      <c r="N1216" t="e">
        <f>VLOOKUP(H1216,Sheet1!G:H,2,FALSE)</f>
        <v>#N/A</v>
      </c>
      <c r="R1216" t="s">
        <v>3140</v>
      </c>
      <c r="S1216">
        <v>172750</v>
      </c>
    </row>
    <row r="1217" spans="1:19" x14ac:dyDescent="0.3">
      <c r="A1217" t="s">
        <v>8</v>
      </c>
      <c r="B1217">
        <f>VLOOKUP(A1217,Sheet2!B:F,5,FALSE)</f>
        <v>928</v>
      </c>
      <c r="C1217" t="s">
        <v>223</v>
      </c>
      <c r="D1217">
        <f>VLOOKUP(C1217,Sheet2!C:G,5,FALSE)</f>
        <v>966</v>
      </c>
      <c r="E1217" t="s">
        <v>1261</v>
      </c>
      <c r="F1217">
        <f>VLOOKUP(E1217,Sheet2!D:E,2,FALSE)</f>
        <v>1659</v>
      </c>
      <c r="G1217" t="s">
        <v>11</v>
      </c>
      <c r="H1217" t="str">
        <f t="shared" si="36"/>
        <v>NAVERocokorea</v>
      </c>
      <c r="I1217" t="str">
        <f>"ocokorea"</f>
        <v>ocokorea</v>
      </c>
      <c r="J1217">
        <v>19868370</v>
      </c>
      <c r="K1217" s="1">
        <v>44866</v>
      </c>
      <c r="L1217" t="s">
        <v>1262</v>
      </c>
      <c r="M1217">
        <f t="shared" si="37"/>
        <v>17968390</v>
      </c>
      <c r="N1217" t="e">
        <f>VLOOKUP(H1217,Sheet1!G:H,2,FALSE)</f>
        <v>#N/A</v>
      </c>
      <c r="R1217" t="s">
        <v>3141</v>
      </c>
      <c r="S1217">
        <v>125580</v>
      </c>
    </row>
    <row r="1218" spans="1:19" x14ac:dyDescent="0.3">
      <c r="A1218" t="s">
        <v>16</v>
      </c>
      <c r="B1218">
        <f>VLOOKUP(A1218,Sheet2!B:F,5,FALSE)</f>
        <v>927</v>
      </c>
      <c r="C1218" t="s">
        <v>17</v>
      </c>
      <c r="D1218">
        <f>VLOOKUP(C1218,Sheet2!C:G,5,FALSE)</f>
        <v>1200</v>
      </c>
      <c r="E1218" t="s">
        <v>371</v>
      </c>
      <c r="F1218">
        <f>VLOOKUP(E1218,Sheet2!D:E,2,FALSE)</f>
        <v>551</v>
      </c>
      <c r="G1218" t="s">
        <v>11</v>
      </c>
      <c r="H1218" t="str">
        <f t="shared" si="36"/>
        <v>NAVERoctcys</v>
      </c>
      <c r="I1218" t="str">
        <f>"octcys"</f>
        <v>octcys</v>
      </c>
      <c r="J1218">
        <v>3033250</v>
      </c>
      <c r="K1218" s="1">
        <v>44866</v>
      </c>
      <c r="L1218" t="s">
        <v>1263</v>
      </c>
      <c r="M1218">
        <f t="shared" si="37"/>
        <v>3033250</v>
      </c>
      <c r="N1218" t="e">
        <f>VLOOKUP(H1218,Sheet1!G:H,2,FALSE)</f>
        <v>#N/A</v>
      </c>
      <c r="R1218" t="s">
        <v>3142</v>
      </c>
      <c r="S1218">
        <v>2880</v>
      </c>
    </row>
    <row r="1219" spans="1:19" x14ac:dyDescent="0.3">
      <c r="A1219" t="s">
        <v>41</v>
      </c>
      <c r="B1219">
        <f>VLOOKUP(A1219,Sheet2!B:F,5,FALSE)</f>
        <v>926</v>
      </c>
      <c r="C1219" t="s">
        <v>56</v>
      </c>
      <c r="D1219">
        <f>VLOOKUP(C1219,Sheet2!C:G,5,FALSE)</f>
        <v>1207</v>
      </c>
      <c r="E1219" t="s">
        <v>57</v>
      </c>
      <c r="F1219">
        <f>VLOOKUP(E1219,Sheet2!D:E,2,FALSE)</f>
        <v>200982</v>
      </c>
      <c r="G1219" t="s">
        <v>11</v>
      </c>
      <c r="H1219" t="str">
        <f t="shared" ref="H1219:H1282" si="38">CONCATENATE(G1219,I1219)</f>
        <v>NAVERodh790</v>
      </c>
      <c r="I1219" t="str">
        <f>"odh790"</f>
        <v>odh790</v>
      </c>
      <c r="J1219">
        <v>54930</v>
      </c>
      <c r="K1219" s="1">
        <v>44866</v>
      </c>
      <c r="L1219" t="s">
        <v>1264</v>
      </c>
      <c r="M1219">
        <f t="shared" ref="M1219:M1282" si="39">VLOOKUP(H1219,R:S,2,FALSE)</f>
        <v>54930</v>
      </c>
      <c r="N1219" t="e">
        <f>VLOOKUP(H1219,Sheet1!G:H,2,FALSE)</f>
        <v>#N/A</v>
      </c>
      <c r="R1219" t="s">
        <v>3143</v>
      </c>
      <c r="S1219">
        <v>3010</v>
      </c>
    </row>
    <row r="1220" spans="1:19" x14ac:dyDescent="0.3">
      <c r="A1220" t="s">
        <v>8</v>
      </c>
      <c r="B1220">
        <f>VLOOKUP(A1220,Sheet2!B:F,5,FALSE)</f>
        <v>928</v>
      </c>
      <c r="C1220" t="s">
        <v>9</v>
      </c>
      <c r="D1220">
        <f>VLOOKUP(C1220,Sheet2!C:G,5,FALSE)</f>
        <v>1202</v>
      </c>
      <c r="E1220" t="s">
        <v>37</v>
      </c>
      <c r="F1220">
        <f>VLOOKUP(E1220,Sheet2!D:E,2,FALSE)</f>
        <v>81</v>
      </c>
      <c r="G1220" t="s">
        <v>11</v>
      </c>
      <c r="H1220" t="str">
        <f t="shared" si="38"/>
        <v>NAVERodp11518</v>
      </c>
      <c r="I1220" t="str">
        <f>"odp11518"</f>
        <v>odp11518</v>
      </c>
      <c r="J1220">
        <v>49780</v>
      </c>
      <c r="K1220" s="1">
        <v>44866</v>
      </c>
      <c r="L1220" t="s">
        <v>1265</v>
      </c>
      <c r="M1220">
        <f t="shared" si="39"/>
        <v>49780</v>
      </c>
      <c r="N1220" t="e">
        <f>VLOOKUP(H1220,Sheet1!G:H,2,FALSE)</f>
        <v>#N/A</v>
      </c>
      <c r="R1220" t="s">
        <v>3144</v>
      </c>
      <c r="S1220">
        <v>324990</v>
      </c>
    </row>
    <row r="1221" spans="1:19" x14ac:dyDescent="0.3">
      <c r="A1221" t="s">
        <v>8</v>
      </c>
      <c r="B1221">
        <f>VLOOKUP(A1221,Sheet2!B:F,5,FALSE)</f>
        <v>928</v>
      </c>
      <c r="C1221" t="s">
        <v>9</v>
      </c>
      <c r="D1221">
        <f>VLOOKUP(C1221,Sheet2!C:G,5,FALSE)</f>
        <v>1202</v>
      </c>
      <c r="E1221" t="s">
        <v>37</v>
      </c>
      <c r="F1221">
        <f>VLOOKUP(E1221,Sheet2!D:E,2,FALSE)</f>
        <v>81</v>
      </c>
      <c r="G1221" t="s">
        <v>11</v>
      </c>
      <c r="H1221" t="str">
        <f t="shared" si="38"/>
        <v>NAVERodp4955</v>
      </c>
      <c r="I1221" t="str">
        <f>"odp4955"</f>
        <v>odp4955</v>
      </c>
      <c r="J1221">
        <v>590970</v>
      </c>
      <c r="K1221" s="1">
        <v>44866</v>
      </c>
      <c r="L1221" t="s">
        <v>1265</v>
      </c>
      <c r="M1221">
        <f t="shared" si="39"/>
        <v>590970</v>
      </c>
      <c r="N1221" t="e">
        <f>VLOOKUP(H1221,Sheet1!G:H,2,FALSE)</f>
        <v>#N/A</v>
      </c>
      <c r="R1221" t="s">
        <v>3145</v>
      </c>
      <c r="S1221">
        <v>678340</v>
      </c>
    </row>
    <row r="1222" spans="1:19" x14ac:dyDescent="0.3">
      <c r="A1222" t="s">
        <v>16</v>
      </c>
      <c r="B1222">
        <f>VLOOKUP(A1222,Sheet2!B:F,5,FALSE)</f>
        <v>927</v>
      </c>
      <c r="C1222" t="s">
        <v>17</v>
      </c>
      <c r="D1222">
        <f>VLOOKUP(C1222,Sheet2!C:G,5,FALSE)</f>
        <v>1200</v>
      </c>
      <c r="E1222" t="s">
        <v>29</v>
      </c>
      <c r="F1222">
        <f>VLOOKUP(E1222,Sheet2!D:E,2,FALSE)</f>
        <v>1496</v>
      </c>
      <c r="G1222" t="s">
        <v>11</v>
      </c>
      <c r="H1222" t="str">
        <f t="shared" si="38"/>
        <v>NAVERofficehome</v>
      </c>
      <c r="I1222" t="str">
        <f>"officehome"</f>
        <v>officehome</v>
      </c>
      <c r="J1222">
        <v>2879200</v>
      </c>
      <c r="K1222" s="1">
        <v>44866</v>
      </c>
      <c r="L1222" t="s">
        <v>1266</v>
      </c>
      <c r="M1222">
        <f t="shared" si="39"/>
        <v>2879200</v>
      </c>
      <c r="N1222" t="e">
        <f>VLOOKUP(H1222,Sheet1!G:H,2,FALSE)</f>
        <v>#N/A</v>
      </c>
      <c r="R1222" t="s">
        <v>3146</v>
      </c>
      <c r="S1222">
        <v>860</v>
      </c>
    </row>
    <row r="1223" spans="1:19" x14ac:dyDescent="0.3">
      <c r="A1223" t="s">
        <v>8</v>
      </c>
      <c r="B1223">
        <f>VLOOKUP(A1223,Sheet2!B:F,5,FALSE)</f>
        <v>928</v>
      </c>
      <c r="C1223" t="s">
        <v>13</v>
      </c>
      <c r="D1223">
        <f>VLOOKUP(C1223,Sheet2!C:G,5,FALSE)</f>
        <v>1184</v>
      </c>
      <c r="E1223" t="s">
        <v>14</v>
      </c>
      <c r="F1223">
        <f>VLOOKUP(E1223,Sheet2!D:E,2,FALSE)</f>
        <v>914</v>
      </c>
      <c r="G1223" t="s">
        <v>11</v>
      </c>
      <c r="H1223" t="str">
        <f t="shared" si="38"/>
        <v>NAVERohdong73</v>
      </c>
      <c r="I1223" t="str">
        <f>"ohdong73"</f>
        <v>ohdong73</v>
      </c>
      <c r="J1223">
        <v>484980</v>
      </c>
      <c r="K1223" s="1">
        <v>44866</v>
      </c>
      <c r="L1223" t="s">
        <v>323</v>
      </c>
      <c r="M1223">
        <f t="shared" si="39"/>
        <v>484980</v>
      </c>
      <c r="N1223" t="e">
        <f>VLOOKUP(H1223,Sheet1!G:H,2,FALSE)</f>
        <v>#N/A</v>
      </c>
      <c r="R1223" t="s">
        <v>3147</v>
      </c>
      <c r="S1223">
        <v>3477070</v>
      </c>
    </row>
    <row r="1224" spans="1:19" x14ac:dyDescent="0.3">
      <c r="A1224" t="s">
        <v>8</v>
      </c>
      <c r="B1224">
        <f>VLOOKUP(A1224,Sheet2!B:F,5,FALSE)</f>
        <v>928</v>
      </c>
      <c r="C1224" t="s">
        <v>9</v>
      </c>
      <c r="D1224">
        <f>VLOOKUP(C1224,Sheet2!C:G,5,FALSE)</f>
        <v>1202</v>
      </c>
      <c r="E1224" t="s">
        <v>33</v>
      </c>
      <c r="F1224">
        <f>VLOOKUP(E1224,Sheet2!D:E,2,FALSE)</f>
        <v>933</v>
      </c>
      <c r="G1224" t="s">
        <v>11</v>
      </c>
      <c r="H1224" t="str">
        <f t="shared" si="38"/>
        <v>NAVERohyes600</v>
      </c>
      <c r="I1224" t="str">
        <f>"ohyes600"</f>
        <v>ohyes600</v>
      </c>
      <c r="J1224">
        <v>350</v>
      </c>
      <c r="K1224" s="1">
        <v>44866</v>
      </c>
      <c r="L1224" t="s">
        <v>1267</v>
      </c>
      <c r="M1224">
        <f t="shared" si="39"/>
        <v>350</v>
      </c>
      <c r="N1224" t="e">
        <f>VLOOKUP(H1224,Sheet1!G:H,2,FALSE)</f>
        <v>#N/A</v>
      </c>
      <c r="R1224" t="s">
        <v>3148</v>
      </c>
      <c r="S1224">
        <v>0</v>
      </c>
    </row>
    <row r="1225" spans="1:19" x14ac:dyDescent="0.3">
      <c r="A1225" t="s">
        <v>8</v>
      </c>
      <c r="B1225">
        <f>VLOOKUP(A1225,Sheet2!B:F,5,FALSE)</f>
        <v>928</v>
      </c>
      <c r="C1225" t="s">
        <v>9</v>
      </c>
      <c r="D1225">
        <f>VLOOKUP(C1225,Sheet2!C:G,5,FALSE)</f>
        <v>1202</v>
      </c>
      <c r="E1225" t="s">
        <v>220</v>
      </c>
      <c r="F1225">
        <f>VLOOKUP(E1225,Sheet2!D:E,2,FALSE)</f>
        <v>1211</v>
      </c>
      <c r="G1225" t="s">
        <v>11</v>
      </c>
      <c r="H1225" t="str">
        <f t="shared" si="38"/>
        <v>NAVERojinger77</v>
      </c>
      <c r="I1225" t="str">
        <f>"ojinger77"</f>
        <v>ojinger77</v>
      </c>
      <c r="J1225">
        <v>56050</v>
      </c>
      <c r="K1225" s="1">
        <v>44866</v>
      </c>
      <c r="L1225" t="s">
        <v>1268</v>
      </c>
      <c r="M1225" t="e">
        <f t="shared" si="39"/>
        <v>#N/A</v>
      </c>
      <c r="N1225" t="e">
        <f>VLOOKUP(H1225,Sheet1!G:H,2,FALSE)</f>
        <v>#N/A</v>
      </c>
      <c r="R1225" t="s">
        <v>3149</v>
      </c>
      <c r="S1225">
        <v>17660</v>
      </c>
    </row>
    <row r="1226" spans="1:19" x14ac:dyDescent="0.3">
      <c r="A1226" t="s">
        <v>8</v>
      </c>
      <c r="B1226">
        <f>VLOOKUP(A1226,Sheet2!B:F,5,FALSE)</f>
        <v>928</v>
      </c>
      <c r="C1226" t="s">
        <v>13</v>
      </c>
      <c r="D1226">
        <f>VLOOKUP(C1226,Sheet2!C:G,5,FALSE)</f>
        <v>1184</v>
      </c>
      <c r="E1226" t="s">
        <v>217</v>
      </c>
      <c r="F1226">
        <f>VLOOKUP(E1226,Sheet2!D:E,2,FALSE)</f>
        <v>201027</v>
      </c>
      <c r="G1226" t="s">
        <v>11</v>
      </c>
      <c r="H1226" t="str">
        <f t="shared" si="38"/>
        <v>NAVERojm7002</v>
      </c>
      <c r="I1226" t="str">
        <f>"ojm7002"</f>
        <v>ojm7002</v>
      </c>
      <c r="J1226">
        <v>200100</v>
      </c>
      <c r="K1226" s="1">
        <v>44866</v>
      </c>
      <c r="L1226" t="s">
        <v>1269</v>
      </c>
      <c r="M1226">
        <f t="shared" si="39"/>
        <v>200100</v>
      </c>
      <c r="N1226" t="e">
        <f>VLOOKUP(H1226,Sheet1!G:H,2,FALSE)</f>
        <v>#N/A</v>
      </c>
      <c r="R1226" t="s">
        <v>3150</v>
      </c>
      <c r="S1226">
        <v>9520050</v>
      </c>
    </row>
    <row r="1227" spans="1:19" x14ac:dyDescent="0.3">
      <c r="A1227" t="s">
        <v>41</v>
      </c>
      <c r="B1227">
        <f>VLOOKUP(A1227,Sheet2!B:F,5,FALSE)</f>
        <v>926</v>
      </c>
      <c r="C1227" t="s">
        <v>56</v>
      </c>
      <c r="D1227">
        <f>VLOOKUP(C1227,Sheet2!C:G,5,FALSE)</f>
        <v>1207</v>
      </c>
      <c r="E1227" t="s">
        <v>57</v>
      </c>
      <c r="F1227">
        <f>VLOOKUP(E1227,Sheet2!D:E,2,FALSE)</f>
        <v>200982</v>
      </c>
      <c r="G1227" t="s">
        <v>11</v>
      </c>
      <c r="H1227" t="str">
        <f t="shared" si="38"/>
        <v>NAVERokshowcase</v>
      </c>
      <c r="I1227" t="str">
        <f>"okshowcase"</f>
        <v>okshowcase</v>
      </c>
      <c r="J1227">
        <v>542120</v>
      </c>
      <c r="K1227" s="1">
        <v>44866</v>
      </c>
      <c r="L1227" t="s">
        <v>1270</v>
      </c>
      <c r="M1227">
        <f t="shared" si="39"/>
        <v>542120</v>
      </c>
      <c r="N1227" t="e">
        <f>VLOOKUP(H1227,Sheet1!G:H,2,FALSE)</f>
        <v>#N/A</v>
      </c>
      <c r="R1227" t="s">
        <v>3151</v>
      </c>
      <c r="S1227">
        <v>1038380</v>
      </c>
    </row>
    <row r="1228" spans="1:19" x14ac:dyDescent="0.3">
      <c r="A1228" t="s">
        <v>16</v>
      </c>
      <c r="B1228">
        <f>VLOOKUP(A1228,Sheet2!B:F,5,FALSE)</f>
        <v>927</v>
      </c>
      <c r="C1228" t="s">
        <v>17</v>
      </c>
      <c r="D1228">
        <f>VLOOKUP(C1228,Sheet2!C:G,5,FALSE)</f>
        <v>1200</v>
      </c>
      <c r="E1228" t="s">
        <v>100</v>
      </c>
      <c r="F1228">
        <f>VLOOKUP(E1228,Sheet2!D:E,2,FALSE)</f>
        <v>201038</v>
      </c>
      <c r="G1228" t="s">
        <v>11</v>
      </c>
      <c r="H1228" t="str">
        <f t="shared" si="38"/>
        <v>NAVERolibro1001:naver</v>
      </c>
      <c r="I1228" t="str">
        <f>"olibro1001:naver"</f>
        <v>olibro1001:naver</v>
      </c>
      <c r="J1228">
        <v>123970</v>
      </c>
      <c r="K1228" s="1">
        <v>44866</v>
      </c>
      <c r="L1228" t="s">
        <v>1271</v>
      </c>
      <c r="M1228">
        <f t="shared" si="39"/>
        <v>123970</v>
      </c>
      <c r="N1228" t="e">
        <f>VLOOKUP(H1228,Sheet1!G:H,2,FALSE)</f>
        <v>#N/A</v>
      </c>
      <c r="R1228" t="s">
        <v>3152</v>
      </c>
      <c r="S1228">
        <v>37997</v>
      </c>
    </row>
    <row r="1229" spans="1:19" x14ac:dyDescent="0.3">
      <c r="A1229" t="s">
        <v>41</v>
      </c>
      <c r="B1229">
        <f>VLOOKUP(A1229,Sheet2!B:F,5,FALSE)</f>
        <v>926</v>
      </c>
      <c r="C1229" t="s">
        <v>56</v>
      </c>
      <c r="D1229">
        <f>VLOOKUP(C1229,Sheet2!C:G,5,FALSE)</f>
        <v>1207</v>
      </c>
      <c r="E1229" t="s">
        <v>57</v>
      </c>
      <c r="F1229">
        <f>VLOOKUP(E1229,Sheet2!D:E,2,FALSE)</f>
        <v>200982</v>
      </c>
      <c r="G1229" t="s">
        <v>11</v>
      </c>
      <c r="H1229" t="str">
        <f t="shared" si="38"/>
        <v>NAVERomanmul</v>
      </c>
      <c r="I1229" t="str">
        <f>"omanmul"</f>
        <v>omanmul</v>
      </c>
      <c r="J1229">
        <v>458820</v>
      </c>
      <c r="K1229" s="1">
        <v>44866</v>
      </c>
      <c r="L1229" t="s">
        <v>1272</v>
      </c>
      <c r="M1229">
        <f t="shared" si="39"/>
        <v>458890</v>
      </c>
      <c r="N1229" t="e">
        <f>VLOOKUP(H1229,Sheet1!G:H,2,FALSE)</f>
        <v>#N/A</v>
      </c>
      <c r="R1229" t="s">
        <v>3153</v>
      </c>
      <c r="S1229">
        <v>10850</v>
      </c>
    </row>
    <row r="1230" spans="1:19" x14ac:dyDescent="0.3">
      <c r="A1230" t="s">
        <v>41</v>
      </c>
      <c r="B1230">
        <f>VLOOKUP(A1230,Sheet2!B:F,5,FALSE)</f>
        <v>926</v>
      </c>
      <c r="C1230" t="s">
        <v>56</v>
      </c>
      <c r="D1230">
        <f>VLOOKUP(C1230,Sheet2!C:G,5,FALSE)</f>
        <v>1207</v>
      </c>
      <c r="E1230" t="s">
        <v>57</v>
      </c>
      <c r="F1230">
        <f>VLOOKUP(E1230,Sheet2!D:E,2,FALSE)</f>
        <v>200982</v>
      </c>
      <c r="G1230" t="s">
        <v>11</v>
      </c>
      <c r="H1230" t="str">
        <f t="shared" si="38"/>
        <v>NAVERomypilates</v>
      </c>
      <c r="I1230" t="str">
        <f>"omypilates"</f>
        <v>omypilates</v>
      </c>
      <c r="J1230">
        <v>238010</v>
      </c>
      <c r="K1230" s="1">
        <v>44866</v>
      </c>
      <c r="L1230" t="s">
        <v>1273</v>
      </c>
      <c r="M1230">
        <f t="shared" si="39"/>
        <v>238010</v>
      </c>
      <c r="N1230" t="e">
        <f>VLOOKUP(H1230,Sheet1!G:H,2,FALSE)</f>
        <v>#N/A</v>
      </c>
      <c r="R1230" t="s">
        <v>3154</v>
      </c>
      <c r="S1230">
        <v>24100</v>
      </c>
    </row>
    <row r="1231" spans="1:19" x14ac:dyDescent="0.3">
      <c r="A1231" t="s">
        <v>8</v>
      </c>
      <c r="B1231">
        <f>VLOOKUP(A1231,Sheet2!B:F,5,FALSE)</f>
        <v>928</v>
      </c>
      <c r="C1231" t="s">
        <v>13</v>
      </c>
      <c r="D1231">
        <f>VLOOKUP(C1231,Sheet2!C:G,5,FALSE)</f>
        <v>1184</v>
      </c>
      <c r="E1231" t="s">
        <v>127</v>
      </c>
      <c r="F1231">
        <f>VLOOKUP(E1231,Sheet2!D:E,2,FALSE)</f>
        <v>201029</v>
      </c>
      <c r="G1231" t="s">
        <v>11</v>
      </c>
      <c r="H1231" t="str">
        <f t="shared" si="38"/>
        <v>NAVERonair</v>
      </c>
      <c r="I1231" t="str">
        <f>"onair"</f>
        <v>onair</v>
      </c>
      <c r="J1231">
        <v>2650378</v>
      </c>
      <c r="K1231" s="1">
        <v>44866</v>
      </c>
      <c r="L1231" t="s">
        <v>449</v>
      </c>
      <c r="M1231">
        <f t="shared" si="39"/>
        <v>2367050</v>
      </c>
      <c r="N1231" t="e">
        <f>VLOOKUP(H1231,Sheet1!G:H,2,FALSE)</f>
        <v>#N/A</v>
      </c>
      <c r="R1231" t="s">
        <v>3155</v>
      </c>
      <c r="S1231">
        <v>208930</v>
      </c>
    </row>
    <row r="1232" spans="1:19" x14ac:dyDescent="0.3">
      <c r="A1232" t="s">
        <v>8</v>
      </c>
      <c r="B1232">
        <f>VLOOKUP(A1232,Sheet2!B:F,5,FALSE)</f>
        <v>928</v>
      </c>
      <c r="C1232" t="s">
        <v>9</v>
      </c>
      <c r="D1232">
        <f>VLOOKUP(C1232,Sheet2!C:G,5,FALSE)</f>
        <v>1202</v>
      </c>
      <c r="E1232" t="s">
        <v>391</v>
      </c>
      <c r="F1232">
        <f>VLOOKUP(E1232,Sheet2!D:E,2,FALSE)</f>
        <v>1216</v>
      </c>
      <c r="G1232" t="s">
        <v>11</v>
      </c>
      <c r="H1232" t="str">
        <f t="shared" si="38"/>
        <v>NAVERongym1115:naver</v>
      </c>
      <c r="I1232" t="str">
        <f>"ongym1115:naver"</f>
        <v>ongym1115:naver</v>
      </c>
      <c r="J1232">
        <v>5537</v>
      </c>
      <c r="K1232" s="1">
        <v>44866</v>
      </c>
      <c r="L1232" t="s">
        <v>1274</v>
      </c>
      <c r="M1232">
        <f t="shared" si="39"/>
        <v>5553</v>
      </c>
      <c r="N1232" t="e">
        <f>VLOOKUP(H1232,Sheet1!G:H,2,FALSE)</f>
        <v>#N/A</v>
      </c>
      <c r="R1232" t="s">
        <v>3156</v>
      </c>
      <c r="S1232">
        <v>70</v>
      </c>
    </row>
    <row r="1233" spans="1:19" x14ac:dyDescent="0.3">
      <c r="A1233" t="s">
        <v>8</v>
      </c>
      <c r="B1233">
        <f>VLOOKUP(A1233,Sheet2!B:F,5,FALSE)</f>
        <v>928</v>
      </c>
      <c r="C1233" t="s">
        <v>167</v>
      </c>
      <c r="D1233">
        <f>VLOOKUP(C1233,Sheet2!C:G,5,FALSE)</f>
        <v>935</v>
      </c>
      <c r="E1233" t="s">
        <v>168</v>
      </c>
      <c r="F1233">
        <f>VLOOKUP(E1233,Sheet2!D:E,2,FALSE)</f>
        <v>2</v>
      </c>
      <c r="G1233" t="s">
        <v>11</v>
      </c>
      <c r="H1233" t="str">
        <f t="shared" si="38"/>
        <v>NAVERoniljang</v>
      </c>
      <c r="I1233" t="str">
        <f>"oniljang"</f>
        <v>oniljang</v>
      </c>
      <c r="J1233">
        <v>4980360</v>
      </c>
      <c r="K1233" s="1">
        <v>44866</v>
      </c>
      <c r="L1233" t="s">
        <v>1275</v>
      </c>
      <c r="M1233">
        <f t="shared" si="39"/>
        <v>4980360</v>
      </c>
      <c r="N1233" t="e">
        <f>VLOOKUP(H1233,Sheet1!G:H,2,FALSE)</f>
        <v>#N/A</v>
      </c>
      <c r="R1233" t="s">
        <v>3157</v>
      </c>
      <c r="S1233">
        <v>328660</v>
      </c>
    </row>
    <row r="1234" spans="1:19" x14ac:dyDescent="0.3">
      <c r="A1234" t="s">
        <v>8</v>
      </c>
      <c r="B1234">
        <f>VLOOKUP(A1234,Sheet2!B:F,5,FALSE)</f>
        <v>928</v>
      </c>
      <c r="C1234" t="s">
        <v>9</v>
      </c>
      <c r="D1234">
        <f>VLOOKUP(C1234,Sheet2!C:G,5,FALSE)</f>
        <v>1202</v>
      </c>
      <c r="E1234" t="s">
        <v>10</v>
      </c>
      <c r="F1234">
        <f>VLOOKUP(E1234,Sheet2!D:E,2,FALSE)</f>
        <v>939</v>
      </c>
      <c r="G1234" t="s">
        <v>11</v>
      </c>
      <c r="H1234" t="str">
        <f t="shared" si="38"/>
        <v>NAVERonly069191</v>
      </c>
      <c r="I1234" t="str">
        <f>"only069191"</f>
        <v>only069191</v>
      </c>
      <c r="J1234">
        <v>7650</v>
      </c>
      <c r="K1234" s="1">
        <v>44866</v>
      </c>
      <c r="L1234" t="s">
        <v>1276</v>
      </c>
      <c r="M1234">
        <f t="shared" si="39"/>
        <v>7650</v>
      </c>
      <c r="N1234" t="e">
        <f>VLOOKUP(H1234,Sheet1!G:H,2,FALSE)</f>
        <v>#N/A</v>
      </c>
      <c r="R1234" t="s">
        <v>3158</v>
      </c>
      <c r="S1234">
        <v>980</v>
      </c>
    </row>
    <row r="1235" spans="1:19" x14ac:dyDescent="0.3">
      <c r="A1235" t="s">
        <v>8</v>
      </c>
      <c r="B1235">
        <f>VLOOKUP(A1235,Sheet2!B:F,5,FALSE)</f>
        <v>928</v>
      </c>
      <c r="C1235" t="s">
        <v>9</v>
      </c>
      <c r="D1235">
        <f>VLOOKUP(C1235,Sheet2!C:G,5,FALSE)</f>
        <v>1202</v>
      </c>
      <c r="E1235" t="s">
        <v>27</v>
      </c>
      <c r="F1235">
        <f>VLOOKUP(E1235,Sheet2!D:E,2,FALSE)</f>
        <v>806</v>
      </c>
      <c r="G1235" t="s">
        <v>11</v>
      </c>
      <c r="H1235" t="str">
        <f t="shared" si="38"/>
        <v>NAVERonplus_kyang</v>
      </c>
      <c r="I1235" t="str">
        <f>"onplus_kyang"</f>
        <v>onplus_kyang</v>
      </c>
      <c r="J1235">
        <v>283250</v>
      </c>
      <c r="K1235" s="1">
        <v>44866</v>
      </c>
      <c r="L1235" t="s">
        <v>1277</v>
      </c>
      <c r="M1235">
        <f t="shared" si="39"/>
        <v>283250</v>
      </c>
      <c r="N1235" t="e">
        <f>VLOOKUP(H1235,Sheet1!G:H,2,FALSE)</f>
        <v>#N/A</v>
      </c>
      <c r="R1235" t="s">
        <v>3159</v>
      </c>
      <c r="S1235">
        <v>39760</v>
      </c>
    </row>
    <row r="1236" spans="1:19" x14ac:dyDescent="0.3">
      <c r="A1236" t="s">
        <v>8</v>
      </c>
      <c r="B1236">
        <f>VLOOKUP(A1236,Sheet2!B:F,5,FALSE)</f>
        <v>928</v>
      </c>
      <c r="C1236" t="s">
        <v>13</v>
      </c>
      <c r="D1236">
        <f>VLOOKUP(C1236,Sheet2!C:G,5,FALSE)</f>
        <v>1184</v>
      </c>
      <c r="E1236" t="s">
        <v>115</v>
      </c>
      <c r="F1236">
        <f>VLOOKUP(E1236,Sheet2!D:E,2,FALSE)</f>
        <v>1548</v>
      </c>
      <c r="G1236" t="s">
        <v>11</v>
      </c>
      <c r="H1236" t="str">
        <f t="shared" si="38"/>
        <v>NAVERoopp4567</v>
      </c>
      <c r="I1236" t="str">
        <f>"oopp4567"</f>
        <v>oopp4567</v>
      </c>
      <c r="J1236">
        <v>13320</v>
      </c>
      <c r="K1236" s="1">
        <v>44866</v>
      </c>
      <c r="L1236" t="s">
        <v>1278</v>
      </c>
      <c r="M1236">
        <f t="shared" si="39"/>
        <v>13320</v>
      </c>
      <c r="N1236" t="e">
        <f>VLOOKUP(H1236,Sheet1!G:H,2,FALSE)</f>
        <v>#N/A</v>
      </c>
      <c r="R1236" t="s">
        <v>3160</v>
      </c>
      <c r="S1236">
        <v>650</v>
      </c>
    </row>
    <row r="1237" spans="1:19" x14ac:dyDescent="0.3">
      <c r="A1237" t="s">
        <v>8</v>
      </c>
      <c r="B1237">
        <f>VLOOKUP(A1237,Sheet2!B:F,5,FALSE)</f>
        <v>928</v>
      </c>
      <c r="C1237" t="s">
        <v>9</v>
      </c>
      <c r="D1237">
        <f>VLOOKUP(C1237,Sheet2!C:G,5,FALSE)</f>
        <v>1202</v>
      </c>
      <c r="E1237" t="s">
        <v>27</v>
      </c>
      <c r="F1237">
        <f>VLOOKUP(E1237,Sheet2!D:E,2,FALSE)</f>
        <v>806</v>
      </c>
      <c r="G1237" t="s">
        <v>11</v>
      </c>
      <c r="H1237" t="str">
        <f t="shared" si="38"/>
        <v>NAVERop0723:naver</v>
      </c>
      <c r="I1237" t="str">
        <f>"op0723:naver"</f>
        <v>op0723:naver</v>
      </c>
      <c r="J1237">
        <v>135870</v>
      </c>
      <c r="K1237" s="1">
        <v>44866</v>
      </c>
      <c r="L1237" t="s">
        <v>1279</v>
      </c>
      <c r="M1237">
        <f t="shared" si="39"/>
        <v>135870</v>
      </c>
      <c r="N1237" t="e">
        <f>VLOOKUP(H1237,Sheet1!G:H,2,FALSE)</f>
        <v>#N/A</v>
      </c>
      <c r="R1237" t="s">
        <v>3161</v>
      </c>
      <c r="S1237">
        <v>5830</v>
      </c>
    </row>
    <row r="1238" spans="1:19" x14ac:dyDescent="0.3">
      <c r="A1238" t="s">
        <v>8</v>
      </c>
      <c r="B1238">
        <f>VLOOKUP(A1238,Sheet2!B:F,5,FALSE)</f>
        <v>928</v>
      </c>
      <c r="C1238" t="s">
        <v>9</v>
      </c>
      <c r="D1238">
        <f>VLOOKUP(C1238,Sheet2!C:G,5,FALSE)</f>
        <v>1202</v>
      </c>
      <c r="E1238" t="s">
        <v>142</v>
      </c>
      <c r="F1238">
        <f>VLOOKUP(E1238,Sheet2!D:E,2,FALSE)</f>
        <v>652</v>
      </c>
      <c r="G1238" t="s">
        <v>11</v>
      </c>
      <c r="H1238" t="str">
        <f t="shared" si="38"/>
        <v>NAVERopara</v>
      </c>
      <c r="I1238" t="str">
        <f>"opara"</f>
        <v>opara</v>
      </c>
      <c r="J1238">
        <v>454200</v>
      </c>
      <c r="K1238" s="1">
        <v>44866</v>
      </c>
      <c r="L1238" t="s">
        <v>1280</v>
      </c>
      <c r="M1238">
        <f t="shared" si="39"/>
        <v>90170</v>
      </c>
      <c r="N1238" t="e">
        <f>VLOOKUP(H1238,Sheet1!G:H,2,FALSE)</f>
        <v>#N/A</v>
      </c>
      <c r="R1238" t="s">
        <v>3162</v>
      </c>
      <c r="S1238">
        <v>607170</v>
      </c>
    </row>
    <row r="1239" spans="1:19" x14ac:dyDescent="0.3">
      <c r="A1239" t="s">
        <v>8</v>
      </c>
      <c r="B1239">
        <f>VLOOKUP(A1239,Sheet2!B:F,5,FALSE)</f>
        <v>928</v>
      </c>
      <c r="C1239" t="s">
        <v>13</v>
      </c>
      <c r="D1239">
        <f>VLOOKUP(C1239,Sheet2!C:G,5,FALSE)</f>
        <v>1184</v>
      </c>
      <c r="E1239" t="s">
        <v>102</v>
      </c>
      <c r="F1239">
        <f>VLOOKUP(E1239,Sheet2!D:E,2,FALSE)</f>
        <v>917</v>
      </c>
      <c r="G1239" t="s">
        <v>11</v>
      </c>
      <c r="H1239" t="str">
        <f t="shared" si="38"/>
        <v>NAVERoracle-center:naver</v>
      </c>
      <c r="I1239" t="str">
        <f>"oracle-center:naver"</f>
        <v>oracle-center:naver</v>
      </c>
      <c r="J1239">
        <v>133030</v>
      </c>
      <c r="K1239" s="1">
        <v>44866</v>
      </c>
      <c r="L1239" t="s">
        <v>1281</v>
      </c>
      <c r="M1239">
        <f t="shared" si="39"/>
        <v>133030</v>
      </c>
      <c r="N1239" t="e">
        <f>VLOOKUP(H1239,Sheet1!G:H,2,FALSE)</f>
        <v>#N/A</v>
      </c>
      <c r="R1239" t="s">
        <v>3163</v>
      </c>
      <c r="S1239">
        <v>51080</v>
      </c>
    </row>
    <row r="1240" spans="1:19" x14ac:dyDescent="0.3">
      <c r="A1240" t="s">
        <v>8</v>
      </c>
      <c r="B1240">
        <f>VLOOKUP(A1240,Sheet2!B:F,5,FALSE)</f>
        <v>928</v>
      </c>
      <c r="C1240" t="s">
        <v>13</v>
      </c>
      <c r="D1240">
        <f>VLOOKUP(C1240,Sheet2!C:G,5,FALSE)</f>
        <v>1184</v>
      </c>
      <c r="E1240" t="s">
        <v>102</v>
      </c>
      <c r="F1240">
        <f>VLOOKUP(E1240,Sheet2!D:E,2,FALSE)</f>
        <v>917</v>
      </c>
      <c r="G1240" t="s">
        <v>11</v>
      </c>
      <c r="H1240" t="str">
        <f t="shared" si="38"/>
        <v>NAVERoracle3516</v>
      </c>
      <c r="I1240" t="str">
        <f>"oracle3516"</f>
        <v>oracle3516</v>
      </c>
      <c r="J1240">
        <v>2800</v>
      </c>
      <c r="K1240" s="1">
        <v>44866</v>
      </c>
      <c r="L1240" t="s">
        <v>1282</v>
      </c>
      <c r="M1240">
        <f t="shared" si="39"/>
        <v>2800</v>
      </c>
      <c r="N1240" t="e">
        <f>VLOOKUP(H1240,Sheet1!G:H,2,FALSE)</f>
        <v>#N/A</v>
      </c>
      <c r="R1240" t="s">
        <v>3164</v>
      </c>
      <c r="S1240">
        <v>125820</v>
      </c>
    </row>
    <row r="1241" spans="1:19" x14ac:dyDescent="0.3">
      <c r="A1241" t="s">
        <v>8</v>
      </c>
      <c r="B1241">
        <f>VLOOKUP(A1241,Sheet2!B:F,5,FALSE)</f>
        <v>928</v>
      </c>
      <c r="C1241" t="s">
        <v>13</v>
      </c>
      <c r="D1241">
        <f>VLOOKUP(C1241,Sheet2!C:G,5,FALSE)</f>
        <v>1184</v>
      </c>
      <c r="E1241" t="s">
        <v>102</v>
      </c>
      <c r="F1241">
        <f>VLOOKUP(E1241,Sheet2!D:E,2,FALSE)</f>
        <v>917</v>
      </c>
      <c r="G1241" t="s">
        <v>11</v>
      </c>
      <c r="H1241" t="str">
        <f t="shared" si="38"/>
        <v>NAVERoracleclinic</v>
      </c>
      <c r="I1241" t="str">
        <f>"oracleclinic"</f>
        <v>oracleclinic</v>
      </c>
      <c r="J1241">
        <v>5661520</v>
      </c>
      <c r="K1241" s="1">
        <v>44866</v>
      </c>
      <c r="L1241" t="s">
        <v>1283</v>
      </c>
      <c r="M1241">
        <f t="shared" si="39"/>
        <v>5661520</v>
      </c>
      <c r="N1241" t="e">
        <f>VLOOKUP(H1241,Sheet1!G:H,2,FALSE)</f>
        <v>#N/A</v>
      </c>
      <c r="R1241" t="s">
        <v>3165</v>
      </c>
      <c r="S1241">
        <v>462040</v>
      </c>
    </row>
    <row r="1242" spans="1:19" x14ac:dyDescent="0.3">
      <c r="A1242" t="s">
        <v>8</v>
      </c>
      <c r="B1242">
        <f>VLOOKUP(A1242,Sheet2!B:F,5,FALSE)</f>
        <v>928</v>
      </c>
      <c r="C1242" t="s">
        <v>13</v>
      </c>
      <c r="D1242">
        <f>VLOOKUP(C1242,Sheet2!C:G,5,FALSE)</f>
        <v>1184</v>
      </c>
      <c r="E1242" t="s">
        <v>102</v>
      </c>
      <c r="F1242">
        <f>VLOOKUP(E1242,Sheet2!D:E,2,FALSE)</f>
        <v>917</v>
      </c>
      <c r="G1242" t="s">
        <v>11</v>
      </c>
      <c r="H1242" t="str">
        <f t="shared" si="38"/>
        <v>NAVERoracleland</v>
      </c>
      <c r="I1242" t="str">
        <f>"oracleland"</f>
        <v>oracleland</v>
      </c>
      <c r="J1242">
        <v>6799850</v>
      </c>
      <c r="K1242" s="1">
        <v>44866</v>
      </c>
      <c r="L1242" t="s">
        <v>1284</v>
      </c>
      <c r="M1242">
        <f t="shared" si="39"/>
        <v>6799850</v>
      </c>
      <c r="N1242" t="e">
        <f>VLOOKUP(H1242,Sheet1!G:H,2,FALSE)</f>
        <v>#N/A</v>
      </c>
      <c r="R1242" t="s">
        <v>3166</v>
      </c>
      <c r="S1242">
        <v>1084440</v>
      </c>
    </row>
    <row r="1243" spans="1:19" x14ac:dyDescent="0.3">
      <c r="A1243" t="s">
        <v>22</v>
      </c>
      <c r="B1243">
        <f>VLOOKUP(A1243,Sheet2!B:F,5,FALSE)</f>
        <v>809</v>
      </c>
      <c r="C1243" t="s">
        <v>23</v>
      </c>
      <c r="D1243">
        <f>VLOOKUP(C1243,Sheet2!C:G,5,FALSE)</f>
        <v>810</v>
      </c>
      <c r="E1243" t="s">
        <v>24</v>
      </c>
      <c r="F1243">
        <f>VLOOKUP(E1243,Sheet2!D:E,2,FALSE)</f>
        <v>201032</v>
      </c>
      <c r="G1243" t="s">
        <v>11</v>
      </c>
      <c r="H1243" t="str">
        <f t="shared" si="38"/>
        <v>NAVERorange1066</v>
      </c>
      <c r="I1243" t="str">
        <f>"orange1066"</f>
        <v>orange1066</v>
      </c>
      <c r="J1243">
        <v>9840</v>
      </c>
      <c r="K1243" s="1">
        <v>44866</v>
      </c>
      <c r="L1243" t="s">
        <v>1285</v>
      </c>
      <c r="M1243">
        <f t="shared" si="39"/>
        <v>9840</v>
      </c>
      <c r="N1243" t="e">
        <f>VLOOKUP(H1243,Sheet1!G:H,2,FALSE)</f>
        <v>#N/A</v>
      </c>
      <c r="R1243" t="s">
        <v>3167</v>
      </c>
      <c r="S1243">
        <v>0</v>
      </c>
    </row>
    <row r="1244" spans="1:19" x14ac:dyDescent="0.3">
      <c r="A1244" t="s">
        <v>8</v>
      </c>
      <c r="B1244">
        <f>VLOOKUP(A1244,Sheet2!B:F,5,FALSE)</f>
        <v>928</v>
      </c>
      <c r="C1244" t="s">
        <v>9</v>
      </c>
      <c r="D1244">
        <f>VLOOKUP(C1244,Sheet2!C:G,5,FALSE)</f>
        <v>1202</v>
      </c>
      <c r="E1244" t="s">
        <v>10</v>
      </c>
      <c r="F1244">
        <f>VLOOKUP(E1244,Sheet2!D:E,2,FALSE)</f>
        <v>939</v>
      </c>
      <c r="G1244" t="s">
        <v>11</v>
      </c>
      <c r="H1244" t="str">
        <f t="shared" si="38"/>
        <v>NAVERorthohan</v>
      </c>
      <c r="I1244" t="str">
        <f>"orthohan"</f>
        <v>orthohan</v>
      </c>
      <c r="J1244">
        <v>3321680</v>
      </c>
      <c r="K1244" s="1">
        <v>44866</v>
      </c>
      <c r="L1244" t="s">
        <v>1286</v>
      </c>
      <c r="M1244">
        <f t="shared" si="39"/>
        <v>3321680</v>
      </c>
      <c r="N1244" t="e">
        <f>VLOOKUP(H1244,Sheet1!G:H,2,FALSE)</f>
        <v>#N/A</v>
      </c>
      <c r="R1244" t="s">
        <v>3168</v>
      </c>
      <c r="S1244">
        <v>42680</v>
      </c>
    </row>
    <row r="1245" spans="1:19" x14ac:dyDescent="0.3">
      <c r="A1245" t="s">
        <v>8</v>
      </c>
      <c r="B1245">
        <f>VLOOKUP(A1245,Sheet2!B:F,5,FALSE)</f>
        <v>928</v>
      </c>
      <c r="C1245" t="s">
        <v>9</v>
      </c>
      <c r="D1245">
        <f>VLOOKUP(C1245,Sheet2!C:G,5,FALSE)</f>
        <v>1202</v>
      </c>
      <c r="E1245" t="s">
        <v>142</v>
      </c>
      <c r="F1245">
        <f>VLOOKUP(E1245,Sheet2!D:E,2,FALSE)</f>
        <v>652</v>
      </c>
      <c r="G1245" t="s">
        <v>11</v>
      </c>
      <c r="H1245" t="str">
        <f t="shared" si="38"/>
        <v>NAVERoso582</v>
      </c>
      <c r="I1245" t="str">
        <f>"oso582"</f>
        <v>oso582</v>
      </c>
      <c r="J1245">
        <v>2014760</v>
      </c>
      <c r="K1245" s="1">
        <v>44866</v>
      </c>
      <c r="L1245" t="s">
        <v>1287</v>
      </c>
      <c r="M1245">
        <f t="shared" si="39"/>
        <v>2014760</v>
      </c>
      <c r="N1245" t="e">
        <f>VLOOKUP(H1245,Sheet1!G:H,2,FALSE)</f>
        <v>#N/A</v>
      </c>
      <c r="R1245" t="s">
        <v>3169</v>
      </c>
      <c r="S1245">
        <v>349520</v>
      </c>
    </row>
    <row r="1246" spans="1:19" x14ac:dyDescent="0.3">
      <c r="A1246" t="s">
        <v>8</v>
      </c>
      <c r="B1246">
        <f>VLOOKUP(A1246,Sheet2!B:F,5,FALSE)</f>
        <v>928</v>
      </c>
      <c r="C1246" t="s">
        <v>9</v>
      </c>
      <c r="D1246">
        <f>VLOOKUP(C1246,Sheet2!C:G,5,FALSE)</f>
        <v>1202</v>
      </c>
      <c r="E1246" t="s">
        <v>45</v>
      </c>
      <c r="F1246">
        <f>VLOOKUP(E1246,Sheet2!D:E,2,FALSE)</f>
        <v>26</v>
      </c>
      <c r="G1246" t="s">
        <v>11</v>
      </c>
      <c r="H1246" t="str">
        <f t="shared" si="38"/>
        <v>NAVERotoo</v>
      </c>
      <c r="I1246" t="str">
        <f>"otoo"</f>
        <v>otoo</v>
      </c>
      <c r="J1246">
        <v>13265570</v>
      </c>
      <c r="K1246" s="1">
        <v>44866</v>
      </c>
      <c r="L1246" t="s">
        <v>1288</v>
      </c>
      <c r="M1246">
        <f t="shared" si="39"/>
        <v>13265570</v>
      </c>
      <c r="N1246" t="e">
        <f>VLOOKUP(H1246,Sheet1!G:H,2,FALSE)</f>
        <v>#N/A</v>
      </c>
      <c r="R1246" t="s">
        <v>3170</v>
      </c>
      <c r="S1246">
        <v>6812210</v>
      </c>
    </row>
    <row r="1247" spans="1:19" x14ac:dyDescent="0.3">
      <c r="A1247" t="s">
        <v>8</v>
      </c>
      <c r="B1247">
        <f>VLOOKUP(A1247,Sheet2!B:F,5,FALSE)</f>
        <v>928</v>
      </c>
      <c r="C1247" t="s">
        <v>9</v>
      </c>
      <c r="D1247">
        <f>VLOOKUP(C1247,Sheet2!C:G,5,FALSE)</f>
        <v>1202</v>
      </c>
      <c r="E1247" t="s">
        <v>39</v>
      </c>
      <c r="F1247">
        <f>VLOOKUP(E1247,Sheet2!D:E,2,FALSE)</f>
        <v>25</v>
      </c>
      <c r="G1247" t="s">
        <v>11</v>
      </c>
      <c r="H1247" t="str">
        <f t="shared" si="38"/>
        <v>NAVERourdiffuser</v>
      </c>
      <c r="I1247" t="str">
        <f>"ourdiffuser"</f>
        <v>ourdiffuser</v>
      </c>
      <c r="J1247">
        <v>983210</v>
      </c>
      <c r="K1247" s="1">
        <v>44866</v>
      </c>
      <c r="L1247" t="s">
        <v>1289</v>
      </c>
      <c r="M1247">
        <f t="shared" si="39"/>
        <v>983210</v>
      </c>
      <c r="N1247" t="e">
        <f>VLOOKUP(H1247,Sheet1!G:H,2,FALSE)</f>
        <v>#N/A</v>
      </c>
      <c r="R1247" t="s">
        <v>3171</v>
      </c>
      <c r="S1247">
        <v>2897300</v>
      </c>
    </row>
    <row r="1248" spans="1:19" x14ac:dyDescent="0.3">
      <c r="A1248" t="s">
        <v>41</v>
      </c>
      <c r="B1248">
        <f>VLOOKUP(A1248,Sheet2!B:F,5,FALSE)</f>
        <v>926</v>
      </c>
      <c r="C1248" t="s">
        <v>56</v>
      </c>
      <c r="D1248">
        <f>VLOOKUP(C1248,Sheet2!C:G,5,FALSE)</f>
        <v>1207</v>
      </c>
      <c r="E1248" t="s">
        <v>57</v>
      </c>
      <c r="F1248">
        <f>VLOOKUP(E1248,Sheet2!D:E,2,FALSE)</f>
        <v>200982</v>
      </c>
      <c r="G1248" t="s">
        <v>11</v>
      </c>
      <c r="H1248" t="str">
        <f t="shared" si="38"/>
        <v>NAVERpadischool</v>
      </c>
      <c r="I1248" t="str">
        <f>"padischool"</f>
        <v>padischool</v>
      </c>
      <c r="J1248">
        <v>33940</v>
      </c>
      <c r="K1248" s="1">
        <v>44866</v>
      </c>
      <c r="L1248" t="s">
        <v>1290</v>
      </c>
      <c r="M1248">
        <f t="shared" si="39"/>
        <v>33940</v>
      </c>
      <c r="N1248" t="e">
        <f>VLOOKUP(H1248,Sheet1!G:H,2,FALSE)</f>
        <v>#N/A</v>
      </c>
      <c r="R1248" t="s">
        <v>3172</v>
      </c>
      <c r="S1248">
        <v>594100</v>
      </c>
    </row>
    <row r="1249" spans="1:19" x14ac:dyDescent="0.3">
      <c r="A1249" t="s">
        <v>16</v>
      </c>
      <c r="B1249">
        <f>VLOOKUP(A1249,Sheet2!B:F,5,FALSE)</f>
        <v>927</v>
      </c>
      <c r="C1249" t="s">
        <v>17</v>
      </c>
      <c r="D1249">
        <f>VLOOKUP(C1249,Sheet2!C:G,5,FALSE)</f>
        <v>1200</v>
      </c>
      <c r="E1249" t="s">
        <v>244</v>
      </c>
      <c r="F1249">
        <f>VLOOKUP(E1249,Sheet2!D:E,2,FALSE)</f>
        <v>817</v>
      </c>
      <c r="G1249" t="s">
        <v>11</v>
      </c>
      <c r="H1249" t="str">
        <f t="shared" si="38"/>
        <v>NAVERpage45:naver</v>
      </c>
      <c r="I1249" t="str">
        <f>"page45:naver"</f>
        <v>page45:naver</v>
      </c>
      <c r="J1249">
        <v>167730</v>
      </c>
      <c r="K1249" s="1">
        <v>44866</v>
      </c>
      <c r="L1249" t="s">
        <v>1291</v>
      </c>
      <c r="M1249">
        <f t="shared" si="39"/>
        <v>167730</v>
      </c>
      <c r="N1249" t="e">
        <f>VLOOKUP(H1249,Sheet1!G:H,2,FALSE)</f>
        <v>#N/A</v>
      </c>
      <c r="R1249" t="s">
        <v>3173</v>
      </c>
      <c r="S1249">
        <v>22490</v>
      </c>
    </row>
    <row r="1250" spans="1:19" x14ac:dyDescent="0.3">
      <c r="A1250" t="s">
        <v>8</v>
      </c>
      <c r="B1250">
        <f>VLOOKUP(A1250,Sheet2!B:F,5,FALSE)</f>
        <v>928</v>
      </c>
      <c r="C1250" t="s">
        <v>9</v>
      </c>
      <c r="D1250">
        <f>VLOOKUP(C1250,Sheet2!C:G,5,FALSE)</f>
        <v>1202</v>
      </c>
      <c r="E1250" t="s">
        <v>39</v>
      </c>
      <c r="F1250">
        <f>VLOOKUP(E1250,Sheet2!D:E,2,FALSE)</f>
        <v>25</v>
      </c>
      <c r="G1250" t="s">
        <v>11</v>
      </c>
      <c r="H1250" t="str">
        <f t="shared" si="38"/>
        <v>NAVERpaladog8030</v>
      </c>
      <c r="I1250" t="str">
        <f>"paladog8030"</f>
        <v>paladog8030</v>
      </c>
      <c r="J1250">
        <v>1442810</v>
      </c>
      <c r="K1250" s="1">
        <v>44866</v>
      </c>
      <c r="L1250" t="s">
        <v>1292</v>
      </c>
      <c r="M1250">
        <f t="shared" si="39"/>
        <v>1442810</v>
      </c>
      <c r="N1250" t="e">
        <f>VLOOKUP(H1250,Sheet1!G:H,2,FALSE)</f>
        <v>#N/A</v>
      </c>
      <c r="R1250" t="s">
        <v>3174</v>
      </c>
      <c r="S1250">
        <v>251850</v>
      </c>
    </row>
    <row r="1251" spans="1:19" x14ac:dyDescent="0.3">
      <c r="A1251" t="s">
        <v>16</v>
      </c>
      <c r="B1251">
        <f>VLOOKUP(A1251,Sheet2!B:F,5,FALSE)</f>
        <v>927</v>
      </c>
      <c r="C1251" t="s">
        <v>17</v>
      </c>
      <c r="D1251">
        <f>VLOOKUP(C1251,Sheet2!C:G,5,FALSE)</f>
        <v>1200</v>
      </c>
      <c r="E1251" t="s">
        <v>137</v>
      </c>
      <c r="F1251">
        <f>VLOOKUP(E1251,Sheet2!D:E,2,FALSE)</f>
        <v>1012</v>
      </c>
      <c r="G1251" t="s">
        <v>11</v>
      </c>
      <c r="H1251" t="str">
        <f t="shared" si="38"/>
        <v>NAVERpalap</v>
      </c>
      <c r="I1251" t="str">
        <f>"palap"</f>
        <v>palap</v>
      </c>
      <c r="J1251">
        <v>1600</v>
      </c>
      <c r="K1251" s="1">
        <v>44866</v>
      </c>
      <c r="L1251" t="s">
        <v>138</v>
      </c>
      <c r="M1251">
        <f t="shared" si="39"/>
        <v>1600</v>
      </c>
      <c r="N1251" t="e">
        <f>VLOOKUP(H1251,Sheet1!G:H,2,FALSE)</f>
        <v>#N/A</v>
      </c>
      <c r="R1251" t="s">
        <v>3175</v>
      </c>
      <c r="S1251">
        <v>10310</v>
      </c>
    </row>
    <row r="1252" spans="1:19" x14ac:dyDescent="0.3">
      <c r="A1252" t="s">
        <v>8</v>
      </c>
      <c r="B1252">
        <f>VLOOKUP(A1252,Sheet2!B:F,5,FALSE)</f>
        <v>928</v>
      </c>
      <c r="C1252" t="s">
        <v>13</v>
      </c>
      <c r="D1252">
        <f>VLOOKUP(C1252,Sheet2!C:G,5,FALSE)</f>
        <v>1184</v>
      </c>
      <c r="E1252" t="s">
        <v>102</v>
      </c>
      <c r="F1252">
        <f>VLOOKUP(E1252,Sheet2!D:E,2,FALSE)</f>
        <v>917</v>
      </c>
      <c r="G1252" t="s">
        <v>11</v>
      </c>
      <c r="H1252" t="str">
        <f t="shared" si="38"/>
        <v>NAVERpanky51</v>
      </c>
      <c r="I1252" t="str">
        <f>"panky51"</f>
        <v>panky51</v>
      </c>
      <c r="J1252">
        <v>97730</v>
      </c>
      <c r="K1252" s="1">
        <v>44866</v>
      </c>
      <c r="L1252" t="s">
        <v>1293</v>
      </c>
      <c r="M1252">
        <f t="shared" si="39"/>
        <v>97730</v>
      </c>
      <c r="N1252" t="e">
        <f>VLOOKUP(H1252,Sheet1!G:H,2,FALSE)</f>
        <v>#N/A</v>
      </c>
      <c r="R1252" t="s">
        <v>3176</v>
      </c>
      <c r="S1252">
        <v>6398950</v>
      </c>
    </row>
    <row r="1253" spans="1:19" x14ac:dyDescent="0.3">
      <c r="A1253" t="s">
        <v>16</v>
      </c>
      <c r="B1253">
        <f>VLOOKUP(A1253,Sheet2!B:F,5,FALSE)</f>
        <v>927</v>
      </c>
      <c r="C1253" t="s">
        <v>17</v>
      </c>
      <c r="D1253">
        <f>VLOOKUP(C1253,Sheet2!C:G,5,FALSE)</f>
        <v>1200</v>
      </c>
      <c r="E1253" t="s">
        <v>371</v>
      </c>
      <c r="F1253">
        <f>VLOOKUP(E1253,Sheet2!D:E,2,FALSE)</f>
        <v>551</v>
      </c>
      <c r="G1253" t="s">
        <v>11</v>
      </c>
      <c r="H1253" t="str">
        <f t="shared" si="38"/>
        <v>NAVERparan1237:naver</v>
      </c>
      <c r="I1253" t="str">
        <f>"paran1237:naver"</f>
        <v>paran1237:naver</v>
      </c>
      <c r="J1253">
        <v>405140</v>
      </c>
      <c r="K1253" s="1">
        <v>44866</v>
      </c>
      <c r="L1253" t="s">
        <v>1294</v>
      </c>
      <c r="M1253">
        <f t="shared" si="39"/>
        <v>405140</v>
      </c>
      <c r="N1253" t="e">
        <f>VLOOKUP(H1253,Sheet1!G:H,2,FALSE)</f>
        <v>#N/A</v>
      </c>
      <c r="R1253" t="s">
        <v>3177</v>
      </c>
      <c r="S1253">
        <v>0</v>
      </c>
    </row>
    <row r="1254" spans="1:19" x14ac:dyDescent="0.3">
      <c r="A1254" t="s">
        <v>16</v>
      </c>
      <c r="B1254">
        <f>VLOOKUP(A1254,Sheet2!B:F,5,FALSE)</f>
        <v>927</v>
      </c>
      <c r="C1254" t="s">
        <v>17</v>
      </c>
      <c r="D1254">
        <f>VLOOKUP(C1254,Sheet2!C:G,5,FALSE)</f>
        <v>1200</v>
      </c>
      <c r="E1254" t="s">
        <v>93</v>
      </c>
      <c r="F1254">
        <f>VLOOKUP(E1254,Sheet2!D:E,2,FALSE)</f>
        <v>930</v>
      </c>
      <c r="G1254" t="s">
        <v>11</v>
      </c>
      <c r="H1254" t="str">
        <f t="shared" si="38"/>
        <v>NAVERparkeun1004</v>
      </c>
      <c r="I1254" t="str">
        <f>"parkeun1004"</f>
        <v>parkeun1004</v>
      </c>
      <c r="J1254">
        <v>16602520</v>
      </c>
      <c r="K1254" s="1">
        <v>44866</v>
      </c>
      <c r="L1254" t="s">
        <v>1295</v>
      </c>
      <c r="M1254">
        <f t="shared" si="39"/>
        <v>16609840</v>
      </c>
      <c r="N1254" t="e">
        <f>VLOOKUP(H1254,Sheet1!G:H,2,FALSE)</f>
        <v>#N/A</v>
      </c>
      <c r="R1254" t="s">
        <v>3178</v>
      </c>
      <c r="S1254">
        <v>2293170</v>
      </c>
    </row>
    <row r="1255" spans="1:19" x14ac:dyDescent="0.3">
      <c r="A1255" t="s">
        <v>8</v>
      </c>
      <c r="B1255">
        <f>VLOOKUP(A1255,Sheet2!B:F,5,FALSE)</f>
        <v>928</v>
      </c>
      <c r="C1255" t="s">
        <v>9</v>
      </c>
      <c r="D1255">
        <f>VLOOKUP(C1255,Sheet2!C:G,5,FALSE)</f>
        <v>1202</v>
      </c>
      <c r="E1255" t="s">
        <v>10</v>
      </c>
      <c r="F1255">
        <f>VLOOKUP(E1255,Sheet2!D:E,2,FALSE)</f>
        <v>939</v>
      </c>
      <c r="G1255" t="s">
        <v>11</v>
      </c>
      <c r="H1255" t="str">
        <f t="shared" si="38"/>
        <v>NAVERpartner21</v>
      </c>
      <c r="I1255" t="str">
        <f>"partner21"</f>
        <v>partner21</v>
      </c>
      <c r="J1255">
        <v>288470</v>
      </c>
      <c r="K1255" s="1">
        <v>44866</v>
      </c>
      <c r="L1255" t="s">
        <v>1296</v>
      </c>
      <c r="M1255">
        <f t="shared" si="39"/>
        <v>288470</v>
      </c>
      <c r="N1255" t="e">
        <f>VLOOKUP(H1255,Sheet1!G:H,2,FALSE)</f>
        <v>#N/A</v>
      </c>
      <c r="R1255" t="s">
        <v>3179</v>
      </c>
      <c r="S1255">
        <v>0</v>
      </c>
    </row>
    <row r="1256" spans="1:19" x14ac:dyDescent="0.3">
      <c r="A1256" t="s">
        <v>22</v>
      </c>
      <c r="B1256">
        <f>VLOOKUP(A1256,Sheet2!B:F,5,FALSE)</f>
        <v>809</v>
      </c>
      <c r="C1256" t="s">
        <v>23</v>
      </c>
      <c r="D1256">
        <f>VLOOKUP(C1256,Sheet2!C:G,5,FALSE)</f>
        <v>810</v>
      </c>
      <c r="E1256" t="s">
        <v>106</v>
      </c>
      <c r="F1256">
        <f>VLOOKUP(E1256,Sheet2!D:E,2,FALSE)</f>
        <v>1349</v>
      </c>
      <c r="G1256" t="s">
        <v>11</v>
      </c>
      <c r="H1256" t="str">
        <f t="shared" si="38"/>
        <v>NAVERpartysale0</v>
      </c>
      <c r="I1256" t="str">
        <f>"partysale0"</f>
        <v>partysale0</v>
      </c>
      <c r="J1256">
        <v>1756780</v>
      </c>
      <c r="K1256" s="1">
        <v>44866</v>
      </c>
      <c r="L1256" t="s">
        <v>1297</v>
      </c>
      <c r="M1256">
        <f t="shared" si="39"/>
        <v>1756780</v>
      </c>
      <c r="N1256" t="e">
        <f>VLOOKUP(H1256,Sheet1!G:H,2,FALSE)</f>
        <v>#N/A</v>
      </c>
      <c r="R1256" t="s">
        <v>3180</v>
      </c>
      <c r="S1256">
        <v>726000</v>
      </c>
    </row>
    <row r="1257" spans="1:19" x14ac:dyDescent="0.3">
      <c r="A1257" t="s">
        <v>16</v>
      </c>
      <c r="B1257">
        <f>VLOOKUP(A1257,Sheet2!B:F,5,FALSE)</f>
        <v>927</v>
      </c>
      <c r="C1257" t="s">
        <v>17</v>
      </c>
      <c r="D1257">
        <f>VLOOKUP(C1257,Sheet2!C:G,5,FALSE)</f>
        <v>1200</v>
      </c>
      <c r="E1257" t="s">
        <v>446</v>
      </c>
      <c r="F1257">
        <f>VLOOKUP(E1257,Sheet2!D:E,2,FALSE)</f>
        <v>566</v>
      </c>
      <c r="G1257" t="s">
        <v>11</v>
      </c>
      <c r="H1257" t="str">
        <f t="shared" si="38"/>
        <v>NAVERpbunyun:naver</v>
      </c>
      <c r="I1257" t="str">
        <f>"pbunyun:naver"</f>
        <v>pbunyun:naver</v>
      </c>
      <c r="J1257">
        <v>420</v>
      </c>
      <c r="K1257" s="1">
        <v>44866</v>
      </c>
      <c r="L1257" t="s">
        <v>1298</v>
      </c>
      <c r="M1257">
        <f t="shared" si="39"/>
        <v>420</v>
      </c>
      <c r="N1257" t="e">
        <f>VLOOKUP(H1257,Sheet1!G:H,2,FALSE)</f>
        <v>#N/A</v>
      </c>
      <c r="R1257" t="s">
        <v>3181</v>
      </c>
      <c r="S1257">
        <v>375680</v>
      </c>
    </row>
    <row r="1258" spans="1:19" x14ac:dyDescent="0.3">
      <c r="A1258" t="s">
        <v>22</v>
      </c>
      <c r="B1258">
        <f>VLOOKUP(A1258,Sheet2!B:F,5,FALSE)</f>
        <v>809</v>
      </c>
      <c r="C1258" t="s">
        <v>23</v>
      </c>
      <c r="D1258">
        <f>VLOOKUP(C1258,Sheet2!C:G,5,FALSE)</f>
        <v>810</v>
      </c>
      <c r="E1258" t="s">
        <v>106</v>
      </c>
      <c r="F1258">
        <f>VLOOKUP(E1258,Sheet2!D:E,2,FALSE)</f>
        <v>1349</v>
      </c>
      <c r="G1258" t="s">
        <v>11</v>
      </c>
      <c r="H1258" t="str">
        <f t="shared" si="38"/>
        <v>NAVERpeepershop</v>
      </c>
      <c r="I1258" t="str">
        <f>"peepershop"</f>
        <v>peepershop</v>
      </c>
      <c r="J1258">
        <v>741050</v>
      </c>
      <c r="K1258" s="1">
        <v>44866</v>
      </c>
      <c r="L1258" t="s">
        <v>1299</v>
      </c>
      <c r="M1258">
        <f t="shared" si="39"/>
        <v>743390</v>
      </c>
      <c r="N1258" t="e">
        <f>VLOOKUP(H1258,Sheet1!G:H,2,FALSE)</f>
        <v>#N/A</v>
      </c>
      <c r="R1258" t="s">
        <v>3182</v>
      </c>
      <c r="S1258">
        <v>306680</v>
      </c>
    </row>
    <row r="1259" spans="1:19" x14ac:dyDescent="0.3">
      <c r="A1259" t="s">
        <v>8</v>
      </c>
      <c r="B1259">
        <f>VLOOKUP(A1259,Sheet2!B:F,5,FALSE)</f>
        <v>928</v>
      </c>
      <c r="C1259" t="s">
        <v>9</v>
      </c>
      <c r="D1259">
        <f>VLOOKUP(C1259,Sheet2!C:G,5,FALSE)</f>
        <v>1202</v>
      </c>
      <c r="E1259" t="s">
        <v>31</v>
      </c>
      <c r="F1259">
        <f>VLOOKUP(E1259,Sheet2!D:E,2,FALSE)</f>
        <v>1040</v>
      </c>
      <c r="G1259" t="s">
        <v>11</v>
      </c>
      <c r="H1259" t="str">
        <f t="shared" si="38"/>
        <v>NAVERperrigato_ad</v>
      </c>
      <c r="I1259" t="str">
        <f>"perrigato_ad"</f>
        <v>perrigato_ad</v>
      </c>
      <c r="J1259">
        <v>48790</v>
      </c>
      <c r="K1259" s="1">
        <v>44866</v>
      </c>
      <c r="L1259" t="s">
        <v>228</v>
      </c>
      <c r="M1259">
        <f t="shared" si="39"/>
        <v>50060</v>
      </c>
      <c r="N1259" t="e">
        <f>VLOOKUP(H1259,Sheet1!G:H,2,FALSE)</f>
        <v>#N/A</v>
      </c>
      <c r="R1259" t="s">
        <v>3183</v>
      </c>
      <c r="S1259">
        <v>325000</v>
      </c>
    </row>
    <row r="1260" spans="1:19" x14ac:dyDescent="0.3">
      <c r="A1260" t="s">
        <v>8</v>
      </c>
      <c r="B1260">
        <f>VLOOKUP(A1260,Sheet2!B:F,5,FALSE)</f>
        <v>928</v>
      </c>
      <c r="C1260" t="s">
        <v>9</v>
      </c>
      <c r="D1260">
        <f>VLOOKUP(C1260,Sheet2!C:G,5,FALSE)</f>
        <v>1202</v>
      </c>
      <c r="E1260" t="s">
        <v>33</v>
      </c>
      <c r="F1260">
        <f>VLOOKUP(E1260,Sheet2!D:E,2,FALSE)</f>
        <v>933</v>
      </c>
      <c r="G1260" t="s">
        <v>11</v>
      </c>
      <c r="H1260" t="str">
        <f t="shared" si="38"/>
        <v>NAVERpersontel</v>
      </c>
      <c r="I1260" t="str">
        <f>"persontel"</f>
        <v>persontel</v>
      </c>
      <c r="J1260">
        <v>1696900</v>
      </c>
      <c r="K1260" s="1">
        <v>44866</v>
      </c>
      <c r="L1260" t="s">
        <v>1300</v>
      </c>
      <c r="M1260">
        <f t="shared" si="39"/>
        <v>1696900</v>
      </c>
      <c r="N1260" t="e">
        <f>VLOOKUP(H1260,Sheet1!G:H,2,FALSE)</f>
        <v>#N/A</v>
      </c>
      <c r="R1260" t="s">
        <v>3184</v>
      </c>
      <c r="S1260">
        <v>195580</v>
      </c>
    </row>
    <row r="1261" spans="1:19" x14ac:dyDescent="0.3">
      <c r="A1261" t="s">
        <v>8</v>
      </c>
      <c r="B1261">
        <f>VLOOKUP(A1261,Sheet2!B:F,5,FALSE)</f>
        <v>928</v>
      </c>
      <c r="C1261" t="s">
        <v>13</v>
      </c>
      <c r="D1261">
        <f>VLOOKUP(C1261,Sheet2!C:G,5,FALSE)</f>
        <v>1184</v>
      </c>
      <c r="E1261" t="s">
        <v>115</v>
      </c>
      <c r="F1261">
        <f>VLOOKUP(E1261,Sheet2!D:E,2,FALSE)</f>
        <v>1548</v>
      </c>
      <c r="G1261" t="s">
        <v>11</v>
      </c>
      <c r="H1261" t="str">
        <f t="shared" si="38"/>
        <v>NAVERpetamall:naver</v>
      </c>
      <c r="I1261" t="str">
        <f>"petamall:naver"</f>
        <v>petamall:naver</v>
      </c>
      <c r="J1261">
        <v>41620</v>
      </c>
      <c r="K1261" s="1">
        <v>44866</v>
      </c>
      <c r="L1261" t="s">
        <v>1301</v>
      </c>
      <c r="M1261">
        <f t="shared" si="39"/>
        <v>41620</v>
      </c>
      <c r="N1261" t="e">
        <f>VLOOKUP(H1261,Sheet1!G:H,2,FALSE)</f>
        <v>#N/A</v>
      </c>
      <c r="R1261" t="s">
        <v>3185</v>
      </c>
      <c r="S1261">
        <v>2365160</v>
      </c>
    </row>
    <row r="1262" spans="1:19" x14ac:dyDescent="0.3">
      <c r="A1262" t="s">
        <v>8</v>
      </c>
      <c r="B1262">
        <f>VLOOKUP(A1262,Sheet2!B:F,5,FALSE)</f>
        <v>928</v>
      </c>
      <c r="C1262" t="s">
        <v>13</v>
      </c>
      <c r="D1262">
        <f>VLOOKUP(C1262,Sheet2!C:G,5,FALSE)</f>
        <v>1184</v>
      </c>
      <c r="E1262" t="s">
        <v>102</v>
      </c>
      <c r="F1262">
        <f>VLOOKUP(E1262,Sheet2!D:E,2,FALSE)</f>
        <v>917</v>
      </c>
      <c r="G1262" t="s">
        <v>11</v>
      </c>
      <c r="H1262" t="str">
        <f t="shared" si="38"/>
        <v>NAVERpetpublic1</v>
      </c>
      <c r="I1262" t="str">
        <f>"petpublic1"</f>
        <v>petpublic1</v>
      </c>
      <c r="J1262">
        <v>3470</v>
      </c>
      <c r="K1262" s="1">
        <v>44866</v>
      </c>
      <c r="L1262" t="s">
        <v>1302</v>
      </c>
      <c r="M1262">
        <f t="shared" si="39"/>
        <v>3470</v>
      </c>
      <c r="N1262" t="e">
        <f>VLOOKUP(H1262,Sheet1!G:H,2,FALSE)</f>
        <v>#N/A</v>
      </c>
      <c r="R1262" t="s">
        <v>3186</v>
      </c>
      <c r="S1262">
        <v>169060</v>
      </c>
    </row>
    <row r="1263" spans="1:19" x14ac:dyDescent="0.3">
      <c r="A1263" t="s">
        <v>8</v>
      </c>
      <c r="B1263">
        <f>VLOOKUP(A1263,Sheet2!B:F,5,FALSE)</f>
        <v>928</v>
      </c>
      <c r="C1263" t="s">
        <v>9</v>
      </c>
      <c r="D1263">
        <f>VLOOKUP(C1263,Sheet2!C:G,5,FALSE)</f>
        <v>1202</v>
      </c>
      <c r="E1263" t="s">
        <v>122</v>
      </c>
      <c r="F1263">
        <f>VLOOKUP(E1263,Sheet2!D:E,2,FALSE)</f>
        <v>251</v>
      </c>
      <c r="G1263" t="s">
        <v>11</v>
      </c>
      <c r="H1263" t="str">
        <f t="shared" si="38"/>
        <v>NAVERpgtk22</v>
      </c>
      <c r="I1263" t="str">
        <f>"pgtk22"</f>
        <v>pgtk22</v>
      </c>
      <c r="J1263">
        <v>1075260</v>
      </c>
      <c r="K1263" s="1">
        <v>44866</v>
      </c>
      <c r="L1263" t="s">
        <v>1303</v>
      </c>
      <c r="M1263">
        <f t="shared" si="39"/>
        <v>1075260</v>
      </c>
      <c r="N1263" t="e">
        <f>VLOOKUP(H1263,Sheet1!G:H,2,FALSE)</f>
        <v>#N/A</v>
      </c>
      <c r="R1263" t="s">
        <v>3187</v>
      </c>
      <c r="S1263">
        <v>36616920</v>
      </c>
    </row>
    <row r="1264" spans="1:19" x14ac:dyDescent="0.3">
      <c r="A1264" t="s">
        <v>41</v>
      </c>
      <c r="B1264">
        <f>VLOOKUP(A1264,Sheet2!B:F,5,FALSE)</f>
        <v>926</v>
      </c>
      <c r="C1264" t="s">
        <v>56</v>
      </c>
      <c r="D1264">
        <f>VLOOKUP(C1264,Sheet2!C:G,5,FALSE)</f>
        <v>1207</v>
      </c>
      <c r="E1264" t="s">
        <v>156</v>
      </c>
      <c r="F1264">
        <f>VLOOKUP(E1264,Sheet2!D:E,2,FALSE)</f>
        <v>201103</v>
      </c>
      <c r="G1264" t="s">
        <v>11</v>
      </c>
      <c r="H1264" t="str">
        <f t="shared" si="38"/>
        <v>NAVERphhousekr</v>
      </c>
      <c r="I1264" t="str">
        <f>"phhousekr"</f>
        <v>phhousekr</v>
      </c>
      <c r="J1264">
        <v>180980</v>
      </c>
      <c r="K1264" s="1">
        <v>44866</v>
      </c>
      <c r="L1264" t="s">
        <v>1304</v>
      </c>
      <c r="M1264" t="e">
        <f t="shared" si="39"/>
        <v>#N/A</v>
      </c>
      <c r="N1264" t="e">
        <f>VLOOKUP(H1264,Sheet1!G:H,2,FALSE)</f>
        <v>#N/A</v>
      </c>
      <c r="R1264" t="s">
        <v>3188</v>
      </c>
      <c r="S1264">
        <v>2183510</v>
      </c>
    </row>
    <row r="1265" spans="1:19" x14ac:dyDescent="0.3">
      <c r="A1265" t="s">
        <v>8</v>
      </c>
      <c r="B1265">
        <f>VLOOKUP(A1265,Sheet2!B:F,5,FALSE)</f>
        <v>928</v>
      </c>
      <c r="C1265" t="s">
        <v>9</v>
      </c>
      <c r="D1265">
        <f>VLOOKUP(C1265,Sheet2!C:G,5,FALSE)</f>
        <v>1202</v>
      </c>
      <c r="E1265" t="s">
        <v>73</v>
      </c>
      <c r="F1265">
        <f>VLOOKUP(E1265,Sheet2!D:E,2,FALSE)</f>
        <v>895</v>
      </c>
      <c r="G1265" t="s">
        <v>11</v>
      </c>
      <c r="H1265" t="str">
        <f t="shared" si="38"/>
        <v>NAVERphilsanglifescience:naver</v>
      </c>
      <c r="I1265" t="str">
        <f>"philsanglifescience:naver"</f>
        <v>philsanglifescience:naver</v>
      </c>
      <c r="J1265">
        <v>114560</v>
      </c>
      <c r="K1265" s="1">
        <v>44866</v>
      </c>
      <c r="L1265" t="s">
        <v>1305</v>
      </c>
      <c r="M1265">
        <f t="shared" si="39"/>
        <v>114560</v>
      </c>
      <c r="N1265" t="e">
        <f>VLOOKUP(H1265,Sheet1!G:H,2,FALSE)</f>
        <v>#N/A</v>
      </c>
      <c r="R1265" t="s">
        <v>3189</v>
      </c>
      <c r="S1265">
        <v>1708410</v>
      </c>
    </row>
    <row r="1266" spans="1:19" x14ac:dyDescent="0.3">
      <c r="A1266" t="s">
        <v>8</v>
      </c>
      <c r="B1266">
        <f>VLOOKUP(A1266,Sheet2!B:F,5,FALSE)</f>
        <v>928</v>
      </c>
      <c r="C1266" t="s">
        <v>13</v>
      </c>
      <c r="D1266">
        <f>VLOOKUP(C1266,Sheet2!C:G,5,FALSE)</f>
        <v>1184</v>
      </c>
      <c r="E1266" t="s">
        <v>217</v>
      </c>
      <c r="F1266">
        <f>VLOOKUP(E1266,Sheet2!D:E,2,FALSE)</f>
        <v>201027</v>
      </c>
      <c r="G1266" t="s">
        <v>11</v>
      </c>
      <c r="H1266" t="str">
        <f t="shared" si="38"/>
        <v>NAVERphj7155</v>
      </c>
      <c r="I1266" t="str">
        <f>"phj7155"</f>
        <v>phj7155</v>
      </c>
      <c r="J1266">
        <v>24810</v>
      </c>
      <c r="K1266" s="1">
        <v>44866</v>
      </c>
      <c r="L1266" t="s">
        <v>1306</v>
      </c>
      <c r="M1266">
        <f t="shared" si="39"/>
        <v>24810</v>
      </c>
      <c r="N1266" t="e">
        <f>VLOOKUP(H1266,Sheet1!G:H,2,FALSE)</f>
        <v>#N/A</v>
      </c>
      <c r="R1266" t="s">
        <v>3190</v>
      </c>
      <c r="S1266">
        <v>1237510</v>
      </c>
    </row>
    <row r="1267" spans="1:19" x14ac:dyDescent="0.3">
      <c r="A1267" t="s">
        <v>16</v>
      </c>
      <c r="B1267">
        <f>VLOOKUP(A1267,Sheet2!B:F,5,FALSE)</f>
        <v>927</v>
      </c>
      <c r="C1267" t="s">
        <v>17</v>
      </c>
      <c r="D1267">
        <f>VLOOKUP(C1267,Sheet2!C:G,5,FALSE)</f>
        <v>1200</v>
      </c>
      <c r="E1267" t="s">
        <v>137</v>
      </c>
      <c r="F1267">
        <f>VLOOKUP(E1267,Sheet2!D:E,2,FALSE)</f>
        <v>1012</v>
      </c>
      <c r="G1267" t="s">
        <v>11</v>
      </c>
      <c r="H1267" t="str">
        <f t="shared" si="38"/>
        <v>NAVERphoebe5665</v>
      </c>
      <c r="I1267" t="str">
        <f>"phoebe5665"</f>
        <v>phoebe5665</v>
      </c>
      <c r="J1267">
        <v>370060</v>
      </c>
      <c r="K1267" s="1">
        <v>44866</v>
      </c>
      <c r="L1267" t="s">
        <v>1307</v>
      </c>
      <c r="M1267">
        <f t="shared" si="39"/>
        <v>352970</v>
      </c>
      <c r="N1267" t="e">
        <f>VLOOKUP(H1267,Sheet1!G:H,2,FALSE)</f>
        <v>#N/A</v>
      </c>
      <c r="R1267" t="s">
        <v>3191</v>
      </c>
      <c r="S1267">
        <v>534150</v>
      </c>
    </row>
    <row r="1268" spans="1:19" x14ac:dyDescent="0.3">
      <c r="A1268" t="s">
        <v>8</v>
      </c>
      <c r="B1268">
        <f>VLOOKUP(A1268,Sheet2!B:F,5,FALSE)</f>
        <v>928</v>
      </c>
      <c r="C1268" t="s">
        <v>13</v>
      </c>
      <c r="D1268">
        <f>VLOOKUP(C1268,Sheet2!C:G,5,FALSE)</f>
        <v>1184</v>
      </c>
      <c r="E1268" t="s">
        <v>51</v>
      </c>
      <c r="F1268">
        <f>VLOOKUP(E1268,Sheet2!D:E,2,FALSE)</f>
        <v>1274</v>
      </c>
      <c r="G1268" t="s">
        <v>11</v>
      </c>
      <c r="H1268" t="str">
        <f t="shared" si="38"/>
        <v>NAVERphoenixkb</v>
      </c>
      <c r="I1268" t="str">
        <f>"phoenixkb"</f>
        <v>phoenixkb</v>
      </c>
      <c r="J1268">
        <v>3810</v>
      </c>
      <c r="K1268" s="1">
        <v>44866</v>
      </c>
      <c r="L1268" t="s">
        <v>1308</v>
      </c>
      <c r="M1268">
        <f t="shared" si="39"/>
        <v>3810</v>
      </c>
      <c r="N1268" t="e">
        <f>VLOOKUP(H1268,Sheet1!G:H,2,FALSE)</f>
        <v>#N/A</v>
      </c>
      <c r="R1268" t="s">
        <v>3192</v>
      </c>
      <c r="S1268">
        <v>30796290</v>
      </c>
    </row>
    <row r="1269" spans="1:19" x14ac:dyDescent="0.3">
      <c r="A1269" t="s">
        <v>8</v>
      </c>
      <c r="B1269">
        <f>VLOOKUP(A1269,Sheet2!B:F,5,FALSE)</f>
        <v>928</v>
      </c>
      <c r="C1269" t="s">
        <v>9</v>
      </c>
      <c r="D1269">
        <f>VLOOKUP(C1269,Sheet2!C:G,5,FALSE)</f>
        <v>1202</v>
      </c>
      <c r="E1269" t="s">
        <v>45</v>
      </c>
      <c r="F1269">
        <f>VLOOKUP(E1269,Sheet2!D:E,2,FALSE)</f>
        <v>26</v>
      </c>
      <c r="G1269" t="s">
        <v>11</v>
      </c>
      <c r="H1269" t="str">
        <f t="shared" si="38"/>
        <v>NAVERphotoaum</v>
      </c>
      <c r="I1269" t="str">
        <f>"photoaum"</f>
        <v>photoaum</v>
      </c>
      <c r="J1269">
        <v>6050</v>
      </c>
      <c r="K1269" s="1">
        <v>44866</v>
      </c>
      <c r="L1269" t="s">
        <v>1309</v>
      </c>
      <c r="M1269">
        <f t="shared" si="39"/>
        <v>6050</v>
      </c>
      <c r="N1269" t="e">
        <f>VLOOKUP(H1269,Sheet1!G:H,2,FALSE)</f>
        <v>#N/A</v>
      </c>
      <c r="R1269" t="s">
        <v>3193</v>
      </c>
      <c r="S1269">
        <v>1823440</v>
      </c>
    </row>
    <row r="1270" spans="1:19" x14ac:dyDescent="0.3">
      <c r="A1270" t="s">
        <v>8</v>
      </c>
      <c r="B1270">
        <f>VLOOKUP(A1270,Sheet2!B:F,5,FALSE)</f>
        <v>928</v>
      </c>
      <c r="C1270" t="s">
        <v>9</v>
      </c>
      <c r="D1270">
        <f>VLOOKUP(C1270,Sheet2!C:G,5,FALSE)</f>
        <v>1202</v>
      </c>
      <c r="E1270" t="s">
        <v>39</v>
      </c>
      <c r="F1270">
        <f>VLOOKUP(E1270,Sheet2!D:E,2,FALSE)</f>
        <v>25</v>
      </c>
      <c r="G1270" t="s">
        <v>11</v>
      </c>
      <c r="H1270" t="str">
        <f t="shared" si="38"/>
        <v>NAVERphotong21</v>
      </c>
      <c r="I1270" t="str">
        <f>"photong21"</f>
        <v>photong21</v>
      </c>
      <c r="J1270">
        <v>251570</v>
      </c>
      <c r="K1270" s="1">
        <v>44866</v>
      </c>
      <c r="L1270" t="s">
        <v>1310</v>
      </c>
      <c r="M1270">
        <f t="shared" si="39"/>
        <v>251570</v>
      </c>
      <c r="N1270" t="e">
        <f>VLOOKUP(H1270,Sheet1!G:H,2,FALSE)</f>
        <v>#N/A</v>
      </c>
      <c r="R1270" t="s">
        <v>3194</v>
      </c>
      <c r="S1270">
        <v>1990130</v>
      </c>
    </row>
    <row r="1271" spans="1:19" x14ac:dyDescent="0.3">
      <c r="A1271" t="s">
        <v>22</v>
      </c>
      <c r="B1271">
        <f>VLOOKUP(A1271,Sheet2!B:F,5,FALSE)</f>
        <v>809</v>
      </c>
      <c r="C1271" t="s">
        <v>23</v>
      </c>
      <c r="D1271">
        <f>VLOOKUP(C1271,Sheet2!C:G,5,FALSE)</f>
        <v>810</v>
      </c>
      <c r="E1271" t="s">
        <v>106</v>
      </c>
      <c r="F1271">
        <f>VLOOKUP(E1271,Sheet2!D:E,2,FALSE)</f>
        <v>1349</v>
      </c>
      <c r="G1271" t="s">
        <v>11</v>
      </c>
      <c r="H1271" t="str">
        <f t="shared" si="38"/>
        <v>NAVERpht-posthometown:naver</v>
      </c>
      <c r="I1271" t="str">
        <f>"pht-posthometown:naver"</f>
        <v>pht-posthometown:naver</v>
      </c>
      <c r="J1271">
        <v>266170</v>
      </c>
      <c r="K1271" s="1">
        <v>44866</v>
      </c>
      <c r="L1271" t="s">
        <v>1311</v>
      </c>
      <c r="M1271">
        <f t="shared" si="39"/>
        <v>266170</v>
      </c>
      <c r="N1271" t="e">
        <f>VLOOKUP(H1271,Sheet1!G:H,2,FALSE)</f>
        <v>#N/A</v>
      </c>
      <c r="R1271" t="s">
        <v>3195</v>
      </c>
      <c r="S1271">
        <v>239930</v>
      </c>
    </row>
    <row r="1272" spans="1:19" x14ac:dyDescent="0.3">
      <c r="A1272" t="s">
        <v>16</v>
      </c>
      <c r="B1272">
        <f>VLOOKUP(A1272,Sheet2!B:F,5,FALSE)</f>
        <v>927</v>
      </c>
      <c r="C1272" t="s">
        <v>17</v>
      </c>
      <c r="D1272">
        <f>VLOOKUP(C1272,Sheet2!C:G,5,FALSE)</f>
        <v>1200</v>
      </c>
      <c r="E1272" t="s">
        <v>66</v>
      </c>
      <c r="F1272">
        <f>VLOOKUP(E1272,Sheet2!D:E,2,FALSE)</f>
        <v>33</v>
      </c>
      <c r="G1272" t="s">
        <v>11</v>
      </c>
      <c r="H1272" t="str">
        <f t="shared" si="38"/>
        <v>NAVERphy0929a</v>
      </c>
      <c r="I1272" t="str">
        <f>"phy0929a"</f>
        <v>phy0929a</v>
      </c>
      <c r="J1272">
        <v>276910</v>
      </c>
      <c r="K1272" s="1">
        <v>44866</v>
      </c>
      <c r="L1272" t="s">
        <v>392</v>
      </c>
      <c r="M1272">
        <f t="shared" si="39"/>
        <v>276910</v>
      </c>
      <c r="N1272" t="e">
        <f>VLOOKUP(H1272,Sheet1!G:H,2,FALSE)</f>
        <v>#N/A</v>
      </c>
      <c r="R1272" t="s">
        <v>3196</v>
      </c>
      <c r="S1272">
        <v>3958680</v>
      </c>
    </row>
    <row r="1273" spans="1:19" x14ac:dyDescent="0.3">
      <c r="A1273" t="s">
        <v>8</v>
      </c>
      <c r="B1273">
        <f>VLOOKUP(A1273,Sheet2!B:F,5,FALSE)</f>
        <v>928</v>
      </c>
      <c r="C1273" t="s">
        <v>9</v>
      </c>
      <c r="D1273">
        <f>VLOOKUP(C1273,Sheet2!C:G,5,FALSE)</f>
        <v>1202</v>
      </c>
      <c r="E1273" t="s">
        <v>31</v>
      </c>
      <c r="F1273">
        <f>VLOOKUP(E1273,Sheet2!D:E,2,FALSE)</f>
        <v>1040</v>
      </c>
      <c r="G1273" t="s">
        <v>11</v>
      </c>
      <c r="H1273" t="str">
        <f t="shared" si="38"/>
        <v>NAVERpi2010</v>
      </c>
      <c r="I1273" t="str">
        <f>"pi2010"</f>
        <v>pi2010</v>
      </c>
      <c r="J1273">
        <v>35210</v>
      </c>
      <c r="K1273" s="1">
        <v>44866</v>
      </c>
      <c r="L1273" t="s">
        <v>1312</v>
      </c>
      <c r="M1273">
        <f t="shared" si="39"/>
        <v>35210</v>
      </c>
      <c r="N1273" t="e">
        <f>VLOOKUP(H1273,Sheet1!G:H,2,FALSE)</f>
        <v>#N/A</v>
      </c>
      <c r="R1273" t="s">
        <v>3197</v>
      </c>
      <c r="S1273">
        <v>18268580</v>
      </c>
    </row>
    <row r="1274" spans="1:19" x14ac:dyDescent="0.3">
      <c r="A1274" t="s">
        <v>16</v>
      </c>
      <c r="B1274">
        <f>VLOOKUP(A1274,Sheet2!B:F,5,FALSE)</f>
        <v>927</v>
      </c>
      <c r="C1274" t="s">
        <v>17</v>
      </c>
      <c r="D1274">
        <f>VLOOKUP(C1274,Sheet2!C:G,5,FALSE)</f>
        <v>1200</v>
      </c>
      <c r="E1274" t="s">
        <v>66</v>
      </c>
      <c r="F1274">
        <f>VLOOKUP(E1274,Sheet2!D:E,2,FALSE)</f>
        <v>33</v>
      </c>
      <c r="G1274" t="s">
        <v>11</v>
      </c>
      <c r="H1274" t="str">
        <f t="shared" si="38"/>
        <v>NAVERpia707</v>
      </c>
      <c r="I1274" t="str">
        <f>"pia707"</f>
        <v>pia707</v>
      </c>
      <c r="J1274">
        <v>82520</v>
      </c>
      <c r="K1274" s="1">
        <v>44866</v>
      </c>
      <c r="L1274" t="s">
        <v>1313</v>
      </c>
      <c r="M1274">
        <f t="shared" si="39"/>
        <v>82520</v>
      </c>
      <c r="N1274" t="e">
        <f>VLOOKUP(H1274,Sheet1!G:H,2,FALSE)</f>
        <v>#N/A</v>
      </c>
      <c r="R1274" t="s">
        <v>3198</v>
      </c>
      <c r="S1274">
        <v>416690</v>
      </c>
    </row>
    <row r="1275" spans="1:19" x14ac:dyDescent="0.3">
      <c r="A1275" t="s">
        <v>41</v>
      </c>
      <c r="B1275">
        <f>VLOOKUP(A1275,Sheet2!B:F,5,FALSE)</f>
        <v>926</v>
      </c>
      <c r="C1275" t="s">
        <v>56</v>
      </c>
      <c r="D1275">
        <f>VLOOKUP(C1275,Sheet2!C:G,5,FALSE)</f>
        <v>1207</v>
      </c>
      <c r="E1275" t="s">
        <v>57</v>
      </c>
      <c r="F1275">
        <f>VLOOKUP(E1275,Sheet2!D:E,2,FALSE)</f>
        <v>200982</v>
      </c>
      <c r="G1275" t="s">
        <v>11</v>
      </c>
      <c r="H1275" t="str">
        <f t="shared" si="38"/>
        <v>NAVERpicoson</v>
      </c>
      <c r="I1275" t="str">
        <f>"picoson"</f>
        <v>picoson</v>
      </c>
      <c r="J1275">
        <v>157100</v>
      </c>
      <c r="K1275" s="1">
        <v>44866</v>
      </c>
      <c r="L1275" t="s">
        <v>1314</v>
      </c>
      <c r="M1275">
        <f t="shared" si="39"/>
        <v>157100</v>
      </c>
      <c r="N1275" t="e">
        <f>VLOOKUP(H1275,Sheet1!G:H,2,FALSE)</f>
        <v>#N/A</v>
      </c>
      <c r="R1275" t="s">
        <v>3199</v>
      </c>
      <c r="S1275">
        <v>67251</v>
      </c>
    </row>
    <row r="1276" spans="1:19" x14ac:dyDescent="0.3">
      <c r="A1276" t="s">
        <v>8</v>
      </c>
      <c r="B1276">
        <f>VLOOKUP(A1276,Sheet2!B:F,5,FALSE)</f>
        <v>928</v>
      </c>
      <c r="C1276" t="s">
        <v>13</v>
      </c>
      <c r="D1276">
        <f>VLOOKUP(C1276,Sheet2!C:G,5,FALSE)</f>
        <v>1184</v>
      </c>
      <c r="E1276" t="s">
        <v>14</v>
      </c>
      <c r="F1276">
        <f>VLOOKUP(E1276,Sheet2!D:E,2,FALSE)</f>
        <v>914</v>
      </c>
      <c r="G1276" t="s">
        <v>11</v>
      </c>
      <c r="H1276" t="str">
        <f t="shared" si="38"/>
        <v>NAVERpinfactory</v>
      </c>
      <c r="I1276" t="str">
        <f>"pinfactory"</f>
        <v>pinfactory</v>
      </c>
      <c r="J1276">
        <v>10964470</v>
      </c>
      <c r="K1276" s="1">
        <v>44866</v>
      </c>
      <c r="L1276" t="s">
        <v>1315</v>
      </c>
      <c r="M1276">
        <f t="shared" si="39"/>
        <v>10964470</v>
      </c>
      <c r="N1276" t="e">
        <f>VLOOKUP(H1276,Sheet1!G:H,2,FALSE)</f>
        <v>#N/A</v>
      </c>
      <c r="R1276" t="s">
        <v>3200</v>
      </c>
      <c r="S1276">
        <v>181140</v>
      </c>
    </row>
    <row r="1277" spans="1:19" x14ac:dyDescent="0.3">
      <c r="A1277" t="s">
        <v>8</v>
      </c>
      <c r="B1277">
        <f>VLOOKUP(A1277,Sheet2!B:F,5,FALSE)</f>
        <v>928</v>
      </c>
      <c r="C1277" t="s">
        <v>9</v>
      </c>
      <c r="D1277">
        <f>VLOOKUP(C1277,Sheet2!C:G,5,FALSE)</f>
        <v>1202</v>
      </c>
      <c r="E1277" t="s">
        <v>27</v>
      </c>
      <c r="F1277">
        <f>VLOOKUP(E1277,Sheet2!D:E,2,FALSE)</f>
        <v>806</v>
      </c>
      <c r="G1277" t="s">
        <v>11</v>
      </c>
      <c r="H1277" t="str">
        <f t="shared" si="38"/>
        <v>NAVERpip2015</v>
      </c>
      <c r="I1277" t="str">
        <f>"pip2015"</f>
        <v>pip2015</v>
      </c>
      <c r="J1277">
        <v>2910</v>
      </c>
      <c r="K1277" s="1">
        <v>44866</v>
      </c>
      <c r="L1277" t="s">
        <v>1316</v>
      </c>
      <c r="M1277">
        <f t="shared" si="39"/>
        <v>2910</v>
      </c>
      <c r="N1277" t="e">
        <f>VLOOKUP(H1277,Sheet1!G:H,2,FALSE)</f>
        <v>#N/A</v>
      </c>
      <c r="R1277" t="s">
        <v>3201</v>
      </c>
      <c r="S1277">
        <v>198770</v>
      </c>
    </row>
    <row r="1278" spans="1:19" x14ac:dyDescent="0.3">
      <c r="A1278" t="s">
        <v>8</v>
      </c>
      <c r="B1278">
        <f>VLOOKUP(A1278,Sheet2!B:F,5,FALSE)</f>
        <v>928</v>
      </c>
      <c r="C1278" t="s">
        <v>9</v>
      </c>
      <c r="D1278">
        <f>VLOOKUP(C1278,Sheet2!C:G,5,FALSE)</f>
        <v>1202</v>
      </c>
      <c r="E1278" t="s">
        <v>35</v>
      </c>
      <c r="F1278">
        <f>VLOOKUP(E1278,Sheet2!D:E,2,FALSE)</f>
        <v>51</v>
      </c>
      <c r="G1278" t="s">
        <v>11</v>
      </c>
      <c r="H1278" t="str">
        <f t="shared" si="38"/>
        <v>NAVERpjc8357</v>
      </c>
      <c r="I1278" t="str">
        <f>"pjc8357"</f>
        <v>pjc8357</v>
      </c>
      <c r="J1278">
        <v>81450</v>
      </c>
      <c r="K1278" s="1">
        <v>44866</v>
      </c>
      <c r="L1278" t="s">
        <v>1317</v>
      </c>
      <c r="M1278">
        <f t="shared" si="39"/>
        <v>81450</v>
      </c>
      <c r="N1278" t="e">
        <f>VLOOKUP(H1278,Sheet1!G:H,2,FALSE)</f>
        <v>#N/A</v>
      </c>
      <c r="R1278" t="s">
        <v>3202</v>
      </c>
      <c r="S1278">
        <v>1494460</v>
      </c>
    </row>
    <row r="1279" spans="1:19" x14ac:dyDescent="0.3">
      <c r="A1279" t="s">
        <v>16</v>
      </c>
      <c r="B1279">
        <f>VLOOKUP(A1279,Sheet2!B:F,5,FALSE)</f>
        <v>927</v>
      </c>
      <c r="C1279" t="s">
        <v>17</v>
      </c>
      <c r="D1279">
        <f>VLOOKUP(C1279,Sheet2!C:G,5,FALSE)</f>
        <v>1200</v>
      </c>
      <c r="E1279" t="s">
        <v>244</v>
      </c>
      <c r="F1279">
        <f>VLOOKUP(E1279,Sheet2!D:E,2,FALSE)</f>
        <v>817</v>
      </c>
      <c r="G1279" t="s">
        <v>11</v>
      </c>
      <c r="H1279" t="str">
        <f t="shared" si="38"/>
        <v>NAVERpjy950254:naver</v>
      </c>
      <c r="I1279" t="str">
        <f>"pjy950254:naver"</f>
        <v>pjy950254:naver</v>
      </c>
      <c r="J1279">
        <v>266579</v>
      </c>
      <c r="K1279" s="1">
        <v>44866</v>
      </c>
      <c r="L1279" t="s">
        <v>1318</v>
      </c>
      <c r="M1279">
        <f t="shared" si="39"/>
        <v>270370</v>
      </c>
      <c r="N1279" t="e">
        <f>VLOOKUP(H1279,Sheet1!G:H,2,FALSE)</f>
        <v>#N/A</v>
      </c>
      <c r="R1279" t="s">
        <v>3203</v>
      </c>
      <c r="S1279">
        <v>9670</v>
      </c>
    </row>
    <row r="1280" spans="1:19" x14ac:dyDescent="0.3">
      <c r="A1280" t="s">
        <v>16</v>
      </c>
      <c r="B1280">
        <f>VLOOKUP(A1280,Sheet2!B:F,5,FALSE)</f>
        <v>927</v>
      </c>
      <c r="C1280" t="s">
        <v>17</v>
      </c>
      <c r="D1280">
        <f>VLOOKUP(C1280,Sheet2!C:G,5,FALSE)</f>
        <v>1200</v>
      </c>
      <c r="E1280" t="s">
        <v>96</v>
      </c>
      <c r="F1280">
        <f>VLOOKUP(E1280,Sheet2!D:E,2,FALSE)</f>
        <v>1271</v>
      </c>
      <c r="G1280" t="s">
        <v>11</v>
      </c>
      <c r="H1280" t="str">
        <f t="shared" si="38"/>
        <v>NAVERplanbmood:naver</v>
      </c>
      <c r="I1280" t="str">
        <f>"planbmood:naver"</f>
        <v>planbmood:naver</v>
      </c>
      <c r="J1280">
        <v>270280</v>
      </c>
      <c r="K1280" s="1">
        <v>44866</v>
      </c>
      <c r="L1280" t="s">
        <v>1319</v>
      </c>
      <c r="M1280">
        <f t="shared" si="39"/>
        <v>270280</v>
      </c>
      <c r="N1280" t="e">
        <f>VLOOKUP(H1280,Sheet1!G:H,2,FALSE)</f>
        <v>#N/A</v>
      </c>
      <c r="R1280" t="s">
        <v>3204</v>
      </c>
      <c r="S1280">
        <v>4550</v>
      </c>
    </row>
    <row r="1281" spans="1:19" x14ac:dyDescent="0.3">
      <c r="A1281" t="s">
        <v>16</v>
      </c>
      <c r="B1281">
        <f>VLOOKUP(A1281,Sheet2!B:F,5,FALSE)</f>
        <v>927</v>
      </c>
      <c r="C1281" t="s">
        <v>17</v>
      </c>
      <c r="D1281">
        <f>VLOOKUP(C1281,Sheet2!C:G,5,FALSE)</f>
        <v>1200</v>
      </c>
      <c r="E1281" t="s">
        <v>244</v>
      </c>
      <c r="F1281">
        <f>VLOOKUP(E1281,Sheet2!D:E,2,FALSE)</f>
        <v>817</v>
      </c>
      <c r="G1281" t="s">
        <v>11</v>
      </c>
      <c r="H1281" t="str">
        <f t="shared" si="38"/>
        <v>NAVERplaymom</v>
      </c>
      <c r="I1281" t="str">
        <f>"playmom"</f>
        <v>playmom</v>
      </c>
      <c r="J1281">
        <v>22870</v>
      </c>
      <c r="K1281" s="1">
        <v>44866</v>
      </c>
      <c r="L1281" t="s">
        <v>1320</v>
      </c>
      <c r="M1281">
        <f t="shared" si="39"/>
        <v>22870</v>
      </c>
      <c r="N1281" t="e">
        <f>VLOOKUP(H1281,Sheet1!G:H,2,FALSE)</f>
        <v>#N/A</v>
      </c>
      <c r="R1281" t="s">
        <v>3205</v>
      </c>
      <c r="S1281">
        <v>1128900</v>
      </c>
    </row>
    <row r="1282" spans="1:19" x14ac:dyDescent="0.3">
      <c r="A1282" t="s">
        <v>8</v>
      </c>
      <c r="B1282">
        <f>VLOOKUP(A1282,Sheet2!B:F,5,FALSE)</f>
        <v>928</v>
      </c>
      <c r="C1282" t="s">
        <v>9</v>
      </c>
      <c r="D1282">
        <f>VLOOKUP(C1282,Sheet2!C:G,5,FALSE)</f>
        <v>1202</v>
      </c>
      <c r="E1282" t="s">
        <v>47</v>
      </c>
      <c r="F1282">
        <f>VLOOKUP(E1282,Sheet2!D:E,2,FALSE)</f>
        <v>898</v>
      </c>
      <c r="G1282" t="s">
        <v>11</v>
      </c>
      <c r="H1282" t="str">
        <f t="shared" si="38"/>
        <v>NAVERpmjh57</v>
      </c>
      <c r="I1282" t="str">
        <f>"pmjh57"</f>
        <v>pmjh57</v>
      </c>
      <c r="J1282">
        <v>42020</v>
      </c>
      <c r="K1282" s="1">
        <v>44866</v>
      </c>
      <c r="L1282" t="s">
        <v>1321</v>
      </c>
      <c r="M1282">
        <f t="shared" si="39"/>
        <v>42020</v>
      </c>
      <c r="N1282" t="e">
        <f>VLOOKUP(H1282,Sheet1!G:H,2,FALSE)</f>
        <v>#N/A</v>
      </c>
      <c r="R1282" t="s">
        <v>3206</v>
      </c>
      <c r="S1282">
        <v>19352000</v>
      </c>
    </row>
    <row r="1283" spans="1:19" x14ac:dyDescent="0.3">
      <c r="A1283" t="s">
        <v>8</v>
      </c>
      <c r="B1283">
        <f>VLOOKUP(A1283,Sheet2!B:F,5,FALSE)</f>
        <v>928</v>
      </c>
      <c r="C1283" t="s">
        <v>9</v>
      </c>
      <c r="D1283">
        <f>VLOOKUP(C1283,Sheet2!C:G,5,FALSE)</f>
        <v>1202</v>
      </c>
      <c r="E1283" t="s">
        <v>10</v>
      </c>
      <c r="F1283">
        <f>VLOOKUP(E1283,Sheet2!D:E,2,FALSE)</f>
        <v>939</v>
      </c>
      <c r="G1283" t="s">
        <v>11</v>
      </c>
      <c r="H1283" t="str">
        <f t="shared" ref="H1283:H1346" si="40">CONCATENATE(G1283,I1283)</f>
        <v>NAVERpnbbook</v>
      </c>
      <c r="I1283" t="str">
        <f>"pnbbook"</f>
        <v>pnbbook</v>
      </c>
      <c r="J1283">
        <v>189390</v>
      </c>
      <c r="K1283" s="1">
        <v>44866</v>
      </c>
      <c r="L1283" t="s">
        <v>1322</v>
      </c>
      <c r="M1283">
        <f t="shared" ref="M1283:M1346" si="41">VLOOKUP(H1283,R:S,2,FALSE)</f>
        <v>189390</v>
      </c>
      <c r="N1283" t="e">
        <f>VLOOKUP(H1283,Sheet1!G:H,2,FALSE)</f>
        <v>#N/A</v>
      </c>
      <c r="R1283" t="s">
        <v>3207</v>
      </c>
      <c r="S1283">
        <v>4704670</v>
      </c>
    </row>
    <row r="1284" spans="1:19" x14ac:dyDescent="0.3">
      <c r="A1284" t="s">
        <v>41</v>
      </c>
      <c r="B1284">
        <f>VLOOKUP(A1284,Sheet2!B:F,5,FALSE)</f>
        <v>926</v>
      </c>
      <c r="C1284" t="s">
        <v>56</v>
      </c>
      <c r="D1284">
        <f>VLOOKUP(C1284,Sheet2!C:G,5,FALSE)</f>
        <v>1207</v>
      </c>
      <c r="E1284" t="s">
        <v>253</v>
      </c>
      <c r="F1284">
        <f>VLOOKUP(E1284,Sheet2!D:E,2,FALSE)</f>
        <v>1328</v>
      </c>
      <c r="G1284" t="s">
        <v>11</v>
      </c>
      <c r="H1284" t="str">
        <f t="shared" si="40"/>
        <v>NAVERpnfwithpf:naver</v>
      </c>
      <c r="I1284" t="str">
        <f>"pnfwithpf:naver"</f>
        <v>pnfwithpf:naver</v>
      </c>
      <c r="J1284">
        <v>158850</v>
      </c>
      <c r="K1284" s="1">
        <v>44866</v>
      </c>
      <c r="L1284" t="s">
        <v>1323</v>
      </c>
      <c r="M1284">
        <f t="shared" si="41"/>
        <v>249630</v>
      </c>
      <c r="N1284" t="e">
        <f>VLOOKUP(H1284,Sheet1!G:H,2,FALSE)</f>
        <v>#N/A</v>
      </c>
      <c r="R1284" t="s">
        <v>3208</v>
      </c>
      <c r="S1284">
        <v>776070</v>
      </c>
    </row>
    <row r="1285" spans="1:19" x14ac:dyDescent="0.3">
      <c r="A1285" t="s">
        <v>41</v>
      </c>
      <c r="B1285">
        <f>VLOOKUP(A1285,Sheet2!B:F,5,FALSE)</f>
        <v>926</v>
      </c>
      <c r="C1285" t="s">
        <v>56</v>
      </c>
      <c r="D1285">
        <f>VLOOKUP(C1285,Sheet2!C:G,5,FALSE)</f>
        <v>1207</v>
      </c>
      <c r="E1285" t="s">
        <v>62</v>
      </c>
      <c r="F1285">
        <f>VLOOKUP(E1285,Sheet2!D:E,2,FALSE)</f>
        <v>201037</v>
      </c>
      <c r="G1285" t="s">
        <v>11</v>
      </c>
      <c r="H1285" t="str">
        <f t="shared" si="40"/>
        <v>NAVERpointproduct:naver</v>
      </c>
      <c r="I1285" t="str">
        <f>"pointproduct:naver"</f>
        <v>pointproduct:naver</v>
      </c>
      <c r="J1285">
        <v>1038770</v>
      </c>
      <c r="K1285" s="1">
        <v>44866</v>
      </c>
      <c r="L1285" t="s">
        <v>1324</v>
      </c>
      <c r="M1285">
        <f t="shared" si="41"/>
        <v>1456500</v>
      </c>
      <c r="N1285" t="e">
        <f>VLOOKUP(H1285,Sheet1!G:H,2,FALSE)</f>
        <v>#N/A</v>
      </c>
      <c r="R1285" t="s">
        <v>3209</v>
      </c>
      <c r="S1285">
        <v>410650</v>
      </c>
    </row>
    <row r="1286" spans="1:19" x14ac:dyDescent="0.3">
      <c r="A1286" t="s">
        <v>176</v>
      </c>
      <c r="B1286">
        <f>VLOOKUP(A1286,Sheet2!B:F,5,FALSE)</f>
        <v>1204</v>
      </c>
      <c r="C1286" t="s">
        <v>177</v>
      </c>
      <c r="D1286">
        <f>VLOOKUP(C1286,Sheet2!C:G,5,FALSE)</f>
        <v>1205</v>
      </c>
      <c r="E1286" t="s">
        <v>178</v>
      </c>
      <c r="F1286">
        <f>VLOOKUP(E1286,Sheet2!D:E,2,FALSE)</f>
        <v>201073</v>
      </c>
      <c r="G1286" t="s">
        <v>11</v>
      </c>
      <c r="H1286" t="str">
        <f t="shared" si="40"/>
        <v>NAVERpolostar210</v>
      </c>
      <c r="I1286" t="str">
        <f>"polostar210"</f>
        <v>polostar210</v>
      </c>
      <c r="J1286">
        <v>99230</v>
      </c>
      <c r="K1286" s="1">
        <v>44866</v>
      </c>
      <c r="L1286" t="s">
        <v>1325</v>
      </c>
      <c r="M1286">
        <f t="shared" si="41"/>
        <v>99230</v>
      </c>
      <c r="N1286" t="e">
        <f>VLOOKUP(H1286,Sheet1!G:H,2,FALSE)</f>
        <v>#N/A</v>
      </c>
      <c r="R1286" t="s">
        <v>3210</v>
      </c>
      <c r="S1286">
        <v>19631810</v>
      </c>
    </row>
    <row r="1287" spans="1:19" x14ac:dyDescent="0.3">
      <c r="A1287" t="s">
        <v>8</v>
      </c>
      <c r="B1287">
        <f>VLOOKUP(A1287,Sheet2!B:F,5,FALSE)</f>
        <v>928</v>
      </c>
      <c r="C1287" t="s">
        <v>13</v>
      </c>
      <c r="D1287">
        <f>VLOOKUP(C1287,Sheet2!C:G,5,FALSE)</f>
        <v>1184</v>
      </c>
      <c r="E1287" t="s">
        <v>51</v>
      </c>
      <c r="F1287">
        <f>VLOOKUP(E1287,Sheet2!D:E,2,FALSE)</f>
        <v>1274</v>
      </c>
      <c r="G1287" t="s">
        <v>11</v>
      </c>
      <c r="H1287" t="str">
        <f t="shared" si="40"/>
        <v>NAVERpoong7000</v>
      </c>
      <c r="I1287" t="str">
        <f>"poong7000"</f>
        <v>poong7000</v>
      </c>
      <c r="J1287">
        <v>1330</v>
      </c>
      <c r="K1287" s="1">
        <v>44866</v>
      </c>
      <c r="L1287" t="s">
        <v>1326</v>
      </c>
      <c r="M1287">
        <f t="shared" si="41"/>
        <v>1330</v>
      </c>
      <c r="N1287" t="e">
        <f>VLOOKUP(H1287,Sheet1!G:H,2,FALSE)</f>
        <v>#N/A</v>
      </c>
      <c r="R1287" t="s">
        <v>3211</v>
      </c>
      <c r="S1287">
        <v>129220</v>
      </c>
    </row>
    <row r="1288" spans="1:19" x14ac:dyDescent="0.3">
      <c r="A1288" t="s">
        <v>8</v>
      </c>
      <c r="B1288">
        <f>VLOOKUP(A1288,Sheet2!B:F,5,FALSE)</f>
        <v>928</v>
      </c>
      <c r="C1288" t="s">
        <v>9</v>
      </c>
      <c r="D1288">
        <f>VLOOKUP(C1288,Sheet2!C:G,5,FALSE)</f>
        <v>1202</v>
      </c>
      <c r="E1288" t="s">
        <v>122</v>
      </c>
      <c r="F1288">
        <f>VLOOKUP(E1288,Sheet2!D:E,2,FALSE)</f>
        <v>251</v>
      </c>
      <c r="G1288" t="s">
        <v>11</v>
      </c>
      <c r="H1288" t="str">
        <f t="shared" si="40"/>
        <v>NAVERpopo151151:naver</v>
      </c>
      <c r="I1288" t="str">
        <f>"popo151151:naver"</f>
        <v>popo151151:naver</v>
      </c>
      <c r="J1288">
        <v>22030</v>
      </c>
      <c r="K1288" s="1">
        <v>44866</v>
      </c>
      <c r="L1288" t="s">
        <v>1327</v>
      </c>
      <c r="M1288">
        <f t="shared" si="41"/>
        <v>22030</v>
      </c>
      <c r="N1288" t="e">
        <f>VLOOKUP(H1288,Sheet1!G:H,2,FALSE)</f>
        <v>#N/A</v>
      </c>
      <c r="R1288" t="s">
        <v>3212</v>
      </c>
      <c r="S1288">
        <v>222100</v>
      </c>
    </row>
    <row r="1289" spans="1:19" x14ac:dyDescent="0.3">
      <c r="A1289" t="s">
        <v>16</v>
      </c>
      <c r="B1289">
        <f>VLOOKUP(A1289,Sheet2!B:F,5,FALSE)</f>
        <v>927</v>
      </c>
      <c r="C1289" t="s">
        <v>17</v>
      </c>
      <c r="D1289">
        <f>VLOOKUP(C1289,Sheet2!C:G,5,FALSE)</f>
        <v>1200</v>
      </c>
      <c r="E1289" t="s">
        <v>53</v>
      </c>
      <c r="F1289">
        <f>VLOOKUP(E1289,Sheet2!D:E,2,FALSE)</f>
        <v>201080</v>
      </c>
      <c r="G1289" t="s">
        <v>11</v>
      </c>
      <c r="H1289" t="str">
        <f t="shared" si="40"/>
        <v>NAVERpopomario:naver</v>
      </c>
      <c r="I1289" t="str">
        <f>"popomario:naver"</f>
        <v>popomario:naver</v>
      </c>
      <c r="J1289">
        <v>135520</v>
      </c>
      <c r="K1289" s="1">
        <v>44866</v>
      </c>
      <c r="L1289" t="s">
        <v>1328</v>
      </c>
      <c r="M1289">
        <f t="shared" si="41"/>
        <v>135520</v>
      </c>
      <c r="N1289" t="e">
        <f>VLOOKUP(H1289,Sheet1!G:H,2,FALSE)</f>
        <v>#N/A</v>
      </c>
      <c r="R1289" t="s">
        <v>3213</v>
      </c>
      <c r="S1289">
        <v>86620</v>
      </c>
    </row>
    <row r="1290" spans="1:19" x14ac:dyDescent="0.3">
      <c r="A1290" t="s">
        <v>8</v>
      </c>
      <c r="B1290">
        <f>VLOOKUP(A1290,Sheet2!B:F,5,FALSE)</f>
        <v>928</v>
      </c>
      <c r="C1290" t="s">
        <v>9</v>
      </c>
      <c r="D1290">
        <f>VLOOKUP(C1290,Sheet2!C:G,5,FALSE)</f>
        <v>1202</v>
      </c>
      <c r="E1290" t="s">
        <v>75</v>
      </c>
      <c r="F1290">
        <f>VLOOKUP(E1290,Sheet2!D:E,2,FALSE)</f>
        <v>50</v>
      </c>
      <c r="G1290" t="s">
        <v>11</v>
      </c>
      <c r="H1290" t="str">
        <f t="shared" si="40"/>
        <v>NAVERporti0701</v>
      </c>
      <c r="I1290" t="str">
        <f>"porti0701"</f>
        <v>porti0701</v>
      </c>
      <c r="J1290">
        <v>9877990</v>
      </c>
      <c r="K1290" s="1">
        <v>44866</v>
      </c>
      <c r="L1290" t="s">
        <v>1329</v>
      </c>
      <c r="M1290">
        <f t="shared" si="41"/>
        <v>4395250</v>
      </c>
      <c r="N1290" t="e">
        <f>VLOOKUP(H1290,Sheet1!G:H,2,FALSE)</f>
        <v>#N/A</v>
      </c>
      <c r="R1290" t="s">
        <v>3214</v>
      </c>
      <c r="S1290">
        <v>1746130</v>
      </c>
    </row>
    <row r="1291" spans="1:19" x14ac:dyDescent="0.3">
      <c r="A1291" t="s">
        <v>8</v>
      </c>
      <c r="B1291">
        <f>VLOOKUP(A1291,Sheet2!B:F,5,FALSE)</f>
        <v>928</v>
      </c>
      <c r="C1291" t="s">
        <v>9</v>
      </c>
      <c r="D1291">
        <f>VLOOKUP(C1291,Sheet2!C:G,5,FALSE)</f>
        <v>1202</v>
      </c>
      <c r="E1291" t="s">
        <v>75</v>
      </c>
      <c r="F1291">
        <f>VLOOKUP(E1291,Sheet2!D:E,2,FALSE)</f>
        <v>50</v>
      </c>
      <c r="G1291" t="s">
        <v>11</v>
      </c>
      <c r="H1291" t="str">
        <f t="shared" si="40"/>
        <v>NAVERporti0702</v>
      </c>
      <c r="I1291" t="str">
        <f>"porti0702"</f>
        <v>porti0702</v>
      </c>
      <c r="J1291">
        <v>2043420</v>
      </c>
      <c r="K1291" s="1">
        <v>44866</v>
      </c>
      <c r="L1291" t="s">
        <v>1329</v>
      </c>
      <c r="M1291">
        <f t="shared" si="41"/>
        <v>2043420</v>
      </c>
      <c r="N1291" t="e">
        <f>VLOOKUP(H1291,Sheet1!G:H,2,FALSE)</f>
        <v>#N/A</v>
      </c>
      <c r="R1291" t="s">
        <v>3215</v>
      </c>
      <c r="S1291">
        <v>194150</v>
      </c>
    </row>
    <row r="1292" spans="1:19" x14ac:dyDescent="0.3">
      <c r="A1292" t="s">
        <v>8</v>
      </c>
      <c r="B1292">
        <f>VLOOKUP(A1292,Sheet2!B:F,5,FALSE)</f>
        <v>928</v>
      </c>
      <c r="C1292" t="s">
        <v>9</v>
      </c>
      <c r="D1292">
        <f>VLOOKUP(C1292,Sheet2!C:G,5,FALSE)</f>
        <v>1202</v>
      </c>
      <c r="E1292" t="s">
        <v>75</v>
      </c>
      <c r="F1292">
        <f>VLOOKUP(E1292,Sheet2!D:E,2,FALSE)</f>
        <v>50</v>
      </c>
      <c r="G1292" t="s">
        <v>11</v>
      </c>
      <c r="H1292" t="str">
        <f t="shared" si="40"/>
        <v>NAVERportibujeok</v>
      </c>
      <c r="I1292" t="str">
        <f>"portibujeok"</f>
        <v>portibujeok</v>
      </c>
      <c r="J1292">
        <v>393190</v>
      </c>
      <c r="K1292" s="1">
        <v>44866</v>
      </c>
      <c r="L1292" t="s">
        <v>1329</v>
      </c>
      <c r="M1292">
        <f t="shared" si="41"/>
        <v>393190</v>
      </c>
      <c r="N1292" t="e">
        <f>VLOOKUP(H1292,Sheet1!G:H,2,FALSE)</f>
        <v>#N/A</v>
      </c>
      <c r="R1292" t="s">
        <v>3216</v>
      </c>
      <c r="S1292">
        <v>83990</v>
      </c>
    </row>
    <row r="1293" spans="1:19" x14ac:dyDescent="0.3">
      <c r="A1293" t="s">
        <v>8</v>
      </c>
      <c r="B1293">
        <f>VLOOKUP(A1293,Sheet2!B:F,5,FALSE)</f>
        <v>928</v>
      </c>
      <c r="C1293" t="s">
        <v>9</v>
      </c>
      <c r="D1293">
        <f>VLOOKUP(C1293,Sheet2!C:G,5,FALSE)</f>
        <v>1202</v>
      </c>
      <c r="E1293" t="s">
        <v>75</v>
      </c>
      <c r="F1293">
        <f>VLOOKUP(E1293,Sheet2!D:E,2,FALSE)</f>
        <v>50</v>
      </c>
      <c r="G1293" t="s">
        <v>11</v>
      </c>
      <c r="H1293" t="str">
        <f t="shared" si="40"/>
        <v>NAVERportigold</v>
      </c>
      <c r="I1293" t="str">
        <f>"portigold"</f>
        <v>portigold</v>
      </c>
      <c r="J1293">
        <v>664130</v>
      </c>
      <c r="K1293" s="1">
        <v>44866</v>
      </c>
      <c r="L1293" t="s">
        <v>1329</v>
      </c>
      <c r="M1293">
        <f t="shared" si="41"/>
        <v>664130</v>
      </c>
      <c r="N1293" t="e">
        <f>VLOOKUP(H1293,Sheet1!G:H,2,FALSE)</f>
        <v>#N/A</v>
      </c>
      <c r="R1293" t="s">
        <v>3217</v>
      </c>
      <c r="S1293">
        <v>25230</v>
      </c>
    </row>
    <row r="1294" spans="1:19" x14ac:dyDescent="0.3">
      <c r="A1294" t="s">
        <v>8</v>
      </c>
      <c r="B1294">
        <f>VLOOKUP(A1294,Sheet2!B:F,5,FALSE)</f>
        <v>928</v>
      </c>
      <c r="C1294" t="s">
        <v>9</v>
      </c>
      <c r="D1294">
        <f>VLOOKUP(C1294,Sheet2!C:G,5,FALSE)</f>
        <v>1202</v>
      </c>
      <c r="E1294" t="s">
        <v>75</v>
      </c>
      <c r="F1294">
        <f>VLOOKUP(E1294,Sheet2!D:E,2,FALSE)</f>
        <v>50</v>
      </c>
      <c r="G1294" t="s">
        <v>11</v>
      </c>
      <c r="H1294" t="str">
        <f t="shared" si="40"/>
        <v>NAVERportisilver</v>
      </c>
      <c r="I1294" t="str">
        <f>"portisilver"</f>
        <v>portisilver</v>
      </c>
      <c r="J1294">
        <v>2031200</v>
      </c>
      <c r="K1294" s="1">
        <v>44866</v>
      </c>
      <c r="L1294" t="s">
        <v>1329</v>
      </c>
      <c r="M1294">
        <f t="shared" si="41"/>
        <v>2031200</v>
      </c>
      <c r="N1294" t="e">
        <f>VLOOKUP(H1294,Sheet1!G:H,2,FALSE)</f>
        <v>#N/A</v>
      </c>
      <c r="R1294" t="s">
        <v>3218</v>
      </c>
      <c r="S1294">
        <v>700</v>
      </c>
    </row>
    <row r="1295" spans="1:19" x14ac:dyDescent="0.3">
      <c r="A1295" t="s">
        <v>16</v>
      </c>
      <c r="B1295">
        <f>VLOOKUP(A1295,Sheet2!B:F,5,FALSE)</f>
        <v>927</v>
      </c>
      <c r="C1295" t="s">
        <v>17</v>
      </c>
      <c r="D1295">
        <f>VLOOKUP(C1295,Sheet2!C:G,5,FALSE)</f>
        <v>1200</v>
      </c>
      <c r="E1295" t="s">
        <v>290</v>
      </c>
      <c r="F1295">
        <f>VLOOKUP(E1295,Sheet2!D:E,2,FALSE)</f>
        <v>556</v>
      </c>
      <c r="G1295" t="s">
        <v>11</v>
      </c>
      <c r="H1295" t="str">
        <f t="shared" si="40"/>
        <v>NAVERposcom0695</v>
      </c>
      <c r="I1295" t="str">
        <f>"poscom0695"</f>
        <v>poscom0695</v>
      </c>
      <c r="J1295">
        <v>117710</v>
      </c>
      <c r="K1295" s="1">
        <v>44866</v>
      </c>
      <c r="L1295" t="s">
        <v>1330</v>
      </c>
      <c r="M1295">
        <f t="shared" si="41"/>
        <v>117710</v>
      </c>
      <c r="N1295" t="e">
        <f>VLOOKUP(H1295,Sheet1!G:H,2,FALSE)</f>
        <v>#N/A</v>
      </c>
      <c r="R1295" t="s">
        <v>3219</v>
      </c>
      <c r="S1295">
        <v>3144730</v>
      </c>
    </row>
    <row r="1296" spans="1:19" x14ac:dyDescent="0.3">
      <c r="A1296" t="s">
        <v>8</v>
      </c>
      <c r="B1296">
        <f>VLOOKUP(A1296,Sheet2!B:F,5,FALSE)</f>
        <v>928</v>
      </c>
      <c r="C1296" t="s">
        <v>9</v>
      </c>
      <c r="D1296">
        <f>VLOOKUP(C1296,Sheet2!C:G,5,FALSE)</f>
        <v>1202</v>
      </c>
      <c r="E1296" t="s">
        <v>37</v>
      </c>
      <c r="F1296">
        <f>VLOOKUP(E1296,Sheet2!D:E,2,FALSE)</f>
        <v>81</v>
      </c>
      <c r="G1296" t="s">
        <v>11</v>
      </c>
      <c r="H1296" t="str">
        <f t="shared" si="40"/>
        <v>NAVERposheet2</v>
      </c>
      <c r="I1296" t="str">
        <f>"posheet2"</f>
        <v>posheet2</v>
      </c>
      <c r="J1296">
        <v>126400</v>
      </c>
      <c r="K1296" s="1">
        <v>44866</v>
      </c>
      <c r="L1296" t="s">
        <v>1331</v>
      </c>
      <c r="M1296">
        <f t="shared" si="41"/>
        <v>126400</v>
      </c>
      <c r="N1296" t="e">
        <f>VLOOKUP(H1296,Sheet1!G:H,2,FALSE)</f>
        <v>#N/A</v>
      </c>
      <c r="R1296" t="s">
        <v>3220</v>
      </c>
      <c r="S1296">
        <v>8720</v>
      </c>
    </row>
    <row r="1297" spans="1:19" x14ac:dyDescent="0.3">
      <c r="A1297" t="s">
        <v>8</v>
      </c>
      <c r="B1297">
        <f>VLOOKUP(A1297,Sheet2!B:F,5,FALSE)</f>
        <v>928</v>
      </c>
      <c r="C1297" t="s">
        <v>13</v>
      </c>
      <c r="D1297">
        <f>VLOOKUP(C1297,Sheet2!C:G,5,FALSE)</f>
        <v>1184</v>
      </c>
      <c r="E1297" t="s">
        <v>59</v>
      </c>
      <c r="F1297">
        <f>VLOOKUP(E1297,Sheet2!D:E,2,FALSE)</f>
        <v>9</v>
      </c>
      <c r="G1297" t="s">
        <v>11</v>
      </c>
      <c r="H1297" t="str">
        <f t="shared" si="40"/>
        <v>NAVERpowercord</v>
      </c>
      <c r="I1297" t="str">
        <f>"powercord"</f>
        <v>powercord</v>
      </c>
      <c r="J1297">
        <v>11240</v>
      </c>
      <c r="K1297" s="1">
        <v>44866</v>
      </c>
      <c r="L1297" t="s">
        <v>1332</v>
      </c>
      <c r="M1297">
        <f t="shared" si="41"/>
        <v>11240</v>
      </c>
      <c r="N1297" t="e">
        <f>VLOOKUP(H1297,Sheet1!G:H,2,FALSE)</f>
        <v>#N/A</v>
      </c>
      <c r="R1297" t="s">
        <v>3221</v>
      </c>
      <c r="S1297">
        <v>42050</v>
      </c>
    </row>
    <row r="1298" spans="1:19" x14ac:dyDescent="0.3">
      <c r="A1298" t="s">
        <v>8</v>
      </c>
      <c r="B1298">
        <f>VLOOKUP(A1298,Sheet2!B:F,5,FALSE)</f>
        <v>928</v>
      </c>
      <c r="C1298" t="s">
        <v>13</v>
      </c>
      <c r="D1298">
        <f>VLOOKUP(C1298,Sheet2!C:G,5,FALSE)</f>
        <v>1184</v>
      </c>
      <c r="E1298" t="s">
        <v>14</v>
      </c>
      <c r="F1298">
        <f>VLOOKUP(E1298,Sheet2!D:E,2,FALSE)</f>
        <v>914</v>
      </c>
      <c r="G1298" t="s">
        <v>11</v>
      </c>
      <c r="H1298" t="str">
        <f t="shared" si="40"/>
        <v>NAVERpoweroaky</v>
      </c>
      <c r="I1298" t="str">
        <f>"poweroaky"</f>
        <v>poweroaky</v>
      </c>
      <c r="J1298">
        <v>172560</v>
      </c>
      <c r="K1298" s="1">
        <v>44866</v>
      </c>
      <c r="L1298" t="s">
        <v>1333</v>
      </c>
      <c r="M1298">
        <f t="shared" si="41"/>
        <v>172560</v>
      </c>
      <c r="N1298" t="e">
        <f>VLOOKUP(H1298,Sheet1!G:H,2,FALSE)</f>
        <v>#N/A</v>
      </c>
      <c r="R1298" t="s">
        <v>3222</v>
      </c>
      <c r="S1298">
        <v>539550</v>
      </c>
    </row>
    <row r="1299" spans="1:19" x14ac:dyDescent="0.3">
      <c r="A1299" t="s">
        <v>176</v>
      </c>
      <c r="B1299">
        <f>VLOOKUP(A1299,Sheet2!B:F,5,FALSE)</f>
        <v>1204</v>
      </c>
      <c r="C1299" t="s">
        <v>177</v>
      </c>
      <c r="D1299">
        <f>VLOOKUP(C1299,Sheet2!C:G,5,FALSE)</f>
        <v>1205</v>
      </c>
      <c r="E1299" t="s">
        <v>1334</v>
      </c>
      <c r="F1299">
        <f>VLOOKUP(E1299,Sheet2!D:E,2,FALSE)</f>
        <v>201109</v>
      </c>
      <c r="G1299" t="s">
        <v>11</v>
      </c>
      <c r="H1299" t="str">
        <f t="shared" si="40"/>
        <v>NAVERpozalabs:naver</v>
      </c>
      <c r="I1299" t="str">
        <f>"pozalabs:naver"</f>
        <v>pozalabs:naver</v>
      </c>
      <c r="J1299">
        <v>785051</v>
      </c>
      <c r="K1299" s="1">
        <v>44866</v>
      </c>
      <c r="L1299" t="s">
        <v>1335</v>
      </c>
      <c r="M1299">
        <f t="shared" si="41"/>
        <v>768490</v>
      </c>
      <c r="N1299" t="e">
        <f>VLOOKUP(H1299,Sheet1!G:H,2,FALSE)</f>
        <v>#N/A</v>
      </c>
      <c r="R1299" t="s">
        <v>3223</v>
      </c>
      <c r="S1299">
        <v>13590880</v>
      </c>
    </row>
    <row r="1300" spans="1:19" x14ac:dyDescent="0.3">
      <c r="A1300" t="s">
        <v>41</v>
      </c>
      <c r="B1300">
        <f>VLOOKUP(A1300,Sheet2!B:F,5,FALSE)</f>
        <v>926</v>
      </c>
      <c r="C1300" t="s">
        <v>42</v>
      </c>
      <c r="D1300">
        <f>VLOOKUP(C1300,Sheet2!C:G,5,FALSE)</f>
        <v>964</v>
      </c>
      <c r="E1300" t="s">
        <v>43</v>
      </c>
      <c r="F1300">
        <f>VLOOKUP(E1300,Sheet2!D:E,2,FALSE)</f>
        <v>200998</v>
      </c>
      <c r="G1300" t="s">
        <v>11</v>
      </c>
      <c r="H1300" t="str">
        <f t="shared" si="40"/>
        <v>NAVERppuri</v>
      </c>
      <c r="I1300" t="str">
        <f>"ppuri"</f>
        <v>ppuri</v>
      </c>
      <c r="J1300">
        <v>77770</v>
      </c>
      <c r="K1300" s="1">
        <v>44866</v>
      </c>
      <c r="L1300" t="s">
        <v>1336</v>
      </c>
      <c r="M1300">
        <f t="shared" si="41"/>
        <v>77770</v>
      </c>
      <c r="N1300" t="e">
        <f>VLOOKUP(H1300,Sheet1!G:H,2,FALSE)</f>
        <v>#N/A</v>
      </c>
      <c r="R1300" t="s">
        <v>3224</v>
      </c>
      <c r="S1300">
        <v>440990</v>
      </c>
    </row>
    <row r="1301" spans="1:19" x14ac:dyDescent="0.3">
      <c r="A1301" t="s">
        <v>41</v>
      </c>
      <c r="B1301">
        <f>VLOOKUP(A1301,Sheet2!B:F,5,FALSE)</f>
        <v>926</v>
      </c>
      <c r="C1301" t="s">
        <v>56</v>
      </c>
      <c r="D1301">
        <f>VLOOKUP(C1301,Sheet2!C:G,5,FALSE)</f>
        <v>1207</v>
      </c>
      <c r="E1301" t="s">
        <v>57</v>
      </c>
      <c r="F1301">
        <f>VLOOKUP(E1301,Sheet2!D:E,2,FALSE)</f>
        <v>200982</v>
      </c>
      <c r="G1301" t="s">
        <v>11</v>
      </c>
      <c r="H1301" t="str">
        <f t="shared" si="40"/>
        <v>NAVERpronw</v>
      </c>
      <c r="I1301" t="str">
        <f>"pronw"</f>
        <v>pronw</v>
      </c>
      <c r="J1301">
        <v>40160</v>
      </c>
      <c r="K1301" s="1">
        <v>44866</v>
      </c>
      <c r="L1301" t="s">
        <v>1337</v>
      </c>
      <c r="M1301">
        <f t="shared" si="41"/>
        <v>40160</v>
      </c>
      <c r="N1301" t="e">
        <f>VLOOKUP(H1301,Sheet1!G:H,2,FALSE)</f>
        <v>#N/A</v>
      </c>
      <c r="R1301" t="s">
        <v>3225</v>
      </c>
      <c r="S1301">
        <v>108920</v>
      </c>
    </row>
    <row r="1302" spans="1:19" x14ac:dyDescent="0.3">
      <c r="A1302" t="s">
        <v>8</v>
      </c>
      <c r="B1302">
        <f>VLOOKUP(A1302,Sheet2!B:F,5,FALSE)</f>
        <v>928</v>
      </c>
      <c r="C1302" t="s">
        <v>13</v>
      </c>
      <c r="D1302">
        <f>VLOOKUP(C1302,Sheet2!C:G,5,FALSE)</f>
        <v>1184</v>
      </c>
      <c r="E1302" t="s">
        <v>335</v>
      </c>
      <c r="F1302">
        <f>VLOOKUP(E1302,Sheet2!D:E,2,FALSE)</f>
        <v>201090</v>
      </c>
      <c r="G1302" t="s">
        <v>11</v>
      </c>
      <c r="H1302" t="str">
        <f t="shared" si="40"/>
        <v>NAVERps3355</v>
      </c>
      <c r="I1302" t="str">
        <f>"ps3355"</f>
        <v>ps3355</v>
      </c>
      <c r="J1302">
        <v>344000</v>
      </c>
      <c r="K1302" s="1">
        <v>44866</v>
      </c>
      <c r="L1302" t="s">
        <v>1338</v>
      </c>
      <c r="M1302">
        <f t="shared" si="41"/>
        <v>344000</v>
      </c>
      <c r="N1302" t="e">
        <f>VLOOKUP(H1302,Sheet1!G:H,2,FALSE)</f>
        <v>#N/A</v>
      </c>
      <c r="R1302" t="s">
        <v>3226</v>
      </c>
      <c r="S1302">
        <v>261990</v>
      </c>
    </row>
    <row r="1303" spans="1:19" x14ac:dyDescent="0.3">
      <c r="A1303" t="s">
        <v>41</v>
      </c>
      <c r="B1303">
        <f>VLOOKUP(A1303,Sheet2!B:F,5,FALSE)</f>
        <v>926</v>
      </c>
      <c r="C1303" t="s">
        <v>56</v>
      </c>
      <c r="D1303">
        <f>VLOOKUP(C1303,Sheet2!C:G,5,FALSE)</f>
        <v>1207</v>
      </c>
      <c r="E1303" t="s">
        <v>57</v>
      </c>
      <c r="F1303">
        <f>VLOOKUP(E1303,Sheet2!D:E,2,FALSE)</f>
        <v>200982</v>
      </c>
      <c r="G1303" t="s">
        <v>11</v>
      </c>
      <c r="H1303" t="str">
        <f t="shared" si="40"/>
        <v>NAVERpshsms1029</v>
      </c>
      <c r="I1303" t="str">
        <f>"pshsms1029"</f>
        <v>pshsms1029</v>
      </c>
      <c r="J1303">
        <v>103390</v>
      </c>
      <c r="K1303" s="1">
        <v>44866</v>
      </c>
      <c r="L1303" t="s">
        <v>1339</v>
      </c>
      <c r="M1303">
        <f t="shared" si="41"/>
        <v>103390</v>
      </c>
      <c r="N1303" t="e">
        <f>VLOOKUP(H1303,Sheet1!G:H,2,FALSE)</f>
        <v>#N/A</v>
      </c>
      <c r="R1303" t="s">
        <v>3227</v>
      </c>
      <c r="S1303">
        <v>728080</v>
      </c>
    </row>
    <row r="1304" spans="1:19" x14ac:dyDescent="0.3">
      <c r="A1304" t="s">
        <v>41</v>
      </c>
      <c r="B1304">
        <f>VLOOKUP(A1304,Sheet2!B:F,5,FALSE)</f>
        <v>926</v>
      </c>
      <c r="C1304" t="s">
        <v>42</v>
      </c>
      <c r="D1304">
        <f>VLOOKUP(C1304,Sheet2!C:G,5,FALSE)</f>
        <v>964</v>
      </c>
      <c r="E1304" t="s">
        <v>704</v>
      </c>
      <c r="F1304">
        <f>VLOOKUP(E1304,Sheet2!D:E,2,FALSE)</f>
        <v>1616</v>
      </c>
      <c r="G1304" t="s">
        <v>11</v>
      </c>
      <c r="H1304" t="str">
        <f t="shared" si="40"/>
        <v>NAVERpss5021</v>
      </c>
      <c r="I1304" t="str">
        <f>"pss5021"</f>
        <v>pss5021</v>
      </c>
      <c r="J1304">
        <v>140</v>
      </c>
      <c r="K1304" s="1">
        <v>44866</v>
      </c>
      <c r="L1304" t="s">
        <v>1340</v>
      </c>
      <c r="M1304">
        <f t="shared" si="41"/>
        <v>140</v>
      </c>
      <c r="N1304" t="e">
        <f>VLOOKUP(H1304,Sheet1!G:H,2,FALSE)</f>
        <v>#N/A</v>
      </c>
      <c r="R1304" t="s">
        <v>3228</v>
      </c>
      <c r="S1304">
        <v>141320</v>
      </c>
    </row>
    <row r="1305" spans="1:19" x14ac:dyDescent="0.3">
      <c r="A1305" t="s">
        <v>8</v>
      </c>
      <c r="B1305">
        <f>VLOOKUP(A1305,Sheet2!B:F,5,FALSE)</f>
        <v>928</v>
      </c>
      <c r="C1305" t="s">
        <v>13</v>
      </c>
      <c r="D1305">
        <f>VLOOKUP(C1305,Sheet2!C:G,5,FALSE)</f>
        <v>1184</v>
      </c>
      <c r="E1305" t="s">
        <v>14</v>
      </c>
      <c r="F1305">
        <f>VLOOKUP(E1305,Sheet2!D:E,2,FALSE)</f>
        <v>914</v>
      </c>
      <c r="G1305" t="s">
        <v>11</v>
      </c>
      <c r="H1305" t="str">
        <f t="shared" si="40"/>
        <v>NAVERpswkiller</v>
      </c>
      <c r="I1305" t="str">
        <f>"pswkiller"</f>
        <v>pswkiller</v>
      </c>
      <c r="J1305">
        <v>16280</v>
      </c>
      <c r="K1305" s="1">
        <v>44866</v>
      </c>
      <c r="L1305" t="s">
        <v>1341</v>
      </c>
      <c r="M1305">
        <f t="shared" si="41"/>
        <v>16280</v>
      </c>
      <c r="N1305" t="e">
        <f>VLOOKUP(H1305,Sheet1!G:H,2,FALSE)</f>
        <v>#N/A</v>
      </c>
      <c r="R1305" t="s">
        <v>3229</v>
      </c>
      <c r="S1305">
        <v>70</v>
      </c>
    </row>
    <row r="1306" spans="1:19" x14ac:dyDescent="0.3">
      <c r="A1306" t="s">
        <v>8</v>
      </c>
      <c r="B1306">
        <f>VLOOKUP(A1306,Sheet2!B:F,5,FALSE)</f>
        <v>928</v>
      </c>
      <c r="C1306" t="s">
        <v>9</v>
      </c>
      <c r="D1306">
        <f>VLOOKUP(C1306,Sheet2!C:G,5,FALSE)</f>
        <v>1202</v>
      </c>
      <c r="E1306" t="s">
        <v>391</v>
      </c>
      <c r="F1306">
        <f>VLOOKUP(E1306,Sheet2!D:E,2,FALSE)</f>
        <v>1216</v>
      </c>
      <c r="G1306" t="s">
        <v>11</v>
      </c>
      <c r="H1306" t="str">
        <f t="shared" si="40"/>
        <v>NAVERpublicgolf</v>
      </c>
      <c r="I1306" t="str">
        <f>"publicgolf"</f>
        <v>publicgolf</v>
      </c>
      <c r="J1306">
        <v>839166</v>
      </c>
      <c r="K1306" s="1">
        <v>44866</v>
      </c>
      <c r="L1306" t="s">
        <v>1342</v>
      </c>
      <c r="M1306">
        <f t="shared" si="41"/>
        <v>907430</v>
      </c>
      <c r="N1306" t="e">
        <f>VLOOKUP(H1306,Sheet1!G:H,2,FALSE)</f>
        <v>#N/A</v>
      </c>
      <c r="R1306" t="s">
        <v>3230</v>
      </c>
      <c r="S1306">
        <v>2200</v>
      </c>
    </row>
    <row r="1307" spans="1:19" x14ac:dyDescent="0.3">
      <c r="A1307" t="s">
        <v>8</v>
      </c>
      <c r="B1307">
        <f>VLOOKUP(A1307,Sheet2!B:F,5,FALSE)</f>
        <v>928</v>
      </c>
      <c r="C1307" t="s">
        <v>167</v>
      </c>
      <c r="D1307">
        <f>VLOOKUP(C1307,Sheet2!C:G,5,FALSE)</f>
        <v>935</v>
      </c>
      <c r="E1307" t="s">
        <v>168</v>
      </c>
      <c r="F1307">
        <f>VLOOKUP(E1307,Sheet2!D:E,2,FALSE)</f>
        <v>2</v>
      </c>
      <c r="G1307" t="s">
        <v>11</v>
      </c>
      <c r="H1307" t="str">
        <f t="shared" si="40"/>
        <v>NAVERpulmulti</v>
      </c>
      <c r="I1307" t="str">
        <f>"pulmulti"</f>
        <v>pulmulti</v>
      </c>
      <c r="J1307">
        <v>5465650</v>
      </c>
      <c r="K1307" s="1">
        <v>44866</v>
      </c>
      <c r="L1307" t="s">
        <v>1343</v>
      </c>
      <c r="M1307">
        <f t="shared" si="41"/>
        <v>4065660</v>
      </c>
      <c r="N1307" t="e">
        <f>VLOOKUP(H1307,Sheet1!G:H,2,FALSE)</f>
        <v>#N/A</v>
      </c>
      <c r="R1307" t="s">
        <v>3231</v>
      </c>
      <c r="S1307">
        <v>17990</v>
      </c>
    </row>
    <row r="1308" spans="1:19" x14ac:dyDescent="0.3">
      <c r="A1308" t="s">
        <v>8</v>
      </c>
      <c r="B1308">
        <f>VLOOKUP(A1308,Sheet2!B:F,5,FALSE)</f>
        <v>928</v>
      </c>
      <c r="C1308" t="s">
        <v>167</v>
      </c>
      <c r="D1308">
        <f>VLOOKUP(C1308,Sheet2!C:G,5,FALSE)</f>
        <v>935</v>
      </c>
      <c r="E1308" t="s">
        <v>168</v>
      </c>
      <c r="F1308">
        <f>VLOOKUP(E1308,Sheet2!D:E,2,FALSE)</f>
        <v>2</v>
      </c>
      <c r="G1308" t="s">
        <v>11</v>
      </c>
      <c r="H1308" t="str">
        <f t="shared" si="40"/>
        <v>NAVERpulmulti1</v>
      </c>
      <c r="I1308" t="str">
        <f>"pulmulti1"</f>
        <v>pulmulti1</v>
      </c>
      <c r="J1308">
        <v>699980</v>
      </c>
      <c r="K1308" s="1">
        <v>44866</v>
      </c>
      <c r="L1308" t="s">
        <v>1343</v>
      </c>
      <c r="M1308">
        <f t="shared" si="41"/>
        <v>0</v>
      </c>
      <c r="N1308" t="e">
        <f>VLOOKUP(H1308,Sheet1!G:H,2,FALSE)</f>
        <v>#N/A</v>
      </c>
      <c r="R1308" t="s">
        <v>3232</v>
      </c>
      <c r="S1308">
        <v>1382870</v>
      </c>
    </row>
    <row r="1309" spans="1:19" x14ac:dyDescent="0.3">
      <c r="A1309" t="s">
        <v>8</v>
      </c>
      <c r="B1309">
        <f>VLOOKUP(A1309,Sheet2!B:F,5,FALSE)</f>
        <v>928</v>
      </c>
      <c r="C1309" t="s">
        <v>167</v>
      </c>
      <c r="D1309">
        <f>VLOOKUP(C1309,Sheet2!C:G,5,FALSE)</f>
        <v>935</v>
      </c>
      <c r="E1309" t="s">
        <v>168</v>
      </c>
      <c r="F1309">
        <f>VLOOKUP(E1309,Sheet2!D:E,2,FALSE)</f>
        <v>2</v>
      </c>
      <c r="G1309" t="s">
        <v>11</v>
      </c>
      <c r="H1309" t="str">
        <f t="shared" si="40"/>
        <v>NAVERpulmuone02</v>
      </c>
      <c r="I1309" t="str">
        <f>"pulmuone02"</f>
        <v>pulmuone02</v>
      </c>
      <c r="J1309">
        <v>1681730</v>
      </c>
      <c r="K1309" s="1">
        <v>44866</v>
      </c>
      <c r="L1309" t="s">
        <v>1344</v>
      </c>
      <c r="M1309">
        <f t="shared" si="41"/>
        <v>1681730</v>
      </c>
      <c r="N1309" t="e">
        <f>VLOOKUP(H1309,Sheet1!G:H,2,FALSE)</f>
        <v>#N/A</v>
      </c>
      <c r="R1309" t="s">
        <v>3233</v>
      </c>
      <c r="S1309">
        <v>60489</v>
      </c>
    </row>
    <row r="1310" spans="1:19" x14ac:dyDescent="0.3">
      <c r="A1310" t="s">
        <v>41</v>
      </c>
      <c r="B1310">
        <f>VLOOKUP(A1310,Sheet2!B:F,5,FALSE)</f>
        <v>926</v>
      </c>
      <c r="C1310" t="s">
        <v>56</v>
      </c>
      <c r="D1310">
        <f>VLOOKUP(C1310,Sheet2!C:G,5,FALSE)</f>
        <v>1207</v>
      </c>
      <c r="E1310" t="s">
        <v>62</v>
      </c>
      <c r="F1310">
        <f>VLOOKUP(E1310,Sheet2!D:E,2,FALSE)</f>
        <v>201037</v>
      </c>
      <c r="G1310" t="s">
        <v>11</v>
      </c>
      <c r="H1310" t="str">
        <f t="shared" si="40"/>
        <v>NAVERpurespace123</v>
      </c>
      <c r="I1310" t="str">
        <f>"purespace123"</f>
        <v>purespace123</v>
      </c>
      <c r="J1310">
        <v>1017810</v>
      </c>
      <c r="K1310" s="1">
        <v>44866</v>
      </c>
      <c r="L1310" t="s">
        <v>1345</v>
      </c>
      <c r="M1310">
        <f t="shared" si="41"/>
        <v>17830</v>
      </c>
      <c r="N1310" t="e">
        <f>VLOOKUP(H1310,Sheet1!G:H,2,FALSE)</f>
        <v>#N/A</v>
      </c>
      <c r="R1310" t="s">
        <v>3234</v>
      </c>
      <c r="S1310">
        <v>129190</v>
      </c>
    </row>
    <row r="1311" spans="1:19" x14ac:dyDescent="0.3">
      <c r="A1311" t="s">
        <v>8</v>
      </c>
      <c r="B1311">
        <f>VLOOKUP(A1311,Sheet2!B:F,5,FALSE)</f>
        <v>928</v>
      </c>
      <c r="C1311" t="s">
        <v>13</v>
      </c>
      <c r="D1311">
        <f>VLOOKUP(C1311,Sheet2!C:G,5,FALSE)</f>
        <v>1184</v>
      </c>
      <c r="E1311" t="s">
        <v>51</v>
      </c>
      <c r="F1311">
        <f>VLOOKUP(E1311,Sheet2!D:E,2,FALSE)</f>
        <v>1274</v>
      </c>
      <c r="G1311" t="s">
        <v>11</v>
      </c>
      <c r="H1311" t="str">
        <f t="shared" si="40"/>
        <v>NAVERpwj238</v>
      </c>
      <c r="I1311" t="str">
        <f>"pwj238"</f>
        <v>pwj238</v>
      </c>
      <c r="J1311">
        <v>280</v>
      </c>
      <c r="K1311" s="1">
        <v>44866</v>
      </c>
      <c r="L1311" t="s">
        <v>1346</v>
      </c>
      <c r="M1311">
        <f t="shared" si="41"/>
        <v>280</v>
      </c>
      <c r="N1311" t="e">
        <f>VLOOKUP(H1311,Sheet1!G:H,2,FALSE)</f>
        <v>#N/A</v>
      </c>
      <c r="R1311" t="s">
        <v>3235</v>
      </c>
      <c r="S1311">
        <v>930680</v>
      </c>
    </row>
    <row r="1312" spans="1:19" x14ac:dyDescent="0.3">
      <c r="A1312" t="s">
        <v>8</v>
      </c>
      <c r="B1312">
        <f>VLOOKUP(A1312,Sheet2!B:F,5,FALSE)</f>
        <v>928</v>
      </c>
      <c r="C1312" t="s">
        <v>13</v>
      </c>
      <c r="D1312">
        <f>VLOOKUP(C1312,Sheet2!C:G,5,FALSE)</f>
        <v>1184</v>
      </c>
      <c r="E1312" t="s">
        <v>59</v>
      </c>
      <c r="F1312">
        <f>VLOOKUP(E1312,Sheet2!D:E,2,FALSE)</f>
        <v>9</v>
      </c>
      <c r="G1312" t="s">
        <v>11</v>
      </c>
      <c r="H1312" t="str">
        <f t="shared" si="40"/>
        <v>NAVERpwon11</v>
      </c>
      <c r="I1312" t="str">
        <f>"pwon11"</f>
        <v>pwon11</v>
      </c>
      <c r="J1312">
        <v>1860</v>
      </c>
      <c r="K1312" s="1">
        <v>44866</v>
      </c>
      <c r="L1312" t="s">
        <v>1347</v>
      </c>
      <c r="M1312">
        <f t="shared" si="41"/>
        <v>1860</v>
      </c>
      <c r="N1312" t="e">
        <f>VLOOKUP(H1312,Sheet1!G:H,2,FALSE)</f>
        <v>#N/A</v>
      </c>
      <c r="R1312" t="s">
        <v>3236</v>
      </c>
      <c r="S1312">
        <v>137840</v>
      </c>
    </row>
    <row r="1313" spans="1:19" x14ac:dyDescent="0.3">
      <c r="A1313" t="s">
        <v>8</v>
      </c>
      <c r="B1313">
        <f>VLOOKUP(A1313,Sheet2!B:F,5,FALSE)</f>
        <v>928</v>
      </c>
      <c r="C1313" t="s">
        <v>223</v>
      </c>
      <c r="D1313">
        <f>VLOOKUP(C1313,Sheet2!C:G,5,FALSE)</f>
        <v>966</v>
      </c>
      <c r="E1313" t="s">
        <v>224</v>
      </c>
      <c r="F1313">
        <f>VLOOKUP(E1313,Sheet2!D:E,2,FALSE)</f>
        <v>201008</v>
      </c>
      <c r="G1313" t="s">
        <v>11</v>
      </c>
      <c r="H1313" t="str">
        <f t="shared" si="40"/>
        <v>NAVERpyeongchon90</v>
      </c>
      <c r="I1313" t="str">
        <f>"pyeongchon90"</f>
        <v>pyeongchon90</v>
      </c>
      <c r="J1313">
        <v>1380600</v>
      </c>
      <c r="K1313" s="1">
        <v>44866</v>
      </c>
      <c r="L1313" t="s">
        <v>225</v>
      </c>
      <c r="M1313">
        <f t="shared" si="41"/>
        <v>1380600</v>
      </c>
      <c r="N1313" t="e">
        <f>VLOOKUP(H1313,Sheet1!G:H,2,FALSE)</f>
        <v>#N/A</v>
      </c>
      <c r="R1313" t="s">
        <v>3237</v>
      </c>
      <c r="S1313">
        <v>1348990</v>
      </c>
    </row>
    <row r="1314" spans="1:19" x14ac:dyDescent="0.3">
      <c r="A1314" t="s">
        <v>8</v>
      </c>
      <c r="B1314">
        <f>VLOOKUP(A1314,Sheet2!B:F,5,FALSE)</f>
        <v>928</v>
      </c>
      <c r="C1314" t="s">
        <v>13</v>
      </c>
      <c r="D1314">
        <f>VLOOKUP(C1314,Sheet2!C:G,5,FALSE)</f>
        <v>1184</v>
      </c>
      <c r="E1314" t="s">
        <v>102</v>
      </c>
      <c r="F1314">
        <f>VLOOKUP(E1314,Sheet2!D:E,2,FALSE)</f>
        <v>917</v>
      </c>
      <c r="G1314" t="s">
        <v>11</v>
      </c>
      <c r="H1314" t="str">
        <f t="shared" si="40"/>
        <v>NAVERpyk770124:naver</v>
      </c>
      <c r="I1314" t="str">
        <f>"pyk770124:naver"</f>
        <v>pyk770124:naver</v>
      </c>
      <c r="J1314">
        <v>450</v>
      </c>
      <c r="K1314" s="1">
        <v>44866</v>
      </c>
      <c r="L1314" t="s">
        <v>1348</v>
      </c>
      <c r="M1314">
        <f t="shared" si="41"/>
        <v>2850</v>
      </c>
      <c r="N1314" t="e">
        <f>VLOOKUP(H1314,Sheet1!G:H,2,FALSE)</f>
        <v>#N/A</v>
      </c>
      <c r="R1314" t="s">
        <v>3238</v>
      </c>
      <c r="S1314">
        <v>668640</v>
      </c>
    </row>
    <row r="1315" spans="1:19" x14ac:dyDescent="0.3">
      <c r="A1315" t="s">
        <v>41</v>
      </c>
      <c r="B1315">
        <f>VLOOKUP(A1315,Sheet2!B:F,5,FALSE)</f>
        <v>926</v>
      </c>
      <c r="C1315" t="s">
        <v>56</v>
      </c>
      <c r="D1315">
        <f>VLOOKUP(C1315,Sheet2!C:G,5,FALSE)</f>
        <v>1207</v>
      </c>
      <c r="E1315" t="s">
        <v>57</v>
      </c>
      <c r="F1315">
        <f>VLOOKUP(E1315,Sheet2!D:E,2,FALSE)</f>
        <v>200982</v>
      </c>
      <c r="G1315" t="s">
        <v>11</v>
      </c>
      <c r="H1315" t="str">
        <f t="shared" si="40"/>
        <v>NAVERpym2733</v>
      </c>
      <c r="I1315" t="str">
        <f>"pym2733"</f>
        <v>pym2733</v>
      </c>
      <c r="J1315">
        <v>41330</v>
      </c>
      <c r="K1315" s="1">
        <v>44866</v>
      </c>
      <c r="L1315" t="s">
        <v>1349</v>
      </c>
      <c r="M1315">
        <f t="shared" si="41"/>
        <v>41330</v>
      </c>
      <c r="N1315" t="e">
        <f>VLOOKUP(H1315,Sheet1!G:H,2,FALSE)</f>
        <v>#N/A</v>
      </c>
      <c r="R1315" t="s">
        <v>3239</v>
      </c>
      <c r="S1315">
        <v>998800</v>
      </c>
    </row>
    <row r="1316" spans="1:19" x14ac:dyDescent="0.3">
      <c r="A1316" t="s">
        <v>8</v>
      </c>
      <c r="B1316">
        <f>VLOOKUP(A1316,Sheet2!B:F,5,FALSE)</f>
        <v>928</v>
      </c>
      <c r="C1316" t="s">
        <v>9</v>
      </c>
      <c r="D1316">
        <f>VLOOKUP(C1316,Sheet2!C:G,5,FALSE)</f>
        <v>1202</v>
      </c>
      <c r="E1316" t="s">
        <v>45</v>
      </c>
      <c r="F1316">
        <f>VLOOKUP(E1316,Sheet2!D:E,2,FALSE)</f>
        <v>26</v>
      </c>
      <c r="G1316" t="s">
        <v>11</v>
      </c>
      <c r="H1316" t="str">
        <f t="shared" si="40"/>
        <v>NAVERqawe3320</v>
      </c>
      <c r="I1316" t="str">
        <f>"qawe3320"</f>
        <v>qawe3320</v>
      </c>
      <c r="J1316">
        <v>194610</v>
      </c>
      <c r="K1316" s="1">
        <v>44866</v>
      </c>
      <c r="L1316" t="s">
        <v>1350</v>
      </c>
      <c r="M1316">
        <f t="shared" si="41"/>
        <v>194610</v>
      </c>
      <c r="N1316" t="e">
        <f>VLOOKUP(H1316,Sheet1!G:H,2,FALSE)</f>
        <v>#N/A</v>
      </c>
      <c r="R1316" t="s">
        <v>3240</v>
      </c>
      <c r="S1316">
        <v>202020</v>
      </c>
    </row>
    <row r="1317" spans="1:19" x14ac:dyDescent="0.3">
      <c r="A1317" t="s">
        <v>41</v>
      </c>
      <c r="B1317">
        <f>VLOOKUP(A1317,Sheet2!B:F,5,FALSE)</f>
        <v>926</v>
      </c>
      <c r="C1317" t="s">
        <v>56</v>
      </c>
      <c r="D1317">
        <f>VLOOKUP(C1317,Sheet2!C:G,5,FALSE)</f>
        <v>1207</v>
      </c>
      <c r="E1317" t="s">
        <v>57</v>
      </c>
      <c r="F1317">
        <f>VLOOKUP(E1317,Sheet2!D:E,2,FALSE)</f>
        <v>200982</v>
      </c>
      <c r="G1317" t="s">
        <v>11</v>
      </c>
      <c r="H1317" t="str">
        <f t="shared" si="40"/>
        <v>NAVERqkdn3937</v>
      </c>
      <c r="I1317" t="str">
        <f>"qkdn3937"</f>
        <v>qkdn3937</v>
      </c>
      <c r="J1317">
        <v>184840</v>
      </c>
      <c r="K1317" s="1">
        <v>44866</v>
      </c>
      <c r="L1317" t="s">
        <v>1351</v>
      </c>
      <c r="M1317">
        <f t="shared" si="41"/>
        <v>184840</v>
      </c>
      <c r="N1317" t="e">
        <f>VLOOKUP(H1317,Sheet1!G:H,2,FALSE)</f>
        <v>#N/A</v>
      </c>
      <c r="R1317" t="s">
        <v>3241</v>
      </c>
      <c r="S1317">
        <v>2559140</v>
      </c>
    </row>
    <row r="1318" spans="1:19" x14ac:dyDescent="0.3">
      <c r="A1318" t="s">
        <v>8</v>
      </c>
      <c r="B1318">
        <f>VLOOKUP(A1318,Sheet2!B:F,5,FALSE)</f>
        <v>928</v>
      </c>
      <c r="C1318" t="s">
        <v>9</v>
      </c>
      <c r="D1318">
        <f>VLOOKUP(C1318,Sheet2!C:G,5,FALSE)</f>
        <v>1202</v>
      </c>
      <c r="E1318" t="s">
        <v>75</v>
      </c>
      <c r="F1318">
        <f>VLOOKUP(E1318,Sheet2!D:E,2,FALSE)</f>
        <v>50</v>
      </c>
      <c r="G1318" t="s">
        <v>11</v>
      </c>
      <c r="H1318" t="str">
        <f t="shared" si="40"/>
        <v>NAVERqkrtnswk2990</v>
      </c>
      <c r="I1318" t="str">
        <f>"qkrtnswk2990"</f>
        <v>qkrtnswk2990</v>
      </c>
      <c r="J1318">
        <v>1188600</v>
      </c>
      <c r="K1318" s="1">
        <v>44866</v>
      </c>
      <c r="L1318" t="s">
        <v>1352</v>
      </c>
      <c r="M1318">
        <f t="shared" si="41"/>
        <v>1188600</v>
      </c>
      <c r="N1318" t="e">
        <f>VLOOKUP(H1318,Sheet1!G:H,2,FALSE)</f>
        <v>#N/A</v>
      </c>
      <c r="R1318" t="s">
        <v>3242</v>
      </c>
      <c r="S1318">
        <v>964570</v>
      </c>
    </row>
    <row r="1319" spans="1:19" x14ac:dyDescent="0.3">
      <c r="A1319" t="s">
        <v>8</v>
      </c>
      <c r="B1319">
        <f>VLOOKUP(A1319,Sheet2!B:F,5,FALSE)</f>
        <v>928</v>
      </c>
      <c r="C1319" t="s">
        <v>9</v>
      </c>
      <c r="D1319">
        <f>VLOOKUP(C1319,Sheet2!C:G,5,FALSE)</f>
        <v>1202</v>
      </c>
      <c r="E1319" t="s">
        <v>33</v>
      </c>
      <c r="F1319">
        <f>VLOOKUP(E1319,Sheet2!D:E,2,FALSE)</f>
        <v>933</v>
      </c>
      <c r="G1319" t="s">
        <v>11</v>
      </c>
      <c r="H1319" t="str">
        <f t="shared" si="40"/>
        <v>NAVERqntkswlqkdgh</v>
      </c>
      <c r="I1319" t="str">
        <f>"qntkswlqkdgh"</f>
        <v>qntkswlqkdgh</v>
      </c>
      <c r="J1319">
        <v>7980</v>
      </c>
      <c r="K1319" s="1">
        <v>44866</v>
      </c>
      <c r="L1319" t="s">
        <v>1353</v>
      </c>
      <c r="M1319">
        <f t="shared" si="41"/>
        <v>7980</v>
      </c>
      <c r="N1319" t="e">
        <f>VLOOKUP(H1319,Sheet1!G:H,2,FALSE)</f>
        <v>#N/A</v>
      </c>
      <c r="R1319" t="s">
        <v>3243</v>
      </c>
      <c r="S1319">
        <v>17460</v>
      </c>
    </row>
    <row r="1320" spans="1:19" x14ac:dyDescent="0.3">
      <c r="A1320" t="s">
        <v>8</v>
      </c>
      <c r="B1320">
        <f>VLOOKUP(A1320,Sheet2!B:F,5,FALSE)</f>
        <v>928</v>
      </c>
      <c r="C1320" t="s">
        <v>9</v>
      </c>
      <c r="D1320">
        <f>VLOOKUP(C1320,Sheet2!C:G,5,FALSE)</f>
        <v>1202</v>
      </c>
      <c r="E1320" t="s">
        <v>122</v>
      </c>
      <c r="F1320">
        <f>VLOOKUP(E1320,Sheet2!D:E,2,FALSE)</f>
        <v>251</v>
      </c>
      <c r="G1320" t="s">
        <v>11</v>
      </c>
      <c r="H1320" t="str">
        <f t="shared" si="40"/>
        <v>NAVERquantumtech-korea:naver</v>
      </c>
      <c r="I1320" t="str">
        <f>"quantumtech-korea:naver"</f>
        <v>quantumtech-korea:naver</v>
      </c>
      <c r="J1320">
        <v>44860</v>
      </c>
      <c r="K1320" s="1">
        <v>44866</v>
      </c>
      <c r="L1320" t="s">
        <v>1354</v>
      </c>
      <c r="M1320">
        <f t="shared" si="41"/>
        <v>44860</v>
      </c>
      <c r="N1320" t="e">
        <f>VLOOKUP(H1320,Sheet1!G:H,2,FALSE)</f>
        <v>#N/A</v>
      </c>
      <c r="R1320" t="s">
        <v>3244</v>
      </c>
      <c r="S1320">
        <v>227960</v>
      </c>
    </row>
    <row r="1321" spans="1:19" x14ac:dyDescent="0.3">
      <c r="A1321" t="s">
        <v>8</v>
      </c>
      <c r="B1321">
        <f>VLOOKUP(A1321,Sheet2!B:F,5,FALSE)</f>
        <v>928</v>
      </c>
      <c r="C1321" t="s">
        <v>9</v>
      </c>
      <c r="D1321">
        <f>VLOOKUP(C1321,Sheet2!C:G,5,FALSE)</f>
        <v>1202</v>
      </c>
      <c r="E1321" t="s">
        <v>27</v>
      </c>
      <c r="F1321">
        <f>VLOOKUP(E1321,Sheet2!D:E,2,FALSE)</f>
        <v>806</v>
      </c>
      <c r="G1321" t="s">
        <v>11</v>
      </c>
      <c r="H1321" t="str">
        <f t="shared" si="40"/>
        <v>NAVERquo318</v>
      </c>
      <c r="I1321" t="str">
        <f>"quo318"</f>
        <v>quo318</v>
      </c>
      <c r="J1321">
        <v>124170</v>
      </c>
      <c r="K1321" s="1">
        <v>44866</v>
      </c>
      <c r="L1321" t="s">
        <v>1355</v>
      </c>
      <c r="M1321">
        <f t="shared" si="41"/>
        <v>124170</v>
      </c>
      <c r="N1321" t="e">
        <f>VLOOKUP(H1321,Sheet1!G:H,2,FALSE)</f>
        <v>#N/A</v>
      </c>
      <c r="R1321" t="s">
        <v>3245</v>
      </c>
      <c r="S1321">
        <v>1450</v>
      </c>
    </row>
    <row r="1322" spans="1:19" x14ac:dyDescent="0.3">
      <c r="A1322" t="s">
        <v>16</v>
      </c>
      <c r="B1322">
        <f>VLOOKUP(A1322,Sheet2!B:F,5,FALSE)</f>
        <v>927</v>
      </c>
      <c r="C1322" t="s">
        <v>17</v>
      </c>
      <c r="D1322">
        <f>VLOOKUP(C1322,Sheet2!C:G,5,FALSE)</f>
        <v>1200</v>
      </c>
      <c r="E1322" t="s">
        <v>262</v>
      </c>
      <c r="F1322">
        <f>VLOOKUP(E1322,Sheet2!D:E,2,FALSE)</f>
        <v>1594</v>
      </c>
      <c r="G1322" t="s">
        <v>11</v>
      </c>
      <c r="H1322" t="str">
        <f t="shared" si="40"/>
        <v>NAVERraguhouse:naver</v>
      </c>
      <c r="I1322" t="str">
        <f>"raguhouse:naver"</f>
        <v>raguhouse:naver</v>
      </c>
      <c r="J1322">
        <v>99550</v>
      </c>
      <c r="K1322" s="1">
        <v>44866</v>
      </c>
      <c r="L1322" t="s">
        <v>1356</v>
      </c>
      <c r="M1322">
        <f t="shared" si="41"/>
        <v>99550</v>
      </c>
      <c r="N1322" t="e">
        <f>VLOOKUP(H1322,Sheet1!G:H,2,FALSE)</f>
        <v>#N/A</v>
      </c>
      <c r="R1322" t="s">
        <v>3246</v>
      </c>
      <c r="S1322">
        <v>47270</v>
      </c>
    </row>
    <row r="1323" spans="1:19" x14ac:dyDescent="0.3">
      <c r="A1323" t="s">
        <v>8</v>
      </c>
      <c r="B1323">
        <f>VLOOKUP(A1323,Sheet2!B:F,5,FALSE)</f>
        <v>928</v>
      </c>
      <c r="C1323" t="s">
        <v>13</v>
      </c>
      <c r="D1323">
        <f>VLOOKUP(C1323,Sheet2!C:G,5,FALSE)</f>
        <v>1184</v>
      </c>
      <c r="E1323" t="s">
        <v>14</v>
      </c>
      <c r="F1323">
        <f>VLOOKUP(E1323,Sheet2!D:E,2,FALSE)</f>
        <v>914</v>
      </c>
      <c r="G1323" t="s">
        <v>11</v>
      </c>
      <c r="H1323" t="str">
        <f t="shared" si="40"/>
        <v>NAVERraille</v>
      </c>
      <c r="I1323" t="str">
        <f>"raille"</f>
        <v>raille</v>
      </c>
      <c r="J1323">
        <v>222250</v>
      </c>
      <c r="K1323" s="1">
        <v>44866</v>
      </c>
      <c r="L1323" t="s">
        <v>323</v>
      </c>
      <c r="M1323">
        <f t="shared" si="41"/>
        <v>222250</v>
      </c>
      <c r="N1323" t="e">
        <f>VLOOKUP(H1323,Sheet1!G:H,2,FALSE)</f>
        <v>#N/A</v>
      </c>
      <c r="R1323" t="s">
        <v>3247</v>
      </c>
      <c r="S1323">
        <v>1185670</v>
      </c>
    </row>
    <row r="1324" spans="1:19" x14ac:dyDescent="0.3">
      <c r="A1324" t="s">
        <v>16</v>
      </c>
      <c r="B1324">
        <f>VLOOKUP(A1324,Sheet2!B:F,5,FALSE)</f>
        <v>927</v>
      </c>
      <c r="C1324" t="s">
        <v>17</v>
      </c>
      <c r="D1324">
        <f>VLOOKUP(C1324,Sheet2!C:G,5,FALSE)</f>
        <v>1200</v>
      </c>
      <c r="E1324" t="s">
        <v>93</v>
      </c>
      <c r="F1324">
        <f>VLOOKUP(E1324,Sheet2!D:E,2,FALSE)</f>
        <v>930</v>
      </c>
      <c r="G1324" t="s">
        <v>11</v>
      </c>
      <c r="H1324" t="str">
        <f t="shared" si="40"/>
        <v>NAVERrainman117:naver</v>
      </c>
      <c r="I1324" t="str">
        <f>"rainman117:naver"</f>
        <v>rainman117:naver</v>
      </c>
      <c r="J1324">
        <v>3287900</v>
      </c>
      <c r="K1324" s="1">
        <v>44866</v>
      </c>
      <c r="L1324" t="s">
        <v>1357</v>
      </c>
      <c r="M1324">
        <f t="shared" si="41"/>
        <v>3287900</v>
      </c>
      <c r="N1324" t="e">
        <f>VLOOKUP(H1324,Sheet1!G:H,2,FALSE)</f>
        <v>#N/A</v>
      </c>
      <c r="R1324" t="s">
        <v>3248</v>
      </c>
      <c r="S1324">
        <v>552670</v>
      </c>
    </row>
    <row r="1325" spans="1:19" x14ac:dyDescent="0.3">
      <c r="A1325" t="s">
        <v>8</v>
      </c>
      <c r="B1325">
        <f>VLOOKUP(A1325,Sheet2!B:F,5,FALSE)</f>
        <v>928</v>
      </c>
      <c r="C1325" t="s">
        <v>9</v>
      </c>
      <c r="D1325">
        <f>VLOOKUP(C1325,Sheet2!C:G,5,FALSE)</f>
        <v>1202</v>
      </c>
      <c r="E1325" t="s">
        <v>10</v>
      </c>
      <c r="F1325">
        <f>VLOOKUP(E1325,Sheet2!D:E,2,FALSE)</f>
        <v>939</v>
      </c>
      <c r="G1325" t="s">
        <v>11</v>
      </c>
      <c r="H1325" t="str">
        <f t="shared" si="40"/>
        <v>NAVERran7714</v>
      </c>
      <c r="I1325" t="str">
        <f>"ran7714"</f>
        <v>ran7714</v>
      </c>
      <c r="J1325">
        <v>428470</v>
      </c>
      <c r="K1325" s="1">
        <v>44866</v>
      </c>
      <c r="L1325" t="s">
        <v>1358</v>
      </c>
      <c r="M1325">
        <f t="shared" si="41"/>
        <v>428470</v>
      </c>
      <c r="N1325" t="e">
        <f>VLOOKUP(H1325,Sheet1!G:H,2,FALSE)</f>
        <v>#N/A</v>
      </c>
      <c r="R1325" t="s">
        <v>3249</v>
      </c>
      <c r="S1325">
        <v>60210</v>
      </c>
    </row>
    <row r="1326" spans="1:19" x14ac:dyDescent="0.3">
      <c r="A1326" t="s">
        <v>41</v>
      </c>
      <c r="B1326">
        <f>VLOOKUP(A1326,Sheet2!B:F,5,FALSE)</f>
        <v>926</v>
      </c>
      <c r="C1326" t="s">
        <v>56</v>
      </c>
      <c r="D1326">
        <f>VLOOKUP(C1326,Sheet2!C:G,5,FALSE)</f>
        <v>1207</v>
      </c>
      <c r="E1326" t="s">
        <v>57</v>
      </c>
      <c r="F1326">
        <f>VLOOKUP(E1326,Sheet2!D:E,2,FALSE)</f>
        <v>200982</v>
      </c>
      <c r="G1326" t="s">
        <v>11</v>
      </c>
      <c r="H1326" t="str">
        <f t="shared" si="40"/>
        <v>NAVERrblower</v>
      </c>
      <c r="I1326" t="str">
        <f>"rblower"</f>
        <v>rblower</v>
      </c>
      <c r="J1326">
        <v>43640</v>
      </c>
      <c r="K1326" s="1">
        <v>44866</v>
      </c>
      <c r="L1326" t="s">
        <v>1359</v>
      </c>
      <c r="M1326">
        <f t="shared" si="41"/>
        <v>43640</v>
      </c>
      <c r="N1326" t="e">
        <f>VLOOKUP(H1326,Sheet1!G:H,2,FALSE)</f>
        <v>#N/A</v>
      </c>
      <c r="R1326" t="s">
        <v>3250</v>
      </c>
      <c r="S1326">
        <v>177040</v>
      </c>
    </row>
    <row r="1327" spans="1:19" x14ac:dyDescent="0.3">
      <c r="A1327" t="s">
        <v>16</v>
      </c>
      <c r="B1327">
        <f>VLOOKUP(A1327,Sheet2!B:F,5,FALSE)</f>
        <v>927</v>
      </c>
      <c r="C1327" t="s">
        <v>17</v>
      </c>
      <c r="D1327">
        <f>VLOOKUP(C1327,Sheet2!C:G,5,FALSE)</f>
        <v>1200</v>
      </c>
      <c r="E1327" t="s">
        <v>244</v>
      </c>
      <c r="F1327">
        <f>VLOOKUP(E1327,Sheet2!D:E,2,FALSE)</f>
        <v>817</v>
      </c>
      <c r="G1327" t="s">
        <v>11</v>
      </c>
      <c r="H1327" t="str">
        <f t="shared" si="40"/>
        <v>NAVERrboots</v>
      </c>
      <c r="I1327" t="str">
        <f>"rboots"</f>
        <v>rboots</v>
      </c>
      <c r="J1327">
        <v>3795450</v>
      </c>
      <c r="K1327" s="1">
        <v>44866</v>
      </c>
      <c r="L1327" t="s">
        <v>1360</v>
      </c>
      <c r="M1327">
        <f t="shared" si="41"/>
        <v>3795450</v>
      </c>
      <c r="N1327" t="e">
        <f>VLOOKUP(H1327,Sheet1!G:H,2,FALSE)</f>
        <v>#N/A</v>
      </c>
      <c r="R1327" t="s">
        <v>3251</v>
      </c>
      <c r="S1327">
        <v>115180</v>
      </c>
    </row>
    <row r="1328" spans="1:19" x14ac:dyDescent="0.3">
      <c r="A1328" t="s">
        <v>8</v>
      </c>
      <c r="B1328">
        <f>VLOOKUP(A1328,Sheet2!B:F,5,FALSE)</f>
        <v>928</v>
      </c>
      <c r="C1328" t="s">
        <v>9</v>
      </c>
      <c r="D1328">
        <f>VLOOKUP(C1328,Sheet2!C:G,5,FALSE)</f>
        <v>1202</v>
      </c>
      <c r="E1328" t="s">
        <v>27</v>
      </c>
      <c r="F1328">
        <f>VLOOKUP(E1328,Sheet2!D:E,2,FALSE)</f>
        <v>806</v>
      </c>
      <c r="G1328" t="s">
        <v>11</v>
      </c>
      <c r="H1328" t="str">
        <f t="shared" si="40"/>
        <v>NAVERrbpr7788</v>
      </c>
      <c r="I1328" t="str">
        <f>"rbpr7788"</f>
        <v>rbpr7788</v>
      </c>
      <c r="J1328">
        <v>467670</v>
      </c>
      <c r="K1328" s="1">
        <v>44866</v>
      </c>
      <c r="L1328" t="s">
        <v>1361</v>
      </c>
      <c r="M1328">
        <f t="shared" si="41"/>
        <v>467670</v>
      </c>
      <c r="N1328" t="e">
        <f>VLOOKUP(H1328,Sheet1!G:H,2,FALSE)</f>
        <v>#N/A</v>
      </c>
      <c r="R1328" t="s">
        <v>3252</v>
      </c>
      <c r="S1328">
        <v>850</v>
      </c>
    </row>
    <row r="1329" spans="1:19" x14ac:dyDescent="0.3">
      <c r="A1329" t="s">
        <v>41</v>
      </c>
      <c r="B1329">
        <f>VLOOKUP(A1329,Sheet2!B:F,5,FALSE)</f>
        <v>926</v>
      </c>
      <c r="C1329" t="s">
        <v>56</v>
      </c>
      <c r="D1329">
        <f>VLOOKUP(C1329,Sheet2!C:G,5,FALSE)</f>
        <v>1207</v>
      </c>
      <c r="E1329" t="s">
        <v>57</v>
      </c>
      <c r="F1329">
        <f>VLOOKUP(E1329,Sheet2!D:E,2,FALSE)</f>
        <v>200982</v>
      </c>
      <c r="G1329" t="s">
        <v>11</v>
      </c>
      <c r="H1329" t="str">
        <f t="shared" si="40"/>
        <v>NAVERrccl</v>
      </c>
      <c r="I1329" t="str">
        <f>"rccl"</f>
        <v>rccl</v>
      </c>
      <c r="J1329">
        <v>570220</v>
      </c>
      <c r="K1329" s="1">
        <v>44866</v>
      </c>
      <c r="L1329" t="s">
        <v>1362</v>
      </c>
      <c r="M1329">
        <f t="shared" si="41"/>
        <v>570220</v>
      </c>
      <c r="N1329" t="e">
        <f>VLOOKUP(H1329,Sheet1!G:H,2,FALSE)</f>
        <v>#N/A</v>
      </c>
      <c r="R1329" t="s">
        <v>3253</v>
      </c>
      <c r="S1329">
        <v>2725960</v>
      </c>
    </row>
    <row r="1330" spans="1:19" x14ac:dyDescent="0.3">
      <c r="A1330" t="s">
        <v>8</v>
      </c>
      <c r="B1330">
        <f>VLOOKUP(A1330,Sheet2!B:F,5,FALSE)</f>
        <v>928</v>
      </c>
      <c r="C1330" t="s">
        <v>9</v>
      </c>
      <c r="D1330">
        <f>VLOOKUP(C1330,Sheet2!C:G,5,FALSE)</f>
        <v>1202</v>
      </c>
      <c r="E1330" t="s">
        <v>45</v>
      </c>
      <c r="F1330">
        <f>VLOOKUP(E1330,Sheet2!D:E,2,FALSE)</f>
        <v>26</v>
      </c>
      <c r="G1330" t="s">
        <v>11</v>
      </c>
      <c r="H1330" t="str">
        <f t="shared" si="40"/>
        <v>NAVERrealstudio14</v>
      </c>
      <c r="I1330" t="str">
        <f>"realstudio14"</f>
        <v>realstudio14</v>
      </c>
      <c r="J1330">
        <v>43820</v>
      </c>
      <c r="K1330" s="1">
        <v>44866</v>
      </c>
      <c r="L1330" t="s">
        <v>1363</v>
      </c>
      <c r="M1330">
        <f t="shared" si="41"/>
        <v>43820</v>
      </c>
      <c r="N1330" t="e">
        <f>VLOOKUP(H1330,Sheet1!G:H,2,FALSE)</f>
        <v>#N/A</v>
      </c>
      <c r="R1330" t="s">
        <v>3254</v>
      </c>
      <c r="S1330">
        <v>301460</v>
      </c>
    </row>
    <row r="1331" spans="1:19" x14ac:dyDescent="0.3">
      <c r="A1331" t="s">
        <v>8</v>
      </c>
      <c r="B1331">
        <f>VLOOKUP(A1331,Sheet2!B:F,5,FALSE)</f>
        <v>928</v>
      </c>
      <c r="C1331" t="s">
        <v>9</v>
      </c>
      <c r="D1331">
        <f>VLOOKUP(C1331,Sheet2!C:G,5,FALSE)</f>
        <v>1202</v>
      </c>
      <c r="E1331" t="s">
        <v>220</v>
      </c>
      <c r="F1331">
        <f>VLOOKUP(E1331,Sheet2!D:E,2,FALSE)</f>
        <v>1211</v>
      </c>
      <c r="G1331" t="s">
        <v>11</v>
      </c>
      <c r="H1331" t="str">
        <f t="shared" si="40"/>
        <v>NAVERrealtorsgr</v>
      </c>
      <c r="I1331" t="str">
        <f>"realtorsgr"</f>
        <v>realtorsgr</v>
      </c>
      <c r="J1331">
        <v>3193170</v>
      </c>
      <c r="K1331" s="1">
        <v>44866</v>
      </c>
      <c r="L1331" t="s">
        <v>1364</v>
      </c>
      <c r="M1331">
        <f t="shared" si="41"/>
        <v>3193170</v>
      </c>
      <c r="N1331" t="e">
        <f>VLOOKUP(H1331,Sheet1!G:H,2,FALSE)</f>
        <v>#N/A</v>
      </c>
      <c r="R1331" t="s">
        <v>3255</v>
      </c>
      <c r="S1331">
        <v>420</v>
      </c>
    </row>
    <row r="1332" spans="1:19" x14ac:dyDescent="0.3">
      <c r="A1332" t="s">
        <v>8</v>
      </c>
      <c r="B1332">
        <f>VLOOKUP(A1332,Sheet2!B:F,5,FALSE)</f>
        <v>928</v>
      </c>
      <c r="C1332" t="s">
        <v>9</v>
      </c>
      <c r="D1332">
        <f>VLOOKUP(C1332,Sheet2!C:G,5,FALSE)</f>
        <v>1202</v>
      </c>
      <c r="E1332" t="s">
        <v>220</v>
      </c>
      <c r="F1332">
        <f>VLOOKUP(E1332,Sheet2!D:E,2,FALSE)</f>
        <v>1211</v>
      </c>
      <c r="G1332" t="s">
        <v>11</v>
      </c>
      <c r="H1332" t="str">
        <f t="shared" si="40"/>
        <v>NAVERrealtorsjh</v>
      </c>
      <c r="I1332" t="str">
        <f>"realtorsjh"</f>
        <v>realtorsjh</v>
      </c>
      <c r="J1332">
        <v>431350</v>
      </c>
      <c r="K1332" s="1">
        <v>44866</v>
      </c>
      <c r="L1332" t="s">
        <v>1364</v>
      </c>
      <c r="M1332">
        <f t="shared" si="41"/>
        <v>431350</v>
      </c>
      <c r="N1332" t="e">
        <f>VLOOKUP(H1332,Sheet1!G:H,2,FALSE)</f>
        <v>#N/A</v>
      </c>
      <c r="R1332" t="s">
        <v>3256</v>
      </c>
      <c r="S1332">
        <v>0</v>
      </c>
    </row>
    <row r="1333" spans="1:19" x14ac:dyDescent="0.3">
      <c r="A1333" t="s">
        <v>8</v>
      </c>
      <c r="B1333">
        <f>VLOOKUP(A1333,Sheet2!B:F,5,FALSE)</f>
        <v>928</v>
      </c>
      <c r="C1333" t="s">
        <v>9</v>
      </c>
      <c r="D1333">
        <f>VLOOKUP(C1333,Sheet2!C:G,5,FALSE)</f>
        <v>1202</v>
      </c>
      <c r="E1333" t="s">
        <v>110</v>
      </c>
      <c r="F1333">
        <f>VLOOKUP(E1333,Sheet2!D:E,2,FALSE)</f>
        <v>929</v>
      </c>
      <c r="G1333" t="s">
        <v>11</v>
      </c>
      <c r="H1333" t="str">
        <f t="shared" si="40"/>
        <v>NAVERrealty1</v>
      </c>
      <c r="I1333" t="str">
        <f>"realty1"</f>
        <v>realty1</v>
      </c>
      <c r="J1333">
        <v>160420</v>
      </c>
      <c r="K1333" s="1">
        <v>44866</v>
      </c>
      <c r="L1333" t="s">
        <v>1365</v>
      </c>
      <c r="M1333">
        <f t="shared" si="41"/>
        <v>160420</v>
      </c>
      <c r="N1333" t="e">
        <f>VLOOKUP(H1333,Sheet1!G:H,2,FALSE)</f>
        <v>#N/A</v>
      </c>
      <c r="R1333" t="s">
        <v>3257</v>
      </c>
      <c r="S1333">
        <v>2379950</v>
      </c>
    </row>
    <row r="1334" spans="1:19" x14ac:dyDescent="0.3">
      <c r="A1334" t="s">
        <v>8</v>
      </c>
      <c r="B1334">
        <f>VLOOKUP(A1334,Sheet2!B:F,5,FALSE)</f>
        <v>928</v>
      </c>
      <c r="C1334" t="s">
        <v>9</v>
      </c>
      <c r="D1334">
        <f>VLOOKUP(C1334,Sheet2!C:G,5,FALSE)</f>
        <v>1202</v>
      </c>
      <c r="E1334" t="s">
        <v>37</v>
      </c>
      <c r="F1334">
        <f>VLOOKUP(E1334,Sheet2!D:E,2,FALSE)</f>
        <v>81</v>
      </c>
      <c r="G1334" t="s">
        <v>11</v>
      </c>
      <c r="H1334" t="str">
        <f t="shared" si="40"/>
        <v>NAVERredbnp</v>
      </c>
      <c r="I1334" t="str">
        <f>"redbnp"</f>
        <v>redbnp</v>
      </c>
      <c r="J1334">
        <v>649460</v>
      </c>
      <c r="K1334" s="1">
        <v>44866</v>
      </c>
      <c r="L1334" t="s">
        <v>1366</v>
      </c>
      <c r="M1334">
        <f t="shared" si="41"/>
        <v>649460</v>
      </c>
      <c r="N1334" t="e">
        <f>VLOOKUP(H1334,Sheet1!G:H,2,FALSE)</f>
        <v>#N/A</v>
      </c>
      <c r="R1334" t="s">
        <v>3258</v>
      </c>
      <c r="S1334">
        <v>1562330</v>
      </c>
    </row>
    <row r="1335" spans="1:19" x14ac:dyDescent="0.3">
      <c r="A1335" t="s">
        <v>41</v>
      </c>
      <c r="B1335">
        <f>VLOOKUP(A1335,Sheet2!B:F,5,FALSE)</f>
        <v>926</v>
      </c>
      <c r="C1335" t="s">
        <v>56</v>
      </c>
      <c r="D1335">
        <f>VLOOKUP(C1335,Sheet2!C:G,5,FALSE)</f>
        <v>1207</v>
      </c>
      <c r="E1335" t="s">
        <v>57</v>
      </c>
      <c r="F1335">
        <f>VLOOKUP(E1335,Sheet2!D:E,2,FALSE)</f>
        <v>200982</v>
      </c>
      <c r="G1335" t="s">
        <v>11</v>
      </c>
      <c r="H1335" t="str">
        <f t="shared" si="40"/>
        <v>NAVERredfox2585:naver</v>
      </c>
      <c r="I1335" t="str">
        <f>"redfox2585:naver"</f>
        <v>redfox2585:naver</v>
      </c>
      <c r="J1335">
        <v>7180</v>
      </c>
      <c r="K1335" s="1">
        <v>44866</v>
      </c>
      <c r="L1335" t="s">
        <v>1367</v>
      </c>
      <c r="M1335">
        <f t="shared" si="41"/>
        <v>7180</v>
      </c>
      <c r="N1335" t="e">
        <f>VLOOKUP(H1335,Sheet1!G:H,2,FALSE)</f>
        <v>#N/A</v>
      </c>
      <c r="R1335" t="s">
        <v>3259</v>
      </c>
      <c r="S1335">
        <v>229080</v>
      </c>
    </row>
    <row r="1336" spans="1:19" x14ac:dyDescent="0.3">
      <c r="A1336" t="s">
        <v>16</v>
      </c>
      <c r="B1336">
        <f>VLOOKUP(A1336,Sheet2!B:F,5,FALSE)</f>
        <v>927</v>
      </c>
      <c r="C1336" t="s">
        <v>17</v>
      </c>
      <c r="D1336">
        <f>VLOOKUP(C1336,Sheet2!C:G,5,FALSE)</f>
        <v>1200</v>
      </c>
      <c r="E1336" t="s">
        <v>100</v>
      </c>
      <c r="F1336">
        <f>VLOOKUP(E1336,Sheet2!D:E,2,FALSE)</f>
        <v>201038</v>
      </c>
      <c r="G1336" t="s">
        <v>11</v>
      </c>
      <c r="H1336" t="str">
        <f t="shared" si="40"/>
        <v>NAVERredpig0090</v>
      </c>
      <c r="I1336" t="str">
        <f>"redpig0090"</f>
        <v>redpig0090</v>
      </c>
      <c r="J1336">
        <v>36170</v>
      </c>
      <c r="K1336" s="1">
        <v>44866</v>
      </c>
      <c r="L1336" t="s">
        <v>1368</v>
      </c>
      <c r="M1336">
        <f t="shared" si="41"/>
        <v>36170</v>
      </c>
      <c r="N1336" t="e">
        <f>VLOOKUP(H1336,Sheet1!G:H,2,FALSE)</f>
        <v>#N/A</v>
      </c>
      <c r="R1336" t="s">
        <v>3260</v>
      </c>
      <c r="S1336">
        <v>10640</v>
      </c>
    </row>
    <row r="1337" spans="1:19" x14ac:dyDescent="0.3">
      <c r="A1337" t="s">
        <v>8</v>
      </c>
      <c r="B1337">
        <f>VLOOKUP(A1337,Sheet2!B:F,5,FALSE)</f>
        <v>928</v>
      </c>
      <c r="C1337" t="s">
        <v>9</v>
      </c>
      <c r="D1337">
        <f>VLOOKUP(C1337,Sheet2!C:G,5,FALSE)</f>
        <v>1202</v>
      </c>
      <c r="E1337" t="s">
        <v>35</v>
      </c>
      <c r="F1337">
        <f>VLOOKUP(E1337,Sheet2!D:E,2,FALSE)</f>
        <v>51</v>
      </c>
      <c r="G1337" t="s">
        <v>11</v>
      </c>
      <c r="H1337" t="str">
        <f t="shared" si="40"/>
        <v>NAVERremyshop</v>
      </c>
      <c r="I1337" t="str">
        <f>"remyshop"</f>
        <v>remyshop</v>
      </c>
      <c r="J1337">
        <v>1301389</v>
      </c>
      <c r="K1337" s="1">
        <v>44866</v>
      </c>
      <c r="L1337" t="s">
        <v>891</v>
      </c>
      <c r="M1337">
        <f t="shared" si="41"/>
        <v>1301436</v>
      </c>
      <c r="N1337" t="e">
        <f>VLOOKUP(H1337,Sheet1!G:H,2,FALSE)</f>
        <v>#N/A</v>
      </c>
      <c r="R1337" t="s">
        <v>3261</v>
      </c>
      <c r="S1337">
        <v>967300</v>
      </c>
    </row>
    <row r="1338" spans="1:19" x14ac:dyDescent="0.3">
      <c r="A1338" t="s">
        <v>8</v>
      </c>
      <c r="B1338">
        <f>VLOOKUP(A1338,Sheet2!B:F,5,FALSE)</f>
        <v>928</v>
      </c>
      <c r="C1338" t="s">
        <v>9</v>
      </c>
      <c r="D1338">
        <f>VLOOKUP(C1338,Sheet2!C:G,5,FALSE)</f>
        <v>1202</v>
      </c>
      <c r="E1338" t="s">
        <v>142</v>
      </c>
      <c r="F1338">
        <f>VLOOKUP(E1338,Sheet2!D:E,2,FALSE)</f>
        <v>652</v>
      </c>
      <c r="G1338" t="s">
        <v>11</v>
      </c>
      <c r="H1338" t="str">
        <f t="shared" si="40"/>
        <v>NAVERrenoma2716</v>
      </c>
      <c r="I1338" t="str">
        <f>"renoma2716"</f>
        <v>renoma2716</v>
      </c>
      <c r="J1338">
        <v>47950</v>
      </c>
      <c r="K1338" s="1">
        <v>44866</v>
      </c>
      <c r="L1338" t="s">
        <v>1369</v>
      </c>
      <c r="M1338" t="e">
        <f t="shared" si="41"/>
        <v>#N/A</v>
      </c>
      <c r="N1338" t="e">
        <f>VLOOKUP(H1338,Sheet1!G:H,2,FALSE)</f>
        <v>#N/A</v>
      </c>
      <c r="R1338" t="s">
        <v>3262</v>
      </c>
      <c r="S1338">
        <v>1780680</v>
      </c>
    </row>
    <row r="1339" spans="1:19" x14ac:dyDescent="0.3">
      <c r="A1339" t="s">
        <v>8</v>
      </c>
      <c r="B1339">
        <f>VLOOKUP(A1339,Sheet2!B:F,5,FALSE)</f>
        <v>928</v>
      </c>
      <c r="C1339" t="s">
        <v>13</v>
      </c>
      <c r="D1339">
        <f>VLOOKUP(C1339,Sheet2!C:G,5,FALSE)</f>
        <v>1184</v>
      </c>
      <c r="E1339" t="s">
        <v>217</v>
      </c>
      <c r="F1339">
        <f>VLOOKUP(E1339,Sheet2!D:E,2,FALSE)</f>
        <v>201027</v>
      </c>
      <c r="G1339" t="s">
        <v>11</v>
      </c>
      <c r="H1339" t="str">
        <f t="shared" si="40"/>
        <v>NAVERrentcar7253:naver</v>
      </c>
      <c r="I1339" t="str">
        <f>"rentcar7253:naver"</f>
        <v>rentcar7253:naver</v>
      </c>
      <c r="J1339">
        <v>70</v>
      </c>
      <c r="K1339" s="1">
        <v>44866</v>
      </c>
      <c r="L1339" t="s">
        <v>1370</v>
      </c>
      <c r="M1339">
        <f t="shared" si="41"/>
        <v>70</v>
      </c>
      <c r="N1339" t="e">
        <f>VLOOKUP(H1339,Sheet1!G:H,2,FALSE)</f>
        <v>#N/A</v>
      </c>
      <c r="R1339" t="s">
        <v>3263</v>
      </c>
      <c r="S1339">
        <v>25020</v>
      </c>
    </row>
    <row r="1340" spans="1:19" x14ac:dyDescent="0.3">
      <c r="A1340" t="s">
        <v>8</v>
      </c>
      <c r="B1340">
        <f>VLOOKUP(A1340,Sheet2!B:F,5,FALSE)</f>
        <v>928</v>
      </c>
      <c r="C1340" t="s">
        <v>9</v>
      </c>
      <c r="D1340">
        <f>VLOOKUP(C1340,Sheet2!C:G,5,FALSE)</f>
        <v>1202</v>
      </c>
      <c r="E1340" t="s">
        <v>35</v>
      </c>
      <c r="F1340">
        <f>VLOOKUP(E1340,Sheet2!D:E,2,FALSE)</f>
        <v>51</v>
      </c>
      <c r="G1340" t="s">
        <v>11</v>
      </c>
      <c r="H1340" t="str">
        <f t="shared" si="40"/>
        <v>NAVERrevyys</v>
      </c>
      <c r="I1340" t="str">
        <f>"revyys"</f>
        <v>revyys</v>
      </c>
      <c r="J1340">
        <v>740</v>
      </c>
      <c r="K1340" s="1">
        <v>44866</v>
      </c>
      <c r="L1340" t="s">
        <v>1371</v>
      </c>
      <c r="M1340">
        <f t="shared" si="41"/>
        <v>740</v>
      </c>
      <c r="N1340" t="e">
        <f>VLOOKUP(H1340,Sheet1!G:H,2,FALSE)</f>
        <v>#N/A</v>
      </c>
      <c r="R1340" t="s">
        <v>3264</v>
      </c>
      <c r="S1340">
        <v>2699910</v>
      </c>
    </row>
    <row r="1341" spans="1:19" x14ac:dyDescent="0.3">
      <c r="A1341" t="s">
        <v>41</v>
      </c>
      <c r="B1341">
        <f>VLOOKUP(A1341,Sheet2!B:F,5,FALSE)</f>
        <v>926</v>
      </c>
      <c r="C1341" t="s">
        <v>56</v>
      </c>
      <c r="D1341">
        <f>VLOOKUP(C1341,Sheet2!C:G,5,FALSE)</f>
        <v>1207</v>
      </c>
      <c r="E1341" t="s">
        <v>57</v>
      </c>
      <c r="F1341">
        <f>VLOOKUP(E1341,Sheet2!D:E,2,FALSE)</f>
        <v>200982</v>
      </c>
      <c r="G1341" t="s">
        <v>11</v>
      </c>
      <c r="H1341" t="str">
        <f t="shared" si="40"/>
        <v>NAVERrhaty</v>
      </c>
      <c r="I1341" t="str">
        <f>"rhaty"</f>
        <v>rhaty</v>
      </c>
      <c r="J1341">
        <v>17200</v>
      </c>
      <c r="K1341" s="1">
        <v>44866</v>
      </c>
      <c r="L1341" t="s">
        <v>1372</v>
      </c>
      <c r="M1341">
        <f t="shared" si="41"/>
        <v>17200</v>
      </c>
      <c r="N1341" t="e">
        <f>VLOOKUP(H1341,Sheet1!G:H,2,FALSE)</f>
        <v>#N/A</v>
      </c>
      <c r="R1341" t="s">
        <v>3265</v>
      </c>
      <c r="S1341">
        <v>3470</v>
      </c>
    </row>
    <row r="1342" spans="1:19" x14ac:dyDescent="0.3">
      <c r="A1342" t="s">
        <v>8</v>
      </c>
      <c r="B1342">
        <f>VLOOKUP(A1342,Sheet2!B:F,5,FALSE)</f>
        <v>928</v>
      </c>
      <c r="C1342" t="s">
        <v>13</v>
      </c>
      <c r="D1342">
        <f>VLOOKUP(C1342,Sheet2!C:G,5,FALSE)</f>
        <v>1184</v>
      </c>
      <c r="E1342" t="s">
        <v>14</v>
      </c>
      <c r="F1342">
        <f>VLOOKUP(E1342,Sheet2!D:E,2,FALSE)</f>
        <v>914</v>
      </c>
      <c r="G1342" t="s">
        <v>11</v>
      </c>
      <c r="H1342" t="str">
        <f t="shared" si="40"/>
        <v>NAVERrhkstn</v>
      </c>
      <c r="I1342" t="str">
        <f>"rhkstn"</f>
        <v>rhkstn</v>
      </c>
      <c r="J1342">
        <v>24890</v>
      </c>
      <c r="K1342" s="1">
        <v>44866</v>
      </c>
      <c r="L1342" t="s">
        <v>1373</v>
      </c>
      <c r="M1342">
        <f t="shared" si="41"/>
        <v>24890</v>
      </c>
      <c r="N1342" t="e">
        <f>VLOOKUP(H1342,Sheet1!G:H,2,FALSE)</f>
        <v>#N/A</v>
      </c>
      <c r="R1342" t="s">
        <v>3266</v>
      </c>
      <c r="S1342">
        <v>280</v>
      </c>
    </row>
    <row r="1343" spans="1:19" x14ac:dyDescent="0.3">
      <c r="A1343" t="s">
        <v>41</v>
      </c>
      <c r="B1343">
        <f>VLOOKUP(A1343,Sheet2!B:F,5,FALSE)</f>
        <v>926</v>
      </c>
      <c r="C1343" t="s">
        <v>56</v>
      </c>
      <c r="D1343">
        <f>VLOOKUP(C1343,Sheet2!C:G,5,FALSE)</f>
        <v>1207</v>
      </c>
      <c r="E1343" t="s">
        <v>64</v>
      </c>
      <c r="F1343">
        <f>VLOOKUP(E1343,Sheet2!D:E,2,FALSE)</f>
        <v>201011</v>
      </c>
      <c r="G1343" t="s">
        <v>11</v>
      </c>
      <c r="H1343" t="str">
        <f t="shared" si="40"/>
        <v>NAVERrhtnsdhr</v>
      </c>
      <c r="I1343" t="str">
        <f>"rhtnsdhr"</f>
        <v>rhtnsdhr</v>
      </c>
      <c r="J1343">
        <v>196210</v>
      </c>
      <c r="K1343" s="1">
        <v>44866</v>
      </c>
      <c r="L1343" t="s">
        <v>1374</v>
      </c>
      <c r="M1343">
        <f t="shared" si="41"/>
        <v>196210</v>
      </c>
      <c r="N1343" t="e">
        <f>VLOOKUP(H1343,Sheet1!G:H,2,FALSE)</f>
        <v>#N/A</v>
      </c>
      <c r="R1343" t="s">
        <v>3267</v>
      </c>
      <c r="S1343">
        <v>1188680</v>
      </c>
    </row>
    <row r="1344" spans="1:19" x14ac:dyDescent="0.3">
      <c r="A1344" t="s">
        <v>8</v>
      </c>
      <c r="B1344">
        <f>VLOOKUP(A1344,Sheet2!B:F,5,FALSE)</f>
        <v>928</v>
      </c>
      <c r="C1344" t="s">
        <v>9</v>
      </c>
      <c r="D1344">
        <f>VLOOKUP(C1344,Sheet2!C:G,5,FALSE)</f>
        <v>1202</v>
      </c>
      <c r="E1344" t="s">
        <v>27</v>
      </c>
      <c r="F1344">
        <f>VLOOKUP(E1344,Sheet2!D:E,2,FALSE)</f>
        <v>806</v>
      </c>
      <c r="G1344" t="s">
        <v>11</v>
      </c>
      <c r="H1344" t="str">
        <f t="shared" si="40"/>
        <v>NAVERrhwhdfla0901</v>
      </c>
      <c r="I1344" t="str">
        <f>"rhwhdfla0901"</f>
        <v>rhwhdfla0901</v>
      </c>
      <c r="J1344">
        <v>218100</v>
      </c>
      <c r="K1344" s="1">
        <v>44866</v>
      </c>
      <c r="L1344" t="s">
        <v>1375</v>
      </c>
      <c r="M1344">
        <f t="shared" si="41"/>
        <v>218100</v>
      </c>
      <c r="N1344" t="e">
        <f>VLOOKUP(H1344,Sheet1!G:H,2,FALSE)</f>
        <v>#N/A</v>
      </c>
      <c r="R1344" t="s">
        <v>3268</v>
      </c>
      <c r="S1344">
        <v>140</v>
      </c>
    </row>
    <row r="1345" spans="1:19" x14ac:dyDescent="0.3">
      <c r="A1345" t="s">
        <v>8</v>
      </c>
      <c r="B1345">
        <f>VLOOKUP(A1345,Sheet2!B:F,5,FALSE)</f>
        <v>928</v>
      </c>
      <c r="C1345" t="s">
        <v>9</v>
      </c>
      <c r="D1345">
        <f>VLOOKUP(C1345,Sheet2!C:G,5,FALSE)</f>
        <v>1202</v>
      </c>
      <c r="E1345" t="s">
        <v>27</v>
      </c>
      <c r="F1345">
        <f>VLOOKUP(E1345,Sheet2!D:E,2,FALSE)</f>
        <v>806</v>
      </c>
      <c r="G1345" t="s">
        <v>11</v>
      </c>
      <c r="H1345" t="str">
        <f t="shared" si="40"/>
        <v>NAVERrhwhdfla1619:naver</v>
      </c>
      <c r="I1345" t="str">
        <f>"rhwhdfla1619:naver"</f>
        <v>rhwhdfla1619:naver</v>
      </c>
      <c r="J1345">
        <v>856580</v>
      </c>
      <c r="K1345" s="1">
        <v>44866</v>
      </c>
      <c r="L1345" t="s">
        <v>1375</v>
      </c>
      <c r="M1345">
        <f t="shared" si="41"/>
        <v>856580</v>
      </c>
      <c r="N1345" t="e">
        <f>VLOOKUP(H1345,Sheet1!G:H,2,FALSE)</f>
        <v>#N/A</v>
      </c>
      <c r="R1345" t="s">
        <v>3269</v>
      </c>
      <c r="S1345">
        <v>2607890</v>
      </c>
    </row>
    <row r="1346" spans="1:19" x14ac:dyDescent="0.3">
      <c r="A1346" t="s">
        <v>8</v>
      </c>
      <c r="B1346">
        <f>VLOOKUP(A1346,Sheet2!B:F,5,FALSE)</f>
        <v>928</v>
      </c>
      <c r="C1346" t="s">
        <v>9</v>
      </c>
      <c r="D1346">
        <f>VLOOKUP(C1346,Sheet2!C:G,5,FALSE)</f>
        <v>1202</v>
      </c>
      <c r="E1346" t="s">
        <v>45</v>
      </c>
      <c r="F1346">
        <f>VLOOKUP(E1346,Sheet2!D:E,2,FALSE)</f>
        <v>26</v>
      </c>
      <c r="G1346" t="s">
        <v>11</v>
      </c>
      <c r="H1346" t="str">
        <f t="shared" si="40"/>
        <v>NAVERriddlsdnstn</v>
      </c>
      <c r="I1346" t="str">
        <f>"riddlsdnstn"</f>
        <v>riddlsdnstn</v>
      </c>
      <c r="J1346">
        <v>192230</v>
      </c>
      <c r="K1346" s="1">
        <v>44866</v>
      </c>
      <c r="L1346" t="s">
        <v>1376</v>
      </c>
      <c r="M1346">
        <f t="shared" si="41"/>
        <v>192230</v>
      </c>
      <c r="N1346" t="e">
        <f>VLOOKUP(H1346,Sheet1!G:H,2,FALSE)</f>
        <v>#N/A</v>
      </c>
      <c r="R1346" t="s">
        <v>3270</v>
      </c>
      <c r="S1346">
        <v>70</v>
      </c>
    </row>
    <row r="1347" spans="1:19" x14ac:dyDescent="0.3">
      <c r="A1347" t="s">
        <v>8</v>
      </c>
      <c r="B1347">
        <f>VLOOKUP(A1347,Sheet2!B:F,5,FALSE)</f>
        <v>928</v>
      </c>
      <c r="C1347" t="s">
        <v>9</v>
      </c>
      <c r="D1347">
        <f>VLOOKUP(C1347,Sheet2!C:G,5,FALSE)</f>
        <v>1202</v>
      </c>
      <c r="E1347" t="s">
        <v>37</v>
      </c>
      <c r="F1347">
        <f>VLOOKUP(E1347,Sheet2!D:E,2,FALSE)</f>
        <v>81</v>
      </c>
      <c r="G1347" t="s">
        <v>11</v>
      </c>
      <c r="H1347" t="str">
        <f t="shared" ref="H1347:H1410" si="42">CONCATENATE(G1347,I1347)</f>
        <v>NAVERrinnai7000</v>
      </c>
      <c r="I1347" t="str">
        <f>"rinnai7000"</f>
        <v>rinnai7000</v>
      </c>
      <c r="J1347">
        <v>191960</v>
      </c>
      <c r="K1347" s="1">
        <v>44866</v>
      </c>
      <c r="L1347" t="s">
        <v>1377</v>
      </c>
      <c r="M1347">
        <f t="shared" ref="M1347:M1410" si="43">VLOOKUP(H1347,R:S,2,FALSE)</f>
        <v>191960</v>
      </c>
      <c r="N1347" t="e">
        <f>VLOOKUP(H1347,Sheet1!G:H,2,FALSE)</f>
        <v>#N/A</v>
      </c>
      <c r="R1347" t="s">
        <v>3271</v>
      </c>
      <c r="S1347">
        <v>6860</v>
      </c>
    </row>
    <row r="1348" spans="1:19" x14ac:dyDescent="0.3">
      <c r="A1348" t="s">
        <v>8</v>
      </c>
      <c r="B1348">
        <f>VLOOKUP(A1348,Sheet2!B:F,5,FALSE)</f>
        <v>928</v>
      </c>
      <c r="C1348" t="s">
        <v>9</v>
      </c>
      <c r="D1348">
        <f>VLOOKUP(C1348,Sheet2!C:G,5,FALSE)</f>
        <v>1202</v>
      </c>
      <c r="E1348" t="s">
        <v>10</v>
      </c>
      <c r="F1348">
        <f>VLOOKUP(E1348,Sheet2!D:E,2,FALSE)</f>
        <v>939</v>
      </c>
      <c r="G1348" t="s">
        <v>11</v>
      </c>
      <c r="H1348" t="str">
        <f t="shared" si="42"/>
        <v>NAVERrkwk59</v>
      </c>
      <c r="I1348" t="str">
        <f>"rkwk59"</f>
        <v>rkwk59</v>
      </c>
      <c r="J1348">
        <v>940740</v>
      </c>
      <c r="K1348" s="1">
        <v>44866</v>
      </c>
      <c r="L1348" t="s">
        <v>1378</v>
      </c>
      <c r="M1348">
        <f t="shared" si="43"/>
        <v>940740</v>
      </c>
      <c r="N1348" t="e">
        <f>VLOOKUP(H1348,Sheet1!G:H,2,FALSE)</f>
        <v>#N/A</v>
      </c>
      <c r="R1348" t="s">
        <v>3272</v>
      </c>
      <c r="S1348">
        <v>5293450</v>
      </c>
    </row>
    <row r="1349" spans="1:19" x14ac:dyDescent="0.3">
      <c r="A1349" t="s">
        <v>8</v>
      </c>
      <c r="B1349">
        <f>VLOOKUP(A1349,Sheet2!B:F,5,FALSE)</f>
        <v>928</v>
      </c>
      <c r="C1349" t="s">
        <v>13</v>
      </c>
      <c r="D1349">
        <f>VLOOKUP(C1349,Sheet2!C:G,5,FALSE)</f>
        <v>1184</v>
      </c>
      <c r="E1349" t="s">
        <v>51</v>
      </c>
      <c r="F1349">
        <f>VLOOKUP(E1349,Sheet2!D:E,2,FALSE)</f>
        <v>1274</v>
      </c>
      <c r="G1349" t="s">
        <v>11</v>
      </c>
      <c r="H1349" t="str">
        <f t="shared" si="42"/>
        <v>NAVERrkwk82</v>
      </c>
      <c r="I1349" t="str">
        <f>"rkwk82"</f>
        <v>rkwk82</v>
      </c>
      <c r="J1349">
        <v>66780</v>
      </c>
      <c r="K1349" s="1">
        <v>44866</v>
      </c>
      <c r="L1349" t="s">
        <v>1379</v>
      </c>
      <c r="M1349">
        <f t="shared" si="43"/>
        <v>66780</v>
      </c>
      <c r="N1349" t="e">
        <f>VLOOKUP(H1349,Sheet1!G:H,2,FALSE)</f>
        <v>#N/A</v>
      </c>
      <c r="R1349" t="s">
        <v>3273</v>
      </c>
      <c r="S1349">
        <v>3976310</v>
      </c>
    </row>
    <row r="1350" spans="1:19" x14ac:dyDescent="0.3">
      <c r="A1350" t="s">
        <v>8</v>
      </c>
      <c r="B1350">
        <f>VLOOKUP(A1350,Sheet2!B:F,5,FALSE)</f>
        <v>928</v>
      </c>
      <c r="C1350" t="s">
        <v>13</v>
      </c>
      <c r="D1350">
        <f>VLOOKUP(C1350,Sheet2!C:G,5,FALSE)</f>
        <v>1184</v>
      </c>
      <c r="E1350" t="s">
        <v>51</v>
      </c>
      <c r="F1350">
        <f>VLOOKUP(E1350,Sheet2!D:E,2,FALSE)</f>
        <v>1274</v>
      </c>
      <c r="G1350" t="s">
        <v>11</v>
      </c>
      <c r="H1350" t="str">
        <f t="shared" si="42"/>
        <v>NAVERrkwktngh123</v>
      </c>
      <c r="I1350" t="str">
        <f>"rkwktngh123"</f>
        <v>rkwktngh123</v>
      </c>
      <c r="J1350">
        <v>35670</v>
      </c>
      <c r="K1350" s="1">
        <v>44866</v>
      </c>
      <c r="L1350" t="s">
        <v>1380</v>
      </c>
      <c r="M1350">
        <f t="shared" si="43"/>
        <v>35670</v>
      </c>
      <c r="N1350" t="e">
        <f>VLOOKUP(H1350,Sheet1!G:H,2,FALSE)</f>
        <v>#N/A</v>
      </c>
      <c r="R1350" t="s">
        <v>3274</v>
      </c>
      <c r="S1350">
        <v>1163150</v>
      </c>
    </row>
    <row r="1351" spans="1:19" x14ac:dyDescent="0.3">
      <c r="A1351" t="s">
        <v>22</v>
      </c>
      <c r="B1351">
        <f>VLOOKUP(A1351,Sheet2!B:F,5,FALSE)</f>
        <v>809</v>
      </c>
      <c r="C1351" t="s">
        <v>23</v>
      </c>
      <c r="D1351">
        <f>VLOOKUP(C1351,Sheet2!C:G,5,FALSE)</f>
        <v>810</v>
      </c>
      <c r="E1351" t="s">
        <v>86</v>
      </c>
      <c r="F1351">
        <f>VLOOKUP(E1351,Sheet2!D:E,2,FALSE)</f>
        <v>201021</v>
      </c>
      <c r="G1351" t="s">
        <v>11</v>
      </c>
      <c r="H1351" t="str">
        <f t="shared" si="42"/>
        <v>NAVERrla3830:naver</v>
      </c>
      <c r="I1351" t="str">
        <f>"rla3830:naver"</f>
        <v>rla3830:naver</v>
      </c>
      <c r="J1351">
        <v>270010</v>
      </c>
      <c r="K1351" s="1">
        <v>44866</v>
      </c>
      <c r="L1351" t="s">
        <v>1381</v>
      </c>
      <c r="M1351">
        <f t="shared" si="43"/>
        <v>270010</v>
      </c>
      <c r="N1351" t="e">
        <f>VLOOKUP(H1351,Sheet1!G:H,2,FALSE)</f>
        <v>#N/A</v>
      </c>
      <c r="R1351" t="s">
        <v>3275</v>
      </c>
      <c r="S1351">
        <v>433870</v>
      </c>
    </row>
    <row r="1352" spans="1:19" x14ac:dyDescent="0.3">
      <c r="A1352" t="s">
        <v>8</v>
      </c>
      <c r="B1352">
        <f>VLOOKUP(A1352,Sheet2!B:F,5,FALSE)</f>
        <v>928</v>
      </c>
      <c r="C1352" t="s">
        <v>13</v>
      </c>
      <c r="D1352">
        <f>VLOOKUP(C1352,Sheet2!C:G,5,FALSE)</f>
        <v>1184</v>
      </c>
      <c r="E1352" t="s">
        <v>59</v>
      </c>
      <c r="F1352">
        <f>VLOOKUP(E1352,Sheet2!D:E,2,FALSE)</f>
        <v>9</v>
      </c>
      <c r="G1352" t="s">
        <v>11</v>
      </c>
      <c r="H1352" t="str">
        <f t="shared" si="42"/>
        <v>NAVERrlaehddls</v>
      </c>
      <c r="I1352" t="str">
        <f>"rlaehddls"</f>
        <v>rlaehddls</v>
      </c>
      <c r="J1352">
        <v>1202080</v>
      </c>
      <c r="K1352" s="1">
        <v>44866</v>
      </c>
      <c r="L1352" t="s">
        <v>1382</v>
      </c>
      <c r="M1352">
        <f t="shared" si="43"/>
        <v>1202080</v>
      </c>
      <c r="N1352" t="e">
        <f>VLOOKUP(H1352,Sheet1!G:H,2,FALSE)</f>
        <v>#N/A</v>
      </c>
      <c r="R1352" t="s">
        <v>3276</v>
      </c>
      <c r="S1352">
        <v>38610</v>
      </c>
    </row>
    <row r="1353" spans="1:19" x14ac:dyDescent="0.3">
      <c r="A1353" t="s">
        <v>16</v>
      </c>
      <c r="B1353">
        <f>VLOOKUP(A1353,Sheet2!B:F,5,FALSE)</f>
        <v>927</v>
      </c>
      <c r="C1353" t="s">
        <v>17</v>
      </c>
      <c r="D1353">
        <f>VLOOKUP(C1353,Sheet2!C:G,5,FALSE)</f>
        <v>1200</v>
      </c>
      <c r="E1353" t="s">
        <v>93</v>
      </c>
      <c r="F1353">
        <f>VLOOKUP(E1353,Sheet2!D:E,2,FALSE)</f>
        <v>930</v>
      </c>
      <c r="G1353" t="s">
        <v>11</v>
      </c>
      <c r="H1353" t="str">
        <f t="shared" si="42"/>
        <v>NAVERrlaghtjd777:naver</v>
      </c>
      <c r="I1353" t="str">
        <f>"rlaghtjd777:naver"</f>
        <v>rlaghtjd777:naver</v>
      </c>
      <c r="J1353">
        <v>30903370</v>
      </c>
      <c r="K1353" s="1">
        <v>44866</v>
      </c>
      <c r="L1353" t="s">
        <v>1383</v>
      </c>
      <c r="M1353">
        <f t="shared" si="43"/>
        <v>30903370</v>
      </c>
      <c r="N1353" t="e">
        <f>VLOOKUP(H1353,Sheet1!G:H,2,FALSE)</f>
        <v>#N/A</v>
      </c>
      <c r="R1353" t="s">
        <v>3277</v>
      </c>
      <c r="S1353">
        <v>0</v>
      </c>
    </row>
    <row r="1354" spans="1:19" x14ac:dyDescent="0.3">
      <c r="A1354" t="s">
        <v>8</v>
      </c>
      <c r="B1354">
        <f>VLOOKUP(A1354,Sheet2!B:F,5,FALSE)</f>
        <v>928</v>
      </c>
      <c r="C1354" t="s">
        <v>13</v>
      </c>
      <c r="D1354">
        <f>VLOOKUP(C1354,Sheet2!C:G,5,FALSE)</f>
        <v>1184</v>
      </c>
      <c r="E1354" t="s">
        <v>115</v>
      </c>
      <c r="F1354">
        <f>VLOOKUP(E1354,Sheet2!D:E,2,FALSE)</f>
        <v>1548</v>
      </c>
      <c r="G1354" t="s">
        <v>11</v>
      </c>
      <c r="H1354" t="str">
        <f t="shared" si="42"/>
        <v>NAVERrlagodnr</v>
      </c>
      <c r="I1354" t="str">
        <f>"rlagodnr"</f>
        <v>rlagodnr</v>
      </c>
      <c r="J1354">
        <v>140780</v>
      </c>
      <c r="K1354" s="1">
        <v>44866</v>
      </c>
      <c r="L1354" t="s">
        <v>1384</v>
      </c>
      <c r="M1354">
        <f t="shared" si="43"/>
        <v>140780</v>
      </c>
      <c r="N1354" t="e">
        <f>VLOOKUP(H1354,Sheet1!G:H,2,FALSE)</f>
        <v>#N/A</v>
      </c>
      <c r="R1354" t="s">
        <v>3278</v>
      </c>
      <c r="S1354">
        <v>22039480</v>
      </c>
    </row>
    <row r="1355" spans="1:19" x14ac:dyDescent="0.3">
      <c r="A1355" t="s">
        <v>16</v>
      </c>
      <c r="B1355">
        <f>VLOOKUP(A1355,Sheet2!B:F,5,FALSE)</f>
        <v>927</v>
      </c>
      <c r="C1355" t="s">
        <v>17</v>
      </c>
      <c r="D1355">
        <f>VLOOKUP(C1355,Sheet2!C:G,5,FALSE)</f>
        <v>1200</v>
      </c>
      <c r="E1355" t="s">
        <v>244</v>
      </c>
      <c r="F1355">
        <f>VLOOKUP(E1355,Sheet2!D:E,2,FALSE)</f>
        <v>817</v>
      </c>
      <c r="G1355" t="s">
        <v>11</v>
      </c>
      <c r="H1355" t="str">
        <f t="shared" si="42"/>
        <v>NAVERrlarlfwk1088:naver</v>
      </c>
      <c r="I1355" t="str">
        <f>"rlarlfwk1088:naver"</f>
        <v>rlarlfwk1088:naver</v>
      </c>
      <c r="J1355">
        <v>172440</v>
      </c>
      <c r="K1355" s="1">
        <v>44866</v>
      </c>
      <c r="L1355" t="s">
        <v>1385</v>
      </c>
      <c r="M1355">
        <f t="shared" si="43"/>
        <v>172440</v>
      </c>
      <c r="N1355" t="e">
        <f>VLOOKUP(H1355,Sheet1!G:H,2,FALSE)</f>
        <v>#N/A</v>
      </c>
      <c r="R1355" t="s">
        <v>3279</v>
      </c>
      <c r="S1355">
        <v>1357400</v>
      </c>
    </row>
    <row r="1356" spans="1:19" x14ac:dyDescent="0.3">
      <c r="A1356" t="s">
        <v>8</v>
      </c>
      <c r="B1356">
        <f>VLOOKUP(A1356,Sheet2!B:F,5,FALSE)</f>
        <v>928</v>
      </c>
      <c r="C1356" t="s">
        <v>9</v>
      </c>
      <c r="D1356">
        <f>VLOOKUP(C1356,Sheet2!C:G,5,FALSE)</f>
        <v>1202</v>
      </c>
      <c r="E1356" t="s">
        <v>47</v>
      </c>
      <c r="F1356">
        <f>VLOOKUP(E1356,Sheet2!D:E,2,FALSE)</f>
        <v>898</v>
      </c>
      <c r="G1356" t="s">
        <v>11</v>
      </c>
      <c r="H1356" t="str">
        <f t="shared" si="42"/>
        <v>NAVERrlatnscns</v>
      </c>
      <c r="I1356" t="str">
        <f>"rlatnscns"</f>
        <v>rlatnscns</v>
      </c>
      <c r="J1356">
        <v>88830</v>
      </c>
      <c r="K1356" s="1">
        <v>44866</v>
      </c>
      <c r="L1356" t="s">
        <v>1386</v>
      </c>
      <c r="M1356">
        <f t="shared" si="43"/>
        <v>30330</v>
      </c>
      <c r="N1356" t="e">
        <f>VLOOKUP(H1356,Sheet1!G:H,2,FALSE)</f>
        <v>#N/A</v>
      </c>
      <c r="R1356" t="s">
        <v>3280</v>
      </c>
      <c r="S1356">
        <v>2200</v>
      </c>
    </row>
    <row r="1357" spans="1:19" x14ac:dyDescent="0.3">
      <c r="A1357" t="s">
        <v>8</v>
      </c>
      <c r="B1357">
        <f>VLOOKUP(A1357,Sheet2!B:F,5,FALSE)</f>
        <v>928</v>
      </c>
      <c r="C1357" t="s">
        <v>9</v>
      </c>
      <c r="D1357">
        <f>VLOOKUP(C1357,Sheet2!C:G,5,FALSE)</f>
        <v>1202</v>
      </c>
      <c r="E1357" t="s">
        <v>45</v>
      </c>
      <c r="F1357">
        <f>VLOOKUP(E1357,Sheet2!D:E,2,FALSE)</f>
        <v>26</v>
      </c>
      <c r="G1357" t="s">
        <v>11</v>
      </c>
      <c r="H1357" t="str">
        <f t="shared" si="42"/>
        <v>NAVERrlawnals5481</v>
      </c>
      <c r="I1357" t="str">
        <f>"rlawnals5481"</f>
        <v>rlawnals5481</v>
      </c>
      <c r="J1357">
        <v>130900</v>
      </c>
      <c r="K1357" s="1">
        <v>44866</v>
      </c>
      <c r="L1357" t="s">
        <v>1387</v>
      </c>
      <c r="M1357">
        <f t="shared" si="43"/>
        <v>130900</v>
      </c>
      <c r="N1357" t="e">
        <f>VLOOKUP(H1357,Sheet1!G:H,2,FALSE)</f>
        <v>#N/A</v>
      </c>
      <c r="R1357" t="s">
        <v>3281</v>
      </c>
      <c r="S1357">
        <v>799700</v>
      </c>
    </row>
    <row r="1358" spans="1:19" x14ac:dyDescent="0.3">
      <c r="A1358" t="s">
        <v>8</v>
      </c>
      <c r="B1358">
        <f>VLOOKUP(A1358,Sheet2!B:F,5,FALSE)</f>
        <v>928</v>
      </c>
      <c r="C1358" t="s">
        <v>13</v>
      </c>
      <c r="D1358">
        <f>VLOOKUP(C1358,Sheet2!C:G,5,FALSE)</f>
        <v>1184</v>
      </c>
      <c r="E1358" t="s">
        <v>14</v>
      </c>
      <c r="F1358">
        <f>VLOOKUP(E1358,Sheet2!D:E,2,FALSE)</f>
        <v>914</v>
      </c>
      <c r="G1358" t="s">
        <v>11</v>
      </c>
      <c r="H1358" t="str">
        <f t="shared" si="42"/>
        <v>NAVERrmafmd101</v>
      </c>
      <c r="I1358" t="str">
        <f>"rmafmd101"</f>
        <v>rmafmd101</v>
      </c>
      <c r="J1358">
        <v>767650</v>
      </c>
      <c r="K1358" s="1">
        <v>44866</v>
      </c>
      <c r="L1358" t="s">
        <v>1388</v>
      </c>
      <c r="M1358">
        <f t="shared" si="43"/>
        <v>767650</v>
      </c>
      <c r="N1358" t="e">
        <f>VLOOKUP(H1358,Sheet1!G:H,2,FALSE)</f>
        <v>#N/A</v>
      </c>
      <c r="R1358" t="s">
        <v>3282</v>
      </c>
      <c r="S1358">
        <v>244680</v>
      </c>
    </row>
    <row r="1359" spans="1:19" x14ac:dyDescent="0.3">
      <c r="A1359" t="s">
        <v>8</v>
      </c>
      <c r="B1359">
        <f>VLOOKUP(A1359,Sheet2!B:F,5,FALSE)</f>
        <v>928</v>
      </c>
      <c r="C1359" t="s">
        <v>9</v>
      </c>
      <c r="D1359">
        <f>VLOOKUP(C1359,Sheet2!C:G,5,FALSE)</f>
        <v>1202</v>
      </c>
      <c r="E1359" t="s">
        <v>37</v>
      </c>
      <c r="F1359">
        <f>VLOOKUP(E1359,Sheet2!D:E,2,FALSE)</f>
        <v>81</v>
      </c>
      <c r="G1359" t="s">
        <v>11</v>
      </c>
      <c r="H1359" t="str">
        <f t="shared" si="42"/>
        <v>NAVERrna6612:naver</v>
      </c>
      <c r="I1359" t="str">
        <f>"rna6612:naver"</f>
        <v>rna6612:naver</v>
      </c>
      <c r="J1359">
        <v>569900</v>
      </c>
      <c r="K1359" s="1">
        <v>44866</v>
      </c>
      <c r="L1359" t="s">
        <v>625</v>
      </c>
      <c r="M1359">
        <f t="shared" si="43"/>
        <v>569900</v>
      </c>
      <c r="N1359" t="e">
        <f>VLOOKUP(H1359,Sheet1!G:H,2,FALSE)</f>
        <v>#N/A</v>
      </c>
      <c r="R1359" t="s">
        <v>3283</v>
      </c>
      <c r="S1359">
        <v>20350</v>
      </c>
    </row>
    <row r="1360" spans="1:19" x14ac:dyDescent="0.3">
      <c r="A1360" t="s">
        <v>41</v>
      </c>
      <c r="B1360">
        <f>VLOOKUP(A1360,Sheet2!B:F,5,FALSE)</f>
        <v>926</v>
      </c>
      <c r="C1360" t="s">
        <v>56</v>
      </c>
      <c r="D1360">
        <f>VLOOKUP(C1360,Sheet2!C:G,5,FALSE)</f>
        <v>1207</v>
      </c>
      <c r="E1360" t="s">
        <v>253</v>
      </c>
      <c r="F1360">
        <f>VLOOKUP(E1360,Sheet2!D:E,2,FALSE)</f>
        <v>1328</v>
      </c>
      <c r="G1360" t="s">
        <v>11</v>
      </c>
      <c r="H1360" t="str">
        <f t="shared" si="42"/>
        <v>NAVERrngj07</v>
      </c>
      <c r="I1360" t="str">
        <f>"rngj07"</f>
        <v>rngj07</v>
      </c>
      <c r="J1360">
        <v>209030</v>
      </c>
      <c r="K1360" s="1">
        <v>44866</v>
      </c>
      <c r="L1360" t="s">
        <v>1389</v>
      </c>
      <c r="M1360">
        <f t="shared" si="43"/>
        <v>209030</v>
      </c>
      <c r="N1360" t="e">
        <f>VLOOKUP(H1360,Sheet1!G:H,2,FALSE)</f>
        <v>#N/A</v>
      </c>
      <c r="R1360" t="s">
        <v>3284</v>
      </c>
      <c r="S1360">
        <v>244880</v>
      </c>
    </row>
    <row r="1361" spans="1:19" x14ac:dyDescent="0.3">
      <c r="A1361" t="s">
        <v>8</v>
      </c>
      <c r="B1361">
        <f>VLOOKUP(A1361,Sheet2!B:F,5,FALSE)</f>
        <v>928</v>
      </c>
      <c r="C1361" t="s">
        <v>9</v>
      </c>
      <c r="D1361">
        <f>VLOOKUP(C1361,Sheet2!C:G,5,FALSE)</f>
        <v>1202</v>
      </c>
      <c r="E1361" t="s">
        <v>73</v>
      </c>
      <c r="F1361">
        <f>VLOOKUP(E1361,Sheet2!D:E,2,FALSE)</f>
        <v>895</v>
      </c>
      <c r="G1361" t="s">
        <v>11</v>
      </c>
      <c r="H1361" t="str">
        <f t="shared" si="42"/>
        <v>NAVERrnrudghks</v>
      </c>
      <c r="I1361" t="str">
        <f>"rnrudghks"</f>
        <v>rnrudghks</v>
      </c>
      <c r="J1361">
        <v>832420</v>
      </c>
      <c r="K1361" s="1">
        <v>44866</v>
      </c>
      <c r="L1361" t="s">
        <v>1390</v>
      </c>
      <c r="M1361">
        <f t="shared" si="43"/>
        <v>832420</v>
      </c>
      <c r="N1361" t="e">
        <f>VLOOKUP(H1361,Sheet1!G:H,2,FALSE)</f>
        <v>#N/A</v>
      </c>
      <c r="R1361" t="s">
        <v>3285</v>
      </c>
      <c r="S1361">
        <v>3930</v>
      </c>
    </row>
    <row r="1362" spans="1:19" x14ac:dyDescent="0.3">
      <c r="A1362" t="s">
        <v>16</v>
      </c>
      <c r="B1362">
        <f>VLOOKUP(A1362,Sheet2!B:F,5,FALSE)</f>
        <v>927</v>
      </c>
      <c r="C1362" t="s">
        <v>17</v>
      </c>
      <c r="D1362">
        <f>VLOOKUP(C1362,Sheet2!C:G,5,FALSE)</f>
        <v>1200</v>
      </c>
      <c r="E1362" t="s">
        <v>170</v>
      </c>
      <c r="F1362">
        <f>VLOOKUP(E1362,Sheet2!D:E,2,FALSE)</f>
        <v>1530</v>
      </c>
      <c r="G1362" t="s">
        <v>11</v>
      </c>
      <c r="H1362" t="str">
        <f t="shared" si="42"/>
        <v>NAVERroho0012:naver</v>
      </c>
      <c r="I1362" t="str">
        <f>"roho0012:naver"</f>
        <v>roho0012:naver</v>
      </c>
      <c r="J1362">
        <v>10970</v>
      </c>
      <c r="K1362" s="1">
        <v>44866</v>
      </c>
      <c r="L1362" t="s">
        <v>1391</v>
      </c>
      <c r="M1362">
        <f t="shared" si="43"/>
        <v>10970</v>
      </c>
      <c r="N1362" t="e">
        <f>VLOOKUP(H1362,Sheet1!G:H,2,FALSE)</f>
        <v>#N/A</v>
      </c>
      <c r="R1362" t="s">
        <v>3286</v>
      </c>
      <c r="S1362">
        <v>137000</v>
      </c>
    </row>
    <row r="1363" spans="1:19" x14ac:dyDescent="0.3">
      <c r="A1363" t="s">
        <v>8</v>
      </c>
      <c r="B1363">
        <f>VLOOKUP(A1363,Sheet2!B:F,5,FALSE)</f>
        <v>928</v>
      </c>
      <c r="C1363" t="s">
        <v>13</v>
      </c>
      <c r="D1363">
        <f>VLOOKUP(C1363,Sheet2!C:G,5,FALSE)</f>
        <v>1184</v>
      </c>
      <c r="E1363" t="s">
        <v>217</v>
      </c>
      <c r="F1363">
        <f>VLOOKUP(E1363,Sheet2!D:E,2,FALSE)</f>
        <v>201027</v>
      </c>
      <c r="G1363" t="s">
        <v>11</v>
      </c>
      <c r="H1363" t="str">
        <f t="shared" si="42"/>
        <v>NAVERroidesign</v>
      </c>
      <c r="I1363" t="str">
        <f>"roidesign"</f>
        <v>roidesign</v>
      </c>
      <c r="J1363">
        <v>18490</v>
      </c>
      <c r="K1363" s="1">
        <v>44866</v>
      </c>
      <c r="L1363" t="s">
        <v>1392</v>
      </c>
      <c r="M1363">
        <f t="shared" si="43"/>
        <v>18490</v>
      </c>
      <c r="N1363" t="e">
        <f>VLOOKUP(H1363,Sheet1!G:H,2,FALSE)</f>
        <v>#N/A</v>
      </c>
      <c r="R1363" t="s">
        <v>3287</v>
      </c>
      <c r="S1363">
        <v>636150</v>
      </c>
    </row>
    <row r="1364" spans="1:19" x14ac:dyDescent="0.3">
      <c r="A1364" t="s">
        <v>41</v>
      </c>
      <c r="B1364">
        <f>VLOOKUP(A1364,Sheet2!B:F,5,FALSE)</f>
        <v>926</v>
      </c>
      <c r="C1364" t="s">
        <v>56</v>
      </c>
      <c r="D1364">
        <f>VLOOKUP(C1364,Sheet2!C:G,5,FALSE)</f>
        <v>1207</v>
      </c>
      <c r="E1364" t="s">
        <v>57</v>
      </c>
      <c r="F1364">
        <f>VLOOKUP(E1364,Sheet2!D:E,2,FALSE)</f>
        <v>200982</v>
      </c>
      <c r="G1364" t="s">
        <v>11</v>
      </c>
      <c r="H1364" t="str">
        <f t="shared" si="42"/>
        <v>NAVERrollent</v>
      </c>
      <c r="I1364" t="str">
        <f>"rollent"</f>
        <v>rollent</v>
      </c>
      <c r="J1364">
        <v>1215480</v>
      </c>
      <c r="K1364" s="1">
        <v>44866</v>
      </c>
      <c r="L1364" t="s">
        <v>1393</v>
      </c>
      <c r="M1364">
        <f t="shared" si="43"/>
        <v>1215480</v>
      </c>
      <c r="N1364" t="e">
        <f>VLOOKUP(H1364,Sheet1!G:H,2,FALSE)</f>
        <v>#N/A</v>
      </c>
      <c r="R1364" t="s">
        <v>3288</v>
      </c>
      <c r="S1364">
        <v>309640</v>
      </c>
    </row>
    <row r="1365" spans="1:19" x14ac:dyDescent="0.3">
      <c r="A1365" t="s">
        <v>16</v>
      </c>
      <c r="B1365">
        <f>VLOOKUP(A1365,Sheet2!B:F,5,FALSE)</f>
        <v>927</v>
      </c>
      <c r="C1365" t="s">
        <v>17</v>
      </c>
      <c r="D1365">
        <f>VLOOKUP(C1365,Sheet2!C:G,5,FALSE)</f>
        <v>1200</v>
      </c>
      <c r="E1365" t="s">
        <v>137</v>
      </c>
      <c r="F1365">
        <f>VLOOKUP(E1365,Sheet2!D:E,2,FALSE)</f>
        <v>1012</v>
      </c>
      <c r="G1365" t="s">
        <v>11</v>
      </c>
      <c r="H1365" t="str">
        <f t="shared" si="42"/>
        <v>NAVERromannism</v>
      </c>
      <c r="I1365" t="str">
        <f>"romannism"</f>
        <v>romannism</v>
      </c>
      <c r="J1365">
        <v>2327620</v>
      </c>
      <c r="K1365" s="1">
        <v>44866</v>
      </c>
      <c r="L1365" t="s">
        <v>1394</v>
      </c>
      <c r="M1365">
        <f t="shared" si="43"/>
        <v>2327620</v>
      </c>
      <c r="N1365" t="e">
        <f>VLOOKUP(H1365,Sheet1!G:H,2,FALSE)</f>
        <v>#N/A</v>
      </c>
      <c r="R1365" t="s">
        <v>3289</v>
      </c>
      <c r="S1365">
        <v>613430</v>
      </c>
    </row>
    <row r="1366" spans="1:19" x14ac:dyDescent="0.3">
      <c r="A1366" t="s">
        <v>16</v>
      </c>
      <c r="B1366">
        <f>VLOOKUP(A1366,Sheet2!B:F,5,FALSE)</f>
        <v>927</v>
      </c>
      <c r="C1366" t="s">
        <v>17</v>
      </c>
      <c r="D1366">
        <f>VLOOKUP(C1366,Sheet2!C:G,5,FALSE)</f>
        <v>1200</v>
      </c>
      <c r="E1366" t="s">
        <v>29</v>
      </c>
      <c r="F1366">
        <f>VLOOKUP(E1366,Sheet2!D:E,2,FALSE)</f>
        <v>1496</v>
      </c>
      <c r="G1366" t="s">
        <v>11</v>
      </c>
      <c r="H1366" t="str">
        <f t="shared" si="42"/>
        <v>NAVERroniewell_m</v>
      </c>
      <c r="I1366" t="str">
        <f>"roniewell_m"</f>
        <v>roniewell_m</v>
      </c>
      <c r="J1366">
        <v>722586</v>
      </c>
      <c r="K1366" s="1">
        <v>44866</v>
      </c>
      <c r="L1366" t="s">
        <v>1395</v>
      </c>
      <c r="M1366">
        <f t="shared" si="43"/>
        <v>325930</v>
      </c>
      <c r="N1366" t="e">
        <f>VLOOKUP(H1366,Sheet1!G:H,2,FALSE)</f>
        <v>#N/A</v>
      </c>
      <c r="R1366" t="s">
        <v>3290</v>
      </c>
      <c r="S1366">
        <v>42860</v>
      </c>
    </row>
    <row r="1367" spans="1:19" x14ac:dyDescent="0.3">
      <c r="A1367" t="s">
        <v>8</v>
      </c>
      <c r="B1367">
        <f>VLOOKUP(A1367,Sheet2!B:F,5,FALSE)</f>
        <v>928</v>
      </c>
      <c r="C1367" t="s">
        <v>9</v>
      </c>
      <c r="D1367">
        <f>VLOOKUP(C1367,Sheet2!C:G,5,FALSE)</f>
        <v>1202</v>
      </c>
      <c r="E1367" t="s">
        <v>31</v>
      </c>
      <c r="F1367">
        <f>VLOOKUP(E1367,Sheet2!D:E,2,FALSE)</f>
        <v>1040</v>
      </c>
      <c r="G1367" t="s">
        <v>11</v>
      </c>
      <c r="H1367" t="str">
        <f t="shared" si="42"/>
        <v>NAVERrope1900</v>
      </c>
      <c r="I1367" t="str">
        <f>"rope1900"</f>
        <v>rope1900</v>
      </c>
      <c r="J1367">
        <v>8097600</v>
      </c>
      <c r="K1367" s="1">
        <v>44866</v>
      </c>
      <c r="L1367" t="s">
        <v>1396</v>
      </c>
      <c r="M1367">
        <f t="shared" si="43"/>
        <v>8097600</v>
      </c>
      <c r="N1367" t="e">
        <f>VLOOKUP(H1367,Sheet1!G:H,2,FALSE)</f>
        <v>#N/A</v>
      </c>
      <c r="R1367" t="s">
        <v>3291</v>
      </c>
      <c r="S1367">
        <v>863620</v>
      </c>
    </row>
    <row r="1368" spans="1:19" x14ac:dyDescent="0.3">
      <c r="A1368" t="s">
        <v>8</v>
      </c>
      <c r="B1368">
        <f>VLOOKUP(A1368,Sheet2!B:F,5,FALSE)</f>
        <v>928</v>
      </c>
      <c r="C1368" t="s">
        <v>13</v>
      </c>
      <c r="D1368">
        <f>VLOOKUP(C1368,Sheet2!C:G,5,FALSE)</f>
        <v>1184</v>
      </c>
      <c r="E1368" t="s">
        <v>335</v>
      </c>
      <c r="F1368">
        <f>VLOOKUP(E1368,Sheet2!D:E,2,FALSE)</f>
        <v>201090</v>
      </c>
      <c r="G1368" t="s">
        <v>11</v>
      </c>
      <c r="H1368" t="str">
        <f t="shared" si="42"/>
        <v>NAVERrosashop</v>
      </c>
      <c r="I1368" t="str">
        <f>"rosashop"</f>
        <v>rosashop</v>
      </c>
      <c r="J1368">
        <v>3380810</v>
      </c>
      <c r="K1368" s="1">
        <v>44866</v>
      </c>
      <c r="L1368" t="s">
        <v>1397</v>
      </c>
      <c r="M1368">
        <f t="shared" si="43"/>
        <v>2861810</v>
      </c>
      <c r="N1368" t="e">
        <f>VLOOKUP(H1368,Sheet1!G:H,2,FALSE)</f>
        <v>#N/A</v>
      </c>
      <c r="R1368" t="s">
        <v>3292</v>
      </c>
      <c r="S1368">
        <v>78360</v>
      </c>
    </row>
    <row r="1369" spans="1:19" x14ac:dyDescent="0.3">
      <c r="A1369" t="s">
        <v>8</v>
      </c>
      <c r="B1369">
        <f>VLOOKUP(A1369,Sheet2!B:F,5,FALSE)</f>
        <v>928</v>
      </c>
      <c r="C1369" t="s">
        <v>9</v>
      </c>
      <c r="D1369">
        <f>VLOOKUP(C1369,Sheet2!C:G,5,FALSE)</f>
        <v>1202</v>
      </c>
      <c r="E1369" t="s">
        <v>33</v>
      </c>
      <c r="F1369">
        <f>VLOOKUP(E1369,Sheet2!D:E,2,FALSE)</f>
        <v>933</v>
      </c>
      <c r="G1369" t="s">
        <v>11</v>
      </c>
      <c r="H1369" t="str">
        <f t="shared" si="42"/>
        <v>NAVERrose2213:naver</v>
      </c>
      <c r="I1369" t="str">
        <f>"rose2213:naver"</f>
        <v>rose2213:naver</v>
      </c>
      <c r="J1369">
        <v>271622</v>
      </c>
      <c r="K1369" s="1">
        <v>44866</v>
      </c>
      <c r="L1369" t="s">
        <v>1398</v>
      </c>
      <c r="M1369" t="e">
        <f t="shared" si="43"/>
        <v>#N/A</v>
      </c>
      <c r="N1369" t="e">
        <f>VLOOKUP(H1369,Sheet1!G:H,2,FALSE)</f>
        <v>#N/A</v>
      </c>
      <c r="R1369" t="s">
        <v>3293</v>
      </c>
      <c r="S1369">
        <v>20390</v>
      </c>
    </row>
    <row r="1370" spans="1:19" x14ac:dyDescent="0.3">
      <c r="A1370" t="s">
        <v>8</v>
      </c>
      <c r="B1370">
        <f>VLOOKUP(A1370,Sheet2!B:F,5,FALSE)</f>
        <v>928</v>
      </c>
      <c r="C1370" t="s">
        <v>9</v>
      </c>
      <c r="D1370">
        <f>VLOOKUP(C1370,Sheet2!C:G,5,FALSE)</f>
        <v>1202</v>
      </c>
      <c r="E1370" t="s">
        <v>27</v>
      </c>
      <c r="F1370">
        <f>VLOOKUP(E1370,Sheet2!D:E,2,FALSE)</f>
        <v>806</v>
      </c>
      <c r="G1370" t="s">
        <v>11</v>
      </c>
      <c r="H1370" t="str">
        <f t="shared" si="42"/>
        <v>NAVERrrladnjsgh</v>
      </c>
      <c r="I1370" t="str">
        <f>"rrladnjsgh"</f>
        <v>rrladnjsgh</v>
      </c>
      <c r="J1370">
        <v>323310</v>
      </c>
      <c r="K1370" s="1">
        <v>44866</v>
      </c>
      <c r="L1370" t="s">
        <v>1399</v>
      </c>
      <c r="M1370">
        <f t="shared" si="43"/>
        <v>323310</v>
      </c>
      <c r="N1370" t="e">
        <f>VLOOKUP(H1370,Sheet1!G:H,2,FALSE)</f>
        <v>#N/A</v>
      </c>
      <c r="R1370" t="s">
        <v>3294</v>
      </c>
      <c r="S1370">
        <v>255920</v>
      </c>
    </row>
    <row r="1371" spans="1:19" x14ac:dyDescent="0.3">
      <c r="A1371" t="s">
        <v>8</v>
      </c>
      <c r="B1371">
        <f>VLOOKUP(A1371,Sheet2!B:F,5,FALSE)</f>
        <v>928</v>
      </c>
      <c r="C1371" t="s">
        <v>9</v>
      </c>
      <c r="D1371">
        <f>VLOOKUP(C1371,Sheet2!C:G,5,FALSE)</f>
        <v>1202</v>
      </c>
      <c r="E1371" t="s">
        <v>10</v>
      </c>
      <c r="F1371">
        <f>VLOOKUP(E1371,Sheet2!D:E,2,FALSE)</f>
        <v>939</v>
      </c>
      <c r="G1371" t="s">
        <v>11</v>
      </c>
      <c r="H1371" t="str">
        <f t="shared" si="42"/>
        <v>NAVERrsm0625:naver</v>
      </c>
      <c r="I1371" t="str">
        <f>"rsm0625:naver"</f>
        <v>rsm0625:naver</v>
      </c>
      <c r="J1371">
        <v>680</v>
      </c>
      <c r="K1371" s="1">
        <v>44866</v>
      </c>
      <c r="L1371" t="s">
        <v>1400</v>
      </c>
      <c r="M1371">
        <f t="shared" si="43"/>
        <v>680</v>
      </c>
      <c r="N1371" t="e">
        <f>VLOOKUP(H1371,Sheet1!G:H,2,FALSE)</f>
        <v>#N/A</v>
      </c>
      <c r="R1371" t="s">
        <v>3295</v>
      </c>
      <c r="S1371">
        <v>11332610</v>
      </c>
    </row>
    <row r="1372" spans="1:19" x14ac:dyDescent="0.3">
      <c r="A1372" t="s">
        <v>8</v>
      </c>
      <c r="B1372">
        <f>VLOOKUP(A1372,Sheet2!B:F,5,FALSE)</f>
        <v>928</v>
      </c>
      <c r="C1372" t="s">
        <v>9</v>
      </c>
      <c r="D1372">
        <f>VLOOKUP(C1372,Sheet2!C:G,5,FALSE)</f>
        <v>1202</v>
      </c>
      <c r="E1372" t="s">
        <v>10</v>
      </c>
      <c r="F1372">
        <f>VLOOKUP(E1372,Sheet2!D:E,2,FALSE)</f>
        <v>939</v>
      </c>
      <c r="G1372" t="s">
        <v>11</v>
      </c>
      <c r="H1372" t="str">
        <f t="shared" si="42"/>
        <v>NAVERrsm08416</v>
      </c>
      <c r="I1372" t="str">
        <f>"rsm08416"</f>
        <v>rsm08416</v>
      </c>
      <c r="J1372">
        <v>1690</v>
      </c>
      <c r="K1372" s="1">
        <v>44866</v>
      </c>
      <c r="L1372" t="s">
        <v>1400</v>
      </c>
      <c r="M1372">
        <f t="shared" si="43"/>
        <v>1690</v>
      </c>
      <c r="N1372" t="e">
        <f>VLOOKUP(H1372,Sheet1!G:H,2,FALSE)</f>
        <v>#N/A</v>
      </c>
      <c r="R1372" t="s">
        <v>3296</v>
      </c>
      <c r="S1372">
        <v>245680</v>
      </c>
    </row>
    <row r="1373" spans="1:19" x14ac:dyDescent="0.3">
      <c r="A1373" t="s">
        <v>8</v>
      </c>
      <c r="B1373">
        <f>VLOOKUP(A1373,Sheet2!B:F,5,FALSE)</f>
        <v>928</v>
      </c>
      <c r="C1373" t="s">
        <v>9</v>
      </c>
      <c r="D1373">
        <f>VLOOKUP(C1373,Sheet2!C:G,5,FALSE)</f>
        <v>1202</v>
      </c>
      <c r="E1373" t="s">
        <v>27</v>
      </c>
      <c r="F1373">
        <f>VLOOKUP(E1373,Sheet2!D:E,2,FALSE)</f>
        <v>806</v>
      </c>
      <c r="G1373" t="s">
        <v>11</v>
      </c>
      <c r="H1373" t="str">
        <f t="shared" si="42"/>
        <v>NAVERruachcw</v>
      </c>
      <c r="I1373" t="str">
        <f>"ruachcw"</f>
        <v>ruachcw</v>
      </c>
      <c r="J1373">
        <v>1400</v>
      </c>
      <c r="K1373" s="1">
        <v>44866</v>
      </c>
      <c r="L1373" t="s">
        <v>1401</v>
      </c>
      <c r="M1373">
        <f t="shared" si="43"/>
        <v>1400</v>
      </c>
      <c r="N1373" t="e">
        <f>VLOOKUP(H1373,Sheet1!G:H,2,FALSE)</f>
        <v>#N/A</v>
      </c>
      <c r="R1373" t="s">
        <v>3297</v>
      </c>
      <c r="S1373">
        <v>799850</v>
      </c>
    </row>
    <row r="1374" spans="1:19" x14ac:dyDescent="0.3">
      <c r="A1374" t="s">
        <v>16</v>
      </c>
      <c r="B1374">
        <f>VLOOKUP(A1374,Sheet2!B:F,5,FALSE)</f>
        <v>927</v>
      </c>
      <c r="C1374" t="s">
        <v>17</v>
      </c>
      <c r="D1374">
        <f>VLOOKUP(C1374,Sheet2!C:G,5,FALSE)</f>
        <v>1200</v>
      </c>
      <c r="E1374" t="s">
        <v>290</v>
      </c>
      <c r="F1374">
        <f>VLOOKUP(E1374,Sheet2!D:E,2,FALSE)</f>
        <v>556</v>
      </c>
      <c r="G1374" t="s">
        <v>11</v>
      </c>
      <c r="H1374" t="str">
        <f t="shared" si="42"/>
        <v>NAVERruby9051</v>
      </c>
      <c r="I1374" t="str">
        <f>"ruby9051"</f>
        <v>ruby9051</v>
      </c>
      <c r="J1374">
        <v>5120</v>
      </c>
      <c r="K1374" s="1">
        <v>44866</v>
      </c>
      <c r="L1374" t="s">
        <v>1402</v>
      </c>
      <c r="M1374">
        <f t="shared" si="43"/>
        <v>5120</v>
      </c>
      <c r="N1374" t="e">
        <f>VLOOKUP(H1374,Sheet1!G:H,2,FALSE)</f>
        <v>#N/A</v>
      </c>
      <c r="R1374" t="s">
        <v>3298</v>
      </c>
      <c r="S1374">
        <v>1750</v>
      </c>
    </row>
    <row r="1375" spans="1:19" x14ac:dyDescent="0.3">
      <c r="A1375" t="s">
        <v>41</v>
      </c>
      <c r="B1375">
        <f>VLOOKUP(A1375,Sheet2!B:F,5,FALSE)</f>
        <v>926</v>
      </c>
      <c r="C1375" t="s">
        <v>56</v>
      </c>
      <c r="D1375">
        <f>VLOOKUP(C1375,Sheet2!C:G,5,FALSE)</f>
        <v>1207</v>
      </c>
      <c r="E1375" t="s">
        <v>57</v>
      </c>
      <c r="F1375">
        <f>VLOOKUP(E1375,Sheet2!D:E,2,FALSE)</f>
        <v>200982</v>
      </c>
      <c r="G1375" t="s">
        <v>11</v>
      </c>
      <c r="H1375" t="str">
        <f t="shared" si="42"/>
        <v>NAVERruhwa81</v>
      </c>
      <c r="I1375" t="str">
        <f>"ruhwa81"</f>
        <v>ruhwa81</v>
      </c>
      <c r="J1375">
        <v>61820</v>
      </c>
      <c r="K1375" s="1">
        <v>44866</v>
      </c>
      <c r="L1375" t="s">
        <v>1403</v>
      </c>
      <c r="M1375">
        <f t="shared" si="43"/>
        <v>61820</v>
      </c>
      <c r="N1375" t="e">
        <f>VLOOKUP(H1375,Sheet1!G:H,2,FALSE)</f>
        <v>#N/A</v>
      </c>
      <c r="R1375" t="s">
        <v>3299</v>
      </c>
      <c r="S1375">
        <v>4240</v>
      </c>
    </row>
    <row r="1376" spans="1:19" x14ac:dyDescent="0.3">
      <c r="A1376" t="s">
        <v>8</v>
      </c>
      <c r="B1376">
        <f>VLOOKUP(A1376,Sheet2!B:F,5,FALSE)</f>
        <v>928</v>
      </c>
      <c r="C1376" t="s">
        <v>9</v>
      </c>
      <c r="D1376">
        <f>VLOOKUP(C1376,Sheet2!C:G,5,FALSE)</f>
        <v>1202</v>
      </c>
      <c r="E1376" t="s">
        <v>20</v>
      </c>
      <c r="F1376">
        <f>VLOOKUP(E1376,Sheet2!D:E,2,FALSE)</f>
        <v>938</v>
      </c>
      <c r="G1376" t="s">
        <v>11</v>
      </c>
      <c r="H1376" t="str">
        <f t="shared" si="42"/>
        <v>NAVERrunnershigh</v>
      </c>
      <c r="I1376" t="str">
        <f>"runnershigh"</f>
        <v>runnershigh</v>
      </c>
      <c r="J1376">
        <v>350</v>
      </c>
      <c r="K1376" s="1">
        <v>44866</v>
      </c>
      <c r="L1376" t="s">
        <v>1404</v>
      </c>
      <c r="M1376">
        <f t="shared" si="43"/>
        <v>350</v>
      </c>
      <c r="N1376" t="e">
        <f>VLOOKUP(H1376,Sheet1!G:H,2,FALSE)</f>
        <v>#N/A</v>
      </c>
      <c r="R1376" t="s">
        <v>3300</v>
      </c>
      <c r="S1376">
        <v>12930</v>
      </c>
    </row>
    <row r="1377" spans="1:19" x14ac:dyDescent="0.3">
      <c r="A1377" t="s">
        <v>176</v>
      </c>
      <c r="B1377">
        <f>VLOOKUP(A1377,Sheet2!B:F,5,FALSE)</f>
        <v>1204</v>
      </c>
      <c r="C1377" t="s">
        <v>177</v>
      </c>
      <c r="D1377">
        <f>VLOOKUP(C1377,Sheet2!C:G,5,FALSE)</f>
        <v>1205</v>
      </c>
      <c r="E1377" t="s">
        <v>178</v>
      </c>
      <c r="F1377">
        <f>VLOOKUP(E1377,Sheet2!D:E,2,FALSE)</f>
        <v>201073</v>
      </c>
      <c r="G1377" t="s">
        <v>11</v>
      </c>
      <c r="H1377" t="str">
        <f t="shared" si="42"/>
        <v>NAVERruthair_</v>
      </c>
      <c r="I1377" t="str">
        <f>"ruthair_"</f>
        <v>ruthair_</v>
      </c>
      <c r="J1377">
        <v>13334730</v>
      </c>
      <c r="K1377" s="1">
        <v>44866</v>
      </c>
      <c r="L1377" t="s">
        <v>1405</v>
      </c>
      <c r="M1377">
        <f t="shared" si="43"/>
        <v>9758320</v>
      </c>
      <c r="N1377" t="e">
        <f>VLOOKUP(H1377,Sheet1!G:H,2,FALSE)</f>
        <v>#N/A</v>
      </c>
      <c r="R1377" t="s">
        <v>3301</v>
      </c>
      <c r="S1377">
        <v>28440</v>
      </c>
    </row>
    <row r="1378" spans="1:19" x14ac:dyDescent="0.3">
      <c r="A1378" t="s">
        <v>41</v>
      </c>
      <c r="B1378">
        <f>VLOOKUP(A1378,Sheet2!B:F,5,FALSE)</f>
        <v>926</v>
      </c>
      <c r="C1378" t="s">
        <v>42</v>
      </c>
      <c r="D1378">
        <f>VLOOKUP(C1378,Sheet2!C:G,5,FALSE)</f>
        <v>964</v>
      </c>
      <c r="E1378" t="s">
        <v>43</v>
      </c>
      <c r="F1378">
        <f>VLOOKUP(E1378,Sheet2!D:E,2,FALSE)</f>
        <v>200998</v>
      </c>
      <c r="G1378" t="s">
        <v>11</v>
      </c>
      <c r="H1378" t="str">
        <f t="shared" si="42"/>
        <v>NAVERrys4004</v>
      </c>
      <c r="I1378" t="str">
        <f>"rys4004"</f>
        <v>rys4004</v>
      </c>
      <c r="J1378">
        <v>9210</v>
      </c>
      <c r="K1378" s="1">
        <v>44866</v>
      </c>
      <c r="L1378" t="s">
        <v>1406</v>
      </c>
      <c r="M1378">
        <f t="shared" si="43"/>
        <v>9210</v>
      </c>
      <c r="N1378" t="e">
        <f>VLOOKUP(H1378,Sheet1!G:H,2,FALSE)</f>
        <v>#N/A</v>
      </c>
      <c r="R1378" t="s">
        <v>3302</v>
      </c>
      <c r="S1378">
        <v>1116560</v>
      </c>
    </row>
    <row r="1379" spans="1:19" x14ac:dyDescent="0.3">
      <c r="A1379" t="s">
        <v>8</v>
      </c>
      <c r="B1379">
        <f>VLOOKUP(A1379,Sheet2!B:F,5,FALSE)</f>
        <v>928</v>
      </c>
      <c r="C1379" t="s">
        <v>9</v>
      </c>
      <c r="D1379">
        <f>VLOOKUP(C1379,Sheet2!C:G,5,FALSE)</f>
        <v>1202</v>
      </c>
      <c r="E1379" t="s">
        <v>75</v>
      </c>
      <c r="F1379">
        <f>VLOOKUP(E1379,Sheet2!D:E,2,FALSE)</f>
        <v>50</v>
      </c>
      <c r="G1379" t="s">
        <v>11</v>
      </c>
      <c r="H1379" t="str">
        <f t="shared" si="42"/>
        <v>NAVERs-education:naver</v>
      </c>
      <c r="I1379" t="str">
        <f>"s-education:naver"</f>
        <v>s-education:naver</v>
      </c>
      <c r="J1379">
        <v>141730</v>
      </c>
      <c r="K1379" s="1">
        <v>44866</v>
      </c>
      <c r="L1379" t="s">
        <v>1407</v>
      </c>
      <c r="M1379">
        <f t="shared" si="43"/>
        <v>141730</v>
      </c>
      <c r="N1379" t="e">
        <f>VLOOKUP(H1379,Sheet1!G:H,2,FALSE)</f>
        <v>#N/A</v>
      </c>
      <c r="R1379" t="s">
        <v>3303</v>
      </c>
      <c r="S1379">
        <v>688810</v>
      </c>
    </row>
    <row r="1380" spans="1:19" x14ac:dyDescent="0.3">
      <c r="A1380" t="s">
        <v>16</v>
      </c>
      <c r="B1380">
        <f>VLOOKUP(A1380,Sheet2!B:F,5,FALSE)</f>
        <v>927</v>
      </c>
      <c r="C1380" t="s">
        <v>17</v>
      </c>
      <c r="D1380">
        <f>VLOOKUP(C1380,Sheet2!C:G,5,FALSE)</f>
        <v>1200</v>
      </c>
      <c r="E1380" t="s">
        <v>446</v>
      </c>
      <c r="F1380">
        <f>VLOOKUP(E1380,Sheet2!D:E,2,FALSE)</f>
        <v>566</v>
      </c>
      <c r="G1380" t="s">
        <v>11</v>
      </c>
      <c r="H1380" t="str">
        <f t="shared" si="42"/>
        <v>NAVERs4013</v>
      </c>
      <c r="I1380" t="str">
        <f>"s4013"</f>
        <v>s4013</v>
      </c>
      <c r="J1380">
        <v>5260</v>
      </c>
      <c r="K1380" s="1">
        <v>44866</v>
      </c>
      <c r="L1380" t="s">
        <v>1408</v>
      </c>
      <c r="M1380">
        <f t="shared" si="43"/>
        <v>6180</v>
      </c>
      <c r="N1380" t="e">
        <f>VLOOKUP(H1380,Sheet1!G:H,2,FALSE)</f>
        <v>#N/A</v>
      </c>
      <c r="R1380" t="s">
        <v>3304</v>
      </c>
      <c r="S1380">
        <v>4198210</v>
      </c>
    </row>
    <row r="1381" spans="1:19" x14ac:dyDescent="0.3">
      <c r="A1381" t="s">
        <v>8</v>
      </c>
      <c r="B1381">
        <f>VLOOKUP(A1381,Sheet2!B:F,5,FALSE)</f>
        <v>928</v>
      </c>
      <c r="C1381" t="s">
        <v>13</v>
      </c>
      <c r="D1381">
        <f>VLOOKUP(C1381,Sheet2!C:G,5,FALSE)</f>
        <v>1184</v>
      </c>
      <c r="E1381" t="s">
        <v>14</v>
      </c>
      <c r="F1381">
        <f>VLOOKUP(E1381,Sheet2!D:E,2,FALSE)</f>
        <v>914</v>
      </c>
      <c r="G1381" t="s">
        <v>11</v>
      </c>
      <c r="H1381" t="str">
        <f t="shared" si="42"/>
        <v>NAVERsabusong</v>
      </c>
      <c r="I1381" t="str">
        <f>"sabusong"</f>
        <v>sabusong</v>
      </c>
      <c r="J1381">
        <v>67100</v>
      </c>
      <c r="K1381" s="1">
        <v>44866</v>
      </c>
      <c r="L1381" t="s">
        <v>1409</v>
      </c>
      <c r="M1381">
        <f t="shared" si="43"/>
        <v>67100</v>
      </c>
      <c r="N1381" t="e">
        <f>VLOOKUP(H1381,Sheet1!G:H,2,FALSE)</f>
        <v>#N/A</v>
      </c>
      <c r="R1381" t="s">
        <v>3305</v>
      </c>
      <c r="S1381">
        <v>103640</v>
      </c>
    </row>
    <row r="1382" spans="1:19" x14ac:dyDescent="0.3">
      <c r="A1382" t="s">
        <v>8</v>
      </c>
      <c r="B1382">
        <f>VLOOKUP(A1382,Sheet2!B:F,5,FALSE)</f>
        <v>928</v>
      </c>
      <c r="C1382" t="s">
        <v>9</v>
      </c>
      <c r="D1382">
        <f>VLOOKUP(C1382,Sheet2!C:G,5,FALSE)</f>
        <v>1202</v>
      </c>
      <c r="E1382" t="s">
        <v>122</v>
      </c>
      <c r="F1382">
        <f>VLOOKUP(E1382,Sheet2!D:E,2,FALSE)</f>
        <v>251</v>
      </c>
      <c r="G1382" t="s">
        <v>11</v>
      </c>
      <c r="H1382" t="str">
        <f t="shared" si="42"/>
        <v>NAVERsada73</v>
      </c>
      <c r="I1382" t="str">
        <f>"sada73"</f>
        <v>sada73</v>
      </c>
      <c r="J1382">
        <v>3981020</v>
      </c>
      <c r="K1382" s="1">
        <v>44866</v>
      </c>
      <c r="L1382" t="s">
        <v>1410</v>
      </c>
      <c r="M1382">
        <f t="shared" si="43"/>
        <v>3281040</v>
      </c>
      <c r="N1382" t="e">
        <f>VLOOKUP(H1382,Sheet1!G:H,2,FALSE)</f>
        <v>#N/A</v>
      </c>
      <c r="R1382" t="s">
        <v>3306</v>
      </c>
      <c r="S1382">
        <v>41510</v>
      </c>
    </row>
    <row r="1383" spans="1:19" x14ac:dyDescent="0.3">
      <c r="A1383" t="s">
        <v>8</v>
      </c>
      <c r="B1383">
        <f>VLOOKUP(A1383,Sheet2!B:F,5,FALSE)</f>
        <v>928</v>
      </c>
      <c r="C1383" t="s">
        <v>13</v>
      </c>
      <c r="D1383">
        <f>VLOOKUP(C1383,Sheet2!C:G,5,FALSE)</f>
        <v>1184</v>
      </c>
      <c r="E1383" t="s">
        <v>217</v>
      </c>
      <c r="F1383">
        <f>VLOOKUP(E1383,Sheet2!D:E,2,FALSE)</f>
        <v>201027</v>
      </c>
      <c r="G1383" t="s">
        <v>11</v>
      </c>
      <c r="H1383" t="str">
        <f t="shared" si="42"/>
        <v>NAVERsadak5</v>
      </c>
      <c r="I1383" t="str">
        <f>"sadak5"</f>
        <v>sadak5</v>
      </c>
      <c r="J1383">
        <v>7210</v>
      </c>
      <c r="K1383" s="1">
        <v>44866</v>
      </c>
      <c r="L1383" t="s">
        <v>1411</v>
      </c>
      <c r="M1383">
        <f t="shared" si="43"/>
        <v>7210</v>
      </c>
      <c r="N1383" t="e">
        <f>VLOOKUP(H1383,Sheet1!G:H,2,FALSE)</f>
        <v>#N/A</v>
      </c>
      <c r="R1383" t="s">
        <v>3307</v>
      </c>
      <c r="S1383">
        <v>4230420</v>
      </c>
    </row>
    <row r="1384" spans="1:19" x14ac:dyDescent="0.3">
      <c r="A1384" t="s">
        <v>8</v>
      </c>
      <c r="B1384">
        <f>VLOOKUP(A1384,Sheet2!B:F,5,FALSE)</f>
        <v>928</v>
      </c>
      <c r="C1384" t="s">
        <v>9</v>
      </c>
      <c r="D1384">
        <f>VLOOKUP(C1384,Sheet2!C:G,5,FALSE)</f>
        <v>1202</v>
      </c>
      <c r="E1384" t="s">
        <v>47</v>
      </c>
      <c r="F1384">
        <f>VLOOKUP(E1384,Sheet2!D:E,2,FALSE)</f>
        <v>898</v>
      </c>
      <c r="G1384" t="s">
        <v>11</v>
      </c>
      <c r="H1384" t="str">
        <f t="shared" si="42"/>
        <v>NAVERsaekwang</v>
      </c>
      <c r="I1384" t="str">
        <f>"saekwang"</f>
        <v>saekwang</v>
      </c>
      <c r="J1384">
        <v>66420</v>
      </c>
      <c r="K1384" s="1">
        <v>44866</v>
      </c>
      <c r="L1384" t="s">
        <v>1412</v>
      </c>
      <c r="M1384">
        <f t="shared" si="43"/>
        <v>66420</v>
      </c>
      <c r="N1384" t="e">
        <f>VLOOKUP(H1384,Sheet1!G:H,2,FALSE)</f>
        <v>#N/A</v>
      </c>
      <c r="R1384" t="s">
        <v>3308</v>
      </c>
      <c r="S1384">
        <v>726430</v>
      </c>
    </row>
    <row r="1385" spans="1:19" x14ac:dyDescent="0.3">
      <c r="A1385" t="s">
        <v>8</v>
      </c>
      <c r="B1385">
        <f>VLOOKUP(A1385,Sheet2!B:F,5,FALSE)</f>
        <v>928</v>
      </c>
      <c r="C1385" t="s">
        <v>13</v>
      </c>
      <c r="D1385">
        <f>VLOOKUP(C1385,Sheet2!C:G,5,FALSE)</f>
        <v>1184</v>
      </c>
      <c r="E1385" t="s">
        <v>115</v>
      </c>
      <c r="F1385">
        <f>VLOOKUP(E1385,Sheet2!D:E,2,FALSE)</f>
        <v>1548</v>
      </c>
      <c r="G1385" t="s">
        <v>11</v>
      </c>
      <c r="H1385" t="str">
        <f t="shared" si="42"/>
        <v>NAVERsafemotors</v>
      </c>
      <c r="I1385" t="str">
        <f>"safemotors"</f>
        <v>safemotors</v>
      </c>
      <c r="J1385">
        <v>1286900</v>
      </c>
      <c r="K1385" s="1">
        <v>44866</v>
      </c>
      <c r="L1385" t="s">
        <v>1413</v>
      </c>
      <c r="M1385">
        <f t="shared" si="43"/>
        <v>1286900</v>
      </c>
      <c r="N1385" t="e">
        <f>VLOOKUP(H1385,Sheet1!G:H,2,FALSE)</f>
        <v>#N/A</v>
      </c>
      <c r="R1385" t="s">
        <v>3309</v>
      </c>
      <c r="S1385">
        <v>0</v>
      </c>
    </row>
    <row r="1386" spans="1:19" x14ac:dyDescent="0.3">
      <c r="A1386" t="s">
        <v>8</v>
      </c>
      <c r="B1386">
        <f>VLOOKUP(A1386,Sheet2!B:F,5,FALSE)</f>
        <v>928</v>
      </c>
      <c r="C1386" t="s">
        <v>167</v>
      </c>
      <c r="D1386">
        <f>VLOOKUP(C1386,Sheet2!C:G,5,FALSE)</f>
        <v>935</v>
      </c>
      <c r="E1386" t="s">
        <v>168</v>
      </c>
      <c r="F1386">
        <f>VLOOKUP(E1386,Sheet2!D:E,2,FALSE)</f>
        <v>2</v>
      </c>
      <c r="G1386" t="s">
        <v>11</v>
      </c>
      <c r="H1386" t="str">
        <f t="shared" si="42"/>
        <v>NAVERsafere</v>
      </c>
      <c r="I1386" t="str">
        <f>"safere"</f>
        <v>safere</v>
      </c>
      <c r="J1386">
        <v>554090</v>
      </c>
      <c r="K1386" s="1">
        <v>44866</v>
      </c>
      <c r="L1386" t="s">
        <v>1414</v>
      </c>
      <c r="M1386">
        <f t="shared" si="43"/>
        <v>554090</v>
      </c>
      <c r="N1386" t="e">
        <f>VLOOKUP(H1386,Sheet1!G:H,2,FALSE)</f>
        <v>#N/A</v>
      </c>
      <c r="R1386" t="s">
        <v>3310</v>
      </c>
      <c r="S1386">
        <v>19307580</v>
      </c>
    </row>
    <row r="1387" spans="1:19" x14ac:dyDescent="0.3">
      <c r="A1387" t="s">
        <v>8</v>
      </c>
      <c r="B1387">
        <f>VLOOKUP(A1387,Sheet2!B:F,5,FALSE)</f>
        <v>928</v>
      </c>
      <c r="C1387" t="s">
        <v>9</v>
      </c>
      <c r="D1387">
        <f>VLOOKUP(C1387,Sheet2!C:G,5,FALSE)</f>
        <v>1202</v>
      </c>
      <c r="E1387" t="s">
        <v>220</v>
      </c>
      <c r="F1387">
        <f>VLOOKUP(E1387,Sheet2!D:E,2,FALSE)</f>
        <v>1211</v>
      </c>
      <c r="G1387" t="s">
        <v>11</v>
      </c>
      <c r="H1387" t="str">
        <f t="shared" si="42"/>
        <v>NAVERsajoseafood2020:naver</v>
      </c>
      <c r="I1387" t="str">
        <f>"sajoseafood2020:naver"</f>
        <v>sajoseafood2020:naver</v>
      </c>
      <c r="J1387">
        <v>2620260</v>
      </c>
      <c r="K1387" s="1">
        <v>44866</v>
      </c>
      <c r="L1387" t="s">
        <v>1415</v>
      </c>
      <c r="M1387">
        <f t="shared" si="43"/>
        <v>1920280</v>
      </c>
      <c r="N1387" t="e">
        <f>VLOOKUP(H1387,Sheet1!G:H,2,FALSE)</f>
        <v>#N/A</v>
      </c>
      <c r="R1387" t="s">
        <v>3311</v>
      </c>
      <c r="S1387">
        <v>7420500</v>
      </c>
    </row>
    <row r="1388" spans="1:19" x14ac:dyDescent="0.3">
      <c r="A1388" t="s">
        <v>8</v>
      </c>
      <c r="B1388">
        <f>VLOOKUP(A1388,Sheet2!B:F,5,FALSE)</f>
        <v>928</v>
      </c>
      <c r="C1388" t="s">
        <v>13</v>
      </c>
      <c r="D1388">
        <f>VLOOKUP(C1388,Sheet2!C:G,5,FALSE)</f>
        <v>1184</v>
      </c>
      <c r="E1388" t="s">
        <v>14</v>
      </c>
      <c r="F1388">
        <f>VLOOKUP(E1388,Sheet2!D:E,2,FALSE)</f>
        <v>914</v>
      </c>
      <c r="G1388" t="s">
        <v>11</v>
      </c>
      <c r="H1388" t="str">
        <f t="shared" si="42"/>
        <v>NAVERsaki3003</v>
      </c>
      <c r="I1388" t="str">
        <f>"saki3003"</f>
        <v>saki3003</v>
      </c>
      <c r="J1388">
        <v>112430</v>
      </c>
      <c r="K1388" s="1">
        <v>44866</v>
      </c>
      <c r="L1388" t="s">
        <v>1416</v>
      </c>
      <c r="M1388">
        <f t="shared" si="43"/>
        <v>112430</v>
      </c>
      <c r="N1388" t="e">
        <f>VLOOKUP(H1388,Sheet1!G:H,2,FALSE)</f>
        <v>#N/A</v>
      </c>
      <c r="R1388" t="s">
        <v>3312</v>
      </c>
      <c r="S1388">
        <v>119160</v>
      </c>
    </row>
    <row r="1389" spans="1:19" x14ac:dyDescent="0.3">
      <c r="A1389" t="s">
        <v>8</v>
      </c>
      <c r="B1389">
        <f>VLOOKUP(A1389,Sheet2!B:F,5,FALSE)</f>
        <v>928</v>
      </c>
      <c r="C1389" t="s">
        <v>9</v>
      </c>
      <c r="D1389">
        <f>VLOOKUP(C1389,Sheet2!C:G,5,FALSE)</f>
        <v>1202</v>
      </c>
      <c r="E1389" t="s">
        <v>39</v>
      </c>
      <c r="F1389">
        <f>VLOOKUP(E1389,Sheet2!D:E,2,FALSE)</f>
        <v>25</v>
      </c>
      <c r="G1389" t="s">
        <v>11</v>
      </c>
      <c r="H1389" t="str">
        <f t="shared" si="42"/>
        <v>NAVERsaladykorea</v>
      </c>
      <c r="I1389" t="str">
        <f>"saladykorea"</f>
        <v>saladykorea</v>
      </c>
      <c r="J1389">
        <v>7764180</v>
      </c>
      <c r="K1389" s="1">
        <v>44866</v>
      </c>
      <c r="L1389" t="s">
        <v>1417</v>
      </c>
      <c r="M1389">
        <f t="shared" si="43"/>
        <v>7826990</v>
      </c>
      <c r="N1389" t="e">
        <f>VLOOKUP(H1389,Sheet1!G:H,2,FALSE)</f>
        <v>#N/A</v>
      </c>
      <c r="R1389" t="s">
        <v>3313</v>
      </c>
      <c r="S1389">
        <v>92880</v>
      </c>
    </row>
    <row r="1390" spans="1:19" x14ac:dyDescent="0.3">
      <c r="A1390" t="s">
        <v>16</v>
      </c>
      <c r="B1390">
        <f>VLOOKUP(A1390,Sheet2!B:F,5,FALSE)</f>
        <v>927</v>
      </c>
      <c r="C1390" t="s">
        <v>17</v>
      </c>
      <c r="D1390">
        <f>VLOOKUP(C1390,Sheet2!C:G,5,FALSE)</f>
        <v>1200</v>
      </c>
      <c r="E1390" t="s">
        <v>78</v>
      </c>
      <c r="F1390">
        <f>VLOOKUP(E1390,Sheet2!D:E,2,FALSE)</f>
        <v>57</v>
      </c>
      <c r="G1390" t="s">
        <v>11</v>
      </c>
      <c r="H1390" t="str">
        <f t="shared" si="42"/>
        <v>NAVERsalcoach</v>
      </c>
      <c r="I1390" t="str">
        <f>"salcoach"</f>
        <v>salcoach</v>
      </c>
      <c r="J1390">
        <v>947750</v>
      </c>
      <c r="K1390" s="1">
        <v>44866</v>
      </c>
      <c r="L1390" t="s">
        <v>1418</v>
      </c>
      <c r="M1390">
        <f t="shared" si="43"/>
        <v>947750</v>
      </c>
      <c r="N1390" t="e">
        <f>VLOOKUP(H1390,Sheet1!G:H,2,FALSE)</f>
        <v>#N/A</v>
      </c>
      <c r="R1390" t="s">
        <v>3314</v>
      </c>
      <c r="S1390">
        <v>497730</v>
      </c>
    </row>
    <row r="1391" spans="1:19" x14ac:dyDescent="0.3">
      <c r="A1391" t="s">
        <v>8</v>
      </c>
      <c r="B1391">
        <f>VLOOKUP(A1391,Sheet2!B:F,5,FALSE)</f>
        <v>928</v>
      </c>
      <c r="C1391" t="s">
        <v>9</v>
      </c>
      <c r="D1391">
        <f>VLOOKUP(C1391,Sheet2!C:G,5,FALSE)</f>
        <v>1202</v>
      </c>
      <c r="E1391" t="s">
        <v>31</v>
      </c>
      <c r="F1391">
        <f>VLOOKUP(E1391,Sheet2!D:E,2,FALSE)</f>
        <v>1040</v>
      </c>
      <c r="G1391" t="s">
        <v>11</v>
      </c>
      <c r="H1391" t="str">
        <f t="shared" si="42"/>
        <v>NAVERsaltmall</v>
      </c>
      <c r="I1391" t="str">
        <f>"saltmall"</f>
        <v>saltmall</v>
      </c>
      <c r="J1391">
        <v>249995</v>
      </c>
      <c r="K1391" s="1">
        <v>44866</v>
      </c>
      <c r="L1391" t="s">
        <v>1419</v>
      </c>
      <c r="M1391">
        <f t="shared" si="43"/>
        <v>0</v>
      </c>
      <c r="N1391" t="e">
        <f>VLOOKUP(H1391,Sheet1!G:H,2,FALSE)</f>
        <v>#N/A</v>
      </c>
      <c r="R1391" t="s">
        <v>3315</v>
      </c>
      <c r="S1391">
        <v>117310</v>
      </c>
    </row>
    <row r="1392" spans="1:19" x14ac:dyDescent="0.3">
      <c r="A1392" t="s">
        <v>8</v>
      </c>
      <c r="B1392">
        <f>VLOOKUP(A1392,Sheet2!B:F,5,FALSE)</f>
        <v>928</v>
      </c>
      <c r="C1392" t="s">
        <v>9</v>
      </c>
      <c r="D1392">
        <f>VLOOKUP(C1392,Sheet2!C:G,5,FALSE)</f>
        <v>1202</v>
      </c>
      <c r="E1392" t="s">
        <v>75</v>
      </c>
      <c r="F1392">
        <f>VLOOKUP(E1392,Sheet2!D:E,2,FALSE)</f>
        <v>50</v>
      </c>
      <c r="G1392" t="s">
        <v>11</v>
      </c>
      <c r="H1392" t="str">
        <f t="shared" si="42"/>
        <v>NAVERsam00925</v>
      </c>
      <c r="I1392" t="str">
        <f>"sam00925"</f>
        <v>sam00925</v>
      </c>
      <c r="J1392">
        <v>1610130</v>
      </c>
      <c r="K1392" s="1">
        <v>44866</v>
      </c>
      <c r="L1392" t="s">
        <v>1420</v>
      </c>
      <c r="M1392">
        <f t="shared" si="43"/>
        <v>1610130</v>
      </c>
      <c r="N1392" t="e">
        <f>VLOOKUP(H1392,Sheet1!G:H,2,FALSE)</f>
        <v>#N/A</v>
      </c>
      <c r="R1392" t="s">
        <v>3316</v>
      </c>
      <c r="S1392">
        <v>498420</v>
      </c>
    </row>
    <row r="1393" spans="1:19" x14ac:dyDescent="0.3">
      <c r="A1393" t="s">
        <v>41</v>
      </c>
      <c r="B1393">
        <f>VLOOKUP(A1393,Sheet2!B:F,5,FALSE)</f>
        <v>926</v>
      </c>
      <c r="C1393" t="s">
        <v>56</v>
      </c>
      <c r="D1393">
        <f>VLOOKUP(C1393,Sheet2!C:G,5,FALSE)</f>
        <v>1207</v>
      </c>
      <c r="E1393" t="s">
        <v>62</v>
      </c>
      <c r="F1393">
        <f>VLOOKUP(E1393,Sheet2!D:E,2,FALSE)</f>
        <v>201037</v>
      </c>
      <c r="G1393" t="s">
        <v>11</v>
      </c>
      <c r="H1393" t="str">
        <f t="shared" si="42"/>
        <v>NAVERsamantha</v>
      </c>
      <c r="I1393" t="str">
        <f>"samantha"</f>
        <v>samantha</v>
      </c>
      <c r="J1393">
        <v>2548291</v>
      </c>
      <c r="K1393" s="1">
        <v>44866</v>
      </c>
      <c r="L1393" t="s">
        <v>1421</v>
      </c>
      <c r="M1393">
        <f t="shared" si="43"/>
        <v>1001650</v>
      </c>
      <c r="N1393" t="e">
        <f>VLOOKUP(H1393,Sheet1!G:H,2,FALSE)</f>
        <v>#N/A</v>
      </c>
      <c r="R1393" t="s">
        <v>3317</v>
      </c>
      <c r="S1393">
        <v>947350</v>
      </c>
    </row>
    <row r="1394" spans="1:19" x14ac:dyDescent="0.3">
      <c r="A1394" t="s">
        <v>16</v>
      </c>
      <c r="B1394">
        <f>VLOOKUP(A1394,Sheet2!B:F,5,FALSE)</f>
        <v>927</v>
      </c>
      <c r="C1394" t="s">
        <v>17</v>
      </c>
      <c r="D1394">
        <f>VLOOKUP(C1394,Sheet2!C:G,5,FALSE)</f>
        <v>1200</v>
      </c>
      <c r="E1394" t="s">
        <v>244</v>
      </c>
      <c r="F1394">
        <f>VLOOKUP(E1394,Sheet2!D:E,2,FALSE)</f>
        <v>817</v>
      </c>
      <c r="G1394" t="s">
        <v>11</v>
      </c>
      <c r="H1394" t="str">
        <f t="shared" si="42"/>
        <v>NAVERsamdasu</v>
      </c>
      <c r="I1394" t="str">
        <f>"samdasu"</f>
        <v>samdasu</v>
      </c>
      <c r="J1394">
        <v>6430</v>
      </c>
      <c r="K1394" s="1">
        <v>44866</v>
      </c>
      <c r="L1394" t="s">
        <v>1422</v>
      </c>
      <c r="M1394">
        <f t="shared" si="43"/>
        <v>6430</v>
      </c>
      <c r="N1394" t="e">
        <f>VLOOKUP(H1394,Sheet1!G:H,2,FALSE)</f>
        <v>#N/A</v>
      </c>
      <c r="R1394" t="s">
        <v>3318</v>
      </c>
      <c r="S1394">
        <v>651530</v>
      </c>
    </row>
    <row r="1395" spans="1:19" x14ac:dyDescent="0.3">
      <c r="A1395" t="s">
        <v>8</v>
      </c>
      <c r="B1395">
        <f>VLOOKUP(A1395,Sheet2!B:F,5,FALSE)</f>
        <v>928</v>
      </c>
      <c r="C1395" t="s">
        <v>13</v>
      </c>
      <c r="D1395">
        <f>VLOOKUP(C1395,Sheet2!C:G,5,FALSE)</f>
        <v>1184</v>
      </c>
      <c r="E1395" t="s">
        <v>59</v>
      </c>
      <c r="F1395">
        <f>VLOOKUP(E1395,Sheet2!D:E,2,FALSE)</f>
        <v>9</v>
      </c>
      <c r="G1395" t="s">
        <v>11</v>
      </c>
      <c r="H1395" t="str">
        <f t="shared" si="42"/>
        <v>NAVERsamhopr</v>
      </c>
      <c r="I1395" t="str">
        <f>"samhopr"</f>
        <v>samhopr</v>
      </c>
      <c r="J1395">
        <v>890</v>
      </c>
      <c r="K1395" s="1">
        <v>44866</v>
      </c>
      <c r="L1395" t="s">
        <v>1423</v>
      </c>
      <c r="M1395">
        <f t="shared" si="43"/>
        <v>890</v>
      </c>
      <c r="N1395" t="e">
        <f>VLOOKUP(H1395,Sheet1!G:H,2,FALSE)</f>
        <v>#N/A</v>
      </c>
      <c r="R1395" t="s">
        <v>3319</v>
      </c>
      <c r="S1395">
        <v>31210</v>
      </c>
    </row>
    <row r="1396" spans="1:19" x14ac:dyDescent="0.3">
      <c r="A1396" t="s">
        <v>8</v>
      </c>
      <c r="B1396">
        <f>VLOOKUP(A1396,Sheet2!B:F,5,FALSE)</f>
        <v>928</v>
      </c>
      <c r="C1396" t="s">
        <v>13</v>
      </c>
      <c r="D1396">
        <f>VLOOKUP(C1396,Sheet2!C:G,5,FALSE)</f>
        <v>1184</v>
      </c>
      <c r="E1396" t="s">
        <v>59</v>
      </c>
      <c r="F1396">
        <f>VLOOKUP(E1396,Sheet2!D:E,2,FALSE)</f>
        <v>9</v>
      </c>
      <c r="G1396" t="s">
        <v>11</v>
      </c>
      <c r="H1396" t="str">
        <f t="shared" si="42"/>
        <v>NAVERsamhwa12</v>
      </c>
      <c r="I1396" t="str">
        <f>"samhwa12"</f>
        <v>samhwa12</v>
      </c>
      <c r="J1396">
        <v>490</v>
      </c>
      <c r="K1396" s="1">
        <v>44866</v>
      </c>
      <c r="L1396" t="s">
        <v>1424</v>
      </c>
      <c r="M1396">
        <f t="shared" si="43"/>
        <v>490</v>
      </c>
      <c r="N1396" t="e">
        <f>VLOOKUP(H1396,Sheet1!G:H,2,FALSE)</f>
        <v>#N/A</v>
      </c>
      <c r="R1396" t="s">
        <v>3320</v>
      </c>
      <c r="S1396">
        <v>2420130</v>
      </c>
    </row>
    <row r="1397" spans="1:19" x14ac:dyDescent="0.3">
      <c r="A1397" t="s">
        <v>8</v>
      </c>
      <c r="B1397">
        <f>VLOOKUP(A1397,Sheet2!B:F,5,FALSE)</f>
        <v>928</v>
      </c>
      <c r="C1397" t="s">
        <v>9</v>
      </c>
      <c r="D1397">
        <f>VLOOKUP(C1397,Sheet2!C:G,5,FALSE)</f>
        <v>1202</v>
      </c>
      <c r="E1397" t="s">
        <v>39</v>
      </c>
      <c r="F1397">
        <f>VLOOKUP(E1397,Sheet2!D:E,2,FALSE)</f>
        <v>25</v>
      </c>
      <c r="G1397" t="s">
        <v>11</v>
      </c>
      <c r="H1397" t="str">
        <f t="shared" si="42"/>
        <v>NAVERsamik</v>
      </c>
      <c r="I1397" t="str">
        <f>"samik"</f>
        <v>samik</v>
      </c>
      <c r="J1397">
        <v>861300</v>
      </c>
      <c r="K1397" s="1">
        <v>44866</v>
      </c>
      <c r="L1397" t="s">
        <v>1425</v>
      </c>
      <c r="M1397">
        <f t="shared" si="43"/>
        <v>861300</v>
      </c>
      <c r="N1397" t="e">
        <f>VLOOKUP(H1397,Sheet1!G:H,2,FALSE)</f>
        <v>#N/A</v>
      </c>
      <c r="R1397" t="s">
        <v>3321</v>
      </c>
      <c r="S1397">
        <v>181890</v>
      </c>
    </row>
    <row r="1398" spans="1:19" x14ac:dyDescent="0.3">
      <c r="A1398" t="s">
        <v>41</v>
      </c>
      <c r="B1398">
        <f>VLOOKUP(A1398,Sheet2!B:F,5,FALSE)</f>
        <v>926</v>
      </c>
      <c r="C1398" t="s">
        <v>56</v>
      </c>
      <c r="D1398">
        <f>VLOOKUP(C1398,Sheet2!C:G,5,FALSE)</f>
        <v>1207</v>
      </c>
      <c r="E1398" t="s">
        <v>57</v>
      </c>
      <c r="F1398">
        <f>VLOOKUP(E1398,Sheet2!D:E,2,FALSE)</f>
        <v>200982</v>
      </c>
      <c r="G1398" t="s">
        <v>11</v>
      </c>
      <c r="H1398" t="str">
        <f t="shared" si="42"/>
        <v>NAVERsamjinacc</v>
      </c>
      <c r="I1398" t="str">
        <f>"samjinacc"</f>
        <v>samjinacc</v>
      </c>
      <c r="J1398">
        <v>1680</v>
      </c>
      <c r="K1398" s="1">
        <v>44866</v>
      </c>
      <c r="L1398" t="s">
        <v>1426</v>
      </c>
      <c r="M1398">
        <f t="shared" si="43"/>
        <v>1680</v>
      </c>
      <c r="N1398" t="e">
        <f>VLOOKUP(H1398,Sheet1!G:H,2,FALSE)</f>
        <v>#N/A</v>
      </c>
      <c r="R1398" t="s">
        <v>3322</v>
      </c>
      <c r="S1398">
        <v>21360</v>
      </c>
    </row>
    <row r="1399" spans="1:19" x14ac:dyDescent="0.3">
      <c r="A1399" t="s">
        <v>8</v>
      </c>
      <c r="B1399">
        <f>VLOOKUP(A1399,Sheet2!B:F,5,FALSE)</f>
        <v>928</v>
      </c>
      <c r="C1399" t="s">
        <v>9</v>
      </c>
      <c r="D1399">
        <f>VLOOKUP(C1399,Sheet2!C:G,5,FALSE)</f>
        <v>1202</v>
      </c>
      <c r="E1399" t="s">
        <v>20</v>
      </c>
      <c r="F1399">
        <f>VLOOKUP(E1399,Sheet2!D:E,2,FALSE)</f>
        <v>938</v>
      </c>
      <c r="G1399" t="s">
        <v>11</v>
      </c>
      <c r="H1399" t="str">
        <f t="shared" si="42"/>
        <v>NAVERsamkyungpol</v>
      </c>
      <c r="I1399" t="str">
        <f>"samkyungpol"</f>
        <v>samkyungpol</v>
      </c>
      <c r="J1399">
        <v>260</v>
      </c>
      <c r="K1399" s="1">
        <v>44866</v>
      </c>
      <c r="L1399" t="s">
        <v>1427</v>
      </c>
      <c r="M1399">
        <f t="shared" si="43"/>
        <v>260</v>
      </c>
      <c r="N1399" t="e">
        <f>VLOOKUP(H1399,Sheet1!G:H,2,FALSE)</f>
        <v>#N/A</v>
      </c>
      <c r="R1399" t="s">
        <v>3323</v>
      </c>
      <c r="S1399">
        <v>1737730</v>
      </c>
    </row>
    <row r="1400" spans="1:19" x14ac:dyDescent="0.3">
      <c r="A1400" t="s">
        <v>16</v>
      </c>
      <c r="B1400">
        <f>VLOOKUP(A1400,Sheet2!B:F,5,FALSE)</f>
        <v>927</v>
      </c>
      <c r="C1400" t="s">
        <v>17</v>
      </c>
      <c r="D1400">
        <f>VLOOKUP(C1400,Sheet2!C:G,5,FALSE)</f>
        <v>1200</v>
      </c>
      <c r="E1400" t="s">
        <v>262</v>
      </c>
      <c r="F1400">
        <f>VLOOKUP(E1400,Sheet2!D:E,2,FALSE)</f>
        <v>1594</v>
      </c>
      <c r="G1400" t="s">
        <v>11</v>
      </c>
      <c r="H1400" t="str">
        <f t="shared" si="42"/>
        <v>NAVERsamsuk3333:naver</v>
      </c>
      <c r="I1400" t="str">
        <f>"samsuk3333:naver"</f>
        <v>samsuk3333:naver</v>
      </c>
      <c r="J1400">
        <v>127570</v>
      </c>
      <c r="K1400" s="1">
        <v>44866</v>
      </c>
      <c r="L1400" t="s">
        <v>1428</v>
      </c>
      <c r="M1400">
        <f t="shared" si="43"/>
        <v>184270</v>
      </c>
      <c r="N1400" t="e">
        <f>VLOOKUP(H1400,Sheet1!G:H,2,FALSE)</f>
        <v>#N/A</v>
      </c>
      <c r="R1400" t="s">
        <v>3324</v>
      </c>
      <c r="S1400">
        <v>1365820</v>
      </c>
    </row>
    <row r="1401" spans="1:19" x14ac:dyDescent="0.3">
      <c r="A1401" t="s">
        <v>41</v>
      </c>
      <c r="B1401">
        <f>VLOOKUP(A1401,Sheet2!B:F,5,FALSE)</f>
        <v>926</v>
      </c>
      <c r="C1401" t="s">
        <v>56</v>
      </c>
      <c r="D1401">
        <f>VLOOKUP(C1401,Sheet2!C:G,5,FALSE)</f>
        <v>1207</v>
      </c>
      <c r="E1401" t="s">
        <v>62</v>
      </c>
      <c r="F1401">
        <f>VLOOKUP(E1401,Sheet2!D:E,2,FALSE)</f>
        <v>201037</v>
      </c>
      <c r="G1401" t="s">
        <v>11</v>
      </c>
      <c r="H1401" t="str">
        <f t="shared" si="42"/>
        <v>NAVERsamt1</v>
      </c>
      <c r="I1401" t="str">
        <f>"samt1"</f>
        <v>samt1</v>
      </c>
      <c r="J1401">
        <v>2596560</v>
      </c>
      <c r="K1401" s="1">
        <v>44866</v>
      </c>
      <c r="L1401" t="s">
        <v>1429</v>
      </c>
      <c r="M1401">
        <f t="shared" si="43"/>
        <v>2596560</v>
      </c>
      <c r="N1401" t="e">
        <f>VLOOKUP(H1401,Sheet1!G:H,2,FALSE)</f>
        <v>#N/A</v>
      </c>
      <c r="R1401" t="s">
        <v>3325</v>
      </c>
      <c r="S1401">
        <v>750</v>
      </c>
    </row>
    <row r="1402" spans="1:19" x14ac:dyDescent="0.3">
      <c r="A1402" t="s">
        <v>8</v>
      </c>
      <c r="B1402">
        <f>VLOOKUP(A1402,Sheet2!B:F,5,FALSE)</f>
        <v>928</v>
      </c>
      <c r="C1402" t="s">
        <v>9</v>
      </c>
      <c r="D1402">
        <f>VLOOKUP(C1402,Sheet2!C:G,5,FALSE)</f>
        <v>1202</v>
      </c>
      <c r="E1402" t="s">
        <v>122</v>
      </c>
      <c r="F1402">
        <f>VLOOKUP(E1402,Sheet2!D:E,2,FALSE)</f>
        <v>251</v>
      </c>
      <c r="G1402" t="s">
        <v>11</v>
      </c>
      <c r="H1402" t="str">
        <f t="shared" si="42"/>
        <v>NAVERsangasystem</v>
      </c>
      <c r="I1402" t="str">
        <f>"sangasystem"</f>
        <v>sangasystem</v>
      </c>
      <c r="J1402">
        <v>870</v>
      </c>
      <c r="K1402" s="1">
        <v>44866</v>
      </c>
      <c r="L1402" t="s">
        <v>1430</v>
      </c>
      <c r="M1402">
        <f t="shared" si="43"/>
        <v>870</v>
      </c>
      <c r="N1402" t="e">
        <f>VLOOKUP(H1402,Sheet1!G:H,2,FALSE)</f>
        <v>#N/A</v>
      </c>
      <c r="R1402" t="s">
        <v>3326</v>
      </c>
      <c r="S1402">
        <v>1384520</v>
      </c>
    </row>
    <row r="1403" spans="1:19" x14ac:dyDescent="0.3">
      <c r="A1403" t="s">
        <v>16</v>
      </c>
      <c r="B1403">
        <f>VLOOKUP(A1403,Sheet2!B:F,5,FALSE)</f>
        <v>927</v>
      </c>
      <c r="C1403" t="s">
        <v>17</v>
      </c>
      <c r="D1403">
        <f>VLOOKUP(C1403,Sheet2!C:G,5,FALSE)</f>
        <v>1200</v>
      </c>
      <c r="E1403" t="s">
        <v>100</v>
      </c>
      <c r="F1403">
        <f>VLOOKUP(E1403,Sheet2!D:E,2,FALSE)</f>
        <v>201038</v>
      </c>
      <c r="G1403" t="s">
        <v>11</v>
      </c>
      <c r="H1403" t="str">
        <f t="shared" si="42"/>
        <v>NAVERsangmin7584</v>
      </c>
      <c r="I1403" t="str">
        <f>"sangmin7584"</f>
        <v>sangmin7584</v>
      </c>
      <c r="J1403">
        <v>1987550</v>
      </c>
      <c r="K1403" s="1">
        <v>44866</v>
      </c>
      <c r="L1403" t="s">
        <v>1431</v>
      </c>
      <c r="M1403">
        <f t="shared" si="43"/>
        <v>1987550</v>
      </c>
      <c r="N1403" t="e">
        <f>VLOOKUP(H1403,Sheet1!G:H,2,FALSE)</f>
        <v>#N/A</v>
      </c>
      <c r="R1403" t="s">
        <v>3327</v>
      </c>
      <c r="S1403">
        <v>56720</v>
      </c>
    </row>
    <row r="1404" spans="1:19" x14ac:dyDescent="0.3">
      <c r="A1404" t="s">
        <v>8</v>
      </c>
      <c r="B1404">
        <f>VLOOKUP(A1404,Sheet2!B:F,5,FALSE)</f>
        <v>928</v>
      </c>
      <c r="C1404" t="s">
        <v>13</v>
      </c>
      <c r="D1404">
        <f>VLOOKUP(C1404,Sheet2!C:G,5,FALSE)</f>
        <v>1184</v>
      </c>
      <c r="E1404" t="s">
        <v>59</v>
      </c>
      <c r="F1404">
        <f>VLOOKUP(E1404,Sheet2!D:E,2,FALSE)</f>
        <v>9</v>
      </c>
      <c r="G1404" t="s">
        <v>11</v>
      </c>
      <c r="H1404" t="str">
        <f t="shared" si="42"/>
        <v>NAVERsangwon11</v>
      </c>
      <c r="I1404" t="str">
        <f>"sangwon11"</f>
        <v>sangwon11</v>
      </c>
      <c r="J1404">
        <v>210</v>
      </c>
      <c r="K1404" s="1">
        <v>44866</v>
      </c>
      <c r="L1404" t="s">
        <v>1432</v>
      </c>
      <c r="M1404">
        <f t="shared" si="43"/>
        <v>210</v>
      </c>
      <c r="N1404" t="e">
        <f>VLOOKUP(H1404,Sheet1!G:H,2,FALSE)</f>
        <v>#N/A</v>
      </c>
      <c r="R1404" t="s">
        <v>3328</v>
      </c>
      <c r="S1404">
        <v>2034920</v>
      </c>
    </row>
    <row r="1405" spans="1:19" x14ac:dyDescent="0.3">
      <c r="A1405" t="s">
        <v>8</v>
      </c>
      <c r="B1405">
        <f>VLOOKUP(A1405,Sheet2!B:F,5,FALSE)</f>
        <v>928</v>
      </c>
      <c r="C1405" t="s">
        <v>9</v>
      </c>
      <c r="D1405">
        <f>VLOOKUP(C1405,Sheet2!C:G,5,FALSE)</f>
        <v>1202</v>
      </c>
      <c r="E1405" t="s">
        <v>37</v>
      </c>
      <c r="F1405">
        <f>VLOOKUP(E1405,Sheet2!D:E,2,FALSE)</f>
        <v>81</v>
      </c>
      <c r="G1405" t="s">
        <v>11</v>
      </c>
      <c r="H1405" t="str">
        <f t="shared" si="42"/>
        <v>NAVERsansukapsan</v>
      </c>
      <c r="I1405" t="str">
        <f>"sansukapsan"</f>
        <v>sansukapsan</v>
      </c>
      <c r="J1405">
        <v>3640</v>
      </c>
      <c r="K1405" s="1">
        <v>44866</v>
      </c>
      <c r="L1405" t="s">
        <v>1433</v>
      </c>
      <c r="M1405">
        <f t="shared" si="43"/>
        <v>3640</v>
      </c>
      <c r="N1405" t="e">
        <f>VLOOKUP(H1405,Sheet1!G:H,2,FALSE)</f>
        <v>#N/A</v>
      </c>
      <c r="R1405" t="s">
        <v>3329</v>
      </c>
      <c r="S1405">
        <v>9393440</v>
      </c>
    </row>
    <row r="1406" spans="1:19" x14ac:dyDescent="0.3">
      <c r="A1406" t="s">
        <v>8</v>
      </c>
      <c r="B1406">
        <f>VLOOKUP(A1406,Sheet2!B:F,5,FALSE)</f>
        <v>928</v>
      </c>
      <c r="C1406" t="s">
        <v>9</v>
      </c>
      <c r="D1406">
        <f>VLOOKUP(C1406,Sheet2!C:G,5,FALSE)</f>
        <v>1202</v>
      </c>
      <c r="E1406" t="s">
        <v>35</v>
      </c>
      <c r="F1406">
        <f>VLOOKUP(E1406,Sheet2!D:E,2,FALSE)</f>
        <v>51</v>
      </c>
      <c r="G1406" t="s">
        <v>11</v>
      </c>
      <c r="H1406" t="str">
        <f t="shared" si="42"/>
        <v>NAVERsapoking</v>
      </c>
      <c r="I1406" t="str">
        <f>"sapoking"</f>
        <v>sapoking</v>
      </c>
      <c r="J1406">
        <v>19730</v>
      </c>
      <c r="K1406" s="1">
        <v>44866</v>
      </c>
      <c r="L1406" t="s">
        <v>1434</v>
      </c>
      <c r="M1406">
        <f t="shared" si="43"/>
        <v>19730</v>
      </c>
      <c r="N1406" t="e">
        <f>VLOOKUP(H1406,Sheet1!G:H,2,FALSE)</f>
        <v>#N/A</v>
      </c>
      <c r="R1406" t="s">
        <v>3330</v>
      </c>
      <c r="S1406">
        <v>38650</v>
      </c>
    </row>
    <row r="1407" spans="1:19" x14ac:dyDescent="0.3">
      <c r="A1407" t="s">
        <v>16</v>
      </c>
      <c r="B1407">
        <f>VLOOKUP(A1407,Sheet2!B:F,5,FALSE)</f>
        <v>927</v>
      </c>
      <c r="C1407" t="s">
        <v>17</v>
      </c>
      <c r="D1407">
        <f>VLOOKUP(C1407,Sheet2!C:G,5,FALSE)</f>
        <v>1200</v>
      </c>
      <c r="E1407" t="s">
        <v>93</v>
      </c>
      <c r="F1407">
        <f>VLOOKUP(E1407,Sheet2!D:E,2,FALSE)</f>
        <v>930</v>
      </c>
      <c r="G1407" t="s">
        <v>11</v>
      </c>
      <c r="H1407" t="str">
        <f t="shared" si="42"/>
        <v>NAVERsarotech1</v>
      </c>
      <c r="I1407" t="str">
        <f>"sarotech1"</f>
        <v>sarotech1</v>
      </c>
      <c r="J1407">
        <v>958310</v>
      </c>
      <c r="K1407" s="1">
        <v>44866</v>
      </c>
      <c r="L1407" t="s">
        <v>1435</v>
      </c>
      <c r="M1407">
        <f t="shared" si="43"/>
        <v>958310</v>
      </c>
      <c r="N1407" t="e">
        <f>VLOOKUP(H1407,Sheet1!G:H,2,FALSE)</f>
        <v>#N/A</v>
      </c>
      <c r="R1407" t="s">
        <v>3331</v>
      </c>
      <c r="S1407">
        <v>180870</v>
      </c>
    </row>
    <row r="1408" spans="1:19" x14ac:dyDescent="0.3">
      <c r="A1408" t="s">
        <v>41</v>
      </c>
      <c r="B1408">
        <f>VLOOKUP(A1408,Sheet2!B:F,5,FALSE)</f>
        <v>926</v>
      </c>
      <c r="C1408" t="s">
        <v>56</v>
      </c>
      <c r="D1408">
        <f>VLOOKUP(C1408,Sheet2!C:G,5,FALSE)</f>
        <v>1207</v>
      </c>
      <c r="E1408" t="s">
        <v>57</v>
      </c>
      <c r="F1408">
        <f>VLOOKUP(E1408,Sheet2!D:E,2,FALSE)</f>
        <v>200982</v>
      </c>
      <c r="G1408" t="s">
        <v>11</v>
      </c>
      <c r="H1408" t="str">
        <f t="shared" si="42"/>
        <v>NAVERsasetrd:naver</v>
      </c>
      <c r="I1408" t="str">
        <f>"sasetrd:naver"</f>
        <v>sasetrd:naver</v>
      </c>
      <c r="J1408">
        <v>17185330</v>
      </c>
      <c r="K1408" s="1">
        <v>44866</v>
      </c>
      <c r="L1408" t="s">
        <v>1436</v>
      </c>
      <c r="M1408">
        <f t="shared" si="43"/>
        <v>15285350</v>
      </c>
      <c r="N1408" t="e">
        <f>VLOOKUP(H1408,Sheet1!G:H,2,FALSE)</f>
        <v>#N/A</v>
      </c>
      <c r="R1408" t="s">
        <v>3332</v>
      </c>
      <c r="S1408">
        <v>50470</v>
      </c>
    </row>
    <row r="1409" spans="1:19" x14ac:dyDescent="0.3">
      <c r="A1409" t="s">
        <v>8</v>
      </c>
      <c r="B1409">
        <f>VLOOKUP(A1409,Sheet2!B:F,5,FALSE)</f>
        <v>928</v>
      </c>
      <c r="C1409" t="s">
        <v>9</v>
      </c>
      <c r="D1409">
        <f>VLOOKUP(C1409,Sheet2!C:G,5,FALSE)</f>
        <v>1202</v>
      </c>
      <c r="E1409" t="s">
        <v>39</v>
      </c>
      <c r="F1409">
        <f>VLOOKUP(E1409,Sheet2!D:E,2,FALSE)</f>
        <v>25</v>
      </c>
      <c r="G1409" t="s">
        <v>11</v>
      </c>
      <c r="H1409" t="str">
        <f t="shared" si="42"/>
        <v>NAVERsbcarstory</v>
      </c>
      <c r="I1409" t="str">
        <f>"sbcarstory"</f>
        <v>sbcarstory</v>
      </c>
      <c r="J1409">
        <v>6902630</v>
      </c>
      <c r="K1409" s="1">
        <v>44866</v>
      </c>
      <c r="L1409" t="s">
        <v>1437</v>
      </c>
      <c r="M1409">
        <f t="shared" si="43"/>
        <v>6902630</v>
      </c>
      <c r="N1409" t="e">
        <f>VLOOKUP(H1409,Sheet1!G:H,2,FALSE)</f>
        <v>#N/A</v>
      </c>
      <c r="R1409" t="s">
        <v>3333</v>
      </c>
      <c r="S1409">
        <v>18520</v>
      </c>
    </row>
    <row r="1410" spans="1:19" x14ac:dyDescent="0.3">
      <c r="A1410" t="s">
        <v>16</v>
      </c>
      <c r="B1410">
        <f>VLOOKUP(A1410,Sheet2!B:F,5,FALSE)</f>
        <v>927</v>
      </c>
      <c r="C1410" t="s">
        <v>17</v>
      </c>
      <c r="D1410">
        <f>VLOOKUP(C1410,Sheet2!C:G,5,FALSE)</f>
        <v>1200</v>
      </c>
      <c r="E1410" t="s">
        <v>29</v>
      </c>
      <c r="F1410">
        <f>VLOOKUP(E1410,Sheet2!D:E,2,FALSE)</f>
        <v>1496</v>
      </c>
      <c r="G1410" t="s">
        <v>11</v>
      </c>
      <c r="H1410" t="str">
        <f t="shared" si="42"/>
        <v>NAVERsbinc2022</v>
      </c>
      <c r="I1410" t="str">
        <f>"sbinc2022"</f>
        <v>sbinc2022</v>
      </c>
      <c r="J1410">
        <v>14802580</v>
      </c>
      <c r="K1410" s="1">
        <v>44866</v>
      </c>
      <c r="L1410" t="s">
        <v>1438</v>
      </c>
      <c r="M1410">
        <f t="shared" si="43"/>
        <v>14802580</v>
      </c>
      <c r="N1410" t="e">
        <f>VLOOKUP(H1410,Sheet1!G:H,2,FALSE)</f>
        <v>#N/A</v>
      </c>
      <c r="R1410" t="s">
        <v>3334</v>
      </c>
      <c r="S1410">
        <v>6140</v>
      </c>
    </row>
    <row r="1411" spans="1:19" x14ac:dyDescent="0.3">
      <c r="A1411" t="s">
        <v>8</v>
      </c>
      <c r="B1411">
        <f>VLOOKUP(A1411,Sheet2!B:F,5,FALSE)</f>
        <v>928</v>
      </c>
      <c r="C1411" t="s">
        <v>9</v>
      </c>
      <c r="D1411">
        <f>VLOOKUP(C1411,Sheet2!C:G,5,FALSE)</f>
        <v>1202</v>
      </c>
      <c r="E1411" t="s">
        <v>110</v>
      </c>
      <c r="F1411">
        <f>VLOOKUP(E1411,Sheet2!D:E,2,FALSE)</f>
        <v>929</v>
      </c>
      <c r="G1411" t="s">
        <v>11</v>
      </c>
      <c r="H1411" t="str">
        <f t="shared" ref="H1411:H1474" si="44">CONCATENATE(G1411,I1411)</f>
        <v>NAVERsblee6606</v>
      </c>
      <c r="I1411" t="str">
        <f>"sblee6606"</f>
        <v>sblee6606</v>
      </c>
      <c r="J1411">
        <v>3000510</v>
      </c>
      <c r="K1411" s="1">
        <v>44866</v>
      </c>
      <c r="L1411" t="s">
        <v>1439</v>
      </c>
      <c r="M1411">
        <f t="shared" ref="M1411:M1474" si="45">VLOOKUP(H1411,R:S,2,FALSE)</f>
        <v>3000510</v>
      </c>
      <c r="N1411" t="e">
        <f>VLOOKUP(H1411,Sheet1!G:H,2,FALSE)</f>
        <v>#N/A</v>
      </c>
      <c r="R1411" t="s">
        <v>3335</v>
      </c>
      <c r="S1411">
        <v>364050</v>
      </c>
    </row>
    <row r="1412" spans="1:19" x14ac:dyDescent="0.3">
      <c r="A1412" t="s">
        <v>8</v>
      </c>
      <c r="B1412">
        <f>VLOOKUP(A1412,Sheet2!B:F,5,FALSE)</f>
        <v>928</v>
      </c>
      <c r="C1412" t="s">
        <v>9</v>
      </c>
      <c r="D1412">
        <f>VLOOKUP(C1412,Sheet2!C:G,5,FALSE)</f>
        <v>1202</v>
      </c>
      <c r="E1412" t="s">
        <v>73</v>
      </c>
      <c r="F1412">
        <f>VLOOKUP(E1412,Sheet2!D:E,2,FALSE)</f>
        <v>895</v>
      </c>
      <c r="G1412" t="s">
        <v>11</v>
      </c>
      <c r="H1412" t="str">
        <f t="shared" si="44"/>
        <v>NAVERsbt0948jtt</v>
      </c>
      <c r="I1412" t="str">
        <f>"sbt0948jtt"</f>
        <v>sbt0948jtt</v>
      </c>
      <c r="J1412">
        <v>11160</v>
      </c>
      <c r="K1412" s="1">
        <v>44866</v>
      </c>
      <c r="L1412" t="s">
        <v>1440</v>
      </c>
      <c r="M1412">
        <f t="shared" si="45"/>
        <v>11160</v>
      </c>
      <c r="N1412" t="e">
        <f>VLOOKUP(H1412,Sheet1!G:H,2,FALSE)</f>
        <v>#N/A</v>
      </c>
      <c r="R1412" t="s">
        <v>3336</v>
      </c>
      <c r="S1412">
        <v>13495460</v>
      </c>
    </row>
    <row r="1413" spans="1:19" x14ac:dyDescent="0.3">
      <c r="A1413" t="s">
        <v>8</v>
      </c>
      <c r="B1413">
        <f>VLOOKUP(A1413,Sheet2!B:F,5,FALSE)</f>
        <v>928</v>
      </c>
      <c r="C1413" t="s">
        <v>13</v>
      </c>
      <c r="D1413">
        <f>VLOOKUP(C1413,Sheet2!C:G,5,FALSE)</f>
        <v>1184</v>
      </c>
      <c r="E1413" t="s">
        <v>51</v>
      </c>
      <c r="F1413">
        <f>VLOOKUP(E1413,Sheet2!D:E,2,FALSE)</f>
        <v>1274</v>
      </c>
      <c r="G1413" t="s">
        <v>11</v>
      </c>
      <c r="H1413" t="str">
        <f t="shared" si="44"/>
        <v>NAVERsc_culture</v>
      </c>
      <c r="I1413" t="str">
        <f>"sc_culture"</f>
        <v>sc_culture</v>
      </c>
      <c r="J1413">
        <v>1020</v>
      </c>
      <c r="K1413" s="1">
        <v>44866</v>
      </c>
      <c r="L1413" t="s">
        <v>1441</v>
      </c>
      <c r="M1413">
        <f t="shared" si="45"/>
        <v>1020</v>
      </c>
      <c r="N1413" t="e">
        <f>VLOOKUP(H1413,Sheet1!G:H,2,FALSE)</f>
        <v>#N/A</v>
      </c>
      <c r="R1413" t="s">
        <v>3337</v>
      </c>
      <c r="S1413">
        <v>3065810</v>
      </c>
    </row>
    <row r="1414" spans="1:19" x14ac:dyDescent="0.3">
      <c r="A1414" t="s">
        <v>8</v>
      </c>
      <c r="B1414">
        <f>VLOOKUP(A1414,Sheet2!B:F,5,FALSE)</f>
        <v>928</v>
      </c>
      <c r="C1414" t="s">
        <v>9</v>
      </c>
      <c r="D1414">
        <f>VLOOKUP(C1414,Sheet2!C:G,5,FALSE)</f>
        <v>1202</v>
      </c>
      <c r="E1414" t="s">
        <v>33</v>
      </c>
      <c r="F1414">
        <f>VLOOKUP(E1414,Sheet2!D:E,2,FALSE)</f>
        <v>933</v>
      </c>
      <c r="G1414" t="s">
        <v>11</v>
      </c>
      <c r="H1414" t="str">
        <f t="shared" si="44"/>
        <v>NAVERscommtech</v>
      </c>
      <c r="I1414" t="str">
        <f>"scommtech"</f>
        <v>scommtech</v>
      </c>
      <c r="J1414">
        <v>6865560</v>
      </c>
      <c r="K1414" s="1">
        <v>44866</v>
      </c>
      <c r="L1414" t="s">
        <v>1442</v>
      </c>
      <c r="M1414">
        <f t="shared" si="45"/>
        <v>4965580</v>
      </c>
      <c r="N1414" t="e">
        <f>VLOOKUP(H1414,Sheet1!G:H,2,FALSE)</f>
        <v>#N/A</v>
      </c>
      <c r="R1414" t="s">
        <v>3338</v>
      </c>
      <c r="S1414">
        <v>6330</v>
      </c>
    </row>
    <row r="1415" spans="1:19" x14ac:dyDescent="0.3">
      <c r="A1415" t="s">
        <v>8</v>
      </c>
      <c r="B1415">
        <f>VLOOKUP(A1415,Sheet2!B:F,5,FALSE)</f>
        <v>928</v>
      </c>
      <c r="C1415" t="s">
        <v>9</v>
      </c>
      <c r="D1415">
        <f>VLOOKUP(C1415,Sheet2!C:G,5,FALSE)</f>
        <v>1202</v>
      </c>
      <c r="E1415" t="s">
        <v>73</v>
      </c>
      <c r="F1415">
        <f>VLOOKUP(E1415,Sheet2!D:E,2,FALSE)</f>
        <v>895</v>
      </c>
      <c r="G1415" t="s">
        <v>11</v>
      </c>
      <c r="H1415" t="str">
        <f t="shared" si="44"/>
        <v>NAVERsdj_2010</v>
      </c>
      <c r="I1415" t="str">
        <f>"sdj_2010"</f>
        <v>sdj_2010</v>
      </c>
      <c r="J1415">
        <v>13583940</v>
      </c>
      <c r="K1415" s="1">
        <v>44866</v>
      </c>
      <c r="L1415" t="s">
        <v>1443</v>
      </c>
      <c r="M1415">
        <f t="shared" si="45"/>
        <v>13583940</v>
      </c>
      <c r="N1415" t="e">
        <f>VLOOKUP(H1415,Sheet1!G:H,2,FALSE)</f>
        <v>#N/A</v>
      </c>
      <c r="R1415" t="s">
        <v>3339</v>
      </c>
      <c r="S1415">
        <v>35120</v>
      </c>
    </row>
    <row r="1416" spans="1:19" x14ac:dyDescent="0.3">
      <c r="A1416" t="s">
        <v>8</v>
      </c>
      <c r="B1416">
        <f>VLOOKUP(A1416,Sheet2!B:F,5,FALSE)</f>
        <v>928</v>
      </c>
      <c r="C1416" t="s">
        <v>13</v>
      </c>
      <c r="D1416">
        <f>VLOOKUP(C1416,Sheet2!C:G,5,FALSE)</f>
        <v>1184</v>
      </c>
      <c r="E1416" t="s">
        <v>51</v>
      </c>
      <c r="F1416">
        <f>VLOOKUP(E1416,Sheet2!D:E,2,FALSE)</f>
        <v>1274</v>
      </c>
      <c r="G1416" t="s">
        <v>11</v>
      </c>
      <c r="H1416" t="str">
        <f t="shared" si="44"/>
        <v>NAVERsdtelec</v>
      </c>
      <c r="I1416" t="str">
        <f>"sdtelec"</f>
        <v>sdtelec</v>
      </c>
      <c r="J1416">
        <v>63760</v>
      </c>
      <c r="K1416" s="1">
        <v>44866</v>
      </c>
      <c r="L1416" t="s">
        <v>1444</v>
      </c>
      <c r="M1416">
        <f t="shared" si="45"/>
        <v>63760</v>
      </c>
      <c r="N1416" t="e">
        <f>VLOOKUP(H1416,Sheet1!G:H,2,FALSE)</f>
        <v>#N/A</v>
      </c>
      <c r="R1416" t="s">
        <v>3340</v>
      </c>
      <c r="S1416">
        <v>716010</v>
      </c>
    </row>
    <row r="1417" spans="1:19" x14ac:dyDescent="0.3">
      <c r="A1417" t="s">
        <v>8</v>
      </c>
      <c r="B1417">
        <f>VLOOKUP(A1417,Sheet2!B:F,5,FALSE)</f>
        <v>928</v>
      </c>
      <c r="C1417" t="s">
        <v>13</v>
      </c>
      <c r="D1417">
        <f>VLOOKUP(C1417,Sheet2!C:G,5,FALSE)</f>
        <v>1184</v>
      </c>
      <c r="E1417" t="s">
        <v>115</v>
      </c>
      <c r="F1417">
        <f>VLOOKUP(E1417,Sheet2!D:E,2,FALSE)</f>
        <v>1548</v>
      </c>
      <c r="G1417" t="s">
        <v>11</v>
      </c>
      <c r="H1417" t="str">
        <f t="shared" si="44"/>
        <v>NAVERsea3435</v>
      </c>
      <c r="I1417" t="str">
        <f>"sea3435"</f>
        <v>sea3435</v>
      </c>
      <c r="J1417">
        <v>4990</v>
      </c>
      <c r="K1417" s="1">
        <v>44866</v>
      </c>
      <c r="L1417" t="s">
        <v>1445</v>
      </c>
      <c r="M1417">
        <f t="shared" si="45"/>
        <v>4990</v>
      </c>
      <c r="N1417" t="e">
        <f>VLOOKUP(H1417,Sheet1!G:H,2,FALSE)</f>
        <v>#N/A</v>
      </c>
      <c r="R1417" t="s">
        <v>3341</v>
      </c>
      <c r="S1417">
        <v>36540</v>
      </c>
    </row>
    <row r="1418" spans="1:19" x14ac:dyDescent="0.3">
      <c r="A1418" t="s">
        <v>41</v>
      </c>
      <c r="B1418">
        <f>VLOOKUP(A1418,Sheet2!B:F,5,FALSE)</f>
        <v>926</v>
      </c>
      <c r="C1418" t="s">
        <v>56</v>
      </c>
      <c r="D1418">
        <f>VLOOKUP(C1418,Sheet2!C:G,5,FALSE)</f>
        <v>1207</v>
      </c>
      <c r="E1418" t="s">
        <v>62</v>
      </c>
      <c r="F1418">
        <f>VLOOKUP(E1418,Sheet2!D:E,2,FALSE)</f>
        <v>201037</v>
      </c>
      <c r="G1418" t="s">
        <v>11</v>
      </c>
      <c r="H1418" t="str">
        <f t="shared" si="44"/>
        <v>NAVERsea4511</v>
      </c>
      <c r="I1418" t="str">
        <f>"sea4511"</f>
        <v>sea4511</v>
      </c>
      <c r="J1418">
        <v>690</v>
      </c>
      <c r="K1418" s="1">
        <v>44866</v>
      </c>
      <c r="L1418" t="s">
        <v>1446</v>
      </c>
      <c r="M1418">
        <f t="shared" si="45"/>
        <v>690</v>
      </c>
      <c r="N1418" t="e">
        <f>VLOOKUP(H1418,Sheet1!G:H,2,FALSE)</f>
        <v>#N/A</v>
      </c>
      <c r="R1418" t="s">
        <v>3342</v>
      </c>
      <c r="S1418">
        <v>1013470</v>
      </c>
    </row>
    <row r="1419" spans="1:19" x14ac:dyDescent="0.3">
      <c r="A1419" t="s">
        <v>8</v>
      </c>
      <c r="B1419">
        <f>VLOOKUP(A1419,Sheet2!B:F,5,FALSE)</f>
        <v>928</v>
      </c>
      <c r="C1419" t="s">
        <v>9</v>
      </c>
      <c r="D1419">
        <f>VLOOKUP(C1419,Sheet2!C:G,5,FALSE)</f>
        <v>1202</v>
      </c>
      <c r="E1419" t="s">
        <v>10</v>
      </c>
      <c r="F1419">
        <f>VLOOKUP(E1419,Sheet2!D:E,2,FALSE)</f>
        <v>939</v>
      </c>
      <c r="G1419" t="s">
        <v>11</v>
      </c>
      <c r="H1419" t="str">
        <f t="shared" si="44"/>
        <v>NAVERsealer77</v>
      </c>
      <c r="I1419" t="str">
        <f>"sealer77"</f>
        <v>sealer77</v>
      </c>
      <c r="J1419">
        <v>68290</v>
      </c>
      <c r="K1419" s="1">
        <v>44866</v>
      </c>
      <c r="L1419" t="s">
        <v>1447</v>
      </c>
      <c r="M1419">
        <f t="shared" si="45"/>
        <v>68290</v>
      </c>
      <c r="N1419" t="e">
        <f>VLOOKUP(H1419,Sheet1!G:H,2,FALSE)</f>
        <v>#N/A</v>
      </c>
      <c r="R1419" t="s">
        <v>3343</v>
      </c>
      <c r="S1419">
        <v>440240</v>
      </c>
    </row>
    <row r="1420" spans="1:19" x14ac:dyDescent="0.3">
      <c r="A1420" t="s">
        <v>16</v>
      </c>
      <c r="B1420">
        <f>VLOOKUP(A1420,Sheet2!B:F,5,FALSE)</f>
        <v>927</v>
      </c>
      <c r="C1420" t="s">
        <v>17</v>
      </c>
      <c r="D1420">
        <f>VLOOKUP(C1420,Sheet2!C:G,5,FALSE)</f>
        <v>1200</v>
      </c>
      <c r="E1420" t="s">
        <v>244</v>
      </c>
      <c r="F1420">
        <f>VLOOKUP(E1420,Sheet2!D:E,2,FALSE)</f>
        <v>817</v>
      </c>
      <c r="G1420" t="s">
        <v>11</v>
      </c>
      <c r="H1420" t="str">
        <f t="shared" si="44"/>
        <v>NAVERsecret6855:naver</v>
      </c>
      <c r="I1420" t="str">
        <f>"secret6855:naver"</f>
        <v>secret6855:naver</v>
      </c>
      <c r="J1420">
        <v>4040</v>
      </c>
      <c r="K1420" s="1">
        <v>44866</v>
      </c>
      <c r="L1420" t="s">
        <v>1448</v>
      </c>
      <c r="M1420">
        <f t="shared" si="45"/>
        <v>4040</v>
      </c>
      <c r="N1420" t="e">
        <f>VLOOKUP(H1420,Sheet1!G:H,2,FALSE)</f>
        <v>#N/A</v>
      </c>
      <c r="R1420" t="s">
        <v>3344</v>
      </c>
      <c r="S1420">
        <v>104570</v>
      </c>
    </row>
    <row r="1421" spans="1:19" x14ac:dyDescent="0.3">
      <c r="A1421" t="s">
        <v>8</v>
      </c>
      <c r="B1421">
        <f>VLOOKUP(A1421,Sheet2!B:F,5,FALSE)</f>
        <v>928</v>
      </c>
      <c r="C1421" t="s">
        <v>9</v>
      </c>
      <c r="D1421">
        <f>VLOOKUP(C1421,Sheet2!C:G,5,FALSE)</f>
        <v>1202</v>
      </c>
      <c r="E1421" t="s">
        <v>27</v>
      </c>
      <c r="F1421">
        <f>VLOOKUP(E1421,Sheet2!D:E,2,FALSE)</f>
        <v>806</v>
      </c>
      <c r="G1421" t="s">
        <v>11</v>
      </c>
      <c r="H1421" t="str">
        <f t="shared" si="44"/>
        <v>NAVERseesee02</v>
      </c>
      <c r="I1421" t="str">
        <f>"seesee02"</f>
        <v>seesee02</v>
      </c>
      <c r="J1421">
        <v>3542610</v>
      </c>
      <c r="K1421" s="1">
        <v>44866</v>
      </c>
      <c r="L1421" t="s">
        <v>1449</v>
      </c>
      <c r="M1421">
        <f t="shared" si="45"/>
        <v>3550530</v>
      </c>
      <c r="N1421" t="e">
        <f>VLOOKUP(H1421,Sheet1!G:H,2,FALSE)</f>
        <v>#N/A</v>
      </c>
      <c r="R1421" t="s">
        <v>3345</v>
      </c>
      <c r="S1421">
        <v>119120</v>
      </c>
    </row>
    <row r="1422" spans="1:19" x14ac:dyDescent="0.3">
      <c r="A1422" t="s">
        <v>8</v>
      </c>
      <c r="B1422">
        <f>VLOOKUP(A1422,Sheet2!B:F,5,FALSE)</f>
        <v>928</v>
      </c>
      <c r="C1422" t="s">
        <v>13</v>
      </c>
      <c r="D1422">
        <f>VLOOKUP(C1422,Sheet2!C:G,5,FALSE)</f>
        <v>1184</v>
      </c>
      <c r="E1422" t="s">
        <v>14</v>
      </c>
      <c r="F1422">
        <f>VLOOKUP(E1422,Sheet2!D:E,2,FALSE)</f>
        <v>914</v>
      </c>
      <c r="G1422" t="s">
        <v>11</v>
      </c>
      <c r="H1422" t="str">
        <f t="shared" si="44"/>
        <v>NAVERsejinlift123</v>
      </c>
      <c r="I1422" t="str">
        <f>"sejinlift123"</f>
        <v>sejinlift123</v>
      </c>
      <c r="J1422">
        <v>139900</v>
      </c>
      <c r="K1422" s="1">
        <v>44866</v>
      </c>
      <c r="L1422" t="s">
        <v>1450</v>
      </c>
      <c r="M1422">
        <f t="shared" si="45"/>
        <v>139900</v>
      </c>
      <c r="N1422" t="e">
        <f>VLOOKUP(H1422,Sheet1!G:H,2,FALSE)</f>
        <v>#N/A</v>
      </c>
      <c r="R1422" t="s">
        <v>3346</v>
      </c>
      <c r="S1422">
        <v>131170</v>
      </c>
    </row>
    <row r="1423" spans="1:19" x14ac:dyDescent="0.3">
      <c r="A1423" t="s">
        <v>41</v>
      </c>
      <c r="B1423">
        <f>VLOOKUP(A1423,Sheet2!B:F,5,FALSE)</f>
        <v>926</v>
      </c>
      <c r="C1423" t="s">
        <v>42</v>
      </c>
      <c r="D1423">
        <f>VLOOKUP(C1423,Sheet2!C:G,5,FALSE)</f>
        <v>964</v>
      </c>
      <c r="E1423" t="s">
        <v>43</v>
      </c>
      <c r="F1423">
        <f>VLOOKUP(E1423,Sheet2!D:E,2,FALSE)</f>
        <v>200998</v>
      </c>
      <c r="G1423" t="s">
        <v>11</v>
      </c>
      <c r="H1423" t="str">
        <f t="shared" si="44"/>
        <v>NAVERsejongfood</v>
      </c>
      <c r="I1423" t="str">
        <f>"sejongfood"</f>
        <v>sejongfood</v>
      </c>
      <c r="J1423">
        <v>46150</v>
      </c>
      <c r="K1423" s="1">
        <v>44866</v>
      </c>
      <c r="L1423" t="s">
        <v>1451</v>
      </c>
      <c r="M1423">
        <f t="shared" si="45"/>
        <v>46150</v>
      </c>
      <c r="N1423" t="str">
        <f>VLOOKUP(H1423,Sheet1!G:H,2,FALSE)</f>
        <v>전화 연결이 되지 않습니다.</v>
      </c>
      <c r="R1423" t="s">
        <v>3347</v>
      </c>
      <c r="S1423">
        <v>6807720</v>
      </c>
    </row>
    <row r="1424" spans="1:19" x14ac:dyDescent="0.3">
      <c r="A1424" t="s">
        <v>8</v>
      </c>
      <c r="B1424">
        <f>VLOOKUP(A1424,Sheet2!B:F,5,FALSE)</f>
        <v>928</v>
      </c>
      <c r="C1424" t="s">
        <v>9</v>
      </c>
      <c r="D1424">
        <f>VLOOKUP(C1424,Sheet2!C:G,5,FALSE)</f>
        <v>1202</v>
      </c>
      <c r="E1424" t="s">
        <v>20</v>
      </c>
      <c r="F1424">
        <f>VLOOKUP(E1424,Sheet2!D:E,2,FALSE)</f>
        <v>938</v>
      </c>
      <c r="G1424" t="s">
        <v>11</v>
      </c>
      <c r="H1424" t="str">
        <f t="shared" si="44"/>
        <v>NAVERsejongvinyl</v>
      </c>
      <c r="I1424" t="str">
        <f>"sejongvinyl"</f>
        <v>sejongvinyl</v>
      </c>
      <c r="J1424">
        <v>567740</v>
      </c>
      <c r="K1424" s="1">
        <v>44866</v>
      </c>
      <c r="L1424" t="s">
        <v>1452</v>
      </c>
      <c r="M1424">
        <f t="shared" si="45"/>
        <v>567740</v>
      </c>
      <c r="N1424" t="e">
        <f>VLOOKUP(H1424,Sheet1!G:H,2,FALSE)</f>
        <v>#N/A</v>
      </c>
      <c r="R1424" t="s">
        <v>3348</v>
      </c>
      <c r="S1424">
        <v>226110</v>
      </c>
    </row>
    <row r="1425" spans="1:19" x14ac:dyDescent="0.3">
      <c r="A1425" t="s">
        <v>8</v>
      </c>
      <c r="B1425">
        <f>VLOOKUP(A1425,Sheet2!B:F,5,FALSE)</f>
        <v>928</v>
      </c>
      <c r="C1425" t="s">
        <v>9</v>
      </c>
      <c r="D1425">
        <f>VLOOKUP(C1425,Sheet2!C:G,5,FALSE)</f>
        <v>1202</v>
      </c>
      <c r="E1425" t="s">
        <v>35</v>
      </c>
      <c r="F1425">
        <f>VLOOKUP(E1425,Sheet2!D:E,2,FALSE)</f>
        <v>51</v>
      </c>
      <c r="G1425" t="s">
        <v>11</v>
      </c>
      <c r="H1425" t="str">
        <f t="shared" si="44"/>
        <v>NAVERself291</v>
      </c>
      <c r="I1425" t="str">
        <f>"self291"</f>
        <v>self291</v>
      </c>
      <c r="J1425">
        <v>104710</v>
      </c>
      <c r="K1425" s="1">
        <v>44866</v>
      </c>
      <c r="L1425" t="s">
        <v>1453</v>
      </c>
      <c r="M1425">
        <f t="shared" si="45"/>
        <v>104710</v>
      </c>
      <c r="N1425" t="e">
        <f>VLOOKUP(H1425,Sheet1!G:H,2,FALSE)</f>
        <v>#N/A</v>
      </c>
      <c r="R1425" t="s">
        <v>3349</v>
      </c>
      <c r="S1425">
        <v>1318700</v>
      </c>
    </row>
    <row r="1426" spans="1:19" x14ac:dyDescent="0.3">
      <c r="A1426" t="s">
        <v>41</v>
      </c>
      <c r="B1426">
        <f>VLOOKUP(A1426,Sheet2!B:F,5,FALSE)</f>
        <v>926</v>
      </c>
      <c r="C1426" t="s">
        <v>56</v>
      </c>
      <c r="D1426">
        <f>VLOOKUP(C1426,Sheet2!C:G,5,FALSE)</f>
        <v>1207</v>
      </c>
      <c r="E1426" t="s">
        <v>64</v>
      </c>
      <c r="F1426">
        <f>VLOOKUP(E1426,Sheet2!D:E,2,FALSE)</f>
        <v>201011</v>
      </c>
      <c r="G1426" t="s">
        <v>11</v>
      </c>
      <c r="H1426" t="str">
        <f t="shared" si="44"/>
        <v>NAVERsemiworks</v>
      </c>
      <c r="I1426" t="str">
        <f>"semiworks"</f>
        <v>semiworks</v>
      </c>
      <c r="J1426">
        <v>194360</v>
      </c>
      <c r="K1426" s="1">
        <v>44866</v>
      </c>
      <c r="L1426" t="s">
        <v>1454</v>
      </c>
      <c r="M1426">
        <f t="shared" si="45"/>
        <v>194360</v>
      </c>
      <c r="N1426" t="e">
        <f>VLOOKUP(H1426,Sheet1!G:H,2,FALSE)</f>
        <v>#N/A</v>
      </c>
      <c r="R1426" t="s">
        <v>3350</v>
      </c>
      <c r="S1426">
        <v>1724430</v>
      </c>
    </row>
    <row r="1427" spans="1:19" x14ac:dyDescent="0.3">
      <c r="A1427" t="s">
        <v>16</v>
      </c>
      <c r="B1427">
        <f>VLOOKUP(A1427,Sheet2!B:F,5,FALSE)</f>
        <v>927</v>
      </c>
      <c r="C1427" t="s">
        <v>17</v>
      </c>
      <c r="D1427">
        <f>VLOOKUP(C1427,Sheet2!C:G,5,FALSE)</f>
        <v>1200</v>
      </c>
      <c r="E1427" t="s">
        <v>446</v>
      </c>
      <c r="F1427">
        <f>VLOOKUP(E1427,Sheet2!D:E,2,FALSE)</f>
        <v>566</v>
      </c>
      <c r="G1427" t="s">
        <v>11</v>
      </c>
      <c r="H1427" t="str">
        <f t="shared" si="44"/>
        <v>NAVERseobw77:naver</v>
      </c>
      <c r="I1427" t="str">
        <f>"seobw77:naver"</f>
        <v>seobw77:naver</v>
      </c>
      <c r="J1427">
        <v>89520</v>
      </c>
      <c r="K1427" s="1">
        <v>44866</v>
      </c>
      <c r="L1427" t="s">
        <v>1455</v>
      </c>
      <c r="M1427">
        <f t="shared" si="45"/>
        <v>89520</v>
      </c>
      <c r="N1427" t="e">
        <f>VLOOKUP(H1427,Sheet1!G:H,2,FALSE)</f>
        <v>#N/A</v>
      </c>
      <c r="R1427" t="s">
        <v>3351</v>
      </c>
      <c r="S1427">
        <v>692490</v>
      </c>
    </row>
    <row r="1428" spans="1:19" x14ac:dyDescent="0.3">
      <c r="A1428" t="s">
        <v>8</v>
      </c>
      <c r="B1428">
        <f>VLOOKUP(A1428,Sheet2!B:F,5,FALSE)</f>
        <v>928</v>
      </c>
      <c r="C1428" t="s">
        <v>9</v>
      </c>
      <c r="D1428">
        <f>VLOOKUP(C1428,Sheet2!C:G,5,FALSE)</f>
        <v>1202</v>
      </c>
      <c r="E1428" t="s">
        <v>37</v>
      </c>
      <c r="F1428">
        <f>VLOOKUP(E1428,Sheet2!D:E,2,FALSE)</f>
        <v>81</v>
      </c>
      <c r="G1428" t="s">
        <v>11</v>
      </c>
      <c r="H1428" t="str">
        <f t="shared" si="44"/>
        <v>NAVERseod</v>
      </c>
      <c r="I1428" t="str">
        <f>"seod"</f>
        <v>seod</v>
      </c>
      <c r="J1428">
        <v>918290</v>
      </c>
      <c r="K1428" s="1">
        <v>44866</v>
      </c>
      <c r="L1428" t="s">
        <v>1456</v>
      </c>
      <c r="M1428">
        <f t="shared" si="45"/>
        <v>918290</v>
      </c>
      <c r="N1428" t="e">
        <f>VLOOKUP(H1428,Sheet1!G:H,2,FALSE)</f>
        <v>#N/A</v>
      </c>
      <c r="R1428" t="s">
        <v>3352</v>
      </c>
      <c r="S1428">
        <v>7746830</v>
      </c>
    </row>
    <row r="1429" spans="1:19" x14ac:dyDescent="0.3">
      <c r="A1429" t="s">
        <v>8</v>
      </c>
      <c r="B1429">
        <f>VLOOKUP(A1429,Sheet2!B:F,5,FALSE)</f>
        <v>928</v>
      </c>
      <c r="C1429" t="s">
        <v>9</v>
      </c>
      <c r="D1429">
        <f>VLOOKUP(C1429,Sheet2!C:G,5,FALSE)</f>
        <v>1202</v>
      </c>
      <c r="E1429" t="s">
        <v>35</v>
      </c>
      <c r="F1429">
        <f>VLOOKUP(E1429,Sheet2!D:E,2,FALSE)</f>
        <v>51</v>
      </c>
      <c r="G1429" t="s">
        <v>11</v>
      </c>
      <c r="H1429" t="str">
        <f t="shared" si="44"/>
        <v>NAVERseodukq</v>
      </c>
      <c r="I1429" t="str">
        <f>"seodukq"</f>
        <v>seodukq</v>
      </c>
      <c r="J1429">
        <v>70</v>
      </c>
      <c r="K1429" s="1">
        <v>44866</v>
      </c>
      <c r="L1429" t="s">
        <v>1457</v>
      </c>
      <c r="M1429">
        <f t="shared" si="45"/>
        <v>70</v>
      </c>
      <c r="N1429" t="e">
        <f>VLOOKUP(H1429,Sheet1!G:H,2,FALSE)</f>
        <v>#N/A</v>
      </c>
      <c r="R1429" t="s">
        <v>3353</v>
      </c>
      <c r="S1429">
        <v>111960</v>
      </c>
    </row>
    <row r="1430" spans="1:19" x14ac:dyDescent="0.3">
      <c r="A1430" t="s">
        <v>8</v>
      </c>
      <c r="B1430">
        <f>VLOOKUP(A1430,Sheet2!B:F,5,FALSE)</f>
        <v>928</v>
      </c>
      <c r="C1430" t="s">
        <v>13</v>
      </c>
      <c r="D1430">
        <f>VLOOKUP(C1430,Sheet2!C:G,5,FALSE)</f>
        <v>1184</v>
      </c>
      <c r="E1430" t="s">
        <v>59</v>
      </c>
      <c r="F1430">
        <f>VLOOKUP(E1430,Sheet2!D:E,2,FALSE)</f>
        <v>9</v>
      </c>
      <c r="G1430" t="s">
        <v>11</v>
      </c>
      <c r="H1430" t="str">
        <f t="shared" si="44"/>
        <v>NAVERseohaecar</v>
      </c>
      <c r="I1430" t="str">
        <f>"seohaecar"</f>
        <v>seohaecar</v>
      </c>
      <c r="J1430">
        <v>9310</v>
      </c>
      <c r="K1430" s="1">
        <v>44866</v>
      </c>
      <c r="L1430" t="s">
        <v>1458</v>
      </c>
      <c r="M1430">
        <f t="shared" si="45"/>
        <v>9310</v>
      </c>
      <c r="N1430" t="e">
        <f>VLOOKUP(H1430,Sheet1!G:H,2,FALSE)</f>
        <v>#N/A</v>
      </c>
      <c r="R1430" t="s">
        <v>3354</v>
      </c>
      <c r="S1430">
        <v>21870</v>
      </c>
    </row>
    <row r="1431" spans="1:19" x14ac:dyDescent="0.3">
      <c r="A1431" t="s">
        <v>8</v>
      </c>
      <c r="B1431">
        <f>VLOOKUP(A1431,Sheet2!B:F,5,FALSE)</f>
        <v>928</v>
      </c>
      <c r="C1431" t="s">
        <v>9</v>
      </c>
      <c r="D1431">
        <f>VLOOKUP(C1431,Sheet2!C:G,5,FALSE)</f>
        <v>1202</v>
      </c>
      <c r="E1431" t="s">
        <v>10</v>
      </c>
      <c r="F1431">
        <f>VLOOKUP(E1431,Sheet2!D:E,2,FALSE)</f>
        <v>939</v>
      </c>
      <c r="G1431" t="s">
        <v>11</v>
      </c>
      <c r="H1431" t="str">
        <f t="shared" si="44"/>
        <v>NAVERseokgye56</v>
      </c>
      <c r="I1431" t="str">
        <f>"seokgye56"</f>
        <v>seokgye56</v>
      </c>
      <c r="J1431">
        <v>152280</v>
      </c>
      <c r="K1431" s="1">
        <v>44866</v>
      </c>
      <c r="L1431" t="s">
        <v>1459</v>
      </c>
      <c r="M1431">
        <f t="shared" si="45"/>
        <v>152280</v>
      </c>
      <c r="N1431" t="e">
        <f>VLOOKUP(H1431,Sheet1!G:H,2,FALSE)</f>
        <v>#N/A</v>
      </c>
      <c r="R1431" t="s">
        <v>3355</v>
      </c>
      <c r="S1431">
        <v>4517760</v>
      </c>
    </row>
    <row r="1432" spans="1:19" x14ac:dyDescent="0.3">
      <c r="A1432" t="s">
        <v>8</v>
      </c>
      <c r="B1432">
        <f>VLOOKUP(A1432,Sheet2!B:F,5,FALSE)</f>
        <v>928</v>
      </c>
      <c r="C1432" t="s">
        <v>9</v>
      </c>
      <c r="D1432">
        <f>VLOOKUP(C1432,Sheet2!C:G,5,FALSE)</f>
        <v>1202</v>
      </c>
      <c r="E1432" t="s">
        <v>10</v>
      </c>
      <c r="F1432">
        <f>VLOOKUP(E1432,Sheet2!D:E,2,FALSE)</f>
        <v>939</v>
      </c>
      <c r="G1432" t="s">
        <v>11</v>
      </c>
      <c r="H1432" t="str">
        <f t="shared" si="44"/>
        <v>NAVERseokye01</v>
      </c>
      <c r="I1432" t="str">
        <f>"seokye01"</f>
        <v>seokye01</v>
      </c>
      <c r="J1432">
        <v>157150</v>
      </c>
      <c r="K1432" s="1">
        <v>44866</v>
      </c>
      <c r="L1432" t="s">
        <v>1460</v>
      </c>
      <c r="M1432">
        <f t="shared" si="45"/>
        <v>157150</v>
      </c>
      <c r="N1432" t="e">
        <f>VLOOKUP(H1432,Sheet1!G:H,2,FALSE)</f>
        <v>#N/A</v>
      </c>
      <c r="R1432" t="s">
        <v>3356</v>
      </c>
      <c r="S1432">
        <v>17550</v>
      </c>
    </row>
    <row r="1433" spans="1:19" x14ac:dyDescent="0.3">
      <c r="A1433" t="s">
        <v>8</v>
      </c>
      <c r="B1433">
        <f>VLOOKUP(A1433,Sheet2!B:F,5,FALSE)</f>
        <v>928</v>
      </c>
      <c r="C1433" t="s">
        <v>13</v>
      </c>
      <c r="D1433">
        <f>VLOOKUP(C1433,Sheet2!C:G,5,FALSE)</f>
        <v>1184</v>
      </c>
      <c r="E1433" t="s">
        <v>374</v>
      </c>
      <c r="F1433">
        <f>VLOOKUP(E1433,Sheet2!D:E,2,FALSE)</f>
        <v>201022</v>
      </c>
      <c r="G1433" t="s">
        <v>11</v>
      </c>
      <c r="H1433" t="str">
        <f t="shared" si="44"/>
        <v>NAVERseolhaeone2:naver</v>
      </c>
      <c r="I1433" t="str">
        <f>"seolhaeone2:naver"</f>
        <v>seolhaeone2:naver</v>
      </c>
      <c r="J1433">
        <v>4019980</v>
      </c>
      <c r="K1433" s="1">
        <v>44866</v>
      </c>
      <c r="L1433" t="s">
        <v>1461</v>
      </c>
      <c r="M1433">
        <f t="shared" si="45"/>
        <v>0</v>
      </c>
      <c r="N1433" t="e">
        <f>VLOOKUP(H1433,Sheet1!G:H,2,FALSE)</f>
        <v>#N/A</v>
      </c>
      <c r="R1433" t="s">
        <v>3357</v>
      </c>
      <c r="S1433">
        <v>15250</v>
      </c>
    </row>
    <row r="1434" spans="1:19" x14ac:dyDescent="0.3">
      <c r="A1434" t="s">
        <v>8</v>
      </c>
      <c r="B1434">
        <f>VLOOKUP(A1434,Sheet2!B:F,5,FALSE)</f>
        <v>928</v>
      </c>
      <c r="C1434" t="s">
        <v>9</v>
      </c>
      <c r="D1434">
        <f>VLOOKUP(C1434,Sheet2!C:G,5,FALSE)</f>
        <v>1202</v>
      </c>
      <c r="E1434" t="s">
        <v>20</v>
      </c>
      <c r="F1434">
        <f>VLOOKUP(E1434,Sheet2!D:E,2,FALSE)</f>
        <v>938</v>
      </c>
      <c r="G1434" t="s">
        <v>11</v>
      </c>
      <c r="H1434" t="str">
        <f t="shared" si="44"/>
        <v>NAVERseonhoramen</v>
      </c>
      <c r="I1434" t="str">
        <f>"seonhoramen"</f>
        <v>seonhoramen</v>
      </c>
      <c r="J1434">
        <v>601420</v>
      </c>
      <c r="K1434" s="1">
        <v>44866</v>
      </c>
      <c r="L1434" t="s">
        <v>1462</v>
      </c>
      <c r="M1434">
        <f t="shared" si="45"/>
        <v>601420</v>
      </c>
      <c r="N1434" t="e">
        <f>VLOOKUP(H1434,Sheet1!G:H,2,FALSE)</f>
        <v>#N/A</v>
      </c>
      <c r="R1434" t="s">
        <v>3358</v>
      </c>
      <c r="S1434">
        <v>4838840</v>
      </c>
    </row>
    <row r="1435" spans="1:19" x14ac:dyDescent="0.3">
      <c r="A1435" t="s">
        <v>8</v>
      </c>
      <c r="B1435">
        <f>VLOOKUP(A1435,Sheet2!B:F,5,FALSE)</f>
        <v>928</v>
      </c>
      <c r="C1435" t="s">
        <v>13</v>
      </c>
      <c r="D1435">
        <f>VLOOKUP(C1435,Sheet2!C:G,5,FALSE)</f>
        <v>1184</v>
      </c>
      <c r="E1435" t="s">
        <v>51</v>
      </c>
      <c r="F1435">
        <f>VLOOKUP(E1435,Sheet2!D:E,2,FALSE)</f>
        <v>1274</v>
      </c>
      <c r="G1435" t="s">
        <v>11</v>
      </c>
      <c r="H1435" t="str">
        <f t="shared" si="44"/>
        <v>NAVERseoulcafe</v>
      </c>
      <c r="I1435" t="str">
        <f>"seoulcafe"</f>
        <v>seoulcafe</v>
      </c>
      <c r="J1435">
        <v>172750</v>
      </c>
      <c r="K1435" s="1">
        <v>44866</v>
      </c>
      <c r="L1435" t="s">
        <v>1463</v>
      </c>
      <c r="M1435">
        <f t="shared" si="45"/>
        <v>172750</v>
      </c>
      <c r="N1435" t="e">
        <f>VLOOKUP(H1435,Sheet1!G:H,2,FALSE)</f>
        <v>#N/A</v>
      </c>
      <c r="R1435" t="s">
        <v>3359</v>
      </c>
      <c r="S1435">
        <v>1097410</v>
      </c>
    </row>
    <row r="1436" spans="1:19" x14ac:dyDescent="0.3">
      <c r="A1436" t="s">
        <v>41</v>
      </c>
      <c r="B1436">
        <f>VLOOKUP(A1436,Sheet2!B:F,5,FALSE)</f>
        <v>926</v>
      </c>
      <c r="C1436" t="s">
        <v>56</v>
      </c>
      <c r="D1436">
        <f>VLOOKUP(C1436,Sheet2!C:G,5,FALSE)</f>
        <v>1207</v>
      </c>
      <c r="E1436" t="s">
        <v>62</v>
      </c>
      <c r="F1436">
        <f>VLOOKUP(E1436,Sheet2!D:E,2,FALSE)</f>
        <v>201037</v>
      </c>
      <c r="G1436" t="s">
        <v>11</v>
      </c>
      <c r="H1436" t="str">
        <f t="shared" si="44"/>
        <v>NAVERseoulfamilydent:naver</v>
      </c>
      <c r="I1436" t="str">
        <f>"seoulfamilydent:naver"</f>
        <v>seoulfamilydent:naver</v>
      </c>
      <c r="J1436">
        <v>638160</v>
      </c>
      <c r="K1436" s="1">
        <v>44866</v>
      </c>
      <c r="L1436" t="s">
        <v>1464</v>
      </c>
      <c r="M1436">
        <f t="shared" si="45"/>
        <v>638160</v>
      </c>
      <c r="N1436" t="e">
        <f>VLOOKUP(H1436,Sheet1!G:H,2,FALSE)</f>
        <v>#N/A</v>
      </c>
      <c r="R1436" t="s">
        <v>3360</v>
      </c>
      <c r="S1436">
        <v>116640</v>
      </c>
    </row>
    <row r="1437" spans="1:19" x14ac:dyDescent="0.3">
      <c r="A1437" t="s">
        <v>8</v>
      </c>
      <c r="B1437">
        <f>VLOOKUP(A1437,Sheet2!B:F,5,FALSE)</f>
        <v>928</v>
      </c>
      <c r="C1437" t="s">
        <v>9</v>
      </c>
      <c r="D1437">
        <f>VLOOKUP(C1437,Sheet2!C:G,5,FALSE)</f>
        <v>1202</v>
      </c>
      <c r="E1437" t="s">
        <v>47</v>
      </c>
      <c r="F1437">
        <f>VLOOKUP(E1437,Sheet2!D:E,2,FALSE)</f>
        <v>898</v>
      </c>
      <c r="G1437" t="s">
        <v>11</v>
      </c>
      <c r="H1437" t="str">
        <f t="shared" si="44"/>
        <v>NAVERseoultrust</v>
      </c>
      <c r="I1437" t="str">
        <f>"seoultrust"</f>
        <v>seoultrust</v>
      </c>
      <c r="J1437">
        <v>199200</v>
      </c>
      <c r="K1437" s="1">
        <v>44866</v>
      </c>
      <c r="L1437" t="s">
        <v>1465</v>
      </c>
      <c r="M1437">
        <f t="shared" si="45"/>
        <v>209980</v>
      </c>
      <c r="N1437" t="e">
        <f>VLOOKUP(H1437,Sheet1!G:H,2,FALSE)</f>
        <v>#N/A</v>
      </c>
      <c r="R1437" t="s">
        <v>3361</v>
      </c>
      <c r="S1437">
        <v>13834060</v>
      </c>
    </row>
    <row r="1438" spans="1:19" x14ac:dyDescent="0.3">
      <c r="A1438" t="s">
        <v>8</v>
      </c>
      <c r="B1438">
        <f>VLOOKUP(A1438,Sheet2!B:F,5,FALSE)</f>
        <v>928</v>
      </c>
      <c r="C1438" t="s">
        <v>13</v>
      </c>
      <c r="D1438">
        <f>VLOOKUP(C1438,Sheet2!C:G,5,FALSE)</f>
        <v>1184</v>
      </c>
      <c r="E1438" t="s">
        <v>59</v>
      </c>
      <c r="F1438">
        <f>VLOOKUP(E1438,Sheet2!D:E,2,FALSE)</f>
        <v>9</v>
      </c>
      <c r="G1438" t="s">
        <v>11</v>
      </c>
      <c r="H1438" t="str">
        <f t="shared" si="44"/>
        <v>NAVERseracomtec</v>
      </c>
      <c r="I1438" t="str">
        <f>"seracomtec"</f>
        <v>seracomtec</v>
      </c>
      <c r="J1438">
        <v>70</v>
      </c>
      <c r="K1438" s="1">
        <v>44866</v>
      </c>
      <c r="L1438" t="s">
        <v>1466</v>
      </c>
      <c r="M1438">
        <f t="shared" si="45"/>
        <v>70</v>
      </c>
      <c r="N1438" t="e">
        <f>VLOOKUP(H1438,Sheet1!G:H,2,FALSE)</f>
        <v>#N/A</v>
      </c>
      <c r="R1438" t="s">
        <v>3362</v>
      </c>
      <c r="S1438">
        <v>198290</v>
      </c>
    </row>
    <row r="1439" spans="1:19" x14ac:dyDescent="0.3">
      <c r="A1439" t="s">
        <v>16</v>
      </c>
      <c r="B1439">
        <f>VLOOKUP(A1439,Sheet2!B:F,5,FALSE)</f>
        <v>927</v>
      </c>
      <c r="C1439" t="s">
        <v>17</v>
      </c>
      <c r="D1439">
        <f>VLOOKUP(C1439,Sheet2!C:G,5,FALSE)</f>
        <v>1200</v>
      </c>
      <c r="E1439" t="s">
        <v>100</v>
      </c>
      <c r="F1439">
        <f>VLOOKUP(E1439,Sheet2!D:E,2,FALSE)</f>
        <v>201038</v>
      </c>
      <c r="G1439" t="s">
        <v>11</v>
      </c>
      <c r="H1439" t="str">
        <f t="shared" si="44"/>
        <v>NAVERses4027</v>
      </c>
      <c r="I1439" t="str">
        <f>"ses4027"</f>
        <v>ses4027</v>
      </c>
      <c r="J1439">
        <v>460550</v>
      </c>
      <c r="K1439" s="1">
        <v>44866</v>
      </c>
      <c r="L1439" t="s">
        <v>1467</v>
      </c>
      <c r="M1439">
        <f t="shared" si="45"/>
        <v>461020</v>
      </c>
      <c r="N1439" t="e">
        <f>VLOOKUP(H1439,Sheet1!G:H,2,FALSE)</f>
        <v>#N/A</v>
      </c>
      <c r="R1439" t="s">
        <v>3363</v>
      </c>
      <c r="S1439">
        <v>1344660</v>
      </c>
    </row>
    <row r="1440" spans="1:19" x14ac:dyDescent="0.3">
      <c r="A1440" t="s">
        <v>8</v>
      </c>
      <c r="B1440">
        <f>VLOOKUP(A1440,Sheet2!B:F,5,FALSE)</f>
        <v>928</v>
      </c>
      <c r="C1440" t="s">
        <v>9</v>
      </c>
      <c r="D1440">
        <f>VLOOKUP(C1440,Sheet2!C:G,5,FALSE)</f>
        <v>1202</v>
      </c>
      <c r="E1440" t="s">
        <v>20</v>
      </c>
      <c r="F1440">
        <f>VLOOKUP(E1440,Sheet2!D:E,2,FALSE)</f>
        <v>938</v>
      </c>
      <c r="G1440" t="s">
        <v>11</v>
      </c>
      <c r="H1440" t="str">
        <f t="shared" si="44"/>
        <v>NAVERsetx</v>
      </c>
      <c r="I1440" t="str">
        <f>"setx"</f>
        <v>setx</v>
      </c>
      <c r="J1440">
        <v>680660</v>
      </c>
      <c r="K1440" s="1">
        <v>44866</v>
      </c>
      <c r="L1440" t="s">
        <v>1468</v>
      </c>
      <c r="M1440">
        <f t="shared" si="45"/>
        <v>680660</v>
      </c>
      <c r="N1440" t="e">
        <f>VLOOKUP(H1440,Sheet1!G:H,2,FALSE)</f>
        <v>#N/A</v>
      </c>
      <c r="R1440" t="s">
        <v>3364</v>
      </c>
      <c r="S1440">
        <v>246440</v>
      </c>
    </row>
    <row r="1441" spans="1:19" x14ac:dyDescent="0.3">
      <c r="A1441" t="s">
        <v>8</v>
      </c>
      <c r="B1441">
        <f>VLOOKUP(A1441,Sheet2!B:F,5,FALSE)</f>
        <v>928</v>
      </c>
      <c r="C1441" t="s">
        <v>9</v>
      </c>
      <c r="D1441">
        <f>VLOOKUP(C1441,Sheet2!C:G,5,FALSE)</f>
        <v>1202</v>
      </c>
      <c r="E1441" t="s">
        <v>104</v>
      </c>
      <c r="F1441">
        <f>VLOOKUP(E1441,Sheet2!D:E,2,FALSE)</f>
        <v>201009</v>
      </c>
      <c r="G1441" t="s">
        <v>11</v>
      </c>
      <c r="H1441" t="str">
        <f t="shared" si="44"/>
        <v>NAVERsexywoo</v>
      </c>
      <c r="I1441" t="str">
        <f>"sexywoo"</f>
        <v>sexywoo</v>
      </c>
      <c r="J1441">
        <v>37203070</v>
      </c>
      <c r="K1441" s="1">
        <v>44866</v>
      </c>
      <c r="L1441" t="s">
        <v>1469</v>
      </c>
      <c r="M1441">
        <f t="shared" si="45"/>
        <v>37203070</v>
      </c>
      <c r="N1441" t="e">
        <f>VLOOKUP(H1441,Sheet1!G:H,2,FALSE)</f>
        <v>#N/A</v>
      </c>
      <c r="R1441" t="s">
        <v>3365</v>
      </c>
      <c r="S1441">
        <v>395500</v>
      </c>
    </row>
    <row r="1442" spans="1:19" x14ac:dyDescent="0.3">
      <c r="A1442" t="s">
        <v>8</v>
      </c>
      <c r="B1442">
        <f>VLOOKUP(A1442,Sheet2!B:F,5,FALSE)</f>
        <v>928</v>
      </c>
      <c r="C1442" t="s">
        <v>9</v>
      </c>
      <c r="D1442">
        <f>VLOOKUP(C1442,Sheet2!C:G,5,FALSE)</f>
        <v>1202</v>
      </c>
      <c r="E1442" t="s">
        <v>39</v>
      </c>
      <c r="F1442">
        <f>VLOOKUP(E1442,Sheet2!D:E,2,FALSE)</f>
        <v>25</v>
      </c>
      <c r="G1442" t="s">
        <v>11</v>
      </c>
      <c r="H1442" t="str">
        <f t="shared" si="44"/>
        <v>NAVERsg123</v>
      </c>
      <c r="I1442" t="str">
        <f>"sg123"</f>
        <v>sg123</v>
      </c>
      <c r="J1442">
        <v>122410</v>
      </c>
      <c r="K1442" s="1">
        <v>44866</v>
      </c>
      <c r="L1442" t="s">
        <v>1470</v>
      </c>
      <c r="M1442">
        <f t="shared" si="45"/>
        <v>122410</v>
      </c>
      <c r="N1442" t="e">
        <f>VLOOKUP(H1442,Sheet1!G:H,2,FALSE)</f>
        <v>#N/A</v>
      </c>
      <c r="R1442" t="s">
        <v>3366</v>
      </c>
      <c r="S1442">
        <v>192656</v>
      </c>
    </row>
    <row r="1443" spans="1:19" x14ac:dyDescent="0.3">
      <c r="A1443" t="s">
        <v>16</v>
      </c>
      <c r="B1443">
        <f>VLOOKUP(A1443,Sheet2!B:F,5,FALSE)</f>
        <v>927</v>
      </c>
      <c r="C1443" t="s">
        <v>17</v>
      </c>
      <c r="D1443">
        <f>VLOOKUP(C1443,Sheet2!C:G,5,FALSE)</f>
        <v>1200</v>
      </c>
      <c r="E1443" t="s">
        <v>137</v>
      </c>
      <c r="F1443">
        <f>VLOOKUP(E1443,Sheet2!D:E,2,FALSE)</f>
        <v>1012</v>
      </c>
      <c r="G1443" t="s">
        <v>11</v>
      </c>
      <c r="H1443" t="str">
        <f t="shared" si="44"/>
        <v>NAVERsg1285</v>
      </c>
      <c r="I1443" t="str">
        <f>"sg1285"</f>
        <v>sg1285</v>
      </c>
      <c r="J1443">
        <v>3120</v>
      </c>
      <c r="K1443" s="1">
        <v>44866</v>
      </c>
      <c r="L1443" t="s">
        <v>1471</v>
      </c>
      <c r="M1443">
        <f t="shared" si="45"/>
        <v>3120</v>
      </c>
      <c r="N1443" t="e">
        <f>VLOOKUP(H1443,Sheet1!G:H,2,FALSE)</f>
        <v>#N/A</v>
      </c>
      <c r="R1443" t="s">
        <v>3367</v>
      </c>
      <c r="S1443">
        <v>12750</v>
      </c>
    </row>
    <row r="1444" spans="1:19" x14ac:dyDescent="0.3">
      <c r="A1444" t="s">
        <v>41</v>
      </c>
      <c r="B1444">
        <f>VLOOKUP(A1444,Sheet2!B:F,5,FALSE)</f>
        <v>926</v>
      </c>
      <c r="C1444" t="s">
        <v>56</v>
      </c>
      <c r="D1444">
        <f>VLOOKUP(C1444,Sheet2!C:G,5,FALSE)</f>
        <v>1207</v>
      </c>
      <c r="E1444" t="s">
        <v>62</v>
      </c>
      <c r="F1444">
        <f>VLOOKUP(E1444,Sheet2!D:E,2,FALSE)</f>
        <v>201037</v>
      </c>
      <c r="G1444" t="s">
        <v>11</v>
      </c>
      <c r="H1444" t="str">
        <f t="shared" si="44"/>
        <v>NAVERsgoceo</v>
      </c>
      <c r="I1444" t="str">
        <f>"sgoceo"</f>
        <v>sgoceo</v>
      </c>
      <c r="J1444">
        <v>403870</v>
      </c>
      <c r="K1444" s="1">
        <v>44866</v>
      </c>
      <c r="L1444" t="s">
        <v>1472</v>
      </c>
      <c r="M1444">
        <f t="shared" si="45"/>
        <v>403870</v>
      </c>
      <c r="N1444" t="e">
        <f>VLOOKUP(H1444,Sheet1!G:H,2,FALSE)</f>
        <v>#N/A</v>
      </c>
      <c r="R1444" t="s">
        <v>3368</v>
      </c>
      <c r="S1444">
        <v>180170</v>
      </c>
    </row>
    <row r="1445" spans="1:19" x14ac:dyDescent="0.3">
      <c r="A1445" t="s">
        <v>8</v>
      </c>
      <c r="B1445">
        <f>VLOOKUP(A1445,Sheet2!B:F,5,FALSE)</f>
        <v>928</v>
      </c>
      <c r="C1445" t="s">
        <v>9</v>
      </c>
      <c r="D1445">
        <f>VLOOKUP(C1445,Sheet2!C:G,5,FALSE)</f>
        <v>1202</v>
      </c>
      <c r="E1445" t="s">
        <v>10</v>
      </c>
      <c r="F1445">
        <f>VLOOKUP(E1445,Sheet2!D:E,2,FALSE)</f>
        <v>939</v>
      </c>
      <c r="G1445" t="s">
        <v>11</v>
      </c>
      <c r="H1445" t="str">
        <f t="shared" si="44"/>
        <v>NAVERsh2658843</v>
      </c>
      <c r="I1445" t="str">
        <f>"sh2658843"</f>
        <v>sh2658843</v>
      </c>
      <c r="J1445">
        <v>2376760</v>
      </c>
      <c r="K1445" s="1">
        <v>44866</v>
      </c>
      <c r="L1445" t="s">
        <v>1473</v>
      </c>
      <c r="M1445">
        <f t="shared" si="45"/>
        <v>2376760</v>
      </c>
      <c r="N1445" t="e">
        <f>VLOOKUP(H1445,Sheet1!G:H,2,FALSE)</f>
        <v>#N/A</v>
      </c>
      <c r="R1445" t="s">
        <v>3369</v>
      </c>
      <c r="S1445">
        <v>133680</v>
      </c>
    </row>
    <row r="1446" spans="1:19" x14ac:dyDescent="0.3">
      <c r="A1446" t="s">
        <v>8</v>
      </c>
      <c r="B1446">
        <f>VLOOKUP(A1446,Sheet2!B:F,5,FALSE)</f>
        <v>928</v>
      </c>
      <c r="C1446" t="s">
        <v>9</v>
      </c>
      <c r="D1446">
        <f>VLOOKUP(C1446,Sheet2!C:G,5,FALSE)</f>
        <v>1202</v>
      </c>
      <c r="E1446" t="s">
        <v>47</v>
      </c>
      <c r="F1446">
        <f>VLOOKUP(E1446,Sheet2!D:E,2,FALSE)</f>
        <v>898</v>
      </c>
      <c r="G1446" t="s">
        <v>11</v>
      </c>
      <c r="H1446" t="str">
        <f t="shared" si="44"/>
        <v>NAVERsh6130</v>
      </c>
      <c r="I1446" t="str">
        <f>"sh6130"</f>
        <v>sh6130</v>
      </c>
      <c r="J1446">
        <v>18630</v>
      </c>
      <c r="K1446" s="1">
        <v>44866</v>
      </c>
      <c r="L1446" t="s">
        <v>1474</v>
      </c>
      <c r="M1446">
        <f t="shared" si="45"/>
        <v>18630</v>
      </c>
      <c r="N1446" t="e">
        <f>VLOOKUP(H1446,Sheet1!G:H,2,FALSE)</f>
        <v>#N/A</v>
      </c>
      <c r="R1446" t="s">
        <v>3370</v>
      </c>
      <c r="S1446">
        <v>249160</v>
      </c>
    </row>
    <row r="1447" spans="1:19" x14ac:dyDescent="0.3">
      <c r="A1447" t="s">
        <v>8</v>
      </c>
      <c r="B1447">
        <f>VLOOKUP(A1447,Sheet2!B:F,5,FALSE)</f>
        <v>928</v>
      </c>
      <c r="C1447" t="s">
        <v>9</v>
      </c>
      <c r="D1447">
        <f>VLOOKUP(C1447,Sheet2!C:G,5,FALSE)</f>
        <v>1202</v>
      </c>
      <c r="E1447" t="s">
        <v>27</v>
      </c>
      <c r="F1447">
        <f>VLOOKUP(E1447,Sheet2!D:E,2,FALSE)</f>
        <v>806</v>
      </c>
      <c r="G1447" t="s">
        <v>11</v>
      </c>
      <c r="H1447" t="str">
        <f t="shared" si="44"/>
        <v>NAVERshc2288:naver</v>
      </c>
      <c r="I1447" t="str">
        <f>"shc2288:naver"</f>
        <v>shc2288:naver</v>
      </c>
      <c r="J1447">
        <v>67970</v>
      </c>
      <c r="K1447" s="1">
        <v>44866</v>
      </c>
      <c r="L1447" t="s">
        <v>1475</v>
      </c>
      <c r="M1447">
        <f t="shared" si="45"/>
        <v>67970</v>
      </c>
      <c r="N1447" t="e">
        <f>VLOOKUP(H1447,Sheet1!G:H,2,FALSE)</f>
        <v>#N/A</v>
      </c>
      <c r="R1447" t="s">
        <v>3371</v>
      </c>
      <c r="S1447">
        <v>33260</v>
      </c>
    </row>
    <row r="1448" spans="1:19" x14ac:dyDescent="0.3">
      <c r="A1448" t="s">
        <v>8</v>
      </c>
      <c r="B1448">
        <f>VLOOKUP(A1448,Sheet2!B:F,5,FALSE)</f>
        <v>928</v>
      </c>
      <c r="C1448" t="s">
        <v>9</v>
      </c>
      <c r="D1448">
        <f>VLOOKUP(C1448,Sheet2!C:G,5,FALSE)</f>
        <v>1202</v>
      </c>
      <c r="E1448" t="s">
        <v>37</v>
      </c>
      <c r="F1448">
        <f>VLOOKUP(E1448,Sheet2!D:E,2,FALSE)</f>
        <v>81</v>
      </c>
      <c r="G1448" t="s">
        <v>11</v>
      </c>
      <c r="H1448" t="str">
        <f t="shared" si="44"/>
        <v>NAVERshc9023</v>
      </c>
      <c r="I1448" t="str">
        <f>"shc9023"</f>
        <v>shc9023</v>
      </c>
      <c r="J1448">
        <v>7320</v>
      </c>
      <c r="K1448" s="1">
        <v>44866</v>
      </c>
      <c r="L1448" t="s">
        <v>1476</v>
      </c>
      <c r="M1448">
        <f t="shared" si="45"/>
        <v>7320</v>
      </c>
      <c r="N1448" t="e">
        <f>VLOOKUP(H1448,Sheet1!G:H,2,FALSE)</f>
        <v>#N/A</v>
      </c>
      <c r="R1448" t="s">
        <v>3372</v>
      </c>
      <c r="S1448">
        <v>146720</v>
      </c>
    </row>
    <row r="1449" spans="1:19" x14ac:dyDescent="0.3">
      <c r="A1449" t="s">
        <v>8</v>
      </c>
      <c r="B1449">
        <f>VLOOKUP(A1449,Sheet2!B:F,5,FALSE)</f>
        <v>928</v>
      </c>
      <c r="C1449" t="s">
        <v>167</v>
      </c>
      <c r="D1449">
        <f>VLOOKUP(C1449,Sheet2!C:G,5,FALSE)</f>
        <v>935</v>
      </c>
      <c r="E1449" t="s">
        <v>168</v>
      </c>
      <c r="F1449">
        <f>VLOOKUP(E1449,Sheet2!D:E,2,FALSE)</f>
        <v>2</v>
      </c>
      <c r="G1449" t="s">
        <v>11</v>
      </c>
      <c r="H1449" t="str">
        <f t="shared" si="44"/>
        <v>NAVERshchaf</v>
      </c>
      <c r="I1449" t="str">
        <f>"shchaf"</f>
        <v>shchaf</v>
      </c>
      <c r="J1449">
        <v>4565153</v>
      </c>
      <c r="K1449" s="1">
        <v>44866</v>
      </c>
      <c r="L1449" t="s">
        <v>1343</v>
      </c>
      <c r="M1449">
        <f t="shared" si="45"/>
        <v>3704550</v>
      </c>
      <c r="N1449" t="e">
        <f>VLOOKUP(H1449,Sheet1!G:H,2,FALSE)</f>
        <v>#N/A</v>
      </c>
      <c r="R1449" t="s">
        <v>3373</v>
      </c>
      <c r="S1449">
        <v>1094830</v>
      </c>
    </row>
    <row r="1450" spans="1:19" x14ac:dyDescent="0.3">
      <c r="A1450" t="s">
        <v>41</v>
      </c>
      <c r="B1450">
        <f>VLOOKUP(A1450,Sheet2!B:F,5,FALSE)</f>
        <v>926</v>
      </c>
      <c r="C1450" t="s">
        <v>42</v>
      </c>
      <c r="D1450">
        <f>VLOOKUP(C1450,Sheet2!C:G,5,FALSE)</f>
        <v>964</v>
      </c>
      <c r="E1450" t="s">
        <v>43</v>
      </c>
      <c r="F1450">
        <f>VLOOKUP(E1450,Sheet2!D:E,2,FALSE)</f>
        <v>200998</v>
      </c>
      <c r="G1450" t="s">
        <v>11</v>
      </c>
      <c r="H1450" t="str">
        <f t="shared" si="44"/>
        <v>NAVERsheepman9</v>
      </c>
      <c r="I1450" t="str">
        <f>"sheepman9"</f>
        <v>sheepman9</v>
      </c>
      <c r="J1450">
        <v>1670</v>
      </c>
      <c r="K1450" s="1">
        <v>44866</v>
      </c>
      <c r="L1450" t="s">
        <v>1477</v>
      </c>
      <c r="M1450">
        <f t="shared" si="45"/>
        <v>1670</v>
      </c>
      <c r="N1450" t="e">
        <f>VLOOKUP(H1450,Sheet1!G:H,2,FALSE)</f>
        <v>#N/A</v>
      </c>
      <c r="R1450" t="s">
        <v>3374</v>
      </c>
      <c r="S1450">
        <v>6172580</v>
      </c>
    </row>
    <row r="1451" spans="1:19" x14ac:dyDescent="0.3">
      <c r="A1451" t="s">
        <v>16</v>
      </c>
      <c r="B1451">
        <f>VLOOKUP(A1451,Sheet2!B:F,5,FALSE)</f>
        <v>927</v>
      </c>
      <c r="C1451" t="s">
        <v>17</v>
      </c>
      <c r="D1451">
        <f>VLOOKUP(C1451,Sheet2!C:G,5,FALSE)</f>
        <v>1200</v>
      </c>
      <c r="E1451" t="s">
        <v>96</v>
      </c>
      <c r="F1451">
        <f>VLOOKUP(E1451,Sheet2!D:E,2,FALSE)</f>
        <v>1271</v>
      </c>
      <c r="G1451" t="s">
        <v>11</v>
      </c>
      <c r="H1451" t="str">
        <f t="shared" si="44"/>
        <v>NAVERsheetcom</v>
      </c>
      <c r="I1451" t="str">
        <f>"sheetcom"</f>
        <v>sheetcom</v>
      </c>
      <c r="J1451">
        <v>1331580</v>
      </c>
      <c r="K1451" s="1">
        <v>44866</v>
      </c>
      <c r="L1451" t="s">
        <v>1478</v>
      </c>
      <c r="M1451">
        <f t="shared" si="45"/>
        <v>1331580</v>
      </c>
      <c r="N1451" t="e">
        <f>VLOOKUP(H1451,Sheet1!G:H,2,FALSE)</f>
        <v>#N/A</v>
      </c>
      <c r="R1451" t="s">
        <v>3375</v>
      </c>
      <c r="S1451">
        <v>801390</v>
      </c>
    </row>
    <row r="1452" spans="1:19" x14ac:dyDescent="0.3">
      <c r="A1452" t="s">
        <v>16</v>
      </c>
      <c r="B1452">
        <f>VLOOKUP(A1452,Sheet2!B:F,5,FALSE)</f>
        <v>927</v>
      </c>
      <c r="C1452" t="s">
        <v>17</v>
      </c>
      <c r="D1452">
        <f>VLOOKUP(C1452,Sheet2!C:G,5,FALSE)</f>
        <v>1200</v>
      </c>
      <c r="E1452" t="s">
        <v>96</v>
      </c>
      <c r="F1452">
        <f>VLOOKUP(E1452,Sheet2!D:E,2,FALSE)</f>
        <v>1271</v>
      </c>
      <c r="G1452" t="s">
        <v>11</v>
      </c>
      <c r="H1452" t="str">
        <f t="shared" si="44"/>
        <v>NAVERsheetlab</v>
      </c>
      <c r="I1452" t="str">
        <f>"sheetlab"</f>
        <v>sheetlab</v>
      </c>
      <c r="J1452">
        <v>496930</v>
      </c>
      <c r="K1452" s="1">
        <v>44866</v>
      </c>
      <c r="L1452" t="s">
        <v>1479</v>
      </c>
      <c r="M1452">
        <f t="shared" si="45"/>
        <v>496930</v>
      </c>
      <c r="N1452" t="e">
        <f>VLOOKUP(H1452,Sheet1!G:H,2,FALSE)</f>
        <v>#N/A</v>
      </c>
      <c r="R1452" t="s">
        <v>3376</v>
      </c>
      <c r="S1452">
        <v>911100</v>
      </c>
    </row>
    <row r="1453" spans="1:19" x14ac:dyDescent="0.3">
      <c r="A1453" t="s">
        <v>41</v>
      </c>
      <c r="B1453">
        <f>VLOOKUP(A1453,Sheet2!B:F,5,FALSE)</f>
        <v>926</v>
      </c>
      <c r="C1453" t="s">
        <v>56</v>
      </c>
      <c r="D1453">
        <f>VLOOKUP(C1453,Sheet2!C:G,5,FALSE)</f>
        <v>1207</v>
      </c>
      <c r="E1453" t="s">
        <v>253</v>
      </c>
      <c r="F1453">
        <f>VLOOKUP(E1453,Sheet2!D:E,2,FALSE)</f>
        <v>1328</v>
      </c>
      <c r="G1453" t="s">
        <v>11</v>
      </c>
      <c r="H1453" t="str">
        <f t="shared" si="44"/>
        <v>NAVERshguddn74</v>
      </c>
      <c r="I1453" t="str">
        <f>"shguddn74"</f>
        <v>shguddn74</v>
      </c>
      <c r="J1453">
        <v>823716</v>
      </c>
      <c r="K1453" s="1">
        <v>44866</v>
      </c>
      <c r="L1453" t="s">
        <v>1480</v>
      </c>
      <c r="M1453">
        <f t="shared" si="45"/>
        <v>823768</v>
      </c>
      <c r="N1453" t="e">
        <f>VLOOKUP(H1453,Sheet1!G:H,2,FALSE)</f>
        <v>#N/A</v>
      </c>
      <c r="R1453" t="s">
        <v>3377</v>
      </c>
      <c r="S1453">
        <v>382000</v>
      </c>
    </row>
    <row r="1454" spans="1:19" x14ac:dyDescent="0.3">
      <c r="A1454" t="s">
        <v>8</v>
      </c>
      <c r="B1454">
        <f>VLOOKUP(A1454,Sheet2!B:F,5,FALSE)</f>
        <v>928</v>
      </c>
      <c r="C1454" t="s">
        <v>9</v>
      </c>
      <c r="D1454">
        <f>VLOOKUP(C1454,Sheet2!C:G,5,FALSE)</f>
        <v>1202</v>
      </c>
      <c r="E1454" t="s">
        <v>10</v>
      </c>
      <c r="F1454">
        <f>VLOOKUP(E1454,Sheet2!D:E,2,FALSE)</f>
        <v>939</v>
      </c>
      <c r="G1454" t="s">
        <v>11</v>
      </c>
      <c r="H1454" t="str">
        <f t="shared" si="44"/>
        <v>NAVERshhj1235:naver</v>
      </c>
      <c r="I1454" t="str">
        <f>"shhj1235:naver"</f>
        <v>shhj1235:naver</v>
      </c>
      <c r="J1454">
        <v>700</v>
      </c>
      <c r="K1454" s="1">
        <v>44866</v>
      </c>
      <c r="L1454" t="s">
        <v>1481</v>
      </c>
      <c r="M1454" t="e">
        <f t="shared" si="45"/>
        <v>#N/A</v>
      </c>
      <c r="N1454" t="e">
        <f>VLOOKUP(H1454,Sheet1!G:H,2,FALSE)</f>
        <v>#N/A</v>
      </c>
      <c r="R1454" t="s">
        <v>3378</v>
      </c>
      <c r="S1454">
        <v>3429530</v>
      </c>
    </row>
    <row r="1455" spans="1:19" x14ac:dyDescent="0.3">
      <c r="A1455" t="s">
        <v>41</v>
      </c>
      <c r="B1455">
        <f>VLOOKUP(A1455,Sheet2!B:F,5,FALSE)</f>
        <v>926</v>
      </c>
      <c r="C1455" t="s">
        <v>42</v>
      </c>
      <c r="D1455">
        <f>VLOOKUP(C1455,Sheet2!C:G,5,FALSE)</f>
        <v>964</v>
      </c>
      <c r="E1455" t="s">
        <v>43</v>
      </c>
      <c r="F1455">
        <f>VLOOKUP(E1455,Sheet2!D:E,2,FALSE)</f>
        <v>200998</v>
      </c>
      <c r="G1455" t="s">
        <v>11</v>
      </c>
      <c r="H1455" t="str">
        <f t="shared" si="44"/>
        <v>NAVERshin0339</v>
      </c>
      <c r="I1455" t="str">
        <f>"shin0339"</f>
        <v>shin0339</v>
      </c>
      <c r="J1455">
        <v>1780</v>
      </c>
      <c r="K1455" s="1">
        <v>44866</v>
      </c>
      <c r="L1455" t="s">
        <v>1482</v>
      </c>
      <c r="M1455">
        <f t="shared" si="45"/>
        <v>1780</v>
      </c>
      <c r="N1455" t="e">
        <f>VLOOKUP(H1455,Sheet1!G:H,2,FALSE)</f>
        <v>#N/A</v>
      </c>
      <c r="R1455" t="s">
        <v>3379</v>
      </c>
      <c r="S1455">
        <v>46720</v>
      </c>
    </row>
    <row r="1456" spans="1:19" x14ac:dyDescent="0.3">
      <c r="A1456" t="s">
        <v>16</v>
      </c>
      <c r="B1456">
        <f>VLOOKUP(A1456,Sheet2!B:F,5,FALSE)</f>
        <v>927</v>
      </c>
      <c r="C1456" t="s">
        <v>17</v>
      </c>
      <c r="D1456">
        <f>VLOOKUP(C1456,Sheet2!C:G,5,FALSE)</f>
        <v>1200</v>
      </c>
      <c r="E1456" t="s">
        <v>100</v>
      </c>
      <c r="F1456">
        <f>VLOOKUP(E1456,Sheet2!D:E,2,FALSE)</f>
        <v>201038</v>
      </c>
      <c r="G1456" t="s">
        <v>11</v>
      </c>
      <c r="H1456" t="str">
        <f t="shared" si="44"/>
        <v>NAVERshingu91</v>
      </c>
      <c r="I1456" t="str">
        <f>"shingu91"</f>
        <v>shingu91</v>
      </c>
      <c r="J1456">
        <v>34900</v>
      </c>
      <c r="K1456" s="1">
        <v>44866</v>
      </c>
      <c r="L1456" t="s">
        <v>1483</v>
      </c>
      <c r="M1456">
        <f t="shared" si="45"/>
        <v>34900</v>
      </c>
      <c r="N1456" t="e">
        <f>VLOOKUP(H1456,Sheet1!G:H,2,FALSE)</f>
        <v>#N/A</v>
      </c>
      <c r="R1456" t="s">
        <v>3380</v>
      </c>
      <c r="S1456">
        <v>1965450</v>
      </c>
    </row>
    <row r="1457" spans="1:19" x14ac:dyDescent="0.3">
      <c r="A1457" t="s">
        <v>8</v>
      </c>
      <c r="B1457">
        <f>VLOOKUP(A1457,Sheet2!B:F,5,FALSE)</f>
        <v>928</v>
      </c>
      <c r="C1457" t="s">
        <v>9</v>
      </c>
      <c r="D1457">
        <f>VLOOKUP(C1457,Sheet2!C:G,5,FALSE)</f>
        <v>1202</v>
      </c>
      <c r="E1457" t="s">
        <v>73</v>
      </c>
      <c r="F1457">
        <f>VLOOKUP(E1457,Sheet2!D:E,2,FALSE)</f>
        <v>895</v>
      </c>
      <c r="G1457" t="s">
        <v>11</v>
      </c>
      <c r="H1457" t="str">
        <f t="shared" si="44"/>
        <v>NAVERshinhan17</v>
      </c>
      <c r="I1457" t="str">
        <f>"shinhan17"</f>
        <v>shinhan17</v>
      </c>
      <c r="J1457">
        <v>7190</v>
      </c>
      <c r="K1457" s="1">
        <v>44866</v>
      </c>
      <c r="L1457" t="s">
        <v>1484</v>
      </c>
      <c r="M1457">
        <f t="shared" si="45"/>
        <v>7190</v>
      </c>
      <c r="N1457" t="e">
        <f>VLOOKUP(H1457,Sheet1!G:H,2,FALSE)</f>
        <v>#N/A</v>
      </c>
      <c r="R1457" t="s">
        <v>3381</v>
      </c>
      <c r="S1457">
        <v>830550</v>
      </c>
    </row>
    <row r="1458" spans="1:19" x14ac:dyDescent="0.3">
      <c r="A1458" t="s">
        <v>8</v>
      </c>
      <c r="B1458">
        <f>VLOOKUP(A1458,Sheet2!B:F,5,FALSE)</f>
        <v>928</v>
      </c>
      <c r="C1458" t="s">
        <v>9</v>
      </c>
      <c r="D1458">
        <f>VLOOKUP(C1458,Sheet2!C:G,5,FALSE)</f>
        <v>1202</v>
      </c>
      <c r="E1458" t="s">
        <v>142</v>
      </c>
      <c r="F1458">
        <f>VLOOKUP(E1458,Sheet2!D:E,2,FALSE)</f>
        <v>652</v>
      </c>
      <c r="G1458" t="s">
        <v>11</v>
      </c>
      <c r="H1458" t="str">
        <f t="shared" si="44"/>
        <v>NAVERshinjun2001</v>
      </c>
      <c r="I1458" t="str">
        <f>"shinjun2001"</f>
        <v>shinjun2001</v>
      </c>
      <c r="J1458">
        <v>26150</v>
      </c>
      <c r="K1458" s="1">
        <v>44866</v>
      </c>
      <c r="L1458" t="s">
        <v>1485</v>
      </c>
      <c r="M1458">
        <f t="shared" si="45"/>
        <v>26150</v>
      </c>
      <c r="N1458" t="e">
        <f>VLOOKUP(H1458,Sheet1!G:H,2,FALSE)</f>
        <v>#N/A</v>
      </c>
      <c r="R1458" t="s">
        <v>3382</v>
      </c>
      <c r="S1458">
        <v>1468720</v>
      </c>
    </row>
    <row r="1459" spans="1:19" x14ac:dyDescent="0.3">
      <c r="A1459" t="s">
        <v>8</v>
      </c>
      <c r="B1459">
        <f>VLOOKUP(A1459,Sheet2!B:F,5,FALSE)</f>
        <v>928</v>
      </c>
      <c r="C1459" t="s">
        <v>167</v>
      </c>
      <c r="D1459">
        <f>VLOOKUP(C1459,Sheet2!C:G,5,FALSE)</f>
        <v>935</v>
      </c>
      <c r="E1459" t="s">
        <v>168</v>
      </c>
      <c r="F1459">
        <f>VLOOKUP(E1459,Sheet2!D:E,2,FALSE)</f>
        <v>2</v>
      </c>
      <c r="G1459" t="s">
        <v>11</v>
      </c>
      <c r="H1459" t="str">
        <f t="shared" si="44"/>
        <v>NAVERshinsegae7</v>
      </c>
      <c r="I1459" t="str">
        <f>"shinsegae7"</f>
        <v>shinsegae7</v>
      </c>
      <c r="J1459">
        <v>6242540</v>
      </c>
      <c r="K1459" s="1">
        <v>44866</v>
      </c>
      <c r="L1459" t="s">
        <v>1486</v>
      </c>
      <c r="M1459">
        <f t="shared" si="45"/>
        <v>4342560</v>
      </c>
      <c r="N1459" t="e">
        <f>VLOOKUP(H1459,Sheet1!G:H,2,FALSE)</f>
        <v>#N/A</v>
      </c>
      <c r="R1459" t="s">
        <v>3383</v>
      </c>
      <c r="S1459">
        <v>221780</v>
      </c>
    </row>
    <row r="1460" spans="1:19" x14ac:dyDescent="0.3">
      <c r="A1460" t="s">
        <v>8</v>
      </c>
      <c r="B1460">
        <f>VLOOKUP(A1460,Sheet2!B:F,5,FALSE)</f>
        <v>928</v>
      </c>
      <c r="C1460" t="s">
        <v>13</v>
      </c>
      <c r="D1460">
        <f>VLOOKUP(C1460,Sheet2!C:G,5,FALSE)</f>
        <v>1184</v>
      </c>
      <c r="E1460" t="s">
        <v>59</v>
      </c>
      <c r="F1460">
        <f>VLOOKUP(E1460,Sheet2!D:E,2,FALSE)</f>
        <v>9</v>
      </c>
      <c r="G1460" t="s">
        <v>11</v>
      </c>
      <c r="H1460" t="str">
        <f t="shared" si="44"/>
        <v>NAVERshjtax</v>
      </c>
      <c r="I1460" t="str">
        <f>"shjtax"</f>
        <v>shjtax</v>
      </c>
      <c r="J1460">
        <v>11700</v>
      </c>
      <c r="K1460" s="1">
        <v>44866</v>
      </c>
      <c r="L1460" t="s">
        <v>1487</v>
      </c>
      <c r="M1460">
        <f t="shared" si="45"/>
        <v>11700</v>
      </c>
      <c r="N1460" t="e">
        <f>VLOOKUP(H1460,Sheet1!G:H,2,FALSE)</f>
        <v>#N/A</v>
      </c>
      <c r="R1460" t="s">
        <v>3384</v>
      </c>
      <c r="S1460">
        <v>154990</v>
      </c>
    </row>
    <row r="1461" spans="1:19" x14ac:dyDescent="0.3">
      <c r="A1461" t="s">
        <v>8</v>
      </c>
      <c r="B1461">
        <f>VLOOKUP(A1461,Sheet2!B:F,5,FALSE)</f>
        <v>928</v>
      </c>
      <c r="C1461" t="s">
        <v>13</v>
      </c>
      <c r="D1461">
        <f>VLOOKUP(C1461,Sheet2!C:G,5,FALSE)</f>
        <v>1184</v>
      </c>
      <c r="E1461" t="s">
        <v>59</v>
      </c>
      <c r="F1461">
        <f>VLOOKUP(E1461,Sheet2!D:E,2,FALSE)</f>
        <v>9</v>
      </c>
      <c r="G1461" t="s">
        <v>11</v>
      </c>
      <c r="H1461" t="str">
        <f t="shared" si="44"/>
        <v>NAVERshmesh</v>
      </c>
      <c r="I1461" t="str">
        <f>"shmesh"</f>
        <v>shmesh</v>
      </c>
      <c r="J1461">
        <v>6080</v>
      </c>
      <c r="K1461" s="1">
        <v>44866</v>
      </c>
      <c r="L1461" t="s">
        <v>1488</v>
      </c>
      <c r="M1461">
        <f t="shared" si="45"/>
        <v>6080</v>
      </c>
      <c r="N1461" t="e">
        <f>VLOOKUP(H1461,Sheet1!G:H,2,FALSE)</f>
        <v>#N/A</v>
      </c>
      <c r="R1461" t="s">
        <v>3385</v>
      </c>
      <c r="S1461">
        <v>1901400</v>
      </c>
    </row>
    <row r="1462" spans="1:19" x14ac:dyDescent="0.3">
      <c r="A1462" t="s">
        <v>8</v>
      </c>
      <c r="B1462">
        <f>VLOOKUP(A1462,Sheet2!B:F,5,FALSE)</f>
        <v>928</v>
      </c>
      <c r="C1462" t="s">
        <v>9</v>
      </c>
      <c r="D1462">
        <f>VLOOKUP(C1462,Sheet2!C:G,5,FALSE)</f>
        <v>1202</v>
      </c>
      <c r="E1462" t="s">
        <v>391</v>
      </c>
      <c r="F1462">
        <f>VLOOKUP(E1462,Sheet2!D:E,2,FALSE)</f>
        <v>1216</v>
      </c>
      <c r="G1462" t="s">
        <v>11</v>
      </c>
      <c r="H1462" t="str">
        <f t="shared" si="44"/>
        <v>NAVERshoesdeblanc</v>
      </c>
      <c r="I1462" t="str">
        <f>"shoesdeblanc"</f>
        <v>shoesdeblanc</v>
      </c>
      <c r="J1462">
        <v>4187810</v>
      </c>
      <c r="K1462" s="1">
        <v>44866</v>
      </c>
      <c r="L1462" t="s">
        <v>1489</v>
      </c>
      <c r="M1462">
        <f t="shared" si="45"/>
        <v>4078360</v>
      </c>
      <c r="N1462" t="e">
        <f>VLOOKUP(H1462,Sheet1!G:H,2,FALSE)</f>
        <v>#N/A</v>
      </c>
      <c r="R1462" t="s">
        <v>3386</v>
      </c>
      <c r="S1462">
        <v>664330</v>
      </c>
    </row>
    <row r="1463" spans="1:19" x14ac:dyDescent="0.3">
      <c r="A1463" t="s">
        <v>16</v>
      </c>
      <c r="B1463">
        <f>VLOOKUP(A1463,Sheet2!B:F,5,FALSE)</f>
        <v>927</v>
      </c>
      <c r="C1463" t="s">
        <v>17</v>
      </c>
      <c r="D1463">
        <f>VLOOKUP(C1463,Sheet2!C:G,5,FALSE)</f>
        <v>1200</v>
      </c>
      <c r="E1463" t="s">
        <v>93</v>
      </c>
      <c r="F1463">
        <f>VLOOKUP(E1463,Sheet2!D:E,2,FALSE)</f>
        <v>930</v>
      </c>
      <c r="G1463" t="s">
        <v>11</v>
      </c>
      <c r="H1463" t="str">
        <f t="shared" si="44"/>
        <v>NAVERshomagen:naver</v>
      </c>
      <c r="I1463" t="str">
        <f>"shomagen:naver"</f>
        <v>shomagen:naver</v>
      </c>
      <c r="J1463">
        <v>13813600</v>
      </c>
      <c r="K1463" s="1">
        <v>44866</v>
      </c>
      <c r="L1463" t="s">
        <v>1490</v>
      </c>
      <c r="M1463">
        <f t="shared" si="45"/>
        <v>13813600</v>
      </c>
      <c r="N1463" t="e">
        <f>VLOOKUP(H1463,Sheet1!G:H,2,FALSE)</f>
        <v>#N/A</v>
      </c>
      <c r="R1463" t="s">
        <v>3387</v>
      </c>
      <c r="S1463">
        <v>1910</v>
      </c>
    </row>
    <row r="1464" spans="1:19" x14ac:dyDescent="0.3">
      <c r="A1464" t="s">
        <v>16</v>
      </c>
      <c r="B1464">
        <f>VLOOKUP(A1464,Sheet2!B:F,5,FALSE)</f>
        <v>927</v>
      </c>
      <c r="C1464" t="s">
        <v>17</v>
      </c>
      <c r="D1464">
        <f>VLOOKUP(C1464,Sheet2!C:G,5,FALSE)</f>
        <v>1200</v>
      </c>
      <c r="E1464" t="s">
        <v>244</v>
      </c>
      <c r="F1464">
        <f>VLOOKUP(E1464,Sheet2!D:E,2,FALSE)</f>
        <v>817</v>
      </c>
      <c r="G1464" t="s">
        <v>11</v>
      </c>
      <c r="H1464" t="str">
        <f t="shared" si="44"/>
        <v>NAVERshopjl</v>
      </c>
      <c r="I1464" t="str">
        <f>"shopjl"</f>
        <v>shopjl</v>
      </c>
      <c r="J1464">
        <v>127920</v>
      </c>
      <c r="K1464" s="1">
        <v>44866</v>
      </c>
      <c r="L1464" t="s">
        <v>1491</v>
      </c>
      <c r="M1464">
        <f t="shared" si="45"/>
        <v>127920</v>
      </c>
      <c r="N1464" t="e">
        <f>VLOOKUP(H1464,Sheet1!G:H,2,FALSE)</f>
        <v>#N/A</v>
      </c>
      <c r="R1464" t="s">
        <v>3388</v>
      </c>
      <c r="S1464">
        <v>5260</v>
      </c>
    </row>
    <row r="1465" spans="1:19" x14ac:dyDescent="0.3">
      <c r="A1465" t="s">
        <v>8</v>
      </c>
      <c r="B1465">
        <f>VLOOKUP(A1465,Sheet2!B:F,5,FALSE)</f>
        <v>928</v>
      </c>
      <c r="C1465" t="s">
        <v>13</v>
      </c>
      <c r="D1465">
        <f>VLOOKUP(C1465,Sheet2!C:G,5,FALSE)</f>
        <v>1184</v>
      </c>
      <c r="E1465" t="s">
        <v>59</v>
      </c>
      <c r="F1465">
        <f>VLOOKUP(E1465,Sheet2!D:E,2,FALSE)</f>
        <v>9</v>
      </c>
      <c r="G1465" t="s">
        <v>11</v>
      </c>
      <c r="H1465" t="str">
        <f t="shared" si="44"/>
        <v>NAVERsibrush</v>
      </c>
      <c r="I1465" t="str">
        <f>"sibrush"</f>
        <v>sibrush</v>
      </c>
      <c r="J1465">
        <v>2640</v>
      </c>
      <c r="K1465" s="1">
        <v>44866</v>
      </c>
      <c r="L1465" t="s">
        <v>1492</v>
      </c>
      <c r="M1465">
        <f t="shared" si="45"/>
        <v>2640</v>
      </c>
      <c r="N1465" t="e">
        <f>VLOOKUP(H1465,Sheet1!G:H,2,FALSE)</f>
        <v>#N/A</v>
      </c>
      <c r="R1465" t="s">
        <v>3389</v>
      </c>
      <c r="S1465">
        <v>50</v>
      </c>
    </row>
    <row r="1466" spans="1:19" x14ac:dyDescent="0.3">
      <c r="A1466" t="s">
        <v>8</v>
      </c>
      <c r="B1466">
        <f>VLOOKUP(A1466,Sheet2!B:F,5,FALSE)</f>
        <v>928</v>
      </c>
      <c r="C1466" t="s">
        <v>9</v>
      </c>
      <c r="D1466">
        <f>VLOOKUP(C1466,Sheet2!C:G,5,FALSE)</f>
        <v>1202</v>
      </c>
      <c r="E1466" t="s">
        <v>33</v>
      </c>
      <c r="F1466">
        <f>VLOOKUP(E1466,Sheet2!D:E,2,FALSE)</f>
        <v>933</v>
      </c>
      <c r="G1466" t="s">
        <v>11</v>
      </c>
      <c r="H1466" t="str">
        <f t="shared" si="44"/>
        <v>NAVERsihwaper</v>
      </c>
      <c r="I1466" t="str">
        <f>"sihwaper"</f>
        <v>sihwaper</v>
      </c>
      <c r="J1466">
        <v>385940</v>
      </c>
      <c r="K1466" s="1">
        <v>44866</v>
      </c>
      <c r="L1466" t="s">
        <v>1493</v>
      </c>
      <c r="M1466">
        <f t="shared" si="45"/>
        <v>385940</v>
      </c>
      <c r="N1466" t="e">
        <f>VLOOKUP(H1466,Sheet1!G:H,2,FALSE)</f>
        <v>#N/A</v>
      </c>
      <c r="R1466" t="s">
        <v>3390</v>
      </c>
      <c r="S1466">
        <v>2735780</v>
      </c>
    </row>
    <row r="1467" spans="1:19" x14ac:dyDescent="0.3">
      <c r="A1467" t="s">
        <v>8</v>
      </c>
      <c r="B1467">
        <f>VLOOKUP(A1467,Sheet2!B:F,5,FALSE)</f>
        <v>928</v>
      </c>
      <c r="C1467" t="s">
        <v>13</v>
      </c>
      <c r="D1467">
        <f>VLOOKUP(C1467,Sheet2!C:G,5,FALSE)</f>
        <v>1184</v>
      </c>
      <c r="E1467" t="s">
        <v>59</v>
      </c>
      <c r="F1467">
        <f>VLOOKUP(E1467,Sheet2!D:E,2,FALSE)</f>
        <v>9</v>
      </c>
      <c r="G1467" t="s">
        <v>11</v>
      </c>
      <c r="H1467" t="str">
        <f t="shared" si="44"/>
        <v>NAVERsilwh</v>
      </c>
      <c r="I1467" t="str">
        <f>"silwh"</f>
        <v>silwh</v>
      </c>
      <c r="J1467">
        <v>741200</v>
      </c>
      <c r="K1467" s="1">
        <v>44866</v>
      </c>
      <c r="L1467" t="s">
        <v>1494</v>
      </c>
      <c r="M1467">
        <f t="shared" si="45"/>
        <v>741200</v>
      </c>
      <c r="N1467" t="e">
        <f>VLOOKUP(H1467,Sheet1!G:H,2,FALSE)</f>
        <v>#N/A</v>
      </c>
      <c r="R1467" t="s">
        <v>3391</v>
      </c>
      <c r="S1467">
        <v>252740</v>
      </c>
    </row>
    <row r="1468" spans="1:19" x14ac:dyDescent="0.3">
      <c r="A1468" t="s">
        <v>8</v>
      </c>
      <c r="B1468">
        <f>VLOOKUP(A1468,Sheet2!B:F,5,FALSE)</f>
        <v>928</v>
      </c>
      <c r="C1468" t="s">
        <v>9</v>
      </c>
      <c r="D1468">
        <f>VLOOKUP(C1468,Sheet2!C:G,5,FALSE)</f>
        <v>1202</v>
      </c>
      <c r="E1468" t="s">
        <v>10</v>
      </c>
      <c r="F1468">
        <f>VLOOKUP(E1468,Sheet2!D:E,2,FALSE)</f>
        <v>939</v>
      </c>
      <c r="G1468" t="s">
        <v>11</v>
      </c>
      <c r="H1468" t="str">
        <f t="shared" si="44"/>
        <v>NAVERsimpan911</v>
      </c>
      <c r="I1468" t="str">
        <f>"simpan911"</f>
        <v>simpan911</v>
      </c>
      <c r="J1468">
        <v>3123730</v>
      </c>
      <c r="K1468" s="1">
        <v>44866</v>
      </c>
      <c r="L1468" t="s">
        <v>1495</v>
      </c>
      <c r="M1468">
        <f t="shared" si="45"/>
        <v>3123730</v>
      </c>
      <c r="N1468" t="e">
        <f>VLOOKUP(H1468,Sheet1!G:H,2,FALSE)</f>
        <v>#N/A</v>
      </c>
      <c r="R1468" t="s">
        <v>3392</v>
      </c>
      <c r="S1468">
        <v>526180</v>
      </c>
    </row>
    <row r="1469" spans="1:19" x14ac:dyDescent="0.3">
      <c r="A1469" t="s">
        <v>8</v>
      </c>
      <c r="B1469">
        <f>VLOOKUP(A1469,Sheet2!B:F,5,FALSE)</f>
        <v>928</v>
      </c>
      <c r="C1469" t="s">
        <v>9</v>
      </c>
      <c r="D1469">
        <f>VLOOKUP(C1469,Sheet2!C:G,5,FALSE)</f>
        <v>1202</v>
      </c>
      <c r="E1469" t="s">
        <v>10</v>
      </c>
      <c r="F1469">
        <f>VLOOKUP(E1469,Sheet2!D:E,2,FALSE)</f>
        <v>939</v>
      </c>
      <c r="G1469" t="s">
        <v>11</v>
      </c>
      <c r="H1469" t="str">
        <f t="shared" si="44"/>
        <v>NAVERsinix</v>
      </c>
      <c r="I1469" t="str">
        <f>"sinix"</f>
        <v>sinix</v>
      </c>
      <c r="J1469">
        <v>19300</v>
      </c>
      <c r="K1469" s="1">
        <v>44866</v>
      </c>
      <c r="L1469" t="s">
        <v>1496</v>
      </c>
      <c r="M1469">
        <f t="shared" si="45"/>
        <v>19300</v>
      </c>
      <c r="N1469" t="e">
        <f>VLOOKUP(H1469,Sheet1!G:H,2,FALSE)</f>
        <v>#N/A</v>
      </c>
      <c r="R1469" t="s">
        <v>3393</v>
      </c>
      <c r="S1469">
        <v>283570</v>
      </c>
    </row>
    <row r="1470" spans="1:19" x14ac:dyDescent="0.3">
      <c r="A1470" t="s">
        <v>8</v>
      </c>
      <c r="B1470">
        <f>VLOOKUP(A1470,Sheet2!B:F,5,FALSE)</f>
        <v>928</v>
      </c>
      <c r="C1470" t="s">
        <v>13</v>
      </c>
      <c r="D1470">
        <f>VLOOKUP(C1470,Sheet2!C:G,5,FALSE)</f>
        <v>1184</v>
      </c>
      <c r="E1470" t="s">
        <v>59</v>
      </c>
      <c r="F1470">
        <f>VLOOKUP(E1470,Sheet2!D:E,2,FALSE)</f>
        <v>9</v>
      </c>
      <c r="G1470" t="s">
        <v>11</v>
      </c>
      <c r="H1470" t="str">
        <f t="shared" si="44"/>
        <v>NAVERsinj234</v>
      </c>
      <c r="I1470" t="str">
        <f>"sinj234"</f>
        <v>sinj234</v>
      </c>
      <c r="J1470">
        <v>16000</v>
      </c>
      <c r="K1470" s="1">
        <v>44866</v>
      </c>
      <c r="L1470" t="s">
        <v>1497</v>
      </c>
      <c r="M1470">
        <f t="shared" si="45"/>
        <v>16000</v>
      </c>
      <c r="N1470" t="e">
        <f>VLOOKUP(H1470,Sheet1!G:H,2,FALSE)</f>
        <v>#N/A</v>
      </c>
      <c r="R1470" t="s">
        <v>3394</v>
      </c>
      <c r="S1470">
        <v>454880</v>
      </c>
    </row>
    <row r="1471" spans="1:19" x14ac:dyDescent="0.3">
      <c r="A1471" t="s">
        <v>41</v>
      </c>
      <c r="B1471">
        <f>VLOOKUP(A1471,Sheet2!B:F,5,FALSE)</f>
        <v>926</v>
      </c>
      <c r="C1471" t="s">
        <v>56</v>
      </c>
      <c r="D1471">
        <f>VLOOKUP(C1471,Sheet2!C:G,5,FALSE)</f>
        <v>1207</v>
      </c>
      <c r="E1471" t="s">
        <v>57</v>
      </c>
      <c r="F1471">
        <f>VLOOKUP(E1471,Sheet2!D:E,2,FALSE)</f>
        <v>200982</v>
      </c>
      <c r="G1471" t="s">
        <v>11</v>
      </c>
      <c r="H1471" t="str">
        <f t="shared" si="44"/>
        <v>NAVERsinsky1321</v>
      </c>
      <c r="I1471" t="str">
        <f>"sinsky1321"</f>
        <v>sinsky1321</v>
      </c>
      <c r="J1471">
        <v>180620</v>
      </c>
      <c r="K1471" s="1">
        <v>44866</v>
      </c>
      <c r="L1471" t="s">
        <v>1498</v>
      </c>
      <c r="M1471">
        <f t="shared" si="45"/>
        <v>180620</v>
      </c>
      <c r="N1471" t="e">
        <f>VLOOKUP(H1471,Sheet1!G:H,2,FALSE)</f>
        <v>#N/A</v>
      </c>
      <c r="R1471" t="s">
        <v>3395</v>
      </c>
      <c r="S1471">
        <v>51780</v>
      </c>
    </row>
    <row r="1472" spans="1:19" x14ac:dyDescent="0.3">
      <c r="A1472" t="s">
        <v>16</v>
      </c>
      <c r="B1472">
        <f>VLOOKUP(A1472,Sheet2!B:F,5,FALSE)</f>
        <v>927</v>
      </c>
      <c r="C1472" t="s">
        <v>17</v>
      </c>
      <c r="D1472">
        <f>VLOOKUP(C1472,Sheet2!C:G,5,FALSE)</f>
        <v>1200</v>
      </c>
      <c r="E1472" t="s">
        <v>96</v>
      </c>
      <c r="F1472">
        <f>VLOOKUP(E1472,Sheet2!D:E,2,FALSE)</f>
        <v>1271</v>
      </c>
      <c r="G1472" t="s">
        <v>11</v>
      </c>
      <c r="H1472" t="str">
        <f t="shared" si="44"/>
        <v>NAVERsinsung52840</v>
      </c>
      <c r="I1472" t="str">
        <f>"sinsung52840"</f>
        <v>sinsung52840</v>
      </c>
      <c r="J1472">
        <v>3880</v>
      </c>
      <c r="K1472" s="1">
        <v>44866</v>
      </c>
      <c r="L1472" t="s">
        <v>1499</v>
      </c>
      <c r="M1472">
        <f t="shared" si="45"/>
        <v>3880</v>
      </c>
      <c r="N1472" t="e">
        <f>VLOOKUP(H1472,Sheet1!G:H,2,FALSE)</f>
        <v>#N/A</v>
      </c>
      <c r="R1472" t="s">
        <v>3396</v>
      </c>
      <c r="S1472">
        <v>884970</v>
      </c>
    </row>
    <row r="1473" spans="1:19" x14ac:dyDescent="0.3">
      <c r="A1473" t="s">
        <v>8</v>
      </c>
      <c r="B1473">
        <f>VLOOKUP(A1473,Sheet2!B:F,5,FALSE)</f>
        <v>928</v>
      </c>
      <c r="C1473" t="s">
        <v>9</v>
      </c>
      <c r="D1473">
        <f>VLOOKUP(C1473,Sheet2!C:G,5,FALSE)</f>
        <v>1202</v>
      </c>
      <c r="E1473" t="s">
        <v>75</v>
      </c>
      <c r="F1473">
        <f>VLOOKUP(E1473,Sheet2!D:E,2,FALSE)</f>
        <v>50</v>
      </c>
      <c r="G1473" t="s">
        <v>11</v>
      </c>
      <c r="H1473" t="str">
        <f t="shared" si="44"/>
        <v>NAVERsinzo</v>
      </c>
      <c r="I1473" t="str">
        <f>"sinzo"</f>
        <v>sinzo</v>
      </c>
      <c r="J1473">
        <v>549870</v>
      </c>
      <c r="K1473" s="1">
        <v>44866</v>
      </c>
      <c r="L1473" t="s">
        <v>1500</v>
      </c>
      <c r="M1473">
        <f t="shared" si="45"/>
        <v>549870</v>
      </c>
      <c r="N1473" t="e">
        <f>VLOOKUP(H1473,Sheet1!G:H,2,FALSE)</f>
        <v>#N/A</v>
      </c>
      <c r="R1473" t="s">
        <v>3397</v>
      </c>
      <c r="S1473">
        <v>297210</v>
      </c>
    </row>
    <row r="1474" spans="1:19" x14ac:dyDescent="0.3">
      <c r="A1474" t="s">
        <v>8</v>
      </c>
      <c r="B1474">
        <f>VLOOKUP(A1474,Sheet2!B:F,5,FALSE)</f>
        <v>928</v>
      </c>
      <c r="C1474" t="s">
        <v>9</v>
      </c>
      <c r="D1474">
        <f>VLOOKUP(C1474,Sheet2!C:G,5,FALSE)</f>
        <v>1202</v>
      </c>
      <c r="E1474" t="s">
        <v>122</v>
      </c>
      <c r="F1474">
        <f>VLOOKUP(E1474,Sheet2!D:E,2,FALSE)</f>
        <v>251</v>
      </c>
      <c r="G1474" t="s">
        <v>11</v>
      </c>
      <c r="H1474" t="str">
        <f t="shared" si="44"/>
        <v>NAVERsionhome4834</v>
      </c>
      <c r="I1474" t="str">
        <f>"sionhome4834"</f>
        <v>sionhome4834</v>
      </c>
      <c r="J1474">
        <v>317640</v>
      </c>
      <c r="K1474" s="1">
        <v>44866</v>
      </c>
      <c r="L1474" t="s">
        <v>1501</v>
      </c>
      <c r="M1474">
        <f t="shared" si="45"/>
        <v>317640</v>
      </c>
      <c r="N1474" t="e">
        <f>VLOOKUP(H1474,Sheet1!G:H,2,FALSE)</f>
        <v>#N/A</v>
      </c>
      <c r="R1474" t="s">
        <v>3398</v>
      </c>
      <c r="S1474">
        <v>0</v>
      </c>
    </row>
    <row r="1475" spans="1:19" x14ac:dyDescent="0.3">
      <c r="A1475" t="s">
        <v>8</v>
      </c>
      <c r="B1475">
        <f>VLOOKUP(A1475,Sheet2!B:F,5,FALSE)</f>
        <v>928</v>
      </c>
      <c r="C1475" t="s">
        <v>9</v>
      </c>
      <c r="D1475">
        <f>VLOOKUP(C1475,Sheet2!C:G,5,FALSE)</f>
        <v>1202</v>
      </c>
      <c r="E1475" t="s">
        <v>35</v>
      </c>
      <c r="F1475">
        <f>VLOOKUP(E1475,Sheet2!D:E,2,FALSE)</f>
        <v>51</v>
      </c>
      <c r="G1475" t="s">
        <v>11</v>
      </c>
      <c r="H1475" t="str">
        <f t="shared" ref="H1475:H1538" si="46">CONCATENATE(G1475,I1475)</f>
        <v>NAVERsir0824</v>
      </c>
      <c r="I1475" t="str">
        <f>"sir0824"</f>
        <v>sir0824</v>
      </c>
      <c r="J1475">
        <v>187750</v>
      </c>
      <c r="K1475" s="1">
        <v>44866</v>
      </c>
      <c r="L1475" t="s">
        <v>1502</v>
      </c>
      <c r="M1475">
        <f t="shared" ref="M1475:M1538" si="47">VLOOKUP(H1475,R:S,2,FALSE)</f>
        <v>187750</v>
      </c>
      <c r="N1475" t="e">
        <f>VLOOKUP(H1475,Sheet1!G:H,2,FALSE)</f>
        <v>#N/A</v>
      </c>
      <c r="R1475" t="s">
        <v>3399</v>
      </c>
      <c r="S1475">
        <v>142200</v>
      </c>
    </row>
    <row r="1476" spans="1:19" x14ac:dyDescent="0.3">
      <c r="A1476" t="s">
        <v>41</v>
      </c>
      <c r="B1476">
        <f>VLOOKUP(A1476,Sheet2!B:F,5,FALSE)</f>
        <v>926</v>
      </c>
      <c r="C1476" t="s">
        <v>56</v>
      </c>
      <c r="D1476">
        <f>VLOOKUP(C1476,Sheet2!C:G,5,FALSE)</f>
        <v>1207</v>
      </c>
      <c r="E1476" t="s">
        <v>253</v>
      </c>
      <c r="F1476">
        <f>VLOOKUP(E1476,Sheet2!D:E,2,FALSE)</f>
        <v>1328</v>
      </c>
      <c r="G1476" t="s">
        <v>11</v>
      </c>
      <c r="H1476" t="str">
        <f t="shared" si="46"/>
        <v>NAVERsiriyajang</v>
      </c>
      <c r="I1476" t="str">
        <f>"siriyajang"</f>
        <v>siriyajang</v>
      </c>
      <c r="J1476">
        <v>3780780</v>
      </c>
      <c r="K1476" s="1">
        <v>44866</v>
      </c>
      <c r="L1476" t="s">
        <v>1503</v>
      </c>
      <c r="M1476">
        <f t="shared" si="47"/>
        <v>3780780</v>
      </c>
      <c r="N1476" t="e">
        <f>VLOOKUP(H1476,Sheet1!G:H,2,FALSE)</f>
        <v>#N/A</v>
      </c>
      <c r="R1476" t="s">
        <v>3400</v>
      </c>
      <c r="S1476">
        <v>203743070</v>
      </c>
    </row>
    <row r="1477" spans="1:19" x14ac:dyDescent="0.3">
      <c r="A1477" t="s">
        <v>8</v>
      </c>
      <c r="B1477">
        <f>VLOOKUP(A1477,Sheet2!B:F,5,FALSE)</f>
        <v>928</v>
      </c>
      <c r="C1477" t="s">
        <v>9</v>
      </c>
      <c r="D1477">
        <f>VLOOKUP(C1477,Sheet2!C:G,5,FALSE)</f>
        <v>1202</v>
      </c>
      <c r="E1477" t="s">
        <v>31</v>
      </c>
      <c r="F1477">
        <f>VLOOKUP(E1477,Sheet2!D:E,2,FALSE)</f>
        <v>1040</v>
      </c>
      <c r="G1477" t="s">
        <v>11</v>
      </c>
      <c r="H1477" t="str">
        <f t="shared" si="46"/>
        <v>NAVERsisa_ejb</v>
      </c>
      <c r="I1477" t="str">
        <f>"sisa_ejb"</f>
        <v>sisa_ejb</v>
      </c>
      <c r="J1477">
        <v>327383</v>
      </c>
      <c r="K1477" s="1">
        <v>44866</v>
      </c>
      <c r="L1477" t="s">
        <v>1504</v>
      </c>
      <c r="M1477">
        <f t="shared" si="47"/>
        <v>327431</v>
      </c>
      <c r="N1477" t="e">
        <f>VLOOKUP(H1477,Sheet1!G:H,2,FALSE)</f>
        <v>#N/A</v>
      </c>
      <c r="R1477" t="s">
        <v>3401</v>
      </c>
      <c r="S1477">
        <v>167100</v>
      </c>
    </row>
    <row r="1478" spans="1:19" x14ac:dyDescent="0.3">
      <c r="A1478" t="s">
        <v>8</v>
      </c>
      <c r="B1478">
        <f>VLOOKUP(A1478,Sheet2!B:F,5,FALSE)</f>
        <v>928</v>
      </c>
      <c r="C1478" t="s">
        <v>13</v>
      </c>
      <c r="D1478">
        <f>VLOOKUP(C1478,Sheet2!C:G,5,FALSE)</f>
        <v>1184</v>
      </c>
      <c r="E1478" t="s">
        <v>59</v>
      </c>
      <c r="F1478">
        <f>VLOOKUP(E1478,Sheet2!D:E,2,FALSE)</f>
        <v>9</v>
      </c>
      <c r="G1478" t="s">
        <v>11</v>
      </c>
      <c r="H1478" t="str">
        <f t="shared" si="46"/>
        <v>NAVERsj3060</v>
      </c>
      <c r="I1478" t="str">
        <f>"sj3060"</f>
        <v>sj3060</v>
      </c>
      <c r="J1478">
        <v>28700</v>
      </c>
      <c r="K1478" s="1">
        <v>44866</v>
      </c>
      <c r="L1478" t="s">
        <v>1505</v>
      </c>
      <c r="M1478">
        <f t="shared" si="47"/>
        <v>28700</v>
      </c>
      <c r="N1478" t="e">
        <f>VLOOKUP(H1478,Sheet1!G:H,2,FALSE)</f>
        <v>#N/A</v>
      </c>
      <c r="R1478" t="s">
        <v>3402</v>
      </c>
      <c r="S1478">
        <v>305690</v>
      </c>
    </row>
    <row r="1479" spans="1:19" x14ac:dyDescent="0.3">
      <c r="A1479" t="s">
        <v>41</v>
      </c>
      <c r="B1479">
        <f>VLOOKUP(A1479,Sheet2!B:F,5,FALSE)</f>
        <v>926</v>
      </c>
      <c r="C1479" t="s">
        <v>56</v>
      </c>
      <c r="D1479">
        <f>VLOOKUP(C1479,Sheet2!C:G,5,FALSE)</f>
        <v>1207</v>
      </c>
      <c r="E1479" t="s">
        <v>91</v>
      </c>
      <c r="F1479">
        <f>VLOOKUP(E1479,Sheet2!D:E,2,FALSE)</f>
        <v>201104</v>
      </c>
      <c r="G1479" t="s">
        <v>11</v>
      </c>
      <c r="H1479" t="str">
        <f t="shared" si="46"/>
        <v>NAVERsjahwlfl1</v>
      </c>
      <c r="I1479" t="str">
        <f>"sjahwlfl1"</f>
        <v>sjahwlfl1</v>
      </c>
      <c r="J1479">
        <v>384508</v>
      </c>
      <c r="K1479" s="1">
        <v>44866</v>
      </c>
      <c r="L1479" t="s">
        <v>1506</v>
      </c>
      <c r="M1479">
        <f t="shared" si="47"/>
        <v>408690</v>
      </c>
      <c r="N1479" t="e">
        <f>VLOOKUP(H1479,Sheet1!G:H,2,FALSE)</f>
        <v>#N/A</v>
      </c>
      <c r="R1479" t="s">
        <v>3403</v>
      </c>
      <c r="S1479">
        <v>70</v>
      </c>
    </row>
    <row r="1480" spans="1:19" x14ac:dyDescent="0.3">
      <c r="A1480" t="s">
        <v>8</v>
      </c>
      <c r="B1480">
        <f>VLOOKUP(A1480,Sheet2!B:F,5,FALSE)</f>
        <v>928</v>
      </c>
      <c r="C1480" t="s">
        <v>9</v>
      </c>
      <c r="D1480">
        <f>VLOOKUP(C1480,Sheet2!C:G,5,FALSE)</f>
        <v>1202</v>
      </c>
      <c r="E1480" t="s">
        <v>39</v>
      </c>
      <c r="F1480">
        <f>VLOOKUP(E1480,Sheet2!D:E,2,FALSE)</f>
        <v>25</v>
      </c>
      <c r="G1480" t="s">
        <v>11</v>
      </c>
      <c r="H1480" t="str">
        <f t="shared" si="46"/>
        <v>NAVERsjc0570</v>
      </c>
      <c r="I1480" t="str">
        <f>"sjc0570"</f>
        <v>sjc0570</v>
      </c>
      <c r="J1480">
        <v>134590</v>
      </c>
      <c r="K1480" s="1">
        <v>44866</v>
      </c>
      <c r="L1480" t="s">
        <v>1507</v>
      </c>
      <c r="M1480">
        <f t="shared" si="47"/>
        <v>134590</v>
      </c>
      <c r="N1480" t="e">
        <f>VLOOKUP(H1480,Sheet1!G:H,2,FALSE)</f>
        <v>#N/A</v>
      </c>
      <c r="R1480" t="s">
        <v>3404</v>
      </c>
      <c r="S1480">
        <v>239760</v>
      </c>
    </row>
    <row r="1481" spans="1:19" x14ac:dyDescent="0.3">
      <c r="A1481" t="s">
        <v>8</v>
      </c>
      <c r="B1481">
        <f>VLOOKUP(A1481,Sheet2!B:F,5,FALSE)</f>
        <v>928</v>
      </c>
      <c r="C1481" t="s">
        <v>13</v>
      </c>
      <c r="D1481">
        <f>VLOOKUP(C1481,Sheet2!C:G,5,FALSE)</f>
        <v>1184</v>
      </c>
      <c r="E1481" t="s">
        <v>335</v>
      </c>
      <c r="F1481">
        <f>VLOOKUP(E1481,Sheet2!D:E,2,FALSE)</f>
        <v>201090</v>
      </c>
      <c r="G1481" t="s">
        <v>11</v>
      </c>
      <c r="H1481" t="str">
        <f t="shared" si="46"/>
        <v>NAVERsjjopop22</v>
      </c>
      <c r="I1481" t="str">
        <f>"sjjopop22"</f>
        <v>sjjopop22</v>
      </c>
      <c r="J1481">
        <v>2450570</v>
      </c>
      <c r="K1481" s="1">
        <v>44866</v>
      </c>
      <c r="L1481" t="s">
        <v>1508</v>
      </c>
      <c r="M1481">
        <f t="shared" si="47"/>
        <v>2450570</v>
      </c>
      <c r="N1481" t="e">
        <f>VLOOKUP(H1481,Sheet1!G:H,2,FALSE)</f>
        <v>#N/A</v>
      </c>
      <c r="R1481" t="s">
        <v>3405</v>
      </c>
      <c r="S1481">
        <v>164680</v>
      </c>
    </row>
    <row r="1482" spans="1:19" x14ac:dyDescent="0.3">
      <c r="A1482" t="s">
        <v>8</v>
      </c>
      <c r="B1482">
        <f>VLOOKUP(A1482,Sheet2!B:F,5,FALSE)</f>
        <v>928</v>
      </c>
      <c r="C1482" t="s">
        <v>13</v>
      </c>
      <c r="D1482">
        <f>VLOOKUP(C1482,Sheet2!C:G,5,FALSE)</f>
        <v>1184</v>
      </c>
      <c r="E1482" t="s">
        <v>59</v>
      </c>
      <c r="F1482">
        <f>VLOOKUP(E1482,Sheet2!D:E,2,FALSE)</f>
        <v>9</v>
      </c>
      <c r="G1482" t="s">
        <v>11</v>
      </c>
      <c r="H1482" t="str">
        <f t="shared" si="46"/>
        <v>NAVERsjsafety</v>
      </c>
      <c r="I1482" t="str">
        <f>"sjsafety"</f>
        <v>sjsafety</v>
      </c>
      <c r="J1482">
        <v>20620</v>
      </c>
      <c r="K1482" s="1">
        <v>44866</v>
      </c>
      <c r="L1482" t="s">
        <v>1509</v>
      </c>
      <c r="M1482">
        <f t="shared" si="47"/>
        <v>20620</v>
      </c>
      <c r="N1482" t="e">
        <f>VLOOKUP(H1482,Sheet1!G:H,2,FALSE)</f>
        <v>#N/A</v>
      </c>
      <c r="R1482" t="s">
        <v>3406</v>
      </c>
      <c r="S1482">
        <v>1630410</v>
      </c>
    </row>
    <row r="1483" spans="1:19" x14ac:dyDescent="0.3">
      <c r="A1483" t="s">
        <v>8</v>
      </c>
      <c r="B1483">
        <f>VLOOKUP(A1483,Sheet2!B:F,5,FALSE)</f>
        <v>928</v>
      </c>
      <c r="C1483" t="s">
        <v>9</v>
      </c>
      <c r="D1483">
        <f>VLOOKUP(C1483,Sheet2!C:G,5,FALSE)</f>
        <v>1202</v>
      </c>
      <c r="E1483" t="s">
        <v>31</v>
      </c>
      <c r="F1483">
        <f>VLOOKUP(E1483,Sheet2!D:E,2,FALSE)</f>
        <v>1040</v>
      </c>
      <c r="G1483" t="s">
        <v>11</v>
      </c>
      <c r="H1483" t="str">
        <f t="shared" si="46"/>
        <v>NAVERsjselfstudy</v>
      </c>
      <c r="I1483" t="str">
        <f>"sjselfstudy"</f>
        <v>sjselfstudy</v>
      </c>
      <c r="J1483">
        <v>222830</v>
      </c>
      <c r="K1483" s="1">
        <v>44866</v>
      </c>
      <c r="L1483" t="s">
        <v>1510</v>
      </c>
      <c r="M1483">
        <f t="shared" si="47"/>
        <v>222830</v>
      </c>
      <c r="N1483" t="e">
        <f>VLOOKUP(H1483,Sheet1!G:H,2,FALSE)</f>
        <v>#N/A</v>
      </c>
      <c r="R1483" t="s">
        <v>3407</v>
      </c>
      <c r="S1483">
        <v>1903760</v>
      </c>
    </row>
    <row r="1484" spans="1:19" x14ac:dyDescent="0.3">
      <c r="A1484" t="s">
        <v>8</v>
      </c>
      <c r="B1484">
        <f>VLOOKUP(A1484,Sheet2!B:F,5,FALSE)</f>
        <v>928</v>
      </c>
      <c r="C1484" t="s">
        <v>13</v>
      </c>
      <c r="D1484">
        <f>VLOOKUP(C1484,Sheet2!C:G,5,FALSE)</f>
        <v>1184</v>
      </c>
      <c r="E1484" t="s">
        <v>115</v>
      </c>
      <c r="F1484">
        <f>VLOOKUP(E1484,Sheet2!D:E,2,FALSE)</f>
        <v>1548</v>
      </c>
      <c r="G1484" t="s">
        <v>11</v>
      </c>
      <c r="H1484" t="str">
        <f t="shared" si="46"/>
        <v>NAVERsjselpa</v>
      </c>
      <c r="I1484" t="str">
        <f>"sjselpa"</f>
        <v>sjselpa</v>
      </c>
      <c r="J1484">
        <v>490030</v>
      </c>
      <c r="K1484" s="1">
        <v>44866</v>
      </c>
      <c r="L1484" t="s">
        <v>1511</v>
      </c>
      <c r="M1484">
        <f t="shared" si="47"/>
        <v>490030</v>
      </c>
      <c r="N1484" t="e">
        <f>VLOOKUP(H1484,Sheet1!G:H,2,FALSE)</f>
        <v>#N/A</v>
      </c>
      <c r="R1484" t="s">
        <v>3408</v>
      </c>
      <c r="S1484">
        <v>81600</v>
      </c>
    </row>
    <row r="1485" spans="1:19" x14ac:dyDescent="0.3">
      <c r="A1485" t="s">
        <v>8</v>
      </c>
      <c r="B1485">
        <f>VLOOKUP(A1485,Sheet2!B:F,5,FALSE)</f>
        <v>928</v>
      </c>
      <c r="C1485" t="s">
        <v>13</v>
      </c>
      <c r="D1485">
        <f>VLOOKUP(C1485,Sheet2!C:G,5,FALSE)</f>
        <v>1184</v>
      </c>
      <c r="E1485" t="s">
        <v>102</v>
      </c>
      <c r="F1485">
        <f>VLOOKUP(E1485,Sheet2!D:E,2,FALSE)</f>
        <v>917</v>
      </c>
      <c r="G1485" t="s">
        <v>11</v>
      </c>
      <c r="H1485" t="str">
        <f t="shared" si="46"/>
        <v>NAVERsjsign</v>
      </c>
      <c r="I1485" t="str">
        <f>"sjsign"</f>
        <v>sjsign</v>
      </c>
      <c r="J1485">
        <v>213260</v>
      </c>
      <c r="K1485" s="1">
        <v>44866</v>
      </c>
      <c r="L1485" t="s">
        <v>1512</v>
      </c>
      <c r="M1485">
        <f t="shared" si="47"/>
        <v>213260</v>
      </c>
      <c r="N1485" t="e">
        <f>VLOOKUP(H1485,Sheet1!G:H,2,FALSE)</f>
        <v>#N/A</v>
      </c>
      <c r="R1485" t="s">
        <v>3409</v>
      </c>
      <c r="S1485">
        <v>1633110</v>
      </c>
    </row>
    <row r="1486" spans="1:19" x14ac:dyDescent="0.3">
      <c r="A1486" t="s">
        <v>41</v>
      </c>
      <c r="B1486">
        <f>VLOOKUP(A1486,Sheet2!B:F,5,FALSE)</f>
        <v>926</v>
      </c>
      <c r="C1486" t="s">
        <v>56</v>
      </c>
      <c r="D1486">
        <f>VLOOKUP(C1486,Sheet2!C:G,5,FALSE)</f>
        <v>1207</v>
      </c>
      <c r="E1486" t="s">
        <v>464</v>
      </c>
      <c r="F1486">
        <f>VLOOKUP(E1486,Sheet2!D:E,2,FALSE)</f>
        <v>201071</v>
      </c>
      <c r="G1486" t="s">
        <v>11</v>
      </c>
      <c r="H1486" t="str">
        <f t="shared" si="46"/>
        <v>NAVERsjtit</v>
      </c>
      <c r="I1486" t="str">
        <f>"sjtit"</f>
        <v>sjtit</v>
      </c>
      <c r="J1486">
        <v>2085590</v>
      </c>
      <c r="K1486" s="1">
        <v>44866</v>
      </c>
      <c r="L1486" t="s">
        <v>1513</v>
      </c>
      <c r="M1486">
        <f t="shared" si="47"/>
        <v>2085590</v>
      </c>
      <c r="N1486" t="e">
        <f>VLOOKUP(H1486,Sheet1!G:H,2,FALSE)</f>
        <v>#N/A</v>
      </c>
      <c r="R1486" t="s">
        <v>3410</v>
      </c>
      <c r="S1486">
        <v>6680910</v>
      </c>
    </row>
    <row r="1487" spans="1:19" x14ac:dyDescent="0.3">
      <c r="A1487" t="s">
        <v>16</v>
      </c>
      <c r="B1487">
        <f>VLOOKUP(A1487,Sheet2!B:F,5,FALSE)</f>
        <v>927</v>
      </c>
      <c r="C1487" t="s">
        <v>17</v>
      </c>
      <c r="D1487">
        <f>VLOOKUP(C1487,Sheet2!C:G,5,FALSE)</f>
        <v>1200</v>
      </c>
      <c r="E1487" t="s">
        <v>170</v>
      </c>
      <c r="F1487">
        <f>VLOOKUP(E1487,Sheet2!D:E,2,FALSE)</f>
        <v>1530</v>
      </c>
      <c r="G1487" t="s">
        <v>11</v>
      </c>
      <c r="H1487" t="str">
        <f t="shared" si="46"/>
        <v>NAVERsjy7977:naver</v>
      </c>
      <c r="I1487" t="str">
        <f>"sjy7977:naver"</f>
        <v>sjy7977:naver</v>
      </c>
      <c r="J1487">
        <v>307920</v>
      </c>
      <c r="K1487" s="1">
        <v>44866</v>
      </c>
      <c r="L1487" t="s">
        <v>1514</v>
      </c>
      <c r="M1487">
        <f t="shared" si="47"/>
        <v>307920</v>
      </c>
      <c r="N1487" t="e">
        <f>VLOOKUP(H1487,Sheet1!G:H,2,FALSE)</f>
        <v>#N/A</v>
      </c>
      <c r="R1487" t="s">
        <v>3411</v>
      </c>
      <c r="S1487">
        <v>289150</v>
      </c>
    </row>
    <row r="1488" spans="1:19" x14ac:dyDescent="0.3">
      <c r="A1488" t="s">
        <v>8</v>
      </c>
      <c r="B1488">
        <f>VLOOKUP(A1488,Sheet2!B:F,5,FALSE)</f>
        <v>928</v>
      </c>
      <c r="C1488" t="s">
        <v>9</v>
      </c>
      <c r="D1488">
        <f>VLOOKUP(C1488,Sheet2!C:G,5,FALSE)</f>
        <v>1202</v>
      </c>
      <c r="E1488" t="s">
        <v>10</v>
      </c>
      <c r="F1488">
        <f>VLOOKUP(E1488,Sheet2!D:E,2,FALSE)</f>
        <v>939</v>
      </c>
      <c r="G1488" t="s">
        <v>11</v>
      </c>
      <c r="H1488" t="str">
        <f t="shared" si="46"/>
        <v>NAVERsk3943</v>
      </c>
      <c r="I1488" t="str">
        <f>"sk3943"</f>
        <v>sk3943</v>
      </c>
      <c r="J1488">
        <v>33840</v>
      </c>
      <c r="K1488" s="1">
        <v>44866</v>
      </c>
      <c r="L1488" t="s">
        <v>1515</v>
      </c>
      <c r="M1488">
        <f t="shared" si="47"/>
        <v>33840</v>
      </c>
      <c r="N1488" t="e">
        <f>VLOOKUP(H1488,Sheet1!G:H,2,FALSE)</f>
        <v>#N/A</v>
      </c>
      <c r="R1488" t="s">
        <v>3412</v>
      </c>
      <c r="S1488">
        <v>172610</v>
      </c>
    </row>
    <row r="1489" spans="1:19" x14ac:dyDescent="0.3">
      <c r="A1489" t="s">
        <v>16</v>
      </c>
      <c r="B1489">
        <f>VLOOKUP(A1489,Sheet2!B:F,5,FALSE)</f>
        <v>927</v>
      </c>
      <c r="C1489" t="s">
        <v>17</v>
      </c>
      <c r="D1489">
        <f>VLOOKUP(C1489,Sheet2!C:G,5,FALSE)</f>
        <v>1200</v>
      </c>
      <c r="E1489" t="s">
        <v>290</v>
      </c>
      <c r="F1489">
        <f>VLOOKUP(E1489,Sheet2!D:E,2,FALSE)</f>
        <v>556</v>
      </c>
      <c r="G1489" t="s">
        <v>11</v>
      </c>
      <c r="H1489" t="str">
        <f t="shared" si="46"/>
        <v>NAVERskdc007</v>
      </c>
      <c r="I1489" t="str">
        <f>"skdc007"</f>
        <v>skdc007</v>
      </c>
      <c r="J1489">
        <v>431740</v>
      </c>
      <c r="K1489" s="1">
        <v>44866</v>
      </c>
      <c r="L1489" t="s">
        <v>1516</v>
      </c>
      <c r="M1489">
        <f t="shared" si="47"/>
        <v>404800</v>
      </c>
      <c r="N1489" t="e">
        <f>VLOOKUP(H1489,Sheet1!G:H,2,FALSE)</f>
        <v>#N/A</v>
      </c>
      <c r="R1489" t="s">
        <v>3413</v>
      </c>
      <c r="S1489">
        <v>66500</v>
      </c>
    </row>
    <row r="1490" spans="1:19" x14ac:dyDescent="0.3">
      <c r="A1490" t="s">
        <v>8</v>
      </c>
      <c r="B1490">
        <f>VLOOKUP(A1490,Sheet2!B:F,5,FALSE)</f>
        <v>928</v>
      </c>
      <c r="C1490" t="s">
        <v>9</v>
      </c>
      <c r="D1490">
        <f>VLOOKUP(C1490,Sheet2!C:G,5,FALSE)</f>
        <v>1202</v>
      </c>
      <c r="E1490" t="s">
        <v>35</v>
      </c>
      <c r="F1490">
        <f>VLOOKUP(E1490,Sheet2!D:E,2,FALSE)</f>
        <v>51</v>
      </c>
      <c r="G1490" t="s">
        <v>11</v>
      </c>
      <c r="H1490" t="str">
        <f t="shared" si="46"/>
        <v>NAVERskdusdkqk</v>
      </c>
      <c r="I1490" t="str">
        <f>"skdusdkqk"</f>
        <v>skdusdkqk</v>
      </c>
      <c r="J1490">
        <v>210000</v>
      </c>
      <c r="K1490" s="1">
        <v>44866</v>
      </c>
      <c r="L1490" t="s">
        <v>1517</v>
      </c>
      <c r="M1490" t="e">
        <f t="shared" si="47"/>
        <v>#N/A</v>
      </c>
      <c r="N1490" t="str">
        <f>VLOOKUP(H1490,Sheet1!G:H,2,FALSE)</f>
        <v>광고주 피이관으로 인식된 계정</v>
      </c>
      <c r="R1490" t="s">
        <v>3414</v>
      </c>
      <c r="S1490">
        <v>0</v>
      </c>
    </row>
    <row r="1491" spans="1:19" x14ac:dyDescent="0.3">
      <c r="A1491" t="s">
        <v>8</v>
      </c>
      <c r="B1491">
        <f>VLOOKUP(A1491,Sheet2!B:F,5,FALSE)</f>
        <v>928</v>
      </c>
      <c r="C1491" t="s">
        <v>13</v>
      </c>
      <c r="D1491">
        <f>VLOOKUP(C1491,Sheet2!C:G,5,FALSE)</f>
        <v>1184</v>
      </c>
      <c r="E1491" t="s">
        <v>115</v>
      </c>
      <c r="F1491">
        <f>VLOOKUP(E1491,Sheet2!D:E,2,FALSE)</f>
        <v>1548</v>
      </c>
      <c r="G1491" t="s">
        <v>11</v>
      </c>
      <c r="H1491" t="str">
        <f t="shared" si="46"/>
        <v>NAVERskinrexkorea_e:naver</v>
      </c>
      <c r="I1491" t="str">
        <f>"skinrexkorea_e:naver"</f>
        <v>skinrexkorea_e:naver</v>
      </c>
      <c r="J1491">
        <v>171550</v>
      </c>
      <c r="K1491" s="1">
        <v>44866</v>
      </c>
      <c r="L1491" t="s">
        <v>1518</v>
      </c>
      <c r="M1491">
        <f t="shared" si="47"/>
        <v>171550</v>
      </c>
      <c r="N1491" t="e">
        <f>VLOOKUP(H1491,Sheet1!G:H,2,FALSE)</f>
        <v>#N/A</v>
      </c>
      <c r="R1491" t="s">
        <v>3415</v>
      </c>
      <c r="S1491">
        <v>5100</v>
      </c>
    </row>
    <row r="1492" spans="1:19" x14ac:dyDescent="0.3">
      <c r="A1492" t="s">
        <v>41</v>
      </c>
      <c r="B1492">
        <f>VLOOKUP(A1492,Sheet2!B:F,5,FALSE)</f>
        <v>926</v>
      </c>
      <c r="C1492" t="s">
        <v>56</v>
      </c>
      <c r="D1492">
        <f>VLOOKUP(C1492,Sheet2!C:G,5,FALSE)</f>
        <v>1207</v>
      </c>
      <c r="E1492" t="s">
        <v>91</v>
      </c>
      <c r="F1492">
        <f>VLOOKUP(E1492,Sheet2!D:E,2,FALSE)</f>
        <v>201104</v>
      </c>
      <c r="G1492" t="s">
        <v>11</v>
      </c>
      <c r="H1492" t="str">
        <f t="shared" si="46"/>
        <v>NAVERskinschool</v>
      </c>
      <c r="I1492" t="str">
        <f>"skinschool"</f>
        <v>skinschool</v>
      </c>
      <c r="J1492">
        <v>2781960</v>
      </c>
      <c r="K1492" s="1">
        <v>44866</v>
      </c>
      <c r="L1492" t="s">
        <v>1519</v>
      </c>
      <c r="M1492">
        <f t="shared" si="47"/>
        <v>881980</v>
      </c>
      <c r="N1492" t="e">
        <f>VLOOKUP(H1492,Sheet1!G:H,2,FALSE)</f>
        <v>#N/A</v>
      </c>
      <c r="R1492" t="s">
        <v>3416</v>
      </c>
      <c r="S1492">
        <v>12080</v>
      </c>
    </row>
    <row r="1493" spans="1:19" x14ac:dyDescent="0.3">
      <c r="A1493" t="s">
        <v>41</v>
      </c>
      <c r="B1493">
        <f>VLOOKUP(A1493,Sheet2!B:F,5,FALSE)</f>
        <v>926</v>
      </c>
      <c r="C1493" t="s">
        <v>56</v>
      </c>
      <c r="D1493">
        <f>VLOOKUP(C1493,Sheet2!C:G,5,FALSE)</f>
        <v>1207</v>
      </c>
      <c r="E1493" t="s">
        <v>57</v>
      </c>
      <c r="F1493">
        <f>VLOOKUP(E1493,Sheet2!D:E,2,FALSE)</f>
        <v>200982</v>
      </c>
      <c r="G1493" t="s">
        <v>11</v>
      </c>
      <c r="H1493" t="str">
        <f t="shared" si="46"/>
        <v>NAVERskitm3152</v>
      </c>
      <c r="I1493" t="str">
        <f>"skitm3152"</f>
        <v>skitm3152</v>
      </c>
      <c r="J1493">
        <v>179380</v>
      </c>
      <c r="K1493" s="1">
        <v>44866</v>
      </c>
      <c r="L1493" t="s">
        <v>1520</v>
      </c>
      <c r="M1493">
        <f t="shared" si="47"/>
        <v>179380</v>
      </c>
      <c r="N1493" t="e">
        <f>VLOOKUP(H1493,Sheet1!G:H,2,FALSE)</f>
        <v>#N/A</v>
      </c>
      <c r="R1493" t="s">
        <v>3417</v>
      </c>
      <c r="S1493">
        <v>3629710</v>
      </c>
    </row>
    <row r="1494" spans="1:19" x14ac:dyDescent="0.3">
      <c r="A1494" t="s">
        <v>8</v>
      </c>
      <c r="B1494">
        <f>VLOOKUP(A1494,Sheet2!B:F,5,FALSE)</f>
        <v>928</v>
      </c>
      <c r="C1494" t="s">
        <v>9</v>
      </c>
      <c r="D1494">
        <f>VLOOKUP(C1494,Sheet2!C:G,5,FALSE)</f>
        <v>1202</v>
      </c>
      <c r="E1494" t="s">
        <v>27</v>
      </c>
      <c r="F1494">
        <f>VLOOKUP(E1494,Sheet2!D:E,2,FALSE)</f>
        <v>806</v>
      </c>
      <c r="G1494" t="s">
        <v>11</v>
      </c>
      <c r="H1494" t="str">
        <f t="shared" si="46"/>
        <v>NAVERsklec:naver</v>
      </c>
      <c r="I1494" t="str">
        <f>"sklec:naver"</f>
        <v>sklec:naver</v>
      </c>
      <c r="J1494">
        <v>3237930</v>
      </c>
      <c r="K1494" s="1">
        <v>44866</v>
      </c>
      <c r="L1494" t="s">
        <v>1521</v>
      </c>
      <c r="M1494">
        <f t="shared" si="47"/>
        <v>3237930</v>
      </c>
      <c r="N1494" t="e">
        <f>VLOOKUP(H1494,Sheet1!G:H,2,FALSE)</f>
        <v>#N/A</v>
      </c>
      <c r="R1494" t="s">
        <v>3418</v>
      </c>
      <c r="S1494">
        <v>364270</v>
      </c>
    </row>
    <row r="1495" spans="1:19" x14ac:dyDescent="0.3">
      <c r="A1495" t="s">
        <v>8</v>
      </c>
      <c r="B1495">
        <f>VLOOKUP(A1495,Sheet2!B:F,5,FALSE)</f>
        <v>928</v>
      </c>
      <c r="C1495" t="s">
        <v>9</v>
      </c>
      <c r="D1495">
        <f>VLOOKUP(C1495,Sheet2!C:G,5,FALSE)</f>
        <v>1202</v>
      </c>
      <c r="E1495" t="s">
        <v>33</v>
      </c>
      <c r="F1495">
        <f>VLOOKUP(E1495,Sheet2!D:E,2,FALSE)</f>
        <v>933</v>
      </c>
      <c r="G1495" t="s">
        <v>11</v>
      </c>
      <c r="H1495" t="str">
        <f t="shared" si="46"/>
        <v>NAVERskqmsuwk:naver</v>
      </c>
      <c r="I1495" t="str">
        <f>"skqmsuwk:naver"</f>
        <v>skqmsuwk:naver</v>
      </c>
      <c r="J1495">
        <v>126600</v>
      </c>
      <c r="K1495" s="1">
        <v>44866</v>
      </c>
      <c r="L1495" t="s">
        <v>1522</v>
      </c>
      <c r="M1495">
        <f t="shared" si="47"/>
        <v>126600</v>
      </c>
      <c r="N1495" t="e">
        <f>VLOOKUP(H1495,Sheet1!G:H,2,FALSE)</f>
        <v>#N/A</v>
      </c>
      <c r="R1495" t="s">
        <v>3419</v>
      </c>
      <c r="S1495">
        <v>1950</v>
      </c>
    </row>
    <row r="1496" spans="1:19" x14ac:dyDescent="0.3">
      <c r="A1496" t="s">
        <v>8</v>
      </c>
      <c r="B1496">
        <f>VLOOKUP(A1496,Sheet2!B:F,5,FALSE)</f>
        <v>928</v>
      </c>
      <c r="C1496" t="s">
        <v>9</v>
      </c>
      <c r="D1496">
        <f>VLOOKUP(C1496,Sheet2!C:G,5,FALSE)</f>
        <v>1202</v>
      </c>
      <c r="E1496" t="s">
        <v>10</v>
      </c>
      <c r="F1496">
        <f>VLOOKUP(E1496,Sheet2!D:E,2,FALSE)</f>
        <v>939</v>
      </c>
      <c r="G1496" t="s">
        <v>11</v>
      </c>
      <c r="H1496" t="str">
        <f t="shared" si="46"/>
        <v>NAVERsks674377</v>
      </c>
      <c r="I1496" t="str">
        <f>"sks674377"</f>
        <v>sks674377</v>
      </c>
      <c r="J1496">
        <v>452400</v>
      </c>
      <c r="K1496" s="1">
        <v>44866</v>
      </c>
      <c r="L1496" t="s">
        <v>1523</v>
      </c>
      <c r="M1496">
        <f t="shared" si="47"/>
        <v>452400</v>
      </c>
      <c r="N1496" t="e">
        <f>VLOOKUP(H1496,Sheet1!G:H,2,FALSE)</f>
        <v>#N/A</v>
      </c>
      <c r="R1496" t="s">
        <v>3420</v>
      </c>
      <c r="S1496">
        <v>1760</v>
      </c>
    </row>
    <row r="1497" spans="1:19" x14ac:dyDescent="0.3">
      <c r="A1497" t="s">
        <v>41</v>
      </c>
      <c r="B1497">
        <f>VLOOKUP(A1497,Sheet2!B:F,5,FALSE)</f>
        <v>926</v>
      </c>
      <c r="C1497" t="s">
        <v>56</v>
      </c>
      <c r="D1497">
        <f>VLOOKUP(C1497,Sheet2!C:G,5,FALSE)</f>
        <v>1207</v>
      </c>
      <c r="E1497" t="s">
        <v>62</v>
      </c>
      <c r="F1497">
        <f>VLOOKUP(E1497,Sheet2!D:E,2,FALSE)</f>
        <v>201037</v>
      </c>
      <c r="G1497" t="s">
        <v>11</v>
      </c>
      <c r="H1497" t="str">
        <f t="shared" si="46"/>
        <v>NAVERsky2dad2:naver</v>
      </c>
      <c r="I1497" t="str">
        <f>"sky2dad2:naver"</f>
        <v>sky2dad2:naver</v>
      </c>
      <c r="J1497">
        <v>4636960</v>
      </c>
      <c r="K1497" s="1">
        <v>44866</v>
      </c>
      <c r="L1497" t="s">
        <v>1524</v>
      </c>
      <c r="M1497">
        <f t="shared" si="47"/>
        <v>4636960</v>
      </c>
      <c r="N1497" t="e">
        <f>VLOOKUP(H1497,Sheet1!G:H,2,FALSE)</f>
        <v>#N/A</v>
      </c>
      <c r="R1497" t="s">
        <v>3421</v>
      </c>
      <c r="S1497">
        <v>1863960</v>
      </c>
    </row>
    <row r="1498" spans="1:19" x14ac:dyDescent="0.3">
      <c r="A1498" t="s">
        <v>8</v>
      </c>
      <c r="B1498">
        <f>VLOOKUP(A1498,Sheet2!B:F,5,FALSE)</f>
        <v>928</v>
      </c>
      <c r="C1498" t="s">
        <v>13</v>
      </c>
      <c r="D1498">
        <f>VLOOKUP(C1498,Sheet2!C:G,5,FALSE)</f>
        <v>1184</v>
      </c>
      <c r="E1498" t="s">
        <v>115</v>
      </c>
      <c r="F1498">
        <f>VLOOKUP(E1498,Sheet2!D:E,2,FALSE)</f>
        <v>1548</v>
      </c>
      <c r="G1498" t="s">
        <v>11</v>
      </c>
      <c r="H1498" t="str">
        <f t="shared" si="46"/>
        <v>NAVERsky3667</v>
      </c>
      <c r="I1498" t="str">
        <f>"sky3667"</f>
        <v>sky3667</v>
      </c>
      <c r="J1498">
        <v>349400</v>
      </c>
      <c r="K1498" s="1">
        <v>44866</v>
      </c>
      <c r="L1498" t="s">
        <v>1525</v>
      </c>
      <c r="M1498">
        <f t="shared" si="47"/>
        <v>349400</v>
      </c>
      <c r="N1498" t="e">
        <f>VLOOKUP(H1498,Sheet1!G:H,2,FALSE)</f>
        <v>#N/A</v>
      </c>
      <c r="R1498" t="s">
        <v>3422</v>
      </c>
      <c r="S1498">
        <v>1078240</v>
      </c>
    </row>
    <row r="1499" spans="1:19" x14ac:dyDescent="0.3">
      <c r="A1499" t="s">
        <v>8</v>
      </c>
      <c r="B1499">
        <f>VLOOKUP(A1499,Sheet2!B:F,5,FALSE)</f>
        <v>928</v>
      </c>
      <c r="C1499" t="s">
        <v>13</v>
      </c>
      <c r="D1499">
        <f>VLOOKUP(C1499,Sheet2!C:G,5,FALSE)</f>
        <v>1184</v>
      </c>
      <c r="E1499" t="s">
        <v>51</v>
      </c>
      <c r="F1499">
        <f>VLOOKUP(E1499,Sheet2!D:E,2,FALSE)</f>
        <v>1274</v>
      </c>
      <c r="G1499" t="s">
        <v>11</v>
      </c>
      <c r="H1499" t="str">
        <f t="shared" si="46"/>
        <v>NAVERsky74819</v>
      </c>
      <c r="I1499" t="str">
        <f>"sky74819"</f>
        <v>sky74819</v>
      </c>
      <c r="J1499">
        <v>21000</v>
      </c>
      <c r="K1499" s="1">
        <v>44866</v>
      </c>
      <c r="L1499" t="s">
        <v>1526</v>
      </c>
      <c r="M1499">
        <f t="shared" si="47"/>
        <v>21000</v>
      </c>
      <c r="N1499" t="e">
        <f>VLOOKUP(H1499,Sheet1!G:H,2,FALSE)</f>
        <v>#N/A</v>
      </c>
      <c r="R1499" t="s">
        <v>3423</v>
      </c>
      <c r="S1499">
        <v>25870</v>
      </c>
    </row>
    <row r="1500" spans="1:19" x14ac:dyDescent="0.3">
      <c r="A1500" t="s">
        <v>41</v>
      </c>
      <c r="B1500">
        <f>VLOOKUP(A1500,Sheet2!B:F,5,FALSE)</f>
        <v>926</v>
      </c>
      <c r="C1500" t="s">
        <v>42</v>
      </c>
      <c r="D1500">
        <f>VLOOKUP(C1500,Sheet2!C:G,5,FALSE)</f>
        <v>964</v>
      </c>
      <c r="E1500" t="s">
        <v>43</v>
      </c>
      <c r="F1500">
        <f>VLOOKUP(E1500,Sheet2!D:E,2,FALSE)</f>
        <v>200998</v>
      </c>
      <c r="G1500" t="s">
        <v>11</v>
      </c>
      <c r="H1500" t="str">
        <f t="shared" si="46"/>
        <v>NAVERskydisc</v>
      </c>
      <c r="I1500" t="str">
        <f>"skydisc"</f>
        <v>skydisc</v>
      </c>
      <c r="J1500">
        <v>520</v>
      </c>
      <c r="K1500" s="1">
        <v>44866</v>
      </c>
      <c r="L1500" t="s">
        <v>1527</v>
      </c>
      <c r="M1500">
        <f t="shared" si="47"/>
        <v>520</v>
      </c>
      <c r="N1500" t="e">
        <f>VLOOKUP(H1500,Sheet1!G:H,2,FALSE)</f>
        <v>#N/A</v>
      </c>
      <c r="R1500" t="s">
        <v>3424</v>
      </c>
      <c r="S1500">
        <v>65834</v>
      </c>
    </row>
    <row r="1501" spans="1:19" x14ac:dyDescent="0.3">
      <c r="A1501" t="s">
        <v>16</v>
      </c>
      <c r="B1501">
        <f>VLOOKUP(A1501,Sheet2!B:F,5,FALSE)</f>
        <v>927</v>
      </c>
      <c r="C1501" t="s">
        <v>17</v>
      </c>
      <c r="D1501">
        <f>VLOOKUP(C1501,Sheet2!C:G,5,FALSE)</f>
        <v>1200</v>
      </c>
      <c r="E1501" t="s">
        <v>371</v>
      </c>
      <c r="F1501">
        <f>VLOOKUP(E1501,Sheet2!D:E,2,FALSE)</f>
        <v>551</v>
      </c>
      <c r="G1501" t="s">
        <v>11</v>
      </c>
      <c r="H1501" t="str">
        <f t="shared" si="46"/>
        <v>NAVERskyfes1</v>
      </c>
      <c r="I1501" t="str">
        <f>"skyfes1"</f>
        <v>skyfes1</v>
      </c>
      <c r="J1501">
        <v>88920</v>
      </c>
      <c r="K1501" s="1">
        <v>44866</v>
      </c>
      <c r="L1501" t="s">
        <v>1528</v>
      </c>
      <c r="M1501">
        <f t="shared" si="47"/>
        <v>88920</v>
      </c>
      <c r="N1501" t="e">
        <f>VLOOKUP(H1501,Sheet1!G:H,2,FALSE)</f>
        <v>#N/A</v>
      </c>
      <c r="R1501" t="s">
        <v>3425</v>
      </c>
      <c r="S1501">
        <v>499720</v>
      </c>
    </row>
    <row r="1502" spans="1:19" x14ac:dyDescent="0.3">
      <c r="A1502" t="s">
        <v>16</v>
      </c>
      <c r="B1502">
        <f>VLOOKUP(A1502,Sheet2!B:F,5,FALSE)</f>
        <v>927</v>
      </c>
      <c r="C1502" t="s">
        <v>17</v>
      </c>
      <c r="D1502">
        <f>VLOOKUP(C1502,Sheet2!C:G,5,FALSE)</f>
        <v>1200</v>
      </c>
      <c r="E1502" t="s">
        <v>371</v>
      </c>
      <c r="F1502">
        <f>VLOOKUP(E1502,Sheet2!D:E,2,FALSE)</f>
        <v>551</v>
      </c>
      <c r="G1502" t="s">
        <v>11</v>
      </c>
      <c r="H1502" t="str">
        <f t="shared" si="46"/>
        <v>NAVERskyfestival</v>
      </c>
      <c r="I1502" t="str">
        <f>"skyfestival"</f>
        <v>skyfestival</v>
      </c>
      <c r="J1502">
        <v>131830</v>
      </c>
      <c r="K1502" s="1">
        <v>44866</v>
      </c>
      <c r="L1502" t="s">
        <v>1529</v>
      </c>
      <c r="M1502">
        <f t="shared" si="47"/>
        <v>131230</v>
      </c>
      <c r="N1502" t="str">
        <f>VLOOKUP(H1502,Sheet1!G:H,2,FALSE)</f>
        <v>보안상</v>
      </c>
      <c r="R1502" t="s">
        <v>3426</v>
      </c>
      <c r="S1502">
        <v>67090</v>
      </c>
    </row>
    <row r="1503" spans="1:19" x14ac:dyDescent="0.3">
      <c r="A1503" t="s">
        <v>8</v>
      </c>
      <c r="B1503">
        <f>VLOOKUP(A1503,Sheet2!B:F,5,FALSE)</f>
        <v>928</v>
      </c>
      <c r="C1503" t="s">
        <v>13</v>
      </c>
      <c r="D1503">
        <f>VLOOKUP(C1503,Sheet2!C:G,5,FALSE)</f>
        <v>1184</v>
      </c>
      <c r="E1503" t="s">
        <v>217</v>
      </c>
      <c r="F1503">
        <f>VLOOKUP(E1503,Sheet2!D:E,2,FALSE)</f>
        <v>201027</v>
      </c>
      <c r="G1503" t="s">
        <v>11</v>
      </c>
      <c r="H1503" t="str">
        <f t="shared" si="46"/>
        <v>NAVERskyonebbang1</v>
      </c>
      <c r="I1503" t="str">
        <f>"skyonebbang1"</f>
        <v>skyonebbang1</v>
      </c>
      <c r="J1503">
        <v>15480</v>
      </c>
      <c r="K1503" s="1">
        <v>44866</v>
      </c>
      <c r="L1503" t="s">
        <v>1530</v>
      </c>
      <c r="M1503">
        <f t="shared" si="47"/>
        <v>0</v>
      </c>
      <c r="N1503" t="e">
        <f>VLOOKUP(H1503,Sheet1!G:H,2,FALSE)</f>
        <v>#N/A</v>
      </c>
      <c r="R1503" t="s">
        <v>3427</v>
      </c>
      <c r="S1503">
        <v>738840</v>
      </c>
    </row>
    <row r="1504" spans="1:19" x14ac:dyDescent="0.3">
      <c r="A1504" t="s">
        <v>8</v>
      </c>
      <c r="B1504">
        <f>VLOOKUP(A1504,Sheet2!B:F,5,FALSE)</f>
        <v>928</v>
      </c>
      <c r="C1504" t="s">
        <v>9</v>
      </c>
      <c r="D1504">
        <f>VLOOKUP(C1504,Sheet2!C:G,5,FALSE)</f>
        <v>1202</v>
      </c>
      <c r="E1504" t="s">
        <v>10</v>
      </c>
      <c r="F1504">
        <f>VLOOKUP(E1504,Sheet2!D:E,2,FALSE)</f>
        <v>939</v>
      </c>
      <c r="G1504" t="s">
        <v>11</v>
      </c>
      <c r="H1504" t="str">
        <f t="shared" si="46"/>
        <v>NAVERskyviva</v>
      </c>
      <c r="I1504" t="str">
        <f>"skyviva"</f>
        <v>skyviva</v>
      </c>
      <c r="J1504">
        <v>92190</v>
      </c>
      <c r="K1504" s="1">
        <v>44866</v>
      </c>
      <c r="L1504" t="s">
        <v>1531</v>
      </c>
      <c r="M1504">
        <f t="shared" si="47"/>
        <v>92190</v>
      </c>
      <c r="N1504" t="e">
        <f>VLOOKUP(H1504,Sheet1!G:H,2,FALSE)</f>
        <v>#N/A</v>
      </c>
      <c r="R1504" t="s">
        <v>3428</v>
      </c>
      <c r="S1504">
        <v>71800</v>
      </c>
    </row>
    <row r="1505" spans="1:19" x14ac:dyDescent="0.3">
      <c r="A1505" t="s">
        <v>8</v>
      </c>
      <c r="B1505">
        <f>VLOOKUP(A1505,Sheet2!B:F,5,FALSE)</f>
        <v>928</v>
      </c>
      <c r="C1505" t="s">
        <v>13</v>
      </c>
      <c r="D1505">
        <f>VLOOKUP(C1505,Sheet2!C:G,5,FALSE)</f>
        <v>1184</v>
      </c>
      <c r="E1505" t="s">
        <v>102</v>
      </c>
      <c r="F1505">
        <f>VLOOKUP(E1505,Sheet2!D:E,2,FALSE)</f>
        <v>917</v>
      </c>
      <c r="G1505" t="s">
        <v>11</v>
      </c>
      <c r="H1505" t="str">
        <f t="shared" si="46"/>
        <v>NAVERsleepcenter</v>
      </c>
      <c r="I1505" t="str">
        <f>"sleepcenter"</f>
        <v>sleepcenter</v>
      </c>
      <c r="J1505">
        <v>8447980</v>
      </c>
      <c r="K1505" s="1">
        <v>44866</v>
      </c>
      <c r="L1505" t="s">
        <v>1532</v>
      </c>
      <c r="M1505">
        <f t="shared" si="47"/>
        <v>8447980</v>
      </c>
      <c r="N1505" t="e">
        <f>VLOOKUP(H1505,Sheet1!G:H,2,FALSE)</f>
        <v>#N/A</v>
      </c>
      <c r="R1505" t="s">
        <v>3429</v>
      </c>
      <c r="S1505">
        <v>4980</v>
      </c>
    </row>
    <row r="1506" spans="1:19" x14ac:dyDescent="0.3">
      <c r="A1506" t="s">
        <v>41</v>
      </c>
      <c r="B1506">
        <f>VLOOKUP(A1506,Sheet2!B:F,5,FALSE)</f>
        <v>926</v>
      </c>
      <c r="C1506" t="s">
        <v>56</v>
      </c>
      <c r="D1506">
        <f>VLOOKUP(C1506,Sheet2!C:G,5,FALSE)</f>
        <v>1207</v>
      </c>
      <c r="E1506" t="s">
        <v>57</v>
      </c>
      <c r="F1506">
        <f>VLOOKUP(E1506,Sheet2!D:E,2,FALSE)</f>
        <v>200982</v>
      </c>
      <c r="G1506" t="s">
        <v>11</v>
      </c>
      <c r="H1506" t="str">
        <f t="shared" si="46"/>
        <v>NAVERsm1004</v>
      </c>
      <c r="I1506" t="str">
        <f>"sm1004"</f>
        <v>sm1004</v>
      </c>
      <c r="J1506">
        <v>2452210</v>
      </c>
      <c r="K1506" s="1">
        <v>44866</v>
      </c>
      <c r="L1506" t="s">
        <v>1533</v>
      </c>
      <c r="M1506">
        <f t="shared" si="47"/>
        <v>2452210</v>
      </c>
      <c r="N1506" t="e">
        <f>VLOOKUP(H1506,Sheet1!G:H,2,FALSE)</f>
        <v>#N/A</v>
      </c>
      <c r="R1506" t="s">
        <v>3430</v>
      </c>
      <c r="S1506">
        <v>55900</v>
      </c>
    </row>
    <row r="1507" spans="1:19" x14ac:dyDescent="0.3">
      <c r="A1507" t="s">
        <v>8</v>
      </c>
      <c r="B1507">
        <f>VLOOKUP(A1507,Sheet2!B:F,5,FALSE)</f>
        <v>928</v>
      </c>
      <c r="C1507" t="s">
        <v>13</v>
      </c>
      <c r="D1507">
        <f>VLOOKUP(C1507,Sheet2!C:G,5,FALSE)</f>
        <v>1184</v>
      </c>
      <c r="E1507" t="s">
        <v>102</v>
      </c>
      <c r="F1507">
        <f>VLOOKUP(E1507,Sheet2!D:E,2,FALSE)</f>
        <v>917</v>
      </c>
      <c r="G1507" t="s">
        <v>11</v>
      </c>
      <c r="H1507" t="str">
        <f t="shared" si="46"/>
        <v>NAVERsm3379</v>
      </c>
      <c r="I1507" t="str">
        <f>"sm3379"</f>
        <v>sm3379</v>
      </c>
      <c r="J1507">
        <v>109736</v>
      </c>
      <c r="K1507" s="1">
        <v>44866</v>
      </c>
      <c r="L1507" t="s">
        <v>1534</v>
      </c>
      <c r="M1507">
        <f t="shared" si="47"/>
        <v>109783</v>
      </c>
      <c r="N1507" t="e">
        <f>VLOOKUP(H1507,Sheet1!G:H,2,FALSE)</f>
        <v>#N/A</v>
      </c>
      <c r="R1507" t="s">
        <v>3431</v>
      </c>
      <c r="S1507">
        <v>456970</v>
      </c>
    </row>
    <row r="1508" spans="1:19" x14ac:dyDescent="0.3">
      <c r="A1508" t="s">
        <v>16</v>
      </c>
      <c r="B1508">
        <f>VLOOKUP(A1508,Sheet2!B:F,5,FALSE)</f>
        <v>927</v>
      </c>
      <c r="C1508" t="s">
        <v>17</v>
      </c>
      <c r="D1508">
        <f>VLOOKUP(C1508,Sheet2!C:G,5,FALSE)</f>
        <v>1200</v>
      </c>
      <c r="E1508" t="s">
        <v>229</v>
      </c>
      <c r="F1508">
        <f>VLOOKUP(E1508,Sheet2!D:E,2,FALSE)</f>
        <v>560</v>
      </c>
      <c r="G1508" t="s">
        <v>11</v>
      </c>
      <c r="H1508" t="str">
        <f t="shared" si="46"/>
        <v>NAVERsmartkds79</v>
      </c>
      <c r="I1508" t="str">
        <f>"smartkds79"</f>
        <v>smartkds79</v>
      </c>
      <c r="J1508">
        <v>385410</v>
      </c>
      <c r="K1508" s="1">
        <v>44866</v>
      </c>
      <c r="L1508" t="s">
        <v>1535</v>
      </c>
      <c r="M1508" t="e">
        <f t="shared" si="47"/>
        <v>#N/A</v>
      </c>
      <c r="N1508" t="str">
        <f>VLOOKUP(H1508,Sheet1!G:H,2,FALSE)</f>
        <v>내부 담당자 퇴사 이후 광고 운영 협의 원활하지 않으며, 내부 담당자 확실하지 않음</v>
      </c>
      <c r="R1508" t="s">
        <v>3432</v>
      </c>
      <c r="S1508">
        <v>377580</v>
      </c>
    </row>
    <row r="1509" spans="1:19" x14ac:dyDescent="0.3">
      <c r="A1509" t="s">
        <v>16</v>
      </c>
      <c r="B1509">
        <f>VLOOKUP(A1509,Sheet2!B:F,5,FALSE)</f>
        <v>927</v>
      </c>
      <c r="C1509" t="s">
        <v>17</v>
      </c>
      <c r="D1509">
        <f>VLOOKUP(C1509,Sheet2!C:G,5,FALSE)</f>
        <v>1200</v>
      </c>
      <c r="E1509" t="s">
        <v>229</v>
      </c>
      <c r="F1509">
        <f>VLOOKUP(E1509,Sheet2!D:E,2,FALSE)</f>
        <v>560</v>
      </c>
      <c r="G1509" t="s">
        <v>11</v>
      </c>
      <c r="H1509" t="str">
        <f t="shared" si="46"/>
        <v>NAVERsmartmall2:naver</v>
      </c>
      <c r="I1509" t="str">
        <f>"smartmall2:naver"</f>
        <v>smartmall2:naver</v>
      </c>
      <c r="J1509">
        <v>192500</v>
      </c>
      <c r="K1509" s="1">
        <v>44866</v>
      </c>
      <c r="L1509" t="s">
        <v>1536</v>
      </c>
      <c r="M1509">
        <f t="shared" si="47"/>
        <v>232860</v>
      </c>
      <c r="N1509" t="e">
        <f>VLOOKUP(H1509,Sheet1!G:H,2,FALSE)</f>
        <v>#N/A</v>
      </c>
      <c r="R1509" t="s">
        <v>3433</v>
      </c>
      <c r="S1509">
        <v>199310</v>
      </c>
    </row>
    <row r="1510" spans="1:19" x14ac:dyDescent="0.3">
      <c r="A1510" t="s">
        <v>8</v>
      </c>
      <c r="B1510">
        <f>VLOOKUP(A1510,Sheet2!B:F,5,FALSE)</f>
        <v>928</v>
      </c>
      <c r="C1510" t="s">
        <v>13</v>
      </c>
      <c r="D1510">
        <f>VLOOKUP(C1510,Sheet2!C:G,5,FALSE)</f>
        <v>1184</v>
      </c>
      <c r="E1510" t="s">
        <v>51</v>
      </c>
      <c r="F1510">
        <f>VLOOKUP(E1510,Sheet2!D:E,2,FALSE)</f>
        <v>1274</v>
      </c>
      <c r="G1510" t="s">
        <v>11</v>
      </c>
      <c r="H1510" t="str">
        <f t="shared" si="46"/>
        <v>NAVERsmartx</v>
      </c>
      <c r="I1510" t="str">
        <f>"smartx"</f>
        <v>smartx</v>
      </c>
      <c r="J1510">
        <v>17690</v>
      </c>
      <c r="K1510" s="1">
        <v>44866</v>
      </c>
      <c r="L1510" t="s">
        <v>1537</v>
      </c>
      <c r="M1510">
        <f t="shared" si="47"/>
        <v>17690</v>
      </c>
      <c r="N1510" t="e">
        <f>VLOOKUP(H1510,Sheet1!G:H,2,FALSE)</f>
        <v>#N/A</v>
      </c>
      <c r="R1510" t="s">
        <v>3434</v>
      </c>
      <c r="S1510">
        <v>2971640</v>
      </c>
    </row>
    <row r="1511" spans="1:19" x14ac:dyDescent="0.3">
      <c r="A1511" t="s">
        <v>8</v>
      </c>
      <c r="B1511">
        <f>VLOOKUP(A1511,Sheet2!B:F,5,FALSE)</f>
        <v>928</v>
      </c>
      <c r="C1511" t="s">
        <v>13</v>
      </c>
      <c r="D1511">
        <f>VLOOKUP(C1511,Sheet2!C:G,5,FALSE)</f>
        <v>1184</v>
      </c>
      <c r="E1511" t="s">
        <v>59</v>
      </c>
      <c r="F1511">
        <f>VLOOKUP(E1511,Sheet2!D:E,2,FALSE)</f>
        <v>9</v>
      </c>
      <c r="G1511" t="s">
        <v>11</v>
      </c>
      <c r="H1511" t="str">
        <f t="shared" si="46"/>
        <v>NAVERsmile77</v>
      </c>
      <c r="I1511" t="str">
        <f>"smile77"</f>
        <v>smile77</v>
      </c>
      <c r="J1511">
        <v>48270</v>
      </c>
      <c r="K1511" s="1">
        <v>44866</v>
      </c>
      <c r="L1511" t="s">
        <v>1538</v>
      </c>
      <c r="M1511">
        <f t="shared" si="47"/>
        <v>48270</v>
      </c>
      <c r="N1511" t="e">
        <f>VLOOKUP(H1511,Sheet1!G:H,2,FALSE)</f>
        <v>#N/A</v>
      </c>
      <c r="R1511" t="s">
        <v>3435</v>
      </c>
      <c r="S1511">
        <v>452260</v>
      </c>
    </row>
    <row r="1512" spans="1:19" x14ac:dyDescent="0.3">
      <c r="A1512" t="s">
        <v>8</v>
      </c>
      <c r="B1512">
        <f>VLOOKUP(A1512,Sheet2!B:F,5,FALSE)</f>
        <v>928</v>
      </c>
      <c r="C1512" t="s">
        <v>9</v>
      </c>
      <c r="D1512">
        <f>VLOOKUP(C1512,Sheet2!C:G,5,FALSE)</f>
        <v>1202</v>
      </c>
      <c r="E1512" t="s">
        <v>27</v>
      </c>
      <c r="F1512">
        <f>VLOOKUP(E1512,Sheet2!D:E,2,FALSE)</f>
        <v>806</v>
      </c>
      <c r="G1512" t="s">
        <v>11</v>
      </c>
      <c r="H1512" t="str">
        <f t="shared" si="46"/>
        <v>NAVERsmlietable</v>
      </c>
      <c r="I1512" t="str">
        <f>"smlietable"</f>
        <v>smlietable</v>
      </c>
      <c r="J1512">
        <v>940</v>
      </c>
      <c r="K1512" s="1">
        <v>44866</v>
      </c>
      <c r="L1512" t="s">
        <v>1539</v>
      </c>
      <c r="M1512">
        <f t="shared" si="47"/>
        <v>940</v>
      </c>
      <c r="N1512" t="e">
        <f>VLOOKUP(H1512,Sheet1!G:H,2,FALSE)</f>
        <v>#N/A</v>
      </c>
      <c r="R1512" t="s">
        <v>3436</v>
      </c>
      <c r="S1512">
        <v>617260</v>
      </c>
    </row>
    <row r="1513" spans="1:19" x14ac:dyDescent="0.3">
      <c r="A1513" t="s">
        <v>8</v>
      </c>
      <c r="B1513">
        <f>VLOOKUP(A1513,Sheet2!B:F,5,FALSE)</f>
        <v>928</v>
      </c>
      <c r="C1513" t="s">
        <v>9</v>
      </c>
      <c r="D1513">
        <f>VLOOKUP(C1513,Sheet2!C:G,5,FALSE)</f>
        <v>1202</v>
      </c>
      <c r="E1513" t="s">
        <v>104</v>
      </c>
      <c r="F1513">
        <f>VLOOKUP(E1513,Sheet2!D:E,2,FALSE)</f>
        <v>201009</v>
      </c>
      <c r="G1513" t="s">
        <v>11</v>
      </c>
      <c r="H1513" t="str">
        <f t="shared" si="46"/>
        <v>NAVERsmsanjae:naver</v>
      </c>
      <c r="I1513" t="str">
        <f>"smsanjae:naver"</f>
        <v>smsanjae:naver</v>
      </c>
      <c r="J1513">
        <v>13790</v>
      </c>
      <c r="K1513" s="1">
        <v>44866</v>
      </c>
      <c r="L1513" t="s">
        <v>1540</v>
      </c>
      <c r="M1513">
        <f t="shared" si="47"/>
        <v>13790</v>
      </c>
      <c r="N1513" t="e">
        <f>VLOOKUP(H1513,Sheet1!G:H,2,FALSE)</f>
        <v>#N/A</v>
      </c>
      <c r="R1513" t="s">
        <v>3437</v>
      </c>
      <c r="S1513">
        <v>432200</v>
      </c>
    </row>
    <row r="1514" spans="1:19" x14ac:dyDescent="0.3">
      <c r="A1514" t="s">
        <v>8</v>
      </c>
      <c r="B1514">
        <f>VLOOKUP(A1514,Sheet2!B:F,5,FALSE)</f>
        <v>928</v>
      </c>
      <c r="C1514" t="s">
        <v>13</v>
      </c>
      <c r="D1514">
        <f>VLOOKUP(C1514,Sheet2!C:G,5,FALSE)</f>
        <v>1184</v>
      </c>
      <c r="E1514" t="s">
        <v>217</v>
      </c>
      <c r="F1514">
        <f>VLOOKUP(E1514,Sheet2!D:E,2,FALSE)</f>
        <v>201027</v>
      </c>
      <c r="G1514" t="s">
        <v>11</v>
      </c>
      <c r="H1514" t="str">
        <f t="shared" si="46"/>
        <v>NAVERsmsimplehan</v>
      </c>
      <c r="I1514" t="str">
        <f>"smsimplehan"</f>
        <v>smsimplehan</v>
      </c>
      <c r="J1514">
        <v>45750</v>
      </c>
      <c r="K1514" s="1">
        <v>44866</v>
      </c>
      <c r="L1514" t="s">
        <v>1541</v>
      </c>
      <c r="M1514">
        <f t="shared" si="47"/>
        <v>45750</v>
      </c>
      <c r="N1514" t="e">
        <f>VLOOKUP(H1514,Sheet1!G:H,2,FALSE)</f>
        <v>#N/A</v>
      </c>
      <c r="R1514" t="s">
        <v>3438</v>
      </c>
      <c r="S1514">
        <v>31480</v>
      </c>
    </row>
    <row r="1515" spans="1:19" x14ac:dyDescent="0.3">
      <c r="A1515" t="s">
        <v>8</v>
      </c>
      <c r="B1515">
        <f>VLOOKUP(A1515,Sheet2!B:F,5,FALSE)</f>
        <v>928</v>
      </c>
      <c r="C1515" t="s">
        <v>9</v>
      </c>
      <c r="D1515">
        <f>VLOOKUP(C1515,Sheet2!C:G,5,FALSE)</f>
        <v>1202</v>
      </c>
      <c r="E1515" t="s">
        <v>45</v>
      </c>
      <c r="F1515">
        <f>VLOOKUP(E1515,Sheet2!D:E,2,FALSE)</f>
        <v>26</v>
      </c>
      <c r="G1515" t="s">
        <v>11</v>
      </c>
      <c r="H1515" t="str">
        <f t="shared" si="46"/>
        <v>NAVERsmsteel</v>
      </c>
      <c r="I1515" t="str">
        <f>"smsteel"</f>
        <v>smsteel</v>
      </c>
      <c r="J1515">
        <v>660000</v>
      </c>
      <c r="K1515" s="1">
        <v>44866</v>
      </c>
      <c r="L1515" t="s">
        <v>1542</v>
      </c>
      <c r="M1515">
        <f t="shared" si="47"/>
        <v>660000</v>
      </c>
      <c r="N1515" t="e">
        <f>VLOOKUP(H1515,Sheet1!G:H,2,FALSE)</f>
        <v>#N/A</v>
      </c>
      <c r="R1515" t="s">
        <v>3439</v>
      </c>
      <c r="S1515">
        <v>4468620</v>
      </c>
    </row>
    <row r="1516" spans="1:19" x14ac:dyDescent="0.3">
      <c r="A1516" t="s">
        <v>8</v>
      </c>
      <c r="B1516">
        <f>VLOOKUP(A1516,Sheet2!B:F,5,FALSE)</f>
        <v>928</v>
      </c>
      <c r="C1516" t="s">
        <v>9</v>
      </c>
      <c r="D1516">
        <f>VLOOKUP(C1516,Sheet2!C:G,5,FALSE)</f>
        <v>1202</v>
      </c>
      <c r="E1516" t="s">
        <v>45</v>
      </c>
      <c r="F1516">
        <f>VLOOKUP(E1516,Sheet2!D:E,2,FALSE)</f>
        <v>26</v>
      </c>
      <c r="G1516" t="s">
        <v>11</v>
      </c>
      <c r="H1516" t="str">
        <f t="shared" si="46"/>
        <v>NAVERsmu0945</v>
      </c>
      <c r="I1516" t="str">
        <f>"smu0945"</f>
        <v>smu0945</v>
      </c>
      <c r="J1516">
        <v>396380</v>
      </c>
      <c r="K1516" s="1">
        <v>44866</v>
      </c>
      <c r="L1516" t="s">
        <v>1543</v>
      </c>
      <c r="M1516">
        <f t="shared" si="47"/>
        <v>396380</v>
      </c>
      <c r="N1516" t="e">
        <f>VLOOKUP(H1516,Sheet1!G:H,2,FALSE)</f>
        <v>#N/A</v>
      </c>
      <c r="R1516" t="s">
        <v>3440</v>
      </c>
      <c r="S1516">
        <v>4000</v>
      </c>
    </row>
    <row r="1517" spans="1:19" x14ac:dyDescent="0.3">
      <c r="A1517" t="s">
        <v>16</v>
      </c>
      <c r="B1517">
        <f>VLOOKUP(A1517,Sheet2!B:F,5,FALSE)</f>
        <v>927</v>
      </c>
      <c r="C1517" t="s">
        <v>17</v>
      </c>
      <c r="D1517">
        <f>VLOOKUP(C1517,Sheet2!C:G,5,FALSE)</f>
        <v>1200</v>
      </c>
      <c r="E1517" t="s">
        <v>100</v>
      </c>
      <c r="F1517">
        <f>VLOOKUP(E1517,Sheet2!D:E,2,FALSE)</f>
        <v>201038</v>
      </c>
      <c r="G1517" t="s">
        <v>11</v>
      </c>
      <c r="H1517" t="str">
        <f t="shared" si="46"/>
        <v>NAVERsmy1208</v>
      </c>
      <c r="I1517" t="str">
        <f>"smy1208"</f>
        <v>smy1208</v>
      </c>
      <c r="J1517">
        <v>388790</v>
      </c>
      <c r="K1517" s="1">
        <v>44866</v>
      </c>
      <c r="L1517" t="s">
        <v>1544</v>
      </c>
      <c r="M1517">
        <f t="shared" si="47"/>
        <v>388790</v>
      </c>
      <c r="N1517" t="e">
        <f>VLOOKUP(H1517,Sheet1!G:H,2,FALSE)</f>
        <v>#N/A</v>
      </c>
      <c r="R1517" t="s">
        <v>3441</v>
      </c>
      <c r="S1517">
        <v>70</v>
      </c>
    </row>
    <row r="1518" spans="1:19" x14ac:dyDescent="0.3">
      <c r="A1518" t="s">
        <v>8</v>
      </c>
      <c r="B1518">
        <f>VLOOKUP(A1518,Sheet2!B:F,5,FALSE)</f>
        <v>928</v>
      </c>
      <c r="C1518" t="s">
        <v>13</v>
      </c>
      <c r="D1518">
        <f>VLOOKUP(C1518,Sheet2!C:G,5,FALSE)</f>
        <v>1184</v>
      </c>
      <c r="E1518" t="s">
        <v>51</v>
      </c>
      <c r="F1518">
        <f>VLOOKUP(E1518,Sheet2!D:E,2,FALSE)</f>
        <v>1274</v>
      </c>
      <c r="G1518" t="s">
        <v>11</v>
      </c>
      <c r="H1518" t="str">
        <f t="shared" si="46"/>
        <v>NAVERsnapj</v>
      </c>
      <c r="I1518" t="str">
        <f>"snapj"</f>
        <v>snapj</v>
      </c>
      <c r="J1518">
        <v>1470</v>
      </c>
      <c r="K1518" s="1">
        <v>44866</v>
      </c>
      <c r="L1518" t="s">
        <v>1545</v>
      </c>
      <c r="M1518">
        <f t="shared" si="47"/>
        <v>1470</v>
      </c>
      <c r="N1518" t="e">
        <f>VLOOKUP(H1518,Sheet1!G:H,2,FALSE)</f>
        <v>#N/A</v>
      </c>
      <c r="R1518" t="s">
        <v>3442</v>
      </c>
      <c r="S1518">
        <v>8198520</v>
      </c>
    </row>
    <row r="1519" spans="1:19" x14ac:dyDescent="0.3">
      <c r="A1519" t="s">
        <v>8</v>
      </c>
      <c r="B1519">
        <f>VLOOKUP(A1519,Sheet2!B:F,5,FALSE)</f>
        <v>928</v>
      </c>
      <c r="C1519" t="s">
        <v>13</v>
      </c>
      <c r="D1519">
        <f>VLOOKUP(C1519,Sheet2!C:G,5,FALSE)</f>
        <v>1184</v>
      </c>
      <c r="E1519" t="s">
        <v>51</v>
      </c>
      <c r="F1519">
        <f>VLOOKUP(E1519,Sheet2!D:E,2,FALSE)</f>
        <v>1274</v>
      </c>
      <c r="G1519" t="s">
        <v>11</v>
      </c>
      <c r="H1519" t="str">
        <f t="shared" si="46"/>
        <v>NAVERsnidwing21</v>
      </c>
      <c r="I1519" t="str">
        <f>"snidwing21"</f>
        <v>snidwing21</v>
      </c>
      <c r="J1519">
        <v>70</v>
      </c>
      <c r="K1519" s="1">
        <v>44866</v>
      </c>
      <c r="L1519" t="s">
        <v>1546</v>
      </c>
      <c r="M1519">
        <f t="shared" si="47"/>
        <v>70</v>
      </c>
      <c r="N1519" t="e">
        <f>VLOOKUP(H1519,Sheet1!G:H,2,FALSE)</f>
        <v>#N/A</v>
      </c>
      <c r="R1519" t="s">
        <v>3443</v>
      </c>
      <c r="S1519">
        <v>650300</v>
      </c>
    </row>
    <row r="1520" spans="1:19" x14ac:dyDescent="0.3">
      <c r="A1520" t="s">
        <v>8</v>
      </c>
      <c r="B1520">
        <f>VLOOKUP(A1520,Sheet2!B:F,5,FALSE)</f>
        <v>928</v>
      </c>
      <c r="C1520" t="s">
        <v>9</v>
      </c>
      <c r="D1520">
        <f>VLOOKUP(C1520,Sheet2!C:G,5,FALSE)</f>
        <v>1202</v>
      </c>
      <c r="E1520" t="s">
        <v>20</v>
      </c>
      <c r="F1520">
        <f>VLOOKUP(E1520,Sheet2!D:E,2,FALSE)</f>
        <v>938</v>
      </c>
      <c r="G1520" t="s">
        <v>11</v>
      </c>
      <c r="H1520" t="str">
        <f t="shared" si="46"/>
        <v>NAVERsodambath</v>
      </c>
      <c r="I1520" t="str">
        <f>"sodambath"</f>
        <v>sodambath</v>
      </c>
      <c r="J1520">
        <v>172230</v>
      </c>
      <c r="K1520" s="1">
        <v>44866</v>
      </c>
      <c r="L1520" t="s">
        <v>1547</v>
      </c>
      <c r="M1520">
        <f t="shared" si="47"/>
        <v>172230</v>
      </c>
      <c r="N1520" t="e">
        <f>VLOOKUP(H1520,Sheet1!G:H,2,FALSE)</f>
        <v>#N/A</v>
      </c>
      <c r="R1520" t="s">
        <v>3444</v>
      </c>
      <c r="S1520">
        <v>912950</v>
      </c>
    </row>
    <row r="1521" spans="1:19" x14ac:dyDescent="0.3">
      <c r="A1521" t="s">
        <v>41</v>
      </c>
      <c r="B1521">
        <f>VLOOKUP(A1521,Sheet2!B:F,5,FALSE)</f>
        <v>926</v>
      </c>
      <c r="C1521" t="s">
        <v>56</v>
      </c>
      <c r="D1521">
        <f>VLOOKUP(C1521,Sheet2!C:G,5,FALSE)</f>
        <v>1207</v>
      </c>
      <c r="E1521" t="s">
        <v>57</v>
      </c>
      <c r="F1521">
        <f>VLOOKUP(E1521,Sheet2!D:E,2,FALSE)</f>
        <v>200982</v>
      </c>
      <c r="G1521" t="s">
        <v>11</v>
      </c>
      <c r="H1521" t="str">
        <f t="shared" si="46"/>
        <v>NAVERsodamha</v>
      </c>
      <c r="I1521" t="str">
        <f>"sodamha"</f>
        <v>sodamha</v>
      </c>
      <c r="J1521">
        <v>590630</v>
      </c>
      <c r="K1521" s="1">
        <v>44866</v>
      </c>
      <c r="L1521" t="s">
        <v>1548</v>
      </c>
      <c r="M1521">
        <f t="shared" si="47"/>
        <v>590630</v>
      </c>
      <c r="N1521" t="e">
        <f>VLOOKUP(H1521,Sheet1!G:H,2,FALSE)</f>
        <v>#N/A</v>
      </c>
      <c r="R1521" t="s">
        <v>3445</v>
      </c>
      <c r="S1521">
        <v>79900</v>
      </c>
    </row>
    <row r="1522" spans="1:19" x14ac:dyDescent="0.3">
      <c r="A1522" t="s">
        <v>41</v>
      </c>
      <c r="B1522">
        <f>VLOOKUP(A1522,Sheet2!B:F,5,FALSE)</f>
        <v>926</v>
      </c>
      <c r="C1522" t="s">
        <v>56</v>
      </c>
      <c r="D1522">
        <f>VLOOKUP(C1522,Sheet2!C:G,5,FALSE)</f>
        <v>1207</v>
      </c>
      <c r="E1522" t="s">
        <v>57</v>
      </c>
      <c r="F1522">
        <f>VLOOKUP(E1522,Sheet2!D:E,2,FALSE)</f>
        <v>200982</v>
      </c>
      <c r="G1522" t="s">
        <v>11</v>
      </c>
      <c r="H1522" t="str">
        <f t="shared" si="46"/>
        <v>NAVERsoftzion</v>
      </c>
      <c r="I1522" t="str">
        <f>"softzion"</f>
        <v>softzion</v>
      </c>
      <c r="J1522">
        <v>352660</v>
      </c>
      <c r="K1522" s="1">
        <v>44866</v>
      </c>
      <c r="L1522" t="s">
        <v>1549</v>
      </c>
      <c r="M1522">
        <f t="shared" si="47"/>
        <v>352660</v>
      </c>
      <c r="N1522" t="e">
        <f>VLOOKUP(H1522,Sheet1!G:H,2,FALSE)</f>
        <v>#N/A</v>
      </c>
      <c r="R1522" t="s">
        <v>3446</v>
      </c>
      <c r="S1522">
        <v>1008220</v>
      </c>
    </row>
    <row r="1523" spans="1:19" x14ac:dyDescent="0.3">
      <c r="A1523" t="s">
        <v>16</v>
      </c>
      <c r="B1523">
        <f>VLOOKUP(A1523,Sheet2!B:F,5,FALSE)</f>
        <v>927</v>
      </c>
      <c r="C1523" t="s">
        <v>17</v>
      </c>
      <c r="D1523">
        <f>VLOOKUP(C1523,Sheet2!C:G,5,FALSE)</f>
        <v>1200</v>
      </c>
      <c r="E1523" t="s">
        <v>371</v>
      </c>
      <c r="F1523">
        <f>VLOOKUP(E1523,Sheet2!D:E,2,FALSE)</f>
        <v>551</v>
      </c>
      <c r="G1523" t="s">
        <v>11</v>
      </c>
      <c r="H1523" t="str">
        <f t="shared" si="46"/>
        <v>NAVERsolarsun7</v>
      </c>
      <c r="I1523" t="str">
        <f>"solarsun7"</f>
        <v>solarsun7</v>
      </c>
      <c r="J1523">
        <v>6808460</v>
      </c>
      <c r="K1523" s="1">
        <v>44866</v>
      </c>
      <c r="L1523" t="s">
        <v>1550</v>
      </c>
      <c r="M1523">
        <f t="shared" si="47"/>
        <v>6808460</v>
      </c>
      <c r="N1523" t="e">
        <f>VLOOKUP(H1523,Sheet1!G:H,2,FALSE)</f>
        <v>#N/A</v>
      </c>
      <c r="R1523" t="s">
        <v>3447</v>
      </c>
      <c r="S1523">
        <v>697340</v>
      </c>
    </row>
    <row r="1524" spans="1:19" x14ac:dyDescent="0.3">
      <c r="A1524" t="s">
        <v>41</v>
      </c>
      <c r="B1524">
        <f>VLOOKUP(A1524,Sheet2!B:F,5,FALSE)</f>
        <v>926</v>
      </c>
      <c r="C1524" t="s">
        <v>56</v>
      </c>
      <c r="D1524">
        <f>VLOOKUP(C1524,Sheet2!C:G,5,FALSE)</f>
        <v>1207</v>
      </c>
      <c r="E1524" t="s">
        <v>57</v>
      </c>
      <c r="F1524">
        <f>VLOOKUP(E1524,Sheet2!D:E,2,FALSE)</f>
        <v>200982</v>
      </c>
      <c r="G1524" t="s">
        <v>11</v>
      </c>
      <c r="H1524" t="str">
        <f t="shared" si="46"/>
        <v>NAVERsolge</v>
      </c>
      <c r="I1524" t="str">
        <f>"solge"</f>
        <v>solge</v>
      </c>
      <c r="J1524">
        <v>12340</v>
      </c>
      <c r="K1524" s="1">
        <v>44866</v>
      </c>
      <c r="L1524" t="s">
        <v>1551</v>
      </c>
      <c r="M1524">
        <f t="shared" si="47"/>
        <v>12340</v>
      </c>
      <c r="N1524" t="e">
        <f>VLOOKUP(H1524,Sheet1!G:H,2,FALSE)</f>
        <v>#N/A</v>
      </c>
      <c r="R1524" t="s">
        <v>3448</v>
      </c>
      <c r="S1524">
        <v>0</v>
      </c>
    </row>
    <row r="1525" spans="1:19" x14ac:dyDescent="0.3">
      <c r="A1525" t="s">
        <v>8</v>
      </c>
      <c r="B1525">
        <f>VLOOKUP(A1525,Sheet2!B:F,5,FALSE)</f>
        <v>928</v>
      </c>
      <c r="C1525" t="s">
        <v>9</v>
      </c>
      <c r="D1525">
        <f>VLOOKUP(C1525,Sheet2!C:G,5,FALSE)</f>
        <v>1202</v>
      </c>
      <c r="E1525" t="s">
        <v>104</v>
      </c>
      <c r="F1525">
        <f>VLOOKUP(E1525,Sheet2!D:E,2,FALSE)</f>
        <v>201009</v>
      </c>
      <c r="G1525" t="s">
        <v>11</v>
      </c>
      <c r="H1525" t="str">
        <f t="shared" si="46"/>
        <v>NAVERsomang5785</v>
      </c>
      <c r="I1525" t="str">
        <f>"somang5785"</f>
        <v>somang5785</v>
      </c>
      <c r="J1525">
        <v>1968910</v>
      </c>
      <c r="K1525" s="1">
        <v>44866</v>
      </c>
      <c r="L1525" t="s">
        <v>1540</v>
      </c>
      <c r="M1525">
        <f t="shared" si="47"/>
        <v>1968910</v>
      </c>
      <c r="N1525" t="e">
        <f>VLOOKUP(H1525,Sheet1!G:H,2,FALSE)</f>
        <v>#N/A</v>
      </c>
      <c r="R1525" t="s">
        <v>3449</v>
      </c>
      <c r="S1525">
        <v>139380</v>
      </c>
    </row>
    <row r="1526" spans="1:19" x14ac:dyDescent="0.3">
      <c r="A1526" t="s">
        <v>16</v>
      </c>
      <c r="B1526">
        <f>VLOOKUP(A1526,Sheet2!B:F,5,FALSE)</f>
        <v>927</v>
      </c>
      <c r="C1526" t="s">
        <v>17</v>
      </c>
      <c r="D1526">
        <f>VLOOKUP(C1526,Sheet2!C:G,5,FALSE)</f>
        <v>1200</v>
      </c>
      <c r="E1526" t="s">
        <v>66</v>
      </c>
      <c r="F1526">
        <f>VLOOKUP(E1526,Sheet2!D:E,2,FALSE)</f>
        <v>33</v>
      </c>
      <c r="G1526" t="s">
        <v>11</v>
      </c>
      <c r="H1526" t="str">
        <f t="shared" si="46"/>
        <v>NAVERsonchen</v>
      </c>
      <c r="I1526" t="str">
        <f>"sonchen"</f>
        <v>sonchen</v>
      </c>
      <c r="J1526">
        <v>526370</v>
      </c>
      <c r="K1526" s="1">
        <v>44866</v>
      </c>
      <c r="L1526" t="s">
        <v>1552</v>
      </c>
      <c r="M1526">
        <f t="shared" si="47"/>
        <v>526370</v>
      </c>
      <c r="N1526" t="e">
        <f>VLOOKUP(H1526,Sheet1!G:H,2,FALSE)</f>
        <v>#N/A</v>
      </c>
      <c r="R1526" t="s">
        <v>3450</v>
      </c>
      <c r="S1526">
        <v>909100</v>
      </c>
    </row>
    <row r="1527" spans="1:19" x14ac:dyDescent="0.3">
      <c r="A1527" t="s">
        <v>8</v>
      </c>
      <c r="B1527">
        <f>VLOOKUP(A1527,Sheet2!B:F,5,FALSE)</f>
        <v>928</v>
      </c>
      <c r="C1527" t="s">
        <v>9</v>
      </c>
      <c r="D1527">
        <f>VLOOKUP(C1527,Sheet2!C:G,5,FALSE)</f>
        <v>1202</v>
      </c>
      <c r="E1527" t="s">
        <v>10</v>
      </c>
      <c r="F1527">
        <f>VLOOKUP(E1527,Sheet2!D:E,2,FALSE)</f>
        <v>939</v>
      </c>
      <c r="G1527" t="s">
        <v>11</v>
      </c>
      <c r="H1527" t="str">
        <f t="shared" si="46"/>
        <v>NAVERsong767</v>
      </c>
      <c r="I1527" t="str">
        <f>"song767"</f>
        <v>song767</v>
      </c>
      <c r="J1527">
        <v>25880</v>
      </c>
      <c r="K1527" s="1">
        <v>44866</v>
      </c>
      <c r="L1527" t="s">
        <v>1553</v>
      </c>
      <c r="M1527">
        <f t="shared" si="47"/>
        <v>25880</v>
      </c>
      <c r="N1527" t="e">
        <f>VLOOKUP(H1527,Sheet1!G:H,2,FALSE)</f>
        <v>#N/A</v>
      </c>
      <c r="R1527" t="s">
        <v>3451</v>
      </c>
      <c r="S1527">
        <v>73850</v>
      </c>
    </row>
    <row r="1528" spans="1:19" x14ac:dyDescent="0.3">
      <c r="A1528" t="s">
        <v>16</v>
      </c>
      <c r="B1528">
        <f>VLOOKUP(A1528,Sheet2!B:F,5,FALSE)</f>
        <v>927</v>
      </c>
      <c r="C1528" t="s">
        <v>17</v>
      </c>
      <c r="D1528">
        <f>VLOOKUP(C1528,Sheet2!C:G,5,FALSE)</f>
        <v>1200</v>
      </c>
      <c r="E1528" t="s">
        <v>78</v>
      </c>
      <c r="F1528">
        <f>VLOOKUP(E1528,Sheet2!D:E,2,FALSE)</f>
        <v>57</v>
      </c>
      <c r="G1528" t="s">
        <v>11</v>
      </c>
      <c r="H1528" t="str">
        <f t="shared" si="46"/>
        <v>NAVERsongpastel</v>
      </c>
      <c r="I1528" t="str">
        <f>"songpastel"</f>
        <v>songpastel</v>
      </c>
      <c r="J1528">
        <v>1423030</v>
      </c>
      <c r="K1528" s="1">
        <v>44866</v>
      </c>
      <c r="L1528" t="s">
        <v>1554</v>
      </c>
      <c r="M1528">
        <f t="shared" si="47"/>
        <v>1423030</v>
      </c>
      <c r="N1528" t="e">
        <f>VLOOKUP(H1528,Sheet1!G:H,2,FALSE)</f>
        <v>#N/A</v>
      </c>
      <c r="R1528" t="s">
        <v>3452</v>
      </c>
      <c r="S1528">
        <v>81190</v>
      </c>
    </row>
    <row r="1529" spans="1:19" x14ac:dyDescent="0.3">
      <c r="A1529" t="s">
        <v>41</v>
      </c>
      <c r="B1529">
        <f>VLOOKUP(A1529,Sheet2!B:F,5,FALSE)</f>
        <v>926</v>
      </c>
      <c r="C1529" t="s">
        <v>56</v>
      </c>
      <c r="D1529">
        <f>VLOOKUP(C1529,Sheet2!C:G,5,FALSE)</f>
        <v>1207</v>
      </c>
      <c r="E1529" t="s">
        <v>156</v>
      </c>
      <c r="F1529">
        <f>VLOOKUP(E1529,Sheet2!D:E,2,FALSE)</f>
        <v>201103</v>
      </c>
      <c r="G1529" t="s">
        <v>11</v>
      </c>
      <c r="H1529" t="str">
        <f t="shared" si="46"/>
        <v>NAVERsono_play</v>
      </c>
      <c r="I1529" t="str">
        <f>"sono_play"</f>
        <v>sono_play</v>
      </c>
      <c r="J1529">
        <v>35120</v>
      </c>
      <c r="K1529" s="1">
        <v>44866</v>
      </c>
      <c r="L1529" t="s">
        <v>1555</v>
      </c>
      <c r="M1529">
        <f t="shared" si="47"/>
        <v>35120</v>
      </c>
      <c r="N1529" t="e">
        <f>VLOOKUP(H1529,Sheet1!G:H,2,FALSE)</f>
        <v>#N/A</v>
      </c>
      <c r="R1529" t="s">
        <v>3453</v>
      </c>
      <c r="S1529">
        <v>0</v>
      </c>
    </row>
    <row r="1530" spans="1:19" x14ac:dyDescent="0.3">
      <c r="A1530" t="s">
        <v>8</v>
      </c>
      <c r="B1530">
        <f>VLOOKUP(A1530,Sheet2!B:F,5,FALSE)</f>
        <v>928</v>
      </c>
      <c r="C1530" t="s">
        <v>13</v>
      </c>
      <c r="D1530">
        <f>VLOOKUP(C1530,Sheet2!C:G,5,FALSE)</f>
        <v>1184</v>
      </c>
      <c r="E1530" t="s">
        <v>59</v>
      </c>
      <c r="F1530">
        <f>VLOOKUP(E1530,Sheet2!D:E,2,FALSE)</f>
        <v>9</v>
      </c>
      <c r="G1530" t="s">
        <v>11</v>
      </c>
      <c r="H1530" t="str">
        <f t="shared" si="46"/>
        <v>NAVERsoodtal</v>
      </c>
      <c r="I1530" t="str">
        <f>"soodtal"</f>
        <v>soodtal</v>
      </c>
      <c r="J1530">
        <v>2180</v>
      </c>
      <c r="K1530" s="1">
        <v>44866</v>
      </c>
      <c r="L1530" t="s">
        <v>1556</v>
      </c>
      <c r="M1530">
        <f t="shared" si="47"/>
        <v>2180</v>
      </c>
      <c r="N1530" t="e">
        <f>VLOOKUP(H1530,Sheet1!G:H,2,FALSE)</f>
        <v>#N/A</v>
      </c>
      <c r="R1530" t="s">
        <v>3454</v>
      </c>
      <c r="S1530">
        <v>1753120</v>
      </c>
    </row>
    <row r="1531" spans="1:19" x14ac:dyDescent="0.3">
      <c r="A1531" t="s">
        <v>16</v>
      </c>
      <c r="B1531">
        <f>VLOOKUP(A1531,Sheet2!B:F,5,FALSE)</f>
        <v>927</v>
      </c>
      <c r="C1531" t="s">
        <v>17</v>
      </c>
      <c r="D1531">
        <f>VLOOKUP(C1531,Sheet2!C:G,5,FALSE)</f>
        <v>1200</v>
      </c>
      <c r="E1531" t="s">
        <v>66</v>
      </c>
      <c r="F1531">
        <f>VLOOKUP(E1531,Sheet2!D:E,2,FALSE)</f>
        <v>33</v>
      </c>
      <c r="G1531" t="s">
        <v>11</v>
      </c>
      <c r="H1531" t="str">
        <f t="shared" si="46"/>
        <v>NAVERsopumclassic</v>
      </c>
      <c r="I1531" t="str">
        <f>"sopumclassic"</f>
        <v>sopumclassic</v>
      </c>
      <c r="J1531">
        <v>436610</v>
      </c>
      <c r="K1531" s="1">
        <v>44866</v>
      </c>
      <c r="L1531" t="s">
        <v>1557</v>
      </c>
      <c r="M1531">
        <f t="shared" si="47"/>
        <v>436610</v>
      </c>
      <c r="N1531" t="e">
        <f>VLOOKUP(H1531,Sheet1!G:H,2,FALSE)</f>
        <v>#N/A</v>
      </c>
      <c r="R1531" t="s">
        <v>3455</v>
      </c>
      <c r="S1531">
        <v>0</v>
      </c>
    </row>
    <row r="1532" spans="1:19" x14ac:dyDescent="0.3">
      <c r="A1532" t="s">
        <v>8</v>
      </c>
      <c r="B1532">
        <f>VLOOKUP(A1532,Sheet2!B:F,5,FALSE)</f>
        <v>928</v>
      </c>
      <c r="C1532" t="s">
        <v>9</v>
      </c>
      <c r="D1532">
        <f>VLOOKUP(C1532,Sheet2!C:G,5,FALSE)</f>
        <v>1202</v>
      </c>
      <c r="E1532" t="s">
        <v>27</v>
      </c>
      <c r="F1532">
        <f>VLOOKUP(E1532,Sheet2!D:E,2,FALSE)</f>
        <v>806</v>
      </c>
      <c r="G1532" t="s">
        <v>11</v>
      </c>
      <c r="H1532" t="str">
        <f t="shared" si="46"/>
        <v>NAVERsos1326</v>
      </c>
      <c r="I1532" t="str">
        <f>"sos1326"</f>
        <v>sos1326</v>
      </c>
      <c r="J1532">
        <v>206050</v>
      </c>
      <c r="K1532" s="1">
        <v>44866</v>
      </c>
      <c r="L1532" t="s">
        <v>1558</v>
      </c>
      <c r="M1532" t="e">
        <f t="shared" si="47"/>
        <v>#N/A</v>
      </c>
      <c r="N1532" t="str">
        <f>VLOOKUP(H1532,Sheet1!G:H,2,FALSE)</f>
        <v>광고비 과소진으로 인해 권한을 광고주가 삭제하였고
관련 요청시 피이관 될것이 확실하여 연락할수 없음</v>
      </c>
      <c r="R1532" t="s">
        <v>3456</v>
      </c>
      <c r="S1532">
        <v>172700</v>
      </c>
    </row>
    <row r="1533" spans="1:19" x14ac:dyDescent="0.3">
      <c r="A1533" t="s">
        <v>8</v>
      </c>
      <c r="B1533">
        <f>VLOOKUP(A1533,Sheet2!B:F,5,FALSE)</f>
        <v>928</v>
      </c>
      <c r="C1533" t="s">
        <v>9</v>
      </c>
      <c r="D1533">
        <f>VLOOKUP(C1533,Sheet2!C:G,5,FALSE)</f>
        <v>1202</v>
      </c>
      <c r="E1533" t="s">
        <v>45</v>
      </c>
      <c r="F1533">
        <f>VLOOKUP(E1533,Sheet2!D:E,2,FALSE)</f>
        <v>26</v>
      </c>
      <c r="G1533" t="s">
        <v>11</v>
      </c>
      <c r="H1533" t="str">
        <f t="shared" si="46"/>
        <v>NAVERsp159:naver</v>
      </c>
      <c r="I1533" t="str">
        <f>"sp159:naver"</f>
        <v>sp159:naver</v>
      </c>
      <c r="J1533">
        <v>2579180</v>
      </c>
      <c r="K1533" s="1">
        <v>44866</v>
      </c>
      <c r="L1533" t="s">
        <v>1559</v>
      </c>
      <c r="M1533">
        <f t="shared" si="47"/>
        <v>2579180</v>
      </c>
      <c r="N1533" t="e">
        <f>VLOOKUP(H1533,Sheet1!G:H,2,FALSE)</f>
        <v>#N/A</v>
      </c>
      <c r="R1533" t="s">
        <v>3457</v>
      </c>
      <c r="S1533">
        <v>2226490</v>
      </c>
    </row>
    <row r="1534" spans="1:19" x14ac:dyDescent="0.3">
      <c r="A1534" t="s">
        <v>8</v>
      </c>
      <c r="B1534">
        <f>VLOOKUP(A1534,Sheet2!B:F,5,FALSE)</f>
        <v>928</v>
      </c>
      <c r="C1534" t="s">
        <v>13</v>
      </c>
      <c r="D1534">
        <f>VLOOKUP(C1534,Sheet2!C:G,5,FALSE)</f>
        <v>1184</v>
      </c>
      <c r="E1534" t="s">
        <v>115</v>
      </c>
      <c r="F1534">
        <f>VLOOKUP(E1534,Sheet2!D:E,2,FALSE)</f>
        <v>1548</v>
      </c>
      <c r="G1534" t="s">
        <v>11</v>
      </c>
      <c r="H1534" t="str">
        <f t="shared" si="46"/>
        <v>NAVERspc3114</v>
      </c>
      <c r="I1534" t="str">
        <f>"spc3114"</f>
        <v>spc3114</v>
      </c>
      <c r="J1534">
        <v>303010</v>
      </c>
      <c r="K1534" s="1">
        <v>44866</v>
      </c>
      <c r="L1534" t="s">
        <v>1560</v>
      </c>
      <c r="M1534">
        <f t="shared" si="47"/>
        <v>303010</v>
      </c>
      <c r="N1534" t="e">
        <f>VLOOKUP(H1534,Sheet1!G:H,2,FALSE)</f>
        <v>#N/A</v>
      </c>
      <c r="R1534" t="s">
        <v>3458</v>
      </c>
      <c r="S1534">
        <v>100240</v>
      </c>
    </row>
    <row r="1535" spans="1:19" x14ac:dyDescent="0.3">
      <c r="A1535" t="s">
        <v>41</v>
      </c>
      <c r="B1535">
        <f>VLOOKUP(A1535,Sheet2!B:F,5,FALSE)</f>
        <v>926</v>
      </c>
      <c r="C1535" t="s">
        <v>56</v>
      </c>
      <c r="D1535">
        <f>VLOOKUP(C1535,Sheet2!C:G,5,FALSE)</f>
        <v>1207</v>
      </c>
      <c r="E1535" t="s">
        <v>57</v>
      </c>
      <c r="F1535">
        <f>VLOOKUP(E1535,Sheet2!D:E,2,FALSE)</f>
        <v>200982</v>
      </c>
      <c r="G1535" t="s">
        <v>11</v>
      </c>
      <c r="H1535" t="str">
        <f t="shared" si="46"/>
        <v>NAVERspdoor2019</v>
      </c>
      <c r="I1535" t="str">
        <f>"spdoor2019"</f>
        <v>spdoor2019</v>
      </c>
      <c r="J1535">
        <v>31170</v>
      </c>
      <c r="K1535" s="1">
        <v>44866</v>
      </c>
      <c r="L1535" t="s">
        <v>1561</v>
      </c>
      <c r="M1535">
        <f t="shared" si="47"/>
        <v>31170</v>
      </c>
      <c r="N1535" t="e">
        <f>VLOOKUP(H1535,Sheet1!G:H,2,FALSE)</f>
        <v>#N/A</v>
      </c>
      <c r="R1535" t="s">
        <v>3459</v>
      </c>
      <c r="S1535">
        <v>441890</v>
      </c>
    </row>
    <row r="1536" spans="1:19" x14ac:dyDescent="0.3">
      <c r="A1536" t="s">
        <v>8</v>
      </c>
      <c r="B1536">
        <f>VLOOKUP(A1536,Sheet2!B:F,5,FALSE)</f>
        <v>928</v>
      </c>
      <c r="C1536" t="s">
        <v>9</v>
      </c>
      <c r="D1536">
        <f>VLOOKUP(C1536,Sheet2!C:G,5,FALSE)</f>
        <v>1202</v>
      </c>
      <c r="E1536" t="s">
        <v>220</v>
      </c>
      <c r="F1536">
        <f>VLOOKUP(E1536,Sheet2!D:E,2,FALSE)</f>
        <v>1211</v>
      </c>
      <c r="G1536" t="s">
        <v>11</v>
      </c>
      <c r="H1536" t="str">
        <f t="shared" si="46"/>
        <v>NAVERspeedsokgi</v>
      </c>
      <c r="I1536" t="str">
        <f>"speedsokgi"</f>
        <v>speedsokgi</v>
      </c>
      <c r="J1536">
        <v>113240</v>
      </c>
      <c r="K1536" s="1">
        <v>44866</v>
      </c>
      <c r="L1536" t="s">
        <v>1562</v>
      </c>
      <c r="M1536">
        <f t="shared" si="47"/>
        <v>113240</v>
      </c>
      <c r="N1536" t="e">
        <f>VLOOKUP(H1536,Sheet1!G:H,2,FALSE)</f>
        <v>#N/A</v>
      </c>
      <c r="R1536" t="s">
        <v>3460</v>
      </c>
      <c r="S1536">
        <v>3210</v>
      </c>
    </row>
    <row r="1537" spans="1:19" x14ac:dyDescent="0.3">
      <c r="A1537" t="s">
        <v>16</v>
      </c>
      <c r="B1537">
        <f>VLOOKUP(A1537,Sheet2!B:F,5,FALSE)</f>
        <v>927</v>
      </c>
      <c r="C1537" t="s">
        <v>17</v>
      </c>
      <c r="D1537">
        <f>VLOOKUP(C1537,Sheet2!C:G,5,FALSE)</f>
        <v>1200</v>
      </c>
      <c r="E1537" t="s">
        <v>100</v>
      </c>
      <c r="F1537">
        <f>VLOOKUP(E1537,Sheet2!D:E,2,FALSE)</f>
        <v>201038</v>
      </c>
      <c r="G1537" t="s">
        <v>11</v>
      </c>
      <c r="H1537" t="str">
        <f t="shared" si="46"/>
        <v>NAVERspfresh:naver</v>
      </c>
      <c r="I1537" t="str">
        <f>"spfresh:naver"</f>
        <v>spfresh:naver</v>
      </c>
      <c r="J1537">
        <v>83540</v>
      </c>
      <c r="K1537" s="1">
        <v>44866</v>
      </c>
      <c r="L1537" t="s">
        <v>1563</v>
      </c>
      <c r="M1537">
        <f t="shared" si="47"/>
        <v>83540</v>
      </c>
      <c r="N1537" t="e">
        <f>VLOOKUP(H1537,Sheet1!G:H,2,FALSE)</f>
        <v>#N/A</v>
      </c>
      <c r="R1537" t="s">
        <v>3461</v>
      </c>
      <c r="S1537">
        <v>65790</v>
      </c>
    </row>
    <row r="1538" spans="1:19" x14ac:dyDescent="0.3">
      <c r="A1538" t="s">
        <v>8</v>
      </c>
      <c r="B1538">
        <f>VLOOKUP(A1538,Sheet2!B:F,5,FALSE)</f>
        <v>928</v>
      </c>
      <c r="C1538" t="s">
        <v>13</v>
      </c>
      <c r="D1538">
        <f>VLOOKUP(C1538,Sheet2!C:G,5,FALSE)</f>
        <v>1184</v>
      </c>
      <c r="E1538" t="s">
        <v>14</v>
      </c>
      <c r="F1538">
        <f>VLOOKUP(E1538,Sheet2!D:E,2,FALSE)</f>
        <v>914</v>
      </c>
      <c r="G1538" t="s">
        <v>11</v>
      </c>
      <c r="H1538" t="str">
        <f t="shared" si="46"/>
        <v>NAVERspoon100</v>
      </c>
      <c r="I1538" t="str">
        <f>"spoon100"</f>
        <v>spoon100</v>
      </c>
      <c r="J1538">
        <v>61460</v>
      </c>
      <c r="K1538" s="1">
        <v>44866</v>
      </c>
      <c r="L1538" t="s">
        <v>1564</v>
      </c>
      <c r="M1538">
        <f t="shared" si="47"/>
        <v>61460</v>
      </c>
      <c r="N1538" t="e">
        <f>VLOOKUP(H1538,Sheet1!G:H,2,FALSE)</f>
        <v>#N/A</v>
      </c>
      <c r="R1538" t="s">
        <v>3462</v>
      </c>
      <c r="S1538">
        <v>1018980</v>
      </c>
    </row>
    <row r="1539" spans="1:19" x14ac:dyDescent="0.3">
      <c r="A1539" t="s">
        <v>8</v>
      </c>
      <c r="B1539">
        <f>VLOOKUP(A1539,Sheet2!B:F,5,FALSE)</f>
        <v>928</v>
      </c>
      <c r="C1539" t="s">
        <v>13</v>
      </c>
      <c r="D1539">
        <f>VLOOKUP(C1539,Sheet2!C:G,5,FALSE)</f>
        <v>1184</v>
      </c>
      <c r="E1539" t="s">
        <v>59</v>
      </c>
      <c r="F1539">
        <f>VLOOKUP(E1539,Sheet2!D:E,2,FALSE)</f>
        <v>9</v>
      </c>
      <c r="G1539" t="s">
        <v>11</v>
      </c>
      <c r="H1539" t="str">
        <f t="shared" ref="H1539:H1602" si="48">CONCATENATE(G1539,I1539)</f>
        <v>NAVERsrtt</v>
      </c>
      <c r="I1539" t="str">
        <f>"srtt"</f>
        <v>srtt</v>
      </c>
      <c r="J1539">
        <v>1280</v>
      </c>
      <c r="K1539" s="1">
        <v>44866</v>
      </c>
      <c r="L1539" t="s">
        <v>1565</v>
      </c>
      <c r="M1539">
        <f t="shared" ref="M1539:M1602" si="49">VLOOKUP(H1539,R:S,2,FALSE)</f>
        <v>1280</v>
      </c>
      <c r="N1539" t="e">
        <f>VLOOKUP(H1539,Sheet1!G:H,2,FALSE)</f>
        <v>#N/A</v>
      </c>
      <c r="R1539" t="s">
        <v>3463</v>
      </c>
      <c r="S1539">
        <v>3792000</v>
      </c>
    </row>
    <row r="1540" spans="1:19" x14ac:dyDescent="0.3">
      <c r="A1540" t="s">
        <v>8</v>
      </c>
      <c r="B1540">
        <f>VLOOKUP(A1540,Sheet2!B:F,5,FALSE)</f>
        <v>928</v>
      </c>
      <c r="C1540" t="s">
        <v>9</v>
      </c>
      <c r="D1540">
        <f>VLOOKUP(C1540,Sheet2!C:G,5,FALSE)</f>
        <v>1202</v>
      </c>
      <c r="E1540" t="s">
        <v>110</v>
      </c>
      <c r="F1540">
        <f>VLOOKUP(E1540,Sheet2!D:E,2,FALSE)</f>
        <v>929</v>
      </c>
      <c r="G1540" t="s">
        <v>11</v>
      </c>
      <c r="H1540" t="str">
        <f t="shared" si="48"/>
        <v>NAVERss13711</v>
      </c>
      <c r="I1540" t="str">
        <f>"ss13711"</f>
        <v>ss13711</v>
      </c>
      <c r="J1540">
        <v>637620</v>
      </c>
      <c r="K1540" s="1">
        <v>44866</v>
      </c>
      <c r="L1540" t="s">
        <v>1566</v>
      </c>
      <c r="M1540">
        <f t="shared" si="49"/>
        <v>637620</v>
      </c>
      <c r="N1540" t="e">
        <f>VLOOKUP(H1540,Sheet1!G:H,2,FALSE)</f>
        <v>#N/A</v>
      </c>
      <c r="R1540" t="s">
        <v>3464</v>
      </c>
      <c r="S1540">
        <v>1260</v>
      </c>
    </row>
    <row r="1541" spans="1:19" x14ac:dyDescent="0.3">
      <c r="A1541" t="s">
        <v>41</v>
      </c>
      <c r="B1541">
        <f>VLOOKUP(A1541,Sheet2!B:F,5,FALSE)</f>
        <v>926</v>
      </c>
      <c r="C1541" t="s">
        <v>56</v>
      </c>
      <c r="D1541">
        <f>VLOOKUP(C1541,Sheet2!C:G,5,FALSE)</f>
        <v>1207</v>
      </c>
      <c r="E1541" t="s">
        <v>57</v>
      </c>
      <c r="F1541">
        <f>VLOOKUP(E1541,Sheet2!D:E,2,FALSE)</f>
        <v>200982</v>
      </c>
      <c r="G1541" t="s">
        <v>11</v>
      </c>
      <c r="H1541" t="str">
        <f t="shared" si="48"/>
        <v>NAVERsseo9363</v>
      </c>
      <c r="I1541" t="str">
        <f>"sseo9363"</f>
        <v>sseo9363</v>
      </c>
      <c r="J1541">
        <v>150360</v>
      </c>
      <c r="K1541" s="1">
        <v>44866</v>
      </c>
      <c r="L1541" t="s">
        <v>1567</v>
      </c>
      <c r="M1541">
        <f t="shared" si="49"/>
        <v>150360</v>
      </c>
      <c r="N1541" t="e">
        <f>VLOOKUP(H1541,Sheet1!G:H,2,FALSE)</f>
        <v>#N/A</v>
      </c>
      <c r="R1541" t="s">
        <v>3465</v>
      </c>
      <c r="S1541">
        <v>390750</v>
      </c>
    </row>
    <row r="1542" spans="1:19" x14ac:dyDescent="0.3">
      <c r="A1542" t="s">
        <v>16</v>
      </c>
      <c r="B1542">
        <f>VLOOKUP(A1542,Sheet2!B:F,5,FALSE)</f>
        <v>927</v>
      </c>
      <c r="C1542" t="s">
        <v>17</v>
      </c>
      <c r="D1542">
        <f>VLOOKUP(C1542,Sheet2!C:G,5,FALSE)</f>
        <v>1200</v>
      </c>
      <c r="E1542" t="s">
        <v>371</v>
      </c>
      <c r="F1542">
        <f>VLOOKUP(E1542,Sheet2!D:E,2,FALSE)</f>
        <v>551</v>
      </c>
      <c r="G1542" t="s">
        <v>11</v>
      </c>
      <c r="H1542" t="str">
        <f t="shared" si="48"/>
        <v>NAVERssjg12</v>
      </c>
      <c r="I1542" t="str">
        <f>"ssjg12"</f>
        <v>ssjg12</v>
      </c>
      <c r="J1542">
        <v>140770</v>
      </c>
      <c r="K1542" s="1">
        <v>44866</v>
      </c>
      <c r="L1542" t="s">
        <v>1568</v>
      </c>
      <c r="M1542">
        <f t="shared" si="49"/>
        <v>140770</v>
      </c>
      <c r="N1542" t="e">
        <f>VLOOKUP(H1542,Sheet1!G:H,2,FALSE)</f>
        <v>#N/A</v>
      </c>
      <c r="R1542" t="s">
        <v>3466</v>
      </c>
      <c r="S1542">
        <v>522780</v>
      </c>
    </row>
    <row r="1543" spans="1:19" x14ac:dyDescent="0.3">
      <c r="A1543" t="s">
        <v>22</v>
      </c>
      <c r="B1543">
        <f>VLOOKUP(A1543,Sheet2!B:F,5,FALSE)</f>
        <v>809</v>
      </c>
      <c r="C1543" t="s">
        <v>23</v>
      </c>
      <c r="D1543">
        <f>VLOOKUP(C1543,Sheet2!C:G,5,FALSE)</f>
        <v>810</v>
      </c>
      <c r="E1543" t="s">
        <v>106</v>
      </c>
      <c r="F1543">
        <f>VLOOKUP(E1543,Sheet2!D:E,2,FALSE)</f>
        <v>1349</v>
      </c>
      <c r="G1543" t="s">
        <v>11</v>
      </c>
      <c r="H1543" t="str">
        <f t="shared" si="48"/>
        <v>NAVERsskorea772</v>
      </c>
      <c r="I1543" t="str">
        <f>"sskorea772"</f>
        <v>sskorea772</v>
      </c>
      <c r="J1543">
        <v>10736910</v>
      </c>
      <c r="K1543" s="1">
        <v>44866</v>
      </c>
      <c r="L1543" t="s">
        <v>1569</v>
      </c>
      <c r="M1543">
        <f t="shared" si="49"/>
        <v>10736910</v>
      </c>
      <c r="N1543" t="e">
        <f>VLOOKUP(H1543,Sheet1!G:H,2,FALSE)</f>
        <v>#N/A</v>
      </c>
      <c r="R1543" t="s">
        <v>3467</v>
      </c>
      <c r="S1543">
        <v>22993</v>
      </c>
    </row>
    <row r="1544" spans="1:19" x14ac:dyDescent="0.3">
      <c r="A1544" t="s">
        <v>16</v>
      </c>
      <c r="B1544">
        <f>VLOOKUP(A1544,Sheet2!B:F,5,FALSE)</f>
        <v>927</v>
      </c>
      <c r="C1544" t="s">
        <v>1570</v>
      </c>
      <c r="D1544">
        <f>VLOOKUP(C1544,Sheet2!C:G,5,FALSE)</f>
        <v>965</v>
      </c>
      <c r="E1544" t="s">
        <v>1571</v>
      </c>
      <c r="F1544">
        <f>VLOOKUP(E1544,Sheet2!D:E,2,FALSE)</f>
        <v>201061</v>
      </c>
      <c r="G1544" t="s">
        <v>11</v>
      </c>
      <c r="H1544" t="str">
        <f t="shared" si="48"/>
        <v>NAVERssonic2021</v>
      </c>
      <c r="I1544" t="str">
        <f>"ssonic2021"</f>
        <v>ssonic2021</v>
      </c>
      <c r="J1544">
        <v>1544751</v>
      </c>
      <c r="K1544" s="1">
        <v>44866</v>
      </c>
      <c r="L1544" t="s">
        <v>1572</v>
      </c>
      <c r="M1544">
        <f t="shared" si="49"/>
        <v>1094760</v>
      </c>
      <c r="N1544" t="e">
        <f>VLOOKUP(H1544,Sheet1!G:H,2,FALSE)</f>
        <v>#N/A</v>
      </c>
      <c r="R1544" t="s">
        <v>3468</v>
      </c>
      <c r="S1544">
        <v>87800</v>
      </c>
    </row>
    <row r="1545" spans="1:19" x14ac:dyDescent="0.3">
      <c r="A1545" t="s">
        <v>8</v>
      </c>
      <c r="B1545">
        <f>VLOOKUP(A1545,Sheet2!B:F,5,FALSE)</f>
        <v>928</v>
      </c>
      <c r="C1545" t="s">
        <v>9</v>
      </c>
      <c r="D1545">
        <f>VLOOKUP(C1545,Sheet2!C:G,5,FALSE)</f>
        <v>1202</v>
      </c>
      <c r="E1545" t="s">
        <v>35</v>
      </c>
      <c r="F1545">
        <f>VLOOKUP(E1545,Sheet2!D:E,2,FALSE)</f>
        <v>51</v>
      </c>
      <c r="G1545" t="s">
        <v>11</v>
      </c>
      <c r="H1545" t="str">
        <f t="shared" si="48"/>
        <v>NAVERsss3909</v>
      </c>
      <c r="I1545" t="str">
        <f>"sss3909"</f>
        <v>sss3909</v>
      </c>
      <c r="J1545">
        <v>29040</v>
      </c>
      <c r="K1545" s="1">
        <v>44866</v>
      </c>
      <c r="L1545" t="s">
        <v>1573</v>
      </c>
      <c r="M1545">
        <f t="shared" si="49"/>
        <v>29040</v>
      </c>
      <c r="N1545" t="e">
        <f>VLOOKUP(H1545,Sheet1!G:H,2,FALSE)</f>
        <v>#N/A</v>
      </c>
      <c r="R1545" t="s">
        <v>3469</v>
      </c>
      <c r="S1545">
        <v>53700</v>
      </c>
    </row>
    <row r="1546" spans="1:19" x14ac:dyDescent="0.3">
      <c r="A1546" t="s">
        <v>8</v>
      </c>
      <c r="B1546">
        <f>VLOOKUP(A1546,Sheet2!B:F,5,FALSE)</f>
        <v>928</v>
      </c>
      <c r="C1546" t="s">
        <v>9</v>
      </c>
      <c r="D1546">
        <f>VLOOKUP(C1546,Sheet2!C:G,5,FALSE)</f>
        <v>1202</v>
      </c>
      <c r="E1546" t="s">
        <v>35</v>
      </c>
      <c r="F1546">
        <f>VLOOKUP(E1546,Sheet2!D:E,2,FALSE)</f>
        <v>51</v>
      </c>
      <c r="G1546" t="s">
        <v>11</v>
      </c>
      <c r="H1546" t="str">
        <f t="shared" si="48"/>
        <v>NAVERssss1962</v>
      </c>
      <c r="I1546" t="str">
        <f>"ssss1962"</f>
        <v>ssss1962</v>
      </c>
      <c r="J1546">
        <v>55200</v>
      </c>
      <c r="K1546" s="1">
        <v>44866</v>
      </c>
      <c r="L1546" t="s">
        <v>1574</v>
      </c>
      <c r="M1546">
        <f t="shared" si="49"/>
        <v>830</v>
      </c>
      <c r="N1546" t="e">
        <f>VLOOKUP(H1546,Sheet1!G:H,2,FALSE)</f>
        <v>#N/A</v>
      </c>
      <c r="R1546" t="s">
        <v>3470</v>
      </c>
      <c r="S1546">
        <v>0</v>
      </c>
    </row>
    <row r="1547" spans="1:19" x14ac:dyDescent="0.3">
      <c r="A1547" t="s">
        <v>8</v>
      </c>
      <c r="B1547">
        <f>VLOOKUP(A1547,Sheet2!B:F,5,FALSE)</f>
        <v>928</v>
      </c>
      <c r="C1547" t="s">
        <v>9</v>
      </c>
      <c r="D1547">
        <f>VLOOKUP(C1547,Sheet2!C:G,5,FALSE)</f>
        <v>1202</v>
      </c>
      <c r="E1547" t="s">
        <v>27</v>
      </c>
      <c r="F1547">
        <f>VLOOKUP(E1547,Sheet2!D:E,2,FALSE)</f>
        <v>806</v>
      </c>
      <c r="G1547" t="s">
        <v>11</v>
      </c>
      <c r="H1547" t="str">
        <f t="shared" si="48"/>
        <v>NAVERssy9933:naver</v>
      </c>
      <c r="I1547" t="str">
        <f>"ssy9933:naver"</f>
        <v>ssy9933:naver</v>
      </c>
      <c r="J1547">
        <v>638420</v>
      </c>
      <c r="K1547" s="1">
        <v>44866</v>
      </c>
      <c r="L1547" t="s">
        <v>1575</v>
      </c>
      <c r="M1547">
        <f t="shared" si="49"/>
        <v>638420</v>
      </c>
      <c r="N1547" t="e">
        <f>VLOOKUP(H1547,Sheet1!G:H,2,FALSE)</f>
        <v>#N/A</v>
      </c>
      <c r="R1547" t="s">
        <v>3471</v>
      </c>
      <c r="S1547">
        <v>1460020</v>
      </c>
    </row>
    <row r="1548" spans="1:19" x14ac:dyDescent="0.3">
      <c r="A1548" t="s">
        <v>8</v>
      </c>
      <c r="B1548">
        <f>VLOOKUP(A1548,Sheet2!B:F,5,FALSE)</f>
        <v>928</v>
      </c>
      <c r="C1548" t="s">
        <v>9</v>
      </c>
      <c r="D1548">
        <f>VLOOKUP(C1548,Sheet2!C:G,5,FALSE)</f>
        <v>1202</v>
      </c>
      <c r="E1548" t="s">
        <v>31</v>
      </c>
      <c r="F1548">
        <f>VLOOKUP(E1548,Sheet2!D:E,2,FALSE)</f>
        <v>1040</v>
      </c>
      <c r="G1548" t="s">
        <v>11</v>
      </c>
      <c r="H1548" t="str">
        <f t="shared" si="48"/>
        <v>NAVERstage9456</v>
      </c>
      <c r="I1548" t="str">
        <f>"stage9456"</f>
        <v>stage9456</v>
      </c>
      <c r="J1548">
        <v>17100</v>
      </c>
      <c r="K1548" s="1">
        <v>44866</v>
      </c>
      <c r="L1548" t="s">
        <v>1576</v>
      </c>
      <c r="M1548">
        <f t="shared" si="49"/>
        <v>17100</v>
      </c>
      <c r="N1548" t="e">
        <f>VLOOKUP(H1548,Sheet1!G:H,2,FALSE)</f>
        <v>#N/A</v>
      </c>
      <c r="R1548" t="s">
        <v>3472</v>
      </c>
      <c r="S1548">
        <v>13400</v>
      </c>
    </row>
    <row r="1549" spans="1:19" x14ac:dyDescent="0.3">
      <c r="A1549" t="s">
        <v>8</v>
      </c>
      <c r="B1549">
        <f>VLOOKUP(A1549,Sheet2!B:F,5,FALSE)</f>
        <v>928</v>
      </c>
      <c r="C1549" t="s">
        <v>167</v>
      </c>
      <c r="D1549">
        <f>VLOOKUP(C1549,Sheet2!C:G,5,FALSE)</f>
        <v>935</v>
      </c>
      <c r="E1549" t="s">
        <v>168</v>
      </c>
      <c r="F1549">
        <f>VLOOKUP(E1549,Sheet2!D:E,2,FALSE)</f>
        <v>2</v>
      </c>
      <c r="G1549" t="s">
        <v>11</v>
      </c>
      <c r="H1549" t="str">
        <f t="shared" si="48"/>
        <v>NAVERstartone_office:naver</v>
      </c>
      <c r="I1549" t="str">
        <f>"startone_office:naver"</f>
        <v>startone_office:naver</v>
      </c>
      <c r="J1549">
        <v>2400100</v>
      </c>
      <c r="K1549" s="1">
        <v>44866</v>
      </c>
      <c r="L1549" t="s">
        <v>1577</v>
      </c>
      <c r="M1549">
        <f t="shared" si="49"/>
        <v>2400100</v>
      </c>
      <c r="N1549" t="e">
        <f>VLOOKUP(H1549,Sheet1!G:H,2,FALSE)</f>
        <v>#N/A</v>
      </c>
      <c r="R1549" t="s">
        <v>3473</v>
      </c>
      <c r="S1549">
        <v>123070</v>
      </c>
    </row>
    <row r="1550" spans="1:19" x14ac:dyDescent="0.3">
      <c r="A1550" t="s">
        <v>16</v>
      </c>
      <c r="B1550">
        <f>VLOOKUP(A1550,Sheet2!B:F,5,FALSE)</f>
        <v>927</v>
      </c>
      <c r="C1550" t="s">
        <v>17</v>
      </c>
      <c r="D1550">
        <f>VLOOKUP(C1550,Sheet2!C:G,5,FALSE)</f>
        <v>1200</v>
      </c>
      <c r="E1550" t="s">
        <v>446</v>
      </c>
      <c r="F1550">
        <f>VLOOKUP(E1550,Sheet2!D:E,2,FALSE)</f>
        <v>566</v>
      </c>
      <c r="G1550" t="s">
        <v>11</v>
      </c>
      <c r="H1550" t="str">
        <f t="shared" si="48"/>
        <v>NAVERstcommerce1:naver</v>
      </c>
      <c r="I1550" t="str">
        <f>"stcommerce1:naver"</f>
        <v>stcommerce1:naver</v>
      </c>
      <c r="J1550">
        <v>2974160</v>
      </c>
      <c r="K1550" s="1">
        <v>44866</v>
      </c>
      <c r="L1550" t="s">
        <v>1578</v>
      </c>
      <c r="M1550">
        <f t="shared" si="49"/>
        <v>2986530</v>
      </c>
      <c r="N1550" t="e">
        <f>VLOOKUP(H1550,Sheet1!G:H,2,FALSE)</f>
        <v>#N/A</v>
      </c>
      <c r="R1550" t="s">
        <v>3474</v>
      </c>
      <c r="S1550">
        <v>420</v>
      </c>
    </row>
    <row r="1551" spans="1:19" x14ac:dyDescent="0.3">
      <c r="A1551" t="s">
        <v>8</v>
      </c>
      <c r="B1551">
        <f>VLOOKUP(A1551,Sheet2!B:F,5,FALSE)</f>
        <v>928</v>
      </c>
      <c r="C1551" t="s">
        <v>9</v>
      </c>
      <c r="D1551">
        <f>VLOOKUP(C1551,Sheet2!C:G,5,FALSE)</f>
        <v>1202</v>
      </c>
      <c r="E1551" t="s">
        <v>20</v>
      </c>
      <c r="F1551">
        <f>VLOOKUP(E1551,Sheet2!D:E,2,FALSE)</f>
        <v>938</v>
      </c>
      <c r="G1551" t="s">
        <v>11</v>
      </c>
      <c r="H1551" t="str">
        <f t="shared" si="48"/>
        <v>NAVERsteeeve1018:naver</v>
      </c>
      <c r="I1551" t="str">
        <f>"steeeve1018:naver"</f>
        <v>steeeve1018:naver</v>
      </c>
      <c r="J1551">
        <v>19477</v>
      </c>
      <c r="K1551" s="1">
        <v>44866</v>
      </c>
      <c r="L1551" t="s">
        <v>1579</v>
      </c>
      <c r="M1551">
        <f t="shared" si="49"/>
        <v>19524</v>
      </c>
      <c r="N1551" t="e">
        <f>VLOOKUP(H1551,Sheet1!G:H,2,FALSE)</f>
        <v>#N/A</v>
      </c>
      <c r="R1551" t="s">
        <v>3475</v>
      </c>
      <c r="S1551">
        <v>127160</v>
      </c>
    </row>
    <row r="1552" spans="1:19" x14ac:dyDescent="0.3">
      <c r="A1552" t="s">
        <v>8</v>
      </c>
      <c r="B1552">
        <f>VLOOKUP(A1552,Sheet2!B:F,5,FALSE)</f>
        <v>928</v>
      </c>
      <c r="C1552" t="s">
        <v>9</v>
      </c>
      <c r="D1552">
        <f>VLOOKUP(C1552,Sheet2!C:G,5,FALSE)</f>
        <v>1202</v>
      </c>
      <c r="E1552" t="s">
        <v>45</v>
      </c>
      <c r="F1552">
        <f>VLOOKUP(E1552,Sheet2!D:E,2,FALSE)</f>
        <v>26</v>
      </c>
      <c r="G1552" t="s">
        <v>11</v>
      </c>
      <c r="H1552" t="str">
        <f t="shared" si="48"/>
        <v>NAVERstherapy7</v>
      </c>
      <c r="I1552" t="str">
        <f>"stherapy7"</f>
        <v>stherapy7</v>
      </c>
      <c r="J1552">
        <v>27690</v>
      </c>
      <c r="K1552" s="1">
        <v>44866</v>
      </c>
      <c r="L1552" t="s">
        <v>1580</v>
      </c>
      <c r="M1552">
        <f t="shared" si="49"/>
        <v>1790</v>
      </c>
      <c r="N1552" t="e">
        <f>VLOOKUP(H1552,Sheet1!G:H,2,FALSE)</f>
        <v>#N/A</v>
      </c>
      <c r="R1552" t="s">
        <v>3476</v>
      </c>
      <c r="S1552">
        <v>56590</v>
      </c>
    </row>
    <row r="1553" spans="1:19" x14ac:dyDescent="0.3">
      <c r="A1553" t="s">
        <v>8</v>
      </c>
      <c r="B1553">
        <f>VLOOKUP(A1553,Sheet2!B:F,5,FALSE)</f>
        <v>928</v>
      </c>
      <c r="C1553" t="s">
        <v>9</v>
      </c>
      <c r="D1553">
        <f>VLOOKUP(C1553,Sheet2!C:G,5,FALSE)</f>
        <v>1202</v>
      </c>
      <c r="E1553" t="s">
        <v>47</v>
      </c>
      <c r="F1553">
        <f>VLOOKUP(E1553,Sheet2!D:E,2,FALSE)</f>
        <v>898</v>
      </c>
      <c r="G1553" t="s">
        <v>11</v>
      </c>
      <c r="H1553" t="str">
        <f t="shared" si="48"/>
        <v>NAVERstnong</v>
      </c>
      <c r="I1553" t="str">
        <f>"stnong"</f>
        <v>stnong</v>
      </c>
      <c r="J1553">
        <v>90130</v>
      </c>
      <c r="K1553" s="1">
        <v>44866</v>
      </c>
      <c r="L1553" t="s">
        <v>1581</v>
      </c>
      <c r="M1553">
        <f t="shared" si="49"/>
        <v>90130</v>
      </c>
      <c r="N1553" t="e">
        <f>VLOOKUP(H1553,Sheet1!G:H,2,FALSE)</f>
        <v>#N/A</v>
      </c>
      <c r="R1553" t="s">
        <v>3477</v>
      </c>
      <c r="S1553">
        <v>93100</v>
      </c>
    </row>
    <row r="1554" spans="1:19" x14ac:dyDescent="0.3">
      <c r="A1554" t="s">
        <v>41</v>
      </c>
      <c r="B1554">
        <f>VLOOKUP(A1554,Sheet2!B:F,5,FALSE)</f>
        <v>926</v>
      </c>
      <c r="C1554" t="s">
        <v>56</v>
      </c>
      <c r="D1554">
        <f>VLOOKUP(C1554,Sheet2!C:G,5,FALSE)</f>
        <v>1207</v>
      </c>
      <c r="E1554" t="s">
        <v>253</v>
      </c>
      <c r="F1554">
        <f>VLOOKUP(E1554,Sheet2!D:E,2,FALSE)</f>
        <v>1328</v>
      </c>
      <c r="G1554" t="s">
        <v>11</v>
      </c>
      <c r="H1554" t="str">
        <f t="shared" si="48"/>
        <v>NAVERstonebank</v>
      </c>
      <c r="I1554" t="str">
        <f>"stonebank"</f>
        <v>stonebank</v>
      </c>
      <c r="J1554">
        <v>34710</v>
      </c>
      <c r="K1554" s="1">
        <v>44866</v>
      </c>
      <c r="L1554" t="s">
        <v>1582</v>
      </c>
      <c r="M1554" t="e">
        <f t="shared" si="49"/>
        <v>#N/A</v>
      </c>
      <c r="N1554" t="str">
        <f>VLOOKUP(H1554,Sheet1!G:H,2,FALSE)</f>
        <v>직접운영으로 변경원하여 마케터 권한 삭제</v>
      </c>
      <c r="R1554" t="s">
        <v>3478</v>
      </c>
      <c r="S1554">
        <v>1071660</v>
      </c>
    </row>
    <row r="1555" spans="1:19" x14ac:dyDescent="0.3">
      <c r="A1555" t="s">
        <v>8</v>
      </c>
      <c r="B1555">
        <f>VLOOKUP(A1555,Sheet2!B:F,5,FALSE)</f>
        <v>928</v>
      </c>
      <c r="C1555" t="s">
        <v>9</v>
      </c>
      <c r="D1555">
        <f>VLOOKUP(C1555,Sheet2!C:G,5,FALSE)</f>
        <v>1202</v>
      </c>
      <c r="E1555" t="s">
        <v>75</v>
      </c>
      <c r="F1555">
        <f>VLOOKUP(E1555,Sheet2!D:E,2,FALSE)</f>
        <v>50</v>
      </c>
      <c r="G1555" t="s">
        <v>11</v>
      </c>
      <c r="H1555" t="str">
        <f t="shared" si="48"/>
        <v>NAVERsts1030:naver</v>
      </c>
      <c r="I1555" t="str">
        <f>"sts1030:naver"</f>
        <v>sts1030:naver</v>
      </c>
      <c r="J1555">
        <v>1962940</v>
      </c>
      <c r="K1555" s="1">
        <v>44866</v>
      </c>
      <c r="L1555" t="s">
        <v>1583</v>
      </c>
      <c r="M1555">
        <f t="shared" si="49"/>
        <v>1968450</v>
      </c>
      <c r="N1555" t="e">
        <f>VLOOKUP(H1555,Sheet1!G:H,2,FALSE)</f>
        <v>#N/A</v>
      </c>
      <c r="R1555" t="s">
        <v>3479</v>
      </c>
      <c r="S1555">
        <v>934880</v>
      </c>
    </row>
    <row r="1556" spans="1:19" x14ac:dyDescent="0.3">
      <c r="A1556" t="s">
        <v>41</v>
      </c>
      <c r="B1556">
        <f>VLOOKUP(A1556,Sheet2!B:F,5,FALSE)</f>
        <v>926</v>
      </c>
      <c r="C1556" t="s">
        <v>42</v>
      </c>
      <c r="D1556">
        <f>VLOOKUP(C1556,Sheet2!C:G,5,FALSE)</f>
        <v>964</v>
      </c>
      <c r="E1556" t="s">
        <v>43</v>
      </c>
      <c r="F1556">
        <f>VLOOKUP(E1556,Sheet2!D:E,2,FALSE)</f>
        <v>200998</v>
      </c>
      <c r="G1556" t="s">
        <v>11</v>
      </c>
      <c r="H1556" t="str">
        <f t="shared" si="48"/>
        <v>NAVERstudytass</v>
      </c>
      <c r="I1556" t="str">
        <f>"studytass"</f>
        <v>studytass</v>
      </c>
      <c r="J1556">
        <v>8870</v>
      </c>
      <c r="K1556" s="1">
        <v>44866</v>
      </c>
      <c r="L1556" t="s">
        <v>1584</v>
      </c>
      <c r="M1556">
        <f t="shared" si="49"/>
        <v>8870</v>
      </c>
      <c r="N1556" t="e">
        <f>VLOOKUP(H1556,Sheet1!G:H,2,FALSE)</f>
        <v>#N/A</v>
      </c>
      <c r="R1556" t="s">
        <v>3480</v>
      </c>
      <c r="S1556">
        <v>1427890</v>
      </c>
    </row>
    <row r="1557" spans="1:19" x14ac:dyDescent="0.3">
      <c r="A1557" t="s">
        <v>41</v>
      </c>
      <c r="B1557">
        <f>VLOOKUP(A1557,Sheet2!B:F,5,FALSE)</f>
        <v>926</v>
      </c>
      <c r="C1557" t="s">
        <v>56</v>
      </c>
      <c r="D1557">
        <f>VLOOKUP(C1557,Sheet2!C:G,5,FALSE)</f>
        <v>1207</v>
      </c>
      <c r="E1557" t="s">
        <v>253</v>
      </c>
      <c r="F1557">
        <f>VLOOKUP(E1557,Sheet2!D:E,2,FALSE)</f>
        <v>1328</v>
      </c>
      <c r="G1557" t="s">
        <v>11</v>
      </c>
      <c r="H1557" t="str">
        <f t="shared" si="48"/>
        <v>NAVERsuaviss0980</v>
      </c>
      <c r="I1557" t="str">
        <f>"suaviss0980"</f>
        <v>suaviss0980</v>
      </c>
      <c r="J1557">
        <v>2177460</v>
      </c>
      <c r="K1557" s="1">
        <v>44866</v>
      </c>
      <c r="L1557" t="s">
        <v>1585</v>
      </c>
      <c r="M1557">
        <f t="shared" si="49"/>
        <v>2155520</v>
      </c>
      <c r="N1557" t="e">
        <f>VLOOKUP(H1557,Sheet1!G:H,2,FALSE)</f>
        <v>#N/A</v>
      </c>
      <c r="R1557" t="s">
        <v>3481</v>
      </c>
      <c r="S1557">
        <v>780</v>
      </c>
    </row>
    <row r="1558" spans="1:19" x14ac:dyDescent="0.3">
      <c r="A1558" t="s">
        <v>41</v>
      </c>
      <c r="B1558">
        <f>VLOOKUP(A1558,Sheet2!B:F,5,FALSE)</f>
        <v>926</v>
      </c>
      <c r="C1558" t="s">
        <v>42</v>
      </c>
      <c r="D1558">
        <f>VLOOKUP(C1558,Sheet2!C:G,5,FALSE)</f>
        <v>964</v>
      </c>
      <c r="E1558" t="s">
        <v>43</v>
      </c>
      <c r="F1558">
        <f>VLOOKUP(E1558,Sheet2!D:E,2,FALSE)</f>
        <v>200998</v>
      </c>
      <c r="G1558" t="s">
        <v>11</v>
      </c>
      <c r="H1558" t="str">
        <f t="shared" si="48"/>
        <v>NAVERsugar8553</v>
      </c>
      <c r="I1558" t="str">
        <f>"sugar8553"</f>
        <v>sugar8553</v>
      </c>
      <c r="J1558">
        <v>310</v>
      </c>
      <c r="K1558" s="1">
        <v>44866</v>
      </c>
      <c r="L1558" t="s">
        <v>1586</v>
      </c>
      <c r="M1558">
        <f t="shared" si="49"/>
        <v>310</v>
      </c>
      <c r="N1558" t="e">
        <f>VLOOKUP(H1558,Sheet1!G:H,2,FALSE)</f>
        <v>#N/A</v>
      </c>
      <c r="R1558" t="s">
        <v>3482</v>
      </c>
      <c r="S1558">
        <v>1570390</v>
      </c>
    </row>
    <row r="1559" spans="1:19" x14ac:dyDescent="0.3">
      <c r="A1559" t="s">
        <v>8</v>
      </c>
      <c r="B1559">
        <f>VLOOKUP(A1559,Sheet2!B:F,5,FALSE)</f>
        <v>928</v>
      </c>
      <c r="C1559" t="s">
        <v>9</v>
      </c>
      <c r="D1559">
        <f>VLOOKUP(C1559,Sheet2!C:G,5,FALSE)</f>
        <v>1202</v>
      </c>
      <c r="E1559" t="s">
        <v>39</v>
      </c>
      <c r="F1559">
        <f>VLOOKUP(E1559,Sheet2!D:E,2,FALSE)</f>
        <v>25</v>
      </c>
      <c r="G1559" t="s">
        <v>11</v>
      </c>
      <c r="H1559" t="str">
        <f t="shared" si="48"/>
        <v>NAVERsullyn</v>
      </c>
      <c r="I1559" t="str">
        <f>"sullyn"</f>
        <v>sullyn</v>
      </c>
      <c r="J1559">
        <v>557261</v>
      </c>
      <c r="K1559" s="1">
        <v>44866</v>
      </c>
      <c r="L1559" t="s">
        <v>1587</v>
      </c>
      <c r="M1559">
        <f t="shared" si="49"/>
        <v>107270</v>
      </c>
      <c r="N1559" t="e">
        <f>VLOOKUP(H1559,Sheet1!G:H,2,FALSE)</f>
        <v>#N/A</v>
      </c>
      <c r="R1559" t="s">
        <v>3483</v>
      </c>
      <c r="S1559">
        <v>233940</v>
      </c>
    </row>
    <row r="1560" spans="1:19" x14ac:dyDescent="0.3">
      <c r="A1560" t="s">
        <v>8</v>
      </c>
      <c r="B1560">
        <f>VLOOKUP(A1560,Sheet2!B:F,5,FALSE)</f>
        <v>928</v>
      </c>
      <c r="C1560" t="s">
        <v>13</v>
      </c>
      <c r="D1560">
        <f>VLOOKUP(C1560,Sheet2!C:G,5,FALSE)</f>
        <v>1184</v>
      </c>
      <c r="E1560" t="s">
        <v>59</v>
      </c>
      <c r="F1560">
        <f>VLOOKUP(E1560,Sheet2!D:E,2,FALSE)</f>
        <v>9</v>
      </c>
      <c r="G1560" t="s">
        <v>11</v>
      </c>
      <c r="H1560" t="str">
        <f t="shared" si="48"/>
        <v>NAVERsung43</v>
      </c>
      <c r="I1560" t="str">
        <f>"sung43"</f>
        <v>sung43</v>
      </c>
      <c r="J1560">
        <v>60710</v>
      </c>
      <c r="K1560" s="1">
        <v>44866</v>
      </c>
      <c r="L1560" t="s">
        <v>1588</v>
      </c>
      <c r="M1560">
        <f t="shared" si="49"/>
        <v>60710</v>
      </c>
      <c r="N1560" t="e">
        <f>VLOOKUP(H1560,Sheet1!G:H,2,FALSE)</f>
        <v>#N/A</v>
      </c>
      <c r="R1560" t="s">
        <v>3484</v>
      </c>
      <c r="S1560">
        <v>265540</v>
      </c>
    </row>
    <row r="1561" spans="1:19" x14ac:dyDescent="0.3">
      <c r="A1561" t="s">
        <v>8</v>
      </c>
      <c r="B1561">
        <f>VLOOKUP(A1561,Sheet2!B:F,5,FALSE)</f>
        <v>928</v>
      </c>
      <c r="C1561" t="s">
        <v>13</v>
      </c>
      <c r="D1561">
        <f>VLOOKUP(C1561,Sheet2!C:G,5,FALSE)</f>
        <v>1184</v>
      </c>
      <c r="E1561" t="s">
        <v>59</v>
      </c>
      <c r="F1561">
        <f>VLOOKUP(E1561,Sheet2!D:E,2,FALSE)</f>
        <v>9</v>
      </c>
      <c r="G1561" t="s">
        <v>11</v>
      </c>
      <c r="H1561" t="str">
        <f t="shared" si="48"/>
        <v>NAVERsungeun1014</v>
      </c>
      <c r="I1561" t="str">
        <f>"sungeun1014"</f>
        <v>sungeun1014</v>
      </c>
      <c r="J1561">
        <v>100</v>
      </c>
      <c r="K1561" s="1">
        <v>44866</v>
      </c>
      <c r="L1561" t="s">
        <v>1589</v>
      </c>
      <c r="M1561">
        <f t="shared" si="49"/>
        <v>100</v>
      </c>
      <c r="N1561" t="e">
        <f>VLOOKUP(H1561,Sheet1!G:H,2,FALSE)</f>
        <v>#N/A</v>
      </c>
      <c r="R1561" t="s">
        <v>3485</v>
      </c>
      <c r="S1561">
        <v>1907590</v>
      </c>
    </row>
    <row r="1562" spans="1:19" x14ac:dyDescent="0.3">
      <c r="A1562" t="s">
        <v>41</v>
      </c>
      <c r="B1562">
        <f>VLOOKUP(A1562,Sheet2!B:F,5,FALSE)</f>
        <v>926</v>
      </c>
      <c r="C1562" t="s">
        <v>56</v>
      </c>
      <c r="D1562">
        <f>VLOOKUP(C1562,Sheet2!C:G,5,FALSE)</f>
        <v>1207</v>
      </c>
      <c r="E1562" t="s">
        <v>62</v>
      </c>
      <c r="F1562">
        <f>VLOOKUP(E1562,Sheet2!D:E,2,FALSE)</f>
        <v>201037</v>
      </c>
      <c r="G1562" t="s">
        <v>11</v>
      </c>
      <c r="H1562" t="str">
        <f t="shared" si="48"/>
        <v>NAVERsunghwa1511:naver</v>
      </c>
      <c r="I1562" t="str">
        <f>"sunghwa1511:naver"</f>
        <v>sunghwa1511:naver</v>
      </c>
      <c r="J1562">
        <v>480050</v>
      </c>
      <c r="K1562" s="1">
        <v>44866</v>
      </c>
      <c r="L1562" t="s">
        <v>1590</v>
      </c>
      <c r="M1562">
        <f t="shared" si="49"/>
        <v>480050</v>
      </c>
      <c r="N1562" t="e">
        <f>VLOOKUP(H1562,Sheet1!G:H,2,FALSE)</f>
        <v>#N/A</v>
      </c>
      <c r="R1562" t="s">
        <v>3486</v>
      </c>
      <c r="S1562">
        <v>89570</v>
      </c>
    </row>
    <row r="1563" spans="1:19" x14ac:dyDescent="0.3">
      <c r="A1563" t="s">
        <v>8</v>
      </c>
      <c r="B1563">
        <f>VLOOKUP(A1563,Sheet2!B:F,5,FALSE)</f>
        <v>928</v>
      </c>
      <c r="C1563" t="s">
        <v>13</v>
      </c>
      <c r="D1563">
        <f>VLOOKUP(C1563,Sheet2!C:G,5,FALSE)</f>
        <v>1184</v>
      </c>
      <c r="E1563" t="s">
        <v>59</v>
      </c>
      <c r="F1563">
        <f>VLOOKUP(E1563,Sheet2!D:E,2,FALSE)</f>
        <v>9</v>
      </c>
      <c r="G1563" t="s">
        <v>11</v>
      </c>
      <c r="H1563" t="str">
        <f t="shared" si="48"/>
        <v>NAVERsungjink</v>
      </c>
      <c r="I1563" t="str">
        <f>"sungjink"</f>
        <v>sungjink</v>
      </c>
      <c r="J1563">
        <v>8820</v>
      </c>
      <c r="K1563" s="1">
        <v>44866</v>
      </c>
      <c r="L1563" t="s">
        <v>1591</v>
      </c>
      <c r="M1563">
        <f t="shared" si="49"/>
        <v>8820</v>
      </c>
      <c r="N1563" t="e">
        <f>VLOOKUP(H1563,Sheet1!G:H,2,FALSE)</f>
        <v>#N/A</v>
      </c>
      <c r="R1563" t="s">
        <v>3487</v>
      </c>
      <c r="S1563">
        <v>3437390</v>
      </c>
    </row>
    <row r="1564" spans="1:19" x14ac:dyDescent="0.3">
      <c r="A1564" t="s">
        <v>8</v>
      </c>
      <c r="B1564">
        <f>VLOOKUP(A1564,Sheet2!B:F,5,FALSE)</f>
        <v>928</v>
      </c>
      <c r="C1564" t="s">
        <v>13</v>
      </c>
      <c r="D1564">
        <f>VLOOKUP(C1564,Sheet2!C:G,5,FALSE)</f>
        <v>1184</v>
      </c>
      <c r="E1564" t="s">
        <v>115</v>
      </c>
      <c r="F1564">
        <f>VLOOKUP(E1564,Sheet2!D:E,2,FALSE)</f>
        <v>1548</v>
      </c>
      <c r="G1564" t="s">
        <v>11</v>
      </c>
      <c r="H1564" t="str">
        <f t="shared" si="48"/>
        <v>NAVERsungok0903</v>
      </c>
      <c r="I1564" t="str">
        <f>"sungok0903"</f>
        <v>sungok0903</v>
      </c>
      <c r="J1564">
        <v>612970</v>
      </c>
      <c r="K1564" s="1">
        <v>44866</v>
      </c>
      <c r="L1564" t="s">
        <v>1592</v>
      </c>
      <c r="M1564">
        <f t="shared" si="49"/>
        <v>612970</v>
      </c>
      <c r="N1564" t="e">
        <f>VLOOKUP(H1564,Sheet1!G:H,2,FALSE)</f>
        <v>#N/A</v>
      </c>
      <c r="R1564" t="s">
        <v>3488</v>
      </c>
      <c r="S1564">
        <v>9420</v>
      </c>
    </row>
    <row r="1565" spans="1:19" x14ac:dyDescent="0.3">
      <c r="A1565" t="s">
        <v>8</v>
      </c>
      <c r="B1565">
        <f>VLOOKUP(A1565,Sheet2!B:F,5,FALSE)</f>
        <v>928</v>
      </c>
      <c r="C1565" t="s">
        <v>9</v>
      </c>
      <c r="D1565">
        <f>VLOOKUP(C1565,Sheet2!C:G,5,FALSE)</f>
        <v>1202</v>
      </c>
      <c r="E1565" t="s">
        <v>27</v>
      </c>
      <c r="F1565">
        <f>VLOOKUP(E1565,Sheet2!D:E,2,FALSE)</f>
        <v>806</v>
      </c>
      <c r="G1565" t="s">
        <v>11</v>
      </c>
      <c r="H1565" t="str">
        <f t="shared" si="48"/>
        <v>NAVERsunjinstt</v>
      </c>
      <c r="I1565" t="str">
        <f>"sunjinstt"</f>
        <v>sunjinstt</v>
      </c>
      <c r="J1565">
        <v>161010</v>
      </c>
      <c r="K1565" s="1">
        <v>44866</v>
      </c>
      <c r="L1565" t="s">
        <v>1593</v>
      </c>
      <c r="M1565">
        <f t="shared" si="49"/>
        <v>161010</v>
      </c>
      <c r="N1565" t="e">
        <f>VLOOKUP(H1565,Sheet1!G:H,2,FALSE)</f>
        <v>#N/A</v>
      </c>
      <c r="R1565" t="s">
        <v>3489</v>
      </c>
      <c r="S1565">
        <v>1975730</v>
      </c>
    </row>
    <row r="1566" spans="1:19" x14ac:dyDescent="0.3">
      <c r="A1566" t="s">
        <v>8</v>
      </c>
      <c r="B1566">
        <f>VLOOKUP(A1566,Sheet2!B:F,5,FALSE)</f>
        <v>928</v>
      </c>
      <c r="C1566" t="s">
        <v>13</v>
      </c>
      <c r="D1566">
        <f>VLOOKUP(C1566,Sheet2!C:G,5,FALSE)</f>
        <v>1184</v>
      </c>
      <c r="E1566" t="s">
        <v>59</v>
      </c>
      <c r="F1566">
        <f>VLOOKUP(E1566,Sheet2!D:E,2,FALSE)</f>
        <v>9</v>
      </c>
      <c r="G1566" t="s">
        <v>11</v>
      </c>
      <c r="H1566" t="str">
        <f t="shared" si="48"/>
        <v>NAVERsunobgy</v>
      </c>
      <c r="I1566" t="str">
        <f>"sunobgy"</f>
        <v>sunobgy</v>
      </c>
      <c r="J1566">
        <v>17580</v>
      </c>
      <c r="K1566" s="1">
        <v>44866</v>
      </c>
      <c r="L1566" t="s">
        <v>1594</v>
      </c>
      <c r="M1566">
        <f t="shared" si="49"/>
        <v>17580</v>
      </c>
      <c r="N1566" t="e">
        <f>VLOOKUP(H1566,Sheet1!G:H,2,FALSE)</f>
        <v>#N/A</v>
      </c>
      <c r="R1566" t="s">
        <v>3490</v>
      </c>
      <c r="S1566">
        <v>1124010</v>
      </c>
    </row>
    <row r="1567" spans="1:19" x14ac:dyDescent="0.3">
      <c r="A1567" t="s">
        <v>8</v>
      </c>
      <c r="B1567">
        <f>VLOOKUP(A1567,Sheet2!B:F,5,FALSE)</f>
        <v>928</v>
      </c>
      <c r="C1567" t="s">
        <v>9</v>
      </c>
      <c r="D1567">
        <f>VLOOKUP(C1567,Sheet2!C:G,5,FALSE)</f>
        <v>1202</v>
      </c>
      <c r="E1567" t="s">
        <v>37</v>
      </c>
      <c r="F1567">
        <f>VLOOKUP(E1567,Sheet2!D:E,2,FALSE)</f>
        <v>81</v>
      </c>
      <c r="G1567" t="s">
        <v>11</v>
      </c>
      <c r="H1567" t="str">
        <f t="shared" si="48"/>
        <v>NAVERsuntongsin</v>
      </c>
      <c r="I1567" t="str">
        <f>"suntongsin"</f>
        <v>suntongsin</v>
      </c>
      <c r="J1567">
        <v>392650</v>
      </c>
      <c r="K1567" s="1">
        <v>44866</v>
      </c>
      <c r="L1567" t="s">
        <v>1595</v>
      </c>
      <c r="M1567">
        <f t="shared" si="49"/>
        <v>392650</v>
      </c>
      <c r="N1567" t="e">
        <f>VLOOKUP(H1567,Sheet1!G:H,2,FALSE)</f>
        <v>#N/A</v>
      </c>
      <c r="R1567" t="s">
        <v>3491</v>
      </c>
      <c r="S1567">
        <v>842690</v>
      </c>
    </row>
    <row r="1568" spans="1:19" x14ac:dyDescent="0.3">
      <c r="A1568" t="s">
        <v>8</v>
      </c>
      <c r="B1568">
        <f>VLOOKUP(A1568,Sheet2!B:F,5,FALSE)</f>
        <v>928</v>
      </c>
      <c r="C1568" t="s">
        <v>9</v>
      </c>
      <c r="D1568">
        <f>VLOOKUP(C1568,Sheet2!C:G,5,FALSE)</f>
        <v>1202</v>
      </c>
      <c r="E1568" t="s">
        <v>31</v>
      </c>
      <c r="F1568">
        <f>VLOOKUP(E1568,Sheet2!D:E,2,FALSE)</f>
        <v>1040</v>
      </c>
      <c r="G1568" t="s">
        <v>11</v>
      </c>
      <c r="H1568" t="str">
        <f t="shared" si="48"/>
        <v>NAVERsunwinder</v>
      </c>
      <c r="I1568" t="str">
        <f>"sunwinder"</f>
        <v>sunwinder</v>
      </c>
      <c r="J1568">
        <v>409360</v>
      </c>
      <c r="K1568" s="1">
        <v>44866</v>
      </c>
      <c r="L1568" t="s">
        <v>1596</v>
      </c>
      <c r="M1568">
        <f t="shared" si="49"/>
        <v>409360</v>
      </c>
      <c r="N1568" t="e">
        <f>VLOOKUP(H1568,Sheet1!G:H,2,FALSE)</f>
        <v>#N/A</v>
      </c>
      <c r="R1568" t="s">
        <v>3492</v>
      </c>
      <c r="S1568">
        <v>92823860</v>
      </c>
    </row>
    <row r="1569" spans="1:19" x14ac:dyDescent="0.3">
      <c r="A1569" t="s">
        <v>8</v>
      </c>
      <c r="B1569">
        <f>VLOOKUP(A1569,Sheet2!B:F,5,FALSE)</f>
        <v>928</v>
      </c>
      <c r="C1569" t="s">
        <v>9</v>
      </c>
      <c r="D1569">
        <f>VLOOKUP(C1569,Sheet2!C:G,5,FALSE)</f>
        <v>1202</v>
      </c>
      <c r="E1569" t="s">
        <v>20</v>
      </c>
      <c r="F1569">
        <f>VLOOKUP(E1569,Sheet2!D:E,2,FALSE)</f>
        <v>938</v>
      </c>
      <c r="G1569" t="s">
        <v>11</v>
      </c>
      <c r="H1569" t="str">
        <f t="shared" si="48"/>
        <v>NAVERsuper5yp</v>
      </c>
      <c r="I1569" t="str">
        <f>"super5yp"</f>
        <v>super5yp</v>
      </c>
      <c r="J1569">
        <v>1920620</v>
      </c>
      <c r="K1569" s="1">
        <v>44866</v>
      </c>
      <c r="L1569" t="s">
        <v>1597</v>
      </c>
      <c r="M1569">
        <f t="shared" si="49"/>
        <v>1920620</v>
      </c>
      <c r="N1569" t="e">
        <f>VLOOKUP(H1569,Sheet1!G:H,2,FALSE)</f>
        <v>#N/A</v>
      </c>
      <c r="R1569" t="s">
        <v>3493</v>
      </c>
      <c r="S1569">
        <v>32270</v>
      </c>
    </row>
    <row r="1570" spans="1:19" x14ac:dyDescent="0.3">
      <c r="A1570" t="s">
        <v>8</v>
      </c>
      <c r="B1570">
        <f>VLOOKUP(A1570,Sheet2!B:F,5,FALSE)</f>
        <v>928</v>
      </c>
      <c r="C1570" t="s">
        <v>9</v>
      </c>
      <c r="D1570">
        <f>VLOOKUP(C1570,Sheet2!C:G,5,FALSE)</f>
        <v>1202</v>
      </c>
      <c r="E1570" t="s">
        <v>20</v>
      </c>
      <c r="F1570">
        <f>VLOOKUP(E1570,Sheet2!D:E,2,FALSE)</f>
        <v>938</v>
      </c>
      <c r="G1570" t="s">
        <v>11</v>
      </c>
      <c r="H1570" t="str">
        <f t="shared" si="48"/>
        <v>NAVERsupersky3503</v>
      </c>
      <c r="I1570" t="str">
        <f>"supersky3503"</f>
        <v>supersky3503</v>
      </c>
      <c r="J1570">
        <v>58460</v>
      </c>
      <c r="K1570" s="1">
        <v>44866</v>
      </c>
      <c r="L1570" t="s">
        <v>1598</v>
      </c>
      <c r="M1570">
        <f t="shared" si="49"/>
        <v>58460</v>
      </c>
      <c r="N1570" t="e">
        <f>VLOOKUP(H1570,Sheet1!G:H,2,FALSE)</f>
        <v>#N/A</v>
      </c>
      <c r="R1570" t="s">
        <v>3494</v>
      </c>
      <c r="S1570">
        <v>2515070</v>
      </c>
    </row>
    <row r="1571" spans="1:19" x14ac:dyDescent="0.3">
      <c r="A1571" t="s">
        <v>8</v>
      </c>
      <c r="B1571">
        <f>VLOOKUP(A1571,Sheet2!B:F,5,FALSE)</f>
        <v>928</v>
      </c>
      <c r="C1571" t="s">
        <v>9</v>
      </c>
      <c r="D1571">
        <f>VLOOKUP(C1571,Sheet2!C:G,5,FALSE)</f>
        <v>1202</v>
      </c>
      <c r="E1571" t="s">
        <v>39</v>
      </c>
      <c r="F1571">
        <f>VLOOKUP(E1571,Sheet2!D:E,2,FALSE)</f>
        <v>25</v>
      </c>
      <c r="G1571" t="s">
        <v>11</v>
      </c>
      <c r="H1571" t="str">
        <f t="shared" si="48"/>
        <v>NAVERsurkhun</v>
      </c>
      <c r="I1571" t="str">
        <f>"surkhun"</f>
        <v>surkhun</v>
      </c>
      <c r="J1571">
        <v>1298920</v>
      </c>
      <c r="K1571" s="1">
        <v>44866</v>
      </c>
      <c r="L1571" t="s">
        <v>1599</v>
      </c>
      <c r="M1571">
        <f t="shared" si="49"/>
        <v>1298920</v>
      </c>
      <c r="N1571" t="e">
        <f>VLOOKUP(H1571,Sheet1!G:H,2,FALSE)</f>
        <v>#N/A</v>
      </c>
      <c r="R1571" t="s">
        <v>3495</v>
      </c>
      <c r="S1571">
        <v>11880</v>
      </c>
    </row>
    <row r="1572" spans="1:19" x14ac:dyDescent="0.3">
      <c r="A1572" t="s">
        <v>16</v>
      </c>
      <c r="B1572">
        <f>VLOOKUP(A1572,Sheet2!B:F,5,FALSE)</f>
        <v>927</v>
      </c>
      <c r="C1572" t="s">
        <v>17</v>
      </c>
      <c r="D1572">
        <f>VLOOKUP(C1572,Sheet2!C:G,5,FALSE)</f>
        <v>1200</v>
      </c>
      <c r="E1572" t="s">
        <v>262</v>
      </c>
      <c r="F1572">
        <f>VLOOKUP(E1572,Sheet2!D:E,2,FALSE)</f>
        <v>1594</v>
      </c>
      <c r="G1572" t="s">
        <v>11</v>
      </c>
      <c r="H1572" t="str">
        <f t="shared" si="48"/>
        <v>NAVERsweetblock</v>
      </c>
      <c r="I1572" t="str">
        <f>"sweetblock"</f>
        <v>sweetblock</v>
      </c>
      <c r="J1572">
        <v>132180</v>
      </c>
      <c r="K1572" s="1">
        <v>44866</v>
      </c>
      <c r="L1572" t="s">
        <v>1600</v>
      </c>
      <c r="M1572">
        <f t="shared" si="49"/>
        <v>132180</v>
      </c>
      <c r="N1572" t="e">
        <f>VLOOKUP(H1572,Sheet1!G:H,2,FALSE)</f>
        <v>#N/A</v>
      </c>
      <c r="R1572" t="s">
        <v>3496</v>
      </c>
      <c r="S1572">
        <v>731380</v>
      </c>
    </row>
    <row r="1573" spans="1:19" x14ac:dyDescent="0.3">
      <c r="A1573" t="s">
        <v>16</v>
      </c>
      <c r="B1573">
        <f>VLOOKUP(A1573,Sheet2!B:F,5,FALSE)</f>
        <v>927</v>
      </c>
      <c r="C1573" t="s">
        <v>17</v>
      </c>
      <c r="D1573">
        <f>VLOOKUP(C1573,Sheet2!C:G,5,FALSE)</f>
        <v>1200</v>
      </c>
      <c r="E1573" t="s">
        <v>137</v>
      </c>
      <c r="F1573">
        <f>VLOOKUP(E1573,Sheet2!D:E,2,FALSE)</f>
        <v>1012</v>
      </c>
      <c r="G1573" t="s">
        <v>11</v>
      </c>
      <c r="H1573" t="str">
        <f t="shared" si="48"/>
        <v>NAVERsweker</v>
      </c>
      <c r="I1573" t="str">
        <f>"sweker"</f>
        <v>sweker</v>
      </c>
      <c r="J1573">
        <v>88680</v>
      </c>
      <c r="K1573" s="1">
        <v>44866</v>
      </c>
      <c r="L1573" t="s">
        <v>164</v>
      </c>
      <c r="M1573">
        <f t="shared" si="49"/>
        <v>88680</v>
      </c>
      <c r="N1573" t="e">
        <f>VLOOKUP(H1573,Sheet1!G:H,2,FALSE)</f>
        <v>#N/A</v>
      </c>
      <c r="R1573" t="s">
        <v>3497</v>
      </c>
      <c r="S1573">
        <v>1066230</v>
      </c>
    </row>
    <row r="1574" spans="1:19" x14ac:dyDescent="0.3">
      <c r="A1574" t="s">
        <v>8</v>
      </c>
      <c r="B1574">
        <f>VLOOKUP(A1574,Sheet2!B:F,5,FALSE)</f>
        <v>928</v>
      </c>
      <c r="C1574" t="s">
        <v>13</v>
      </c>
      <c r="D1574">
        <f>VLOOKUP(C1574,Sheet2!C:G,5,FALSE)</f>
        <v>1184</v>
      </c>
      <c r="E1574" t="s">
        <v>59</v>
      </c>
      <c r="F1574">
        <f>VLOOKUP(E1574,Sheet2!D:E,2,FALSE)</f>
        <v>9</v>
      </c>
      <c r="G1574" t="s">
        <v>11</v>
      </c>
      <c r="H1574" t="str">
        <f t="shared" si="48"/>
        <v>NAVERswoil</v>
      </c>
      <c r="I1574" t="str">
        <f>"swoil"</f>
        <v>swoil</v>
      </c>
      <c r="J1574">
        <v>11290</v>
      </c>
      <c r="K1574" s="1">
        <v>44866</v>
      </c>
      <c r="L1574" t="s">
        <v>1601</v>
      </c>
      <c r="M1574">
        <f t="shared" si="49"/>
        <v>11290</v>
      </c>
      <c r="N1574" t="e">
        <f>VLOOKUP(H1574,Sheet1!G:H,2,FALSE)</f>
        <v>#N/A</v>
      </c>
      <c r="R1574" t="s">
        <v>3498</v>
      </c>
      <c r="S1574">
        <v>115970</v>
      </c>
    </row>
    <row r="1575" spans="1:19" x14ac:dyDescent="0.3">
      <c r="A1575" t="s">
        <v>8</v>
      </c>
      <c r="B1575">
        <f>VLOOKUP(A1575,Sheet2!B:F,5,FALSE)</f>
        <v>928</v>
      </c>
      <c r="C1575" t="s">
        <v>9</v>
      </c>
      <c r="D1575">
        <f>VLOOKUP(C1575,Sheet2!C:G,5,FALSE)</f>
        <v>1202</v>
      </c>
      <c r="E1575" t="s">
        <v>75</v>
      </c>
      <c r="F1575">
        <f>VLOOKUP(E1575,Sheet2!D:E,2,FALSE)</f>
        <v>50</v>
      </c>
      <c r="G1575" t="s">
        <v>11</v>
      </c>
      <c r="H1575" t="str">
        <f t="shared" si="48"/>
        <v>NAVERsws7003</v>
      </c>
      <c r="I1575" t="str">
        <f>"sws7003"</f>
        <v>sws7003</v>
      </c>
      <c r="J1575">
        <v>32910</v>
      </c>
      <c r="K1575" s="1">
        <v>44866</v>
      </c>
      <c r="L1575" t="s">
        <v>1602</v>
      </c>
      <c r="M1575">
        <f t="shared" si="49"/>
        <v>32910</v>
      </c>
      <c r="N1575" t="e">
        <f>VLOOKUP(H1575,Sheet1!G:H,2,FALSE)</f>
        <v>#N/A</v>
      </c>
      <c r="R1575" t="s">
        <v>3499</v>
      </c>
      <c r="S1575">
        <v>13380</v>
      </c>
    </row>
    <row r="1576" spans="1:19" x14ac:dyDescent="0.3">
      <c r="A1576" t="s">
        <v>8</v>
      </c>
      <c r="B1576">
        <f>VLOOKUP(A1576,Sheet2!B:F,5,FALSE)</f>
        <v>928</v>
      </c>
      <c r="C1576" t="s">
        <v>13</v>
      </c>
      <c r="D1576">
        <f>VLOOKUP(C1576,Sheet2!C:G,5,FALSE)</f>
        <v>1184</v>
      </c>
      <c r="E1576" t="s">
        <v>59</v>
      </c>
      <c r="F1576">
        <f>VLOOKUP(E1576,Sheet2!D:E,2,FALSE)</f>
        <v>9</v>
      </c>
      <c r="G1576" t="s">
        <v>11</v>
      </c>
      <c r="H1576" t="str">
        <f t="shared" si="48"/>
        <v>NAVERswtower7</v>
      </c>
      <c r="I1576" t="str">
        <f>"swtower7"</f>
        <v>swtower7</v>
      </c>
      <c r="J1576">
        <v>11260</v>
      </c>
      <c r="K1576" s="1">
        <v>44866</v>
      </c>
      <c r="L1576" t="s">
        <v>1603</v>
      </c>
      <c r="M1576">
        <f t="shared" si="49"/>
        <v>11260</v>
      </c>
      <c r="N1576" t="e">
        <f>VLOOKUP(H1576,Sheet1!G:H,2,FALSE)</f>
        <v>#N/A</v>
      </c>
      <c r="R1576" t="s">
        <v>3500</v>
      </c>
      <c r="S1576">
        <v>179230</v>
      </c>
    </row>
    <row r="1577" spans="1:19" x14ac:dyDescent="0.3">
      <c r="A1577" t="s">
        <v>8</v>
      </c>
      <c r="B1577">
        <f>VLOOKUP(A1577,Sheet2!B:F,5,FALSE)</f>
        <v>928</v>
      </c>
      <c r="C1577" t="s">
        <v>9</v>
      </c>
      <c r="D1577">
        <f>VLOOKUP(C1577,Sheet2!C:G,5,FALSE)</f>
        <v>1202</v>
      </c>
      <c r="E1577" t="s">
        <v>27</v>
      </c>
      <c r="F1577">
        <f>VLOOKUP(E1577,Sheet2!D:E,2,FALSE)</f>
        <v>806</v>
      </c>
      <c r="G1577" t="s">
        <v>11</v>
      </c>
      <c r="H1577" t="str">
        <f t="shared" si="48"/>
        <v>NAVERsy150114</v>
      </c>
      <c r="I1577" t="str">
        <f>"sy150114"</f>
        <v>sy150114</v>
      </c>
      <c r="J1577">
        <v>483340</v>
      </c>
      <c r="K1577" s="1">
        <v>44866</v>
      </c>
      <c r="L1577" t="s">
        <v>1604</v>
      </c>
      <c r="M1577">
        <f t="shared" si="49"/>
        <v>483340</v>
      </c>
      <c r="N1577" t="e">
        <f>VLOOKUP(H1577,Sheet1!G:H,2,FALSE)</f>
        <v>#N/A</v>
      </c>
      <c r="R1577" t="s">
        <v>3501</v>
      </c>
      <c r="S1577">
        <v>248250</v>
      </c>
    </row>
    <row r="1578" spans="1:19" x14ac:dyDescent="0.3">
      <c r="A1578" t="s">
        <v>8</v>
      </c>
      <c r="B1578">
        <f>VLOOKUP(A1578,Sheet2!B:F,5,FALSE)</f>
        <v>928</v>
      </c>
      <c r="C1578" t="s">
        <v>13</v>
      </c>
      <c r="D1578">
        <f>VLOOKUP(C1578,Sheet2!C:G,5,FALSE)</f>
        <v>1184</v>
      </c>
      <c r="E1578" t="s">
        <v>14</v>
      </c>
      <c r="F1578">
        <f>VLOOKUP(E1578,Sheet2!D:E,2,FALSE)</f>
        <v>914</v>
      </c>
      <c r="G1578" t="s">
        <v>11</v>
      </c>
      <c r="H1578" t="str">
        <f t="shared" si="48"/>
        <v>NAVERsystem01</v>
      </c>
      <c r="I1578" t="str">
        <f>"system01"</f>
        <v>system01</v>
      </c>
      <c r="J1578">
        <v>38250</v>
      </c>
      <c r="K1578" s="1">
        <v>44866</v>
      </c>
      <c r="L1578" t="s">
        <v>1605</v>
      </c>
      <c r="M1578">
        <f t="shared" si="49"/>
        <v>38250</v>
      </c>
      <c r="N1578" t="e">
        <f>VLOOKUP(H1578,Sheet1!G:H,2,FALSE)</f>
        <v>#N/A</v>
      </c>
      <c r="R1578" t="s">
        <v>3502</v>
      </c>
      <c r="S1578">
        <v>39220</v>
      </c>
    </row>
    <row r="1579" spans="1:19" x14ac:dyDescent="0.3">
      <c r="A1579" t="s">
        <v>41</v>
      </c>
      <c r="B1579">
        <f>VLOOKUP(A1579,Sheet2!B:F,5,FALSE)</f>
        <v>926</v>
      </c>
      <c r="C1579" t="s">
        <v>42</v>
      </c>
      <c r="D1579">
        <f>VLOOKUP(C1579,Sheet2!C:G,5,FALSE)</f>
        <v>964</v>
      </c>
      <c r="E1579" t="s">
        <v>43</v>
      </c>
      <c r="F1579">
        <f>VLOOKUP(E1579,Sheet2!D:E,2,FALSE)</f>
        <v>200998</v>
      </c>
      <c r="G1579" t="s">
        <v>11</v>
      </c>
      <c r="H1579" t="str">
        <f t="shared" si="48"/>
        <v>NAVERtaeboy7</v>
      </c>
      <c r="I1579" t="str">
        <f>"taeboy7"</f>
        <v>taeboy7</v>
      </c>
      <c r="J1579">
        <v>2510</v>
      </c>
      <c r="K1579" s="1">
        <v>44866</v>
      </c>
      <c r="L1579" t="s">
        <v>1606</v>
      </c>
      <c r="M1579">
        <f t="shared" si="49"/>
        <v>2510</v>
      </c>
      <c r="N1579" t="e">
        <f>VLOOKUP(H1579,Sheet1!G:H,2,FALSE)</f>
        <v>#N/A</v>
      </c>
      <c r="R1579" t="s">
        <v>3503</v>
      </c>
      <c r="S1579">
        <v>1262320</v>
      </c>
    </row>
    <row r="1580" spans="1:19" x14ac:dyDescent="0.3">
      <c r="A1580" t="s">
        <v>8</v>
      </c>
      <c r="B1580">
        <f>VLOOKUP(A1580,Sheet2!B:F,5,FALSE)</f>
        <v>928</v>
      </c>
      <c r="C1580" t="s">
        <v>13</v>
      </c>
      <c r="D1580">
        <f>VLOOKUP(C1580,Sheet2!C:G,5,FALSE)</f>
        <v>1184</v>
      </c>
      <c r="E1580" t="s">
        <v>59</v>
      </c>
      <c r="F1580">
        <f>VLOOKUP(E1580,Sheet2!D:E,2,FALSE)</f>
        <v>9</v>
      </c>
      <c r="G1580" t="s">
        <v>11</v>
      </c>
      <c r="H1580" t="str">
        <f t="shared" si="48"/>
        <v>NAVERtaejong2220</v>
      </c>
      <c r="I1580" t="str">
        <f>"taejong2220"</f>
        <v>taejong2220</v>
      </c>
      <c r="J1580">
        <v>14520</v>
      </c>
      <c r="K1580" s="1">
        <v>44866</v>
      </c>
      <c r="L1580" t="s">
        <v>1607</v>
      </c>
      <c r="M1580">
        <f t="shared" si="49"/>
        <v>14520</v>
      </c>
      <c r="N1580" t="e">
        <f>VLOOKUP(H1580,Sheet1!G:H,2,FALSE)</f>
        <v>#N/A</v>
      </c>
      <c r="R1580" t="s">
        <v>3504</v>
      </c>
      <c r="S1580">
        <v>3876020</v>
      </c>
    </row>
    <row r="1581" spans="1:19" x14ac:dyDescent="0.3">
      <c r="A1581" t="s">
        <v>8</v>
      </c>
      <c r="B1581">
        <f>VLOOKUP(A1581,Sheet2!B:F,5,FALSE)</f>
        <v>928</v>
      </c>
      <c r="C1581" t="s">
        <v>9</v>
      </c>
      <c r="D1581">
        <f>VLOOKUP(C1581,Sheet2!C:G,5,FALSE)</f>
        <v>1202</v>
      </c>
      <c r="E1581" t="s">
        <v>45</v>
      </c>
      <c r="F1581">
        <f>VLOOKUP(E1581,Sheet2!D:E,2,FALSE)</f>
        <v>26</v>
      </c>
      <c r="G1581" t="s">
        <v>11</v>
      </c>
      <c r="H1581" t="str">
        <f t="shared" si="48"/>
        <v>NAVERtaekwang0111</v>
      </c>
      <c r="I1581" t="str">
        <f>"taekwang0111"</f>
        <v>taekwang0111</v>
      </c>
      <c r="J1581">
        <v>3428500</v>
      </c>
      <c r="K1581" s="1">
        <v>44866</v>
      </c>
      <c r="L1581" t="s">
        <v>1608</v>
      </c>
      <c r="M1581">
        <f t="shared" si="49"/>
        <v>3428500</v>
      </c>
      <c r="N1581" t="e">
        <f>VLOOKUP(H1581,Sheet1!G:H,2,FALSE)</f>
        <v>#N/A</v>
      </c>
      <c r="R1581" t="s">
        <v>3505</v>
      </c>
      <c r="S1581">
        <v>330610</v>
      </c>
    </row>
    <row r="1582" spans="1:19" x14ac:dyDescent="0.3">
      <c r="A1582" t="s">
        <v>8</v>
      </c>
      <c r="B1582">
        <f>VLOOKUP(A1582,Sheet2!B:F,5,FALSE)</f>
        <v>928</v>
      </c>
      <c r="C1582" t="s">
        <v>13</v>
      </c>
      <c r="D1582">
        <f>VLOOKUP(C1582,Sheet2!C:G,5,FALSE)</f>
        <v>1184</v>
      </c>
      <c r="E1582" t="s">
        <v>51</v>
      </c>
      <c r="F1582">
        <f>VLOOKUP(E1582,Sheet2!D:E,2,FALSE)</f>
        <v>1274</v>
      </c>
      <c r="G1582" t="s">
        <v>11</v>
      </c>
      <c r="H1582" t="str">
        <f t="shared" si="48"/>
        <v>NAVERtaesungpmc0330:naver</v>
      </c>
      <c r="I1582" t="str">
        <f>"taesungpmc0330:naver"</f>
        <v>taesungpmc0330:naver</v>
      </c>
      <c r="J1582">
        <v>250</v>
      </c>
      <c r="K1582" s="1">
        <v>44866</v>
      </c>
      <c r="L1582" t="s">
        <v>1609</v>
      </c>
      <c r="M1582">
        <f t="shared" si="49"/>
        <v>250</v>
      </c>
      <c r="N1582" t="e">
        <f>VLOOKUP(H1582,Sheet1!G:H,2,FALSE)</f>
        <v>#N/A</v>
      </c>
      <c r="R1582" t="s">
        <v>3506</v>
      </c>
      <c r="S1582">
        <v>2683240</v>
      </c>
    </row>
    <row r="1583" spans="1:19" x14ac:dyDescent="0.3">
      <c r="A1583" t="s">
        <v>8</v>
      </c>
      <c r="B1583">
        <f>VLOOKUP(A1583,Sheet2!B:F,5,FALSE)</f>
        <v>928</v>
      </c>
      <c r="C1583" t="s">
        <v>9</v>
      </c>
      <c r="D1583">
        <f>VLOOKUP(C1583,Sheet2!C:G,5,FALSE)</f>
        <v>1202</v>
      </c>
      <c r="E1583" t="s">
        <v>104</v>
      </c>
      <c r="F1583">
        <f>VLOOKUP(E1583,Sheet2!D:E,2,FALSE)</f>
        <v>201009</v>
      </c>
      <c r="G1583" t="s">
        <v>11</v>
      </c>
      <c r="H1583" t="str">
        <f t="shared" si="48"/>
        <v>NAVERtaeyang5785</v>
      </c>
      <c r="I1583" t="str">
        <f>"taeyang5785"</f>
        <v>taeyang5785</v>
      </c>
      <c r="J1583">
        <v>1980140</v>
      </c>
      <c r="K1583" s="1">
        <v>44866</v>
      </c>
      <c r="L1583" t="s">
        <v>1002</v>
      </c>
      <c r="M1583">
        <f t="shared" si="49"/>
        <v>1980140</v>
      </c>
      <c r="N1583" t="e">
        <f>VLOOKUP(H1583,Sheet1!G:H,2,FALSE)</f>
        <v>#N/A</v>
      </c>
      <c r="R1583" t="s">
        <v>3507</v>
      </c>
      <c r="S1583">
        <v>541320</v>
      </c>
    </row>
    <row r="1584" spans="1:19" x14ac:dyDescent="0.3">
      <c r="A1584" t="s">
        <v>16</v>
      </c>
      <c r="B1584">
        <f>VLOOKUP(A1584,Sheet2!B:F,5,FALSE)</f>
        <v>927</v>
      </c>
      <c r="C1584" t="s">
        <v>17</v>
      </c>
      <c r="D1584">
        <f>VLOOKUP(C1584,Sheet2!C:G,5,FALSE)</f>
        <v>1200</v>
      </c>
      <c r="E1584" t="s">
        <v>170</v>
      </c>
      <c r="F1584">
        <f>VLOOKUP(E1584,Sheet2!D:E,2,FALSE)</f>
        <v>1530</v>
      </c>
      <c r="G1584" t="s">
        <v>11</v>
      </c>
      <c r="H1584" t="str">
        <f t="shared" si="48"/>
        <v>NAVERtaezcompany:naver</v>
      </c>
      <c r="I1584" t="str">
        <f>"taezcompany:naver"</f>
        <v>taezcompany:naver</v>
      </c>
      <c r="J1584">
        <v>1228140</v>
      </c>
      <c r="K1584" s="1">
        <v>44866</v>
      </c>
      <c r="L1584" t="s">
        <v>1610</v>
      </c>
      <c r="M1584">
        <f t="shared" si="49"/>
        <v>1228140</v>
      </c>
      <c r="N1584" t="e">
        <f>VLOOKUP(H1584,Sheet1!G:H,2,FALSE)</f>
        <v>#N/A</v>
      </c>
      <c r="R1584" t="s">
        <v>3508</v>
      </c>
      <c r="S1584">
        <v>653850</v>
      </c>
    </row>
    <row r="1585" spans="1:19" x14ac:dyDescent="0.3">
      <c r="A1585" t="s">
        <v>16</v>
      </c>
      <c r="B1585">
        <f>VLOOKUP(A1585,Sheet2!B:F,5,FALSE)</f>
        <v>927</v>
      </c>
      <c r="C1585" t="s">
        <v>17</v>
      </c>
      <c r="D1585">
        <f>VLOOKUP(C1585,Sheet2!C:G,5,FALSE)</f>
        <v>1200</v>
      </c>
      <c r="E1585" t="s">
        <v>137</v>
      </c>
      <c r="F1585">
        <f>VLOOKUP(E1585,Sheet2!D:E,2,FALSE)</f>
        <v>1012</v>
      </c>
      <c r="G1585" t="s">
        <v>11</v>
      </c>
      <c r="H1585" t="str">
        <f t="shared" si="48"/>
        <v>NAVERtarumo</v>
      </c>
      <c r="I1585" t="str">
        <f>"tarumo"</f>
        <v>tarumo</v>
      </c>
      <c r="J1585">
        <v>895730</v>
      </c>
      <c r="K1585" s="1">
        <v>44866</v>
      </c>
      <c r="L1585" t="s">
        <v>1611</v>
      </c>
      <c r="M1585">
        <f t="shared" si="49"/>
        <v>895730</v>
      </c>
      <c r="N1585" t="e">
        <f>VLOOKUP(H1585,Sheet1!G:H,2,FALSE)</f>
        <v>#N/A</v>
      </c>
      <c r="R1585" t="s">
        <v>3509</v>
      </c>
      <c r="S1585">
        <v>66170</v>
      </c>
    </row>
    <row r="1586" spans="1:19" x14ac:dyDescent="0.3">
      <c r="A1586" t="s">
        <v>41</v>
      </c>
      <c r="B1586">
        <f>VLOOKUP(A1586,Sheet2!B:F,5,FALSE)</f>
        <v>926</v>
      </c>
      <c r="C1586" t="s">
        <v>56</v>
      </c>
      <c r="D1586">
        <f>VLOOKUP(C1586,Sheet2!C:G,5,FALSE)</f>
        <v>1207</v>
      </c>
      <c r="E1586" t="s">
        <v>91</v>
      </c>
      <c r="F1586">
        <f>VLOOKUP(E1586,Sheet2!D:E,2,FALSE)</f>
        <v>201104</v>
      </c>
      <c r="G1586" t="s">
        <v>11</v>
      </c>
      <c r="H1586" t="str">
        <f t="shared" si="48"/>
        <v>NAVERtdz9915:naver</v>
      </c>
      <c r="I1586" t="str">
        <f>"tdz9915:naver"</f>
        <v>tdz9915:naver</v>
      </c>
      <c r="J1586">
        <v>221140</v>
      </c>
      <c r="K1586" s="1">
        <v>44866</v>
      </c>
      <c r="L1586" t="s">
        <v>1612</v>
      </c>
      <c r="M1586">
        <f t="shared" si="49"/>
        <v>221140</v>
      </c>
      <c r="N1586" t="e">
        <f>VLOOKUP(H1586,Sheet1!G:H,2,FALSE)</f>
        <v>#N/A</v>
      </c>
      <c r="R1586" t="s">
        <v>3510</v>
      </c>
      <c r="S1586">
        <v>2149540</v>
      </c>
    </row>
    <row r="1587" spans="1:19" x14ac:dyDescent="0.3">
      <c r="A1587" t="s">
        <v>41</v>
      </c>
      <c r="B1587">
        <f>VLOOKUP(A1587,Sheet2!B:F,5,FALSE)</f>
        <v>926</v>
      </c>
      <c r="C1587" t="s">
        <v>56</v>
      </c>
      <c r="D1587">
        <f>VLOOKUP(C1587,Sheet2!C:G,5,FALSE)</f>
        <v>1207</v>
      </c>
      <c r="E1587" t="s">
        <v>57</v>
      </c>
      <c r="F1587">
        <f>VLOOKUP(E1587,Sheet2!D:E,2,FALSE)</f>
        <v>200982</v>
      </c>
      <c r="G1587" t="s">
        <v>11</v>
      </c>
      <c r="H1587" t="str">
        <f t="shared" si="48"/>
        <v>NAVERtgnarae</v>
      </c>
      <c r="I1587" t="str">
        <f>"tgnarae"</f>
        <v>tgnarae</v>
      </c>
      <c r="J1587">
        <v>236000</v>
      </c>
      <c r="K1587" s="1">
        <v>44866</v>
      </c>
      <c r="L1587" t="s">
        <v>1613</v>
      </c>
      <c r="M1587">
        <f t="shared" si="49"/>
        <v>236000</v>
      </c>
      <c r="N1587" t="e">
        <f>VLOOKUP(H1587,Sheet1!G:H,2,FALSE)</f>
        <v>#N/A</v>
      </c>
      <c r="R1587" t="s">
        <v>3511</v>
      </c>
      <c r="S1587">
        <v>247010</v>
      </c>
    </row>
    <row r="1588" spans="1:19" x14ac:dyDescent="0.3">
      <c r="A1588" t="s">
        <v>8</v>
      </c>
      <c r="B1588">
        <f>VLOOKUP(A1588,Sheet2!B:F,5,FALSE)</f>
        <v>928</v>
      </c>
      <c r="C1588" t="s">
        <v>9</v>
      </c>
      <c r="D1588">
        <f>VLOOKUP(C1588,Sheet2!C:G,5,FALSE)</f>
        <v>1202</v>
      </c>
      <c r="E1588" t="s">
        <v>73</v>
      </c>
      <c r="F1588">
        <f>VLOOKUP(E1588,Sheet2!D:E,2,FALSE)</f>
        <v>895</v>
      </c>
      <c r="G1588" t="s">
        <v>11</v>
      </c>
      <c r="H1588" t="str">
        <f t="shared" si="48"/>
        <v>NAVERthddl4694</v>
      </c>
      <c r="I1588" t="str">
        <f>"thddl4694"</f>
        <v>thddl4694</v>
      </c>
      <c r="J1588">
        <v>38800</v>
      </c>
      <c r="K1588" s="1">
        <v>44866</v>
      </c>
      <c r="L1588" t="s">
        <v>1614</v>
      </c>
      <c r="M1588">
        <f t="shared" si="49"/>
        <v>39390</v>
      </c>
      <c r="N1588" t="e">
        <f>VLOOKUP(H1588,Sheet1!G:H,2,FALSE)</f>
        <v>#N/A</v>
      </c>
      <c r="R1588" t="s">
        <v>3512</v>
      </c>
      <c r="S1588">
        <v>333560</v>
      </c>
    </row>
    <row r="1589" spans="1:19" x14ac:dyDescent="0.3">
      <c r="A1589" t="s">
        <v>16</v>
      </c>
      <c r="B1589">
        <f>VLOOKUP(A1589,Sheet2!B:F,5,FALSE)</f>
        <v>927</v>
      </c>
      <c r="C1589" t="s">
        <v>17</v>
      </c>
      <c r="D1589">
        <f>VLOOKUP(C1589,Sheet2!C:G,5,FALSE)</f>
        <v>1200</v>
      </c>
      <c r="E1589" t="s">
        <v>93</v>
      </c>
      <c r="F1589">
        <f>VLOOKUP(E1589,Sheet2!D:E,2,FALSE)</f>
        <v>930</v>
      </c>
      <c r="G1589" t="s">
        <v>11</v>
      </c>
      <c r="H1589" t="str">
        <f t="shared" si="48"/>
        <v>NAVERthebath</v>
      </c>
      <c r="I1589" t="str">
        <f>"thebath"</f>
        <v>thebath</v>
      </c>
      <c r="J1589">
        <v>281430</v>
      </c>
      <c r="K1589" s="1">
        <v>44866</v>
      </c>
      <c r="L1589" t="s">
        <v>1615</v>
      </c>
      <c r="M1589">
        <f t="shared" si="49"/>
        <v>281430</v>
      </c>
      <c r="N1589" t="e">
        <f>VLOOKUP(H1589,Sheet1!G:H,2,FALSE)</f>
        <v>#N/A</v>
      </c>
      <c r="R1589" t="s">
        <v>3513</v>
      </c>
      <c r="S1589">
        <v>19540</v>
      </c>
    </row>
    <row r="1590" spans="1:19" x14ac:dyDescent="0.3">
      <c r="A1590" t="s">
        <v>16</v>
      </c>
      <c r="B1590">
        <f>VLOOKUP(A1590,Sheet2!B:F,5,FALSE)</f>
        <v>927</v>
      </c>
      <c r="C1590" t="s">
        <v>17</v>
      </c>
      <c r="D1590">
        <f>VLOOKUP(C1590,Sheet2!C:G,5,FALSE)</f>
        <v>1200</v>
      </c>
      <c r="E1590" t="s">
        <v>100</v>
      </c>
      <c r="F1590">
        <f>VLOOKUP(E1590,Sheet2!D:E,2,FALSE)</f>
        <v>201038</v>
      </c>
      <c r="G1590" t="s">
        <v>11</v>
      </c>
      <c r="H1590" t="str">
        <f t="shared" si="48"/>
        <v>NAVERthebee1970</v>
      </c>
      <c r="I1590" t="str">
        <f>"thebee1970"</f>
        <v>thebee1970</v>
      </c>
      <c r="J1590">
        <v>159140</v>
      </c>
      <c r="K1590" s="1">
        <v>44866</v>
      </c>
      <c r="L1590" t="s">
        <v>1616</v>
      </c>
      <c r="M1590" t="e">
        <f t="shared" si="49"/>
        <v>#N/A</v>
      </c>
      <c r="N1590" t="e">
        <f>VLOOKUP(H1590,Sheet1!G:H,2,FALSE)</f>
        <v>#N/A</v>
      </c>
      <c r="R1590" t="s">
        <v>3514</v>
      </c>
      <c r="S1590">
        <v>222420</v>
      </c>
    </row>
    <row r="1591" spans="1:19" x14ac:dyDescent="0.3">
      <c r="A1591" t="s">
        <v>8</v>
      </c>
      <c r="B1591">
        <f>VLOOKUP(A1591,Sheet2!B:F,5,FALSE)</f>
        <v>928</v>
      </c>
      <c r="C1591" t="s">
        <v>9</v>
      </c>
      <c r="D1591">
        <f>VLOOKUP(C1591,Sheet2!C:G,5,FALSE)</f>
        <v>1202</v>
      </c>
      <c r="E1591" t="s">
        <v>104</v>
      </c>
      <c r="F1591">
        <f>VLOOKUP(E1591,Sheet2!D:E,2,FALSE)</f>
        <v>201009</v>
      </c>
      <c r="G1591" t="s">
        <v>11</v>
      </c>
      <c r="H1591" t="str">
        <f t="shared" si="48"/>
        <v>NAVERthecompanion</v>
      </c>
      <c r="I1591" t="str">
        <f>"thecompanion"</f>
        <v>thecompanion</v>
      </c>
      <c r="J1591">
        <v>205350</v>
      </c>
      <c r="K1591" s="1">
        <v>44866</v>
      </c>
      <c r="L1591" t="s">
        <v>1617</v>
      </c>
      <c r="M1591">
        <f t="shared" si="49"/>
        <v>205350</v>
      </c>
      <c r="N1591" t="e">
        <f>VLOOKUP(H1591,Sheet1!G:H,2,FALSE)</f>
        <v>#N/A</v>
      </c>
      <c r="R1591" t="s">
        <v>3515</v>
      </c>
      <c r="S1591">
        <v>159120</v>
      </c>
    </row>
    <row r="1592" spans="1:19" x14ac:dyDescent="0.3">
      <c r="A1592" t="s">
        <v>41</v>
      </c>
      <c r="B1592">
        <f>VLOOKUP(A1592,Sheet2!B:F,5,FALSE)</f>
        <v>926</v>
      </c>
      <c r="C1592" t="s">
        <v>56</v>
      </c>
      <c r="D1592">
        <f>VLOOKUP(C1592,Sheet2!C:G,5,FALSE)</f>
        <v>1207</v>
      </c>
      <c r="E1592" t="s">
        <v>57</v>
      </c>
      <c r="F1592">
        <f>VLOOKUP(E1592,Sheet2!D:E,2,FALSE)</f>
        <v>200982</v>
      </c>
      <c r="G1592" t="s">
        <v>11</v>
      </c>
      <c r="H1592" t="str">
        <f t="shared" si="48"/>
        <v>NAVERthedoor</v>
      </c>
      <c r="I1592" t="str">
        <f>"thedoor"</f>
        <v>thedoor</v>
      </c>
      <c r="J1592">
        <v>36300</v>
      </c>
      <c r="K1592" s="1">
        <v>44866</v>
      </c>
      <c r="L1592" t="s">
        <v>1618</v>
      </c>
      <c r="M1592">
        <f t="shared" si="49"/>
        <v>36300</v>
      </c>
      <c r="N1592" t="e">
        <f>VLOOKUP(H1592,Sheet1!G:H,2,FALSE)</f>
        <v>#N/A</v>
      </c>
      <c r="R1592" t="s">
        <v>3516</v>
      </c>
      <c r="S1592">
        <v>672000</v>
      </c>
    </row>
    <row r="1593" spans="1:19" x14ac:dyDescent="0.3">
      <c r="A1593" t="s">
        <v>41</v>
      </c>
      <c r="B1593">
        <f>VLOOKUP(A1593,Sheet2!B:F,5,FALSE)</f>
        <v>926</v>
      </c>
      <c r="C1593" t="s">
        <v>42</v>
      </c>
      <c r="D1593">
        <f>VLOOKUP(C1593,Sheet2!C:G,5,FALSE)</f>
        <v>964</v>
      </c>
      <c r="E1593" t="s">
        <v>43</v>
      </c>
      <c r="F1593">
        <f>VLOOKUP(E1593,Sheet2!D:E,2,FALSE)</f>
        <v>200998</v>
      </c>
      <c r="G1593" t="s">
        <v>11</v>
      </c>
      <c r="H1593" t="str">
        <f t="shared" si="48"/>
        <v>NAVERthedream0221</v>
      </c>
      <c r="I1593" t="str">
        <f>"thedream0221"</f>
        <v>thedream0221</v>
      </c>
      <c r="J1593">
        <v>1150</v>
      </c>
      <c r="K1593" s="1">
        <v>44866</v>
      </c>
      <c r="L1593" t="s">
        <v>1619</v>
      </c>
      <c r="M1593">
        <f t="shared" si="49"/>
        <v>1150</v>
      </c>
      <c r="N1593" t="e">
        <f>VLOOKUP(H1593,Sheet1!G:H,2,FALSE)</f>
        <v>#N/A</v>
      </c>
      <c r="R1593" t="s">
        <v>3517</v>
      </c>
      <c r="S1593">
        <v>185420</v>
      </c>
    </row>
    <row r="1594" spans="1:19" x14ac:dyDescent="0.3">
      <c r="A1594" t="s">
        <v>41</v>
      </c>
      <c r="B1594">
        <f>VLOOKUP(A1594,Sheet2!B:F,5,FALSE)</f>
        <v>926</v>
      </c>
      <c r="C1594" t="s">
        <v>42</v>
      </c>
      <c r="D1594">
        <f>VLOOKUP(C1594,Sheet2!C:G,5,FALSE)</f>
        <v>964</v>
      </c>
      <c r="E1594" t="s">
        <v>704</v>
      </c>
      <c r="F1594">
        <f>VLOOKUP(E1594,Sheet2!D:E,2,FALSE)</f>
        <v>1616</v>
      </c>
      <c r="G1594" t="s">
        <v>11</v>
      </c>
      <c r="H1594" t="str">
        <f t="shared" si="48"/>
        <v>NAVERthehan-health:naver</v>
      </c>
      <c r="I1594" t="str">
        <f>"thehan-health:naver"</f>
        <v>thehan-health:naver</v>
      </c>
      <c r="J1594">
        <v>570</v>
      </c>
      <c r="K1594" s="1">
        <v>44866</v>
      </c>
      <c r="L1594" t="s">
        <v>1620</v>
      </c>
      <c r="M1594">
        <f t="shared" si="49"/>
        <v>570</v>
      </c>
      <c r="N1594" t="e">
        <f>VLOOKUP(H1594,Sheet1!G:H,2,FALSE)</f>
        <v>#N/A</v>
      </c>
      <c r="R1594" t="s">
        <v>3518</v>
      </c>
      <c r="S1594">
        <v>289940</v>
      </c>
    </row>
    <row r="1595" spans="1:19" x14ac:dyDescent="0.3">
      <c r="A1595" t="s">
        <v>8</v>
      </c>
      <c r="B1595">
        <f>VLOOKUP(A1595,Sheet2!B:F,5,FALSE)</f>
        <v>928</v>
      </c>
      <c r="C1595" t="s">
        <v>13</v>
      </c>
      <c r="D1595">
        <f>VLOOKUP(C1595,Sheet2!C:G,5,FALSE)</f>
        <v>1184</v>
      </c>
      <c r="E1595" t="s">
        <v>51</v>
      </c>
      <c r="F1595">
        <f>VLOOKUP(E1595,Sheet2!D:E,2,FALSE)</f>
        <v>1274</v>
      </c>
      <c r="G1595" t="s">
        <v>11</v>
      </c>
      <c r="H1595" t="str">
        <f t="shared" si="48"/>
        <v>NAVERtheice</v>
      </c>
      <c r="I1595" t="str">
        <f>"theice"</f>
        <v>theice</v>
      </c>
      <c r="J1595">
        <v>1667520</v>
      </c>
      <c r="K1595" s="1">
        <v>44866</v>
      </c>
      <c r="L1595" t="s">
        <v>1621</v>
      </c>
      <c r="M1595">
        <f t="shared" si="49"/>
        <v>1667520</v>
      </c>
      <c r="N1595" t="e">
        <f>VLOOKUP(H1595,Sheet1!G:H,2,FALSE)</f>
        <v>#N/A</v>
      </c>
      <c r="R1595" t="s">
        <v>3519</v>
      </c>
      <c r="S1595">
        <v>1832460</v>
      </c>
    </row>
    <row r="1596" spans="1:19" x14ac:dyDescent="0.3">
      <c r="A1596" t="s">
        <v>16</v>
      </c>
      <c r="B1596">
        <f>VLOOKUP(A1596,Sheet2!B:F,5,FALSE)</f>
        <v>927</v>
      </c>
      <c r="C1596" t="s">
        <v>17</v>
      </c>
      <c r="D1596">
        <f>VLOOKUP(C1596,Sheet2!C:G,5,FALSE)</f>
        <v>1200</v>
      </c>
      <c r="E1596" t="s">
        <v>371</v>
      </c>
      <c r="F1596">
        <f>VLOOKUP(E1596,Sheet2!D:E,2,FALSE)</f>
        <v>551</v>
      </c>
      <c r="G1596" t="s">
        <v>11</v>
      </c>
      <c r="H1596" t="str">
        <f t="shared" si="48"/>
        <v>NAVERthejoen88:naver</v>
      </c>
      <c r="I1596" t="str">
        <f>"thejoen88:naver"</f>
        <v>thejoen88:naver</v>
      </c>
      <c r="J1596">
        <v>2352610</v>
      </c>
      <c r="K1596" s="1">
        <v>44866</v>
      </c>
      <c r="L1596" t="s">
        <v>1622</v>
      </c>
      <c r="M1596">
        <f t="shared" si="49"/>
        <v>2352610</v>
      </c>
      <c r="N1596" t="e">
        <f>VLOOKUP(H1596,Sheet1!G:H,2,FALSE)</f>
        <v>#N/A</v>
      </c>
      <c r="R1596" t="s">
        <v>3520</v>
      </c>
      <c r="S1596">
        <v>27800</v>
      </c>
    </row>
    <row r="1597" spans="1:19" x14ac:dyDescent="0.3">
      <c r="A1597" t="s">
        <v>41</v>
      </c>
      <c r="B1597">
        <f>VLOOKUP(A1597,Sheet2!B:F,5,FALSE)</f>
        <v>926</v>
      </c>
      <c r="C1597" t="s">
        <v>56</v>
      </c>
      <c r="D1597">
        <f>VLOOKUP(C1597,Sheet2!C:G,5,FALSE)</f>
        <v>1207</v>
      </c>
      <c r="E1597" t="s">
        <v>57</v>
      </c>
      <c r="F1597">
        <f>VLOOKUP(E1597,Sheet2!D:E,2,FALSE)</f>
        <v>200982</v>
      </c>
      <c r="G1597" t="s">
        <v>11</v>
      </c>
      <c r="H1597" t="str">
        <f t="shared" si="48"/>
        <v>NAVERtheohi11</v>
      </c>
      <c r="I1597" t="str">
        <f>"theohi11"</f>
        <v>theohi11</v>
      </c>
      <c r="J1597">
        <v>2911650</v>
      </c>
      <c r="K1597" s="1">
        <v>44866</v>
      </c>
      <c r="L1597" t="s">
        <v>1623</v>
      </c>
      <c r="M1597">
        <f t="shared" si="49"/>
        <v>2911650</v>
      </c>
      <c r="N1597" t="e">
        <f>VLOOKUP(H1597,Sheet1!G:H,2,FALSE)</f>
        <v>#N/A</v>
      </c>
      <c r="R1597" t="s">
        <v>3521</v>
      </c>
      <c r="S1597">
        <v>245390</v>
      </c>
    </row>
    <row r="1598" spans="1:19" x14ac:dyDescent="0.3">
      <c r="A1598" t="s">
        <v>176</v>
      </c>
      <c r="B1598">
        <f>VLOOKUP(A1598,Sheet2!B:F,5,FALSE)</f>
        <v>1204</v>
      </c>
      <c r="C1598" t="s">
        <v>177</v>
      </c>
      <c r="D1598">
        <f>VLOOKUP(C1598,Sheet2!C:G,5,FALSE)</f>
        <v>1205</v>
      </c>
      <c r="E1598" t="s">
        <v>178</v>
      </c>
      <c r="F1598">
        <f>VLOOKUP(E1598,Sheet2!D:E,2,FALSE)</f>
        <v>201073</v>
      </c>
      <c r="G1598" t="s">
        <v>11</v>
      </c>
      <c r="H1598" t="str">
        <f t="shared" si="48"/>
        <v>NAVERtheshiny</v>
      </c>
      <c r="I1598" t="str">
        <f>"theshiny"</f>
        <v>theshiny</v>
      </c>
      <c r="J1598">
        <v>532010</v>
      </c>
      <c r="K1598" s="1">
        <v>44866</v>
      </c>
      <c r="L1598" t="s">
        <v>1624</v>
      </c>
      <c r="M1598">
        <f t="shared" si="49"/>
        <v>532010</v>
      </c>
      <c r="N1598" t="e">
        <f>VLOOKUP(H1598,Sheet1!G:H,2,FALSE)</f>
        <v>#N/A</v>
      </c>
      <c r="R1598" t="s">
        <v>3522</v>
      </c>
      <c r="S1598">
        <v>3447040</v>
      </c>
    </row>
    <row r="1599" spans="1:19" x14ac:dyDescent="0.3">
      <c r="A1599" t="s">
        <v>8</v>
      </c>
      <c r="B1599">
        <f>VLOOKUP(A1599,Sheet2!B:F,5,FALSE)</f>
        <v>928</v>
      </c>
      <c r="C1599" t="s">
        <v>13</v>
      </c>
      <c r="D1599">
        <f>VLOOKUP(C1599,Sheet2!C:G,5,FALSE)</f>
        <v>1184</v>
      </c>
      <c r="E1599" t="s">
        <v>102</v>
      </c>
      <c r="F1599">
        <f>VLOOKUP(E1599,Sheet2!D:E,2,FALSE)</f>
        <v>917</v>
      </c>
      <c r="G1599" t="s">
        <v>11</v>
      </c>
      <c r="H1599" t="str">
        <f t="shared" si="48"/>
        <v>NAVERthesoft216</v>
      </c>
      <c r="I1599" t="str">
        <f>"thesoft216"</f>
        <v>thesoft216</v>
      </c>
      <c r="J1599">
        <v>280</v>
      </c>
      <c r="K1599" s="1">
        <v>44866</v>
      </c>
      <c r="L1599" t="s">
        <v>1625</v>
      </c>
      <c r="M1599">
        <f t="shared" si="49"/>
        <v>280</v>
      </c>
      <c r="N1599" t="e">
        <f>VLOOKUP(H1599,Sheet1!G:H,2,FALSE)</f>
        <v>#N/A</v>
      </c>
      <c r="R1599" t="s">
        <v>3523</v>
      </c>
      <c r="S1599">
        <v>90790</v>
      </c>
    </row>
    <row r="1600" spans="1:19" x14ac:dyDescent="0.3">
      <c r="A1600" t="s">
        <v>41</v>
      </c>
      <c r="B1600">
        <f>VLOOKUP(A1600,Sheet2!B:F,5,FALSE)</f>
        <v>926</v>
      </c>
      <c r="C1600" t="s">
        <v>56</v>
      </c>
      <c r="D1600">
        <f>VLOOKUP(C1600,Sheet2!C:G,5,FALSE)</f>
        <v>1207</v>
      </c>
      <c r="E1600" t="s">
        <v>64</v>
      </c>
      <c r="F1600">
        <f>VLOOKUP(E1600,Sheet2!D:E,2,FALSE)</f>
        <v>201011</v>
      </c>
      <c r="G1600" t="s">
        <v>11</v>
      </c>
      <c r="H1600" t="str">
        <f t="shared" si="48"/>
        <v>NAVERthessdam:naver</v>
      </c>
      <c r="I1600" t="str">
        <f>"thessdam:naver"</f>
        <v>thessdam:naver</v>
      </c>
      <c r="J1600">
        <v>80570</v>
      </c>
      <c r="K1600" s="1">
        <v>44866</v>
      </c>
      <c r="L1600" t="s">
        <v>1626</v>
      </c>
      <c r="M1600">
        <f t="shared" si="49"/>
        <v>80570</v>
      </c>
      <c r="N1600" t="e">
        <f>VLOOKUP(H1600,Sheet1!G:H,2,FALSE)</f>
        <v>#N/A</v>
      </c>
      <c r="R1600" t="s">
        <v>3524</v>
      </c>
      <c r="S1600">
        <v>5695360</v>
      </c>
    </row>
    <row r="1601" spans="1:19" x14ac:dyDescent="0.3">
      <c r="A1601" t="s">
        <v>8</v>
      </c>
      <c r="B1601">
        <f>VLOOKUP(A1601,Sheet2!B:F,5,FALSE)</f>
        <v>928</v>
      </c>
      <c r="C1601" t="s">
        <v>9</v>
      </c>
      <c r="D1601">
        <f>VLOOKUP(C1601,Sheet2!C:G,5,FALSE)</f>
        <v>1202</v>
      </c>
      <c r="E1601" t="s">
        <v>27</v>
      </c>
      <c r="F1601">
        <f>VLOOKUP(E1601,Sheet2!D:E,2,FALSE)</f>
        <v>806</v>
      </c>
      <c r="G1601" t="s">
        <v>11</v>
      </c>
      <c r="H1601" t="str">
        <f t="shared" si="48"/>
        <v>NAVERtheuniform</v>
      </c>
      <c r="I1601" t="str">
        <f>"theuniform"</f>
        <v>theuniform</v>
      </c>
      <c r="J1601">
        <v>1460760</v>
      </c>
      <c r="K1601" s="1">
        <v>44866</v>
      </c>
      <c r="L1601" t="s">
        <v>1627</v>
      </c>
      <c r="M1601">
        <f t="shared" si="49"/>
        <v>1460760</v>
      </c>
      <c r="N1601" t="e">
        <f>VLOOKUP(H1601,Sheet1!G:H,2,FALSE)</f>
        <v>#N/A</v>
      </c>
      <c r="R1601" t="s">
        <v>3525</v>
      </c>
      <c r="S1601">
        <v>14090</v>
      </c>
    </row>
    <row r="1602" spans="1:19" x14ac:dyDescent="0.3">
      <c r="A1602" t="s">
        <v>22</v>
      </c>
      <c r="B1602">
        <f>VLOOKUP(A1602,Sheet2!B:F,5,FALSE)</f>
        <v>809</v>
      </c>
      <c r="C1602" t="s">
        <v>679</v>
      </c>
      <c r="D1602">
        <f>VLOOKUP(C1602,Sheet2!C:G,5,FALSE)</f>
        <v>980</v>
      </c>
      <c r="E1602" t="s">
        <v>680</v>
      </c>
      <c r="F1602">
        <f>VLOOKUP(E1602,Sheet2!D:E,2,FALSE)</f>
        <v>200938</v>
      </c>
      <c r="G1602" t="s">
        <v>11</v>
      </c>
      <c r="H1602" t="str">
        <f t="shared" si="48"/>
        <v>NAVERthoo922</v>
      </c>
      <c r="I1602" t="str">
        <f>"thoo922"</f>
        <v>thoo922</v>
      </c>
      <c r="J1602">
        <v>4195340</v>
      </c>
      <c r="K1602" s="1">
        <v>44866</v>
      </c>
      <c r="L1602" t="s">
        <v>1628</v>
      </c>
      <c r="M1602">
        <f t="shared" si="49"/>
        <v>4195340</v>
      </c>
      <c r="N1602" t="e">
        <f>VLOOKUP(H1602,Sheet1!G:H,2,FALSE)</f>
        <v>#N/A</v>
      </c>
      <c r="R1602" t="s">
        <v>3526</v>
      </c>
      <c r="S1602">
        <v>978810</v>
      </c>
    </row>
    <row r="1603" spans="1:19" x14ac:dyDescent="0.3">
      <c r="A1603" t="s">
        <v>8</v>
      </c>
      <c r="B1603">
        <f>VLOOKUP(A1603,Sheet2!B:F,5,FALSE)</f>
        <v>928</v>
      </c>
      <c r="C1603" t="s">
        <v>9</v>
      </c>
      <c r="D1603">
        <f>VLOOKUP(C1603,Sheet2!C:G,5,FALSE)</f>
        <v>1202</v>
      </c>
      <c r="E1603" t="s">
        <v>47</v>
      </c>
      <c r="F1603">
        <f>VLOOKUP(E1603,Sheet2!D:E,2,FALSE)</f>
        <v>898</v>
      </c>
      <c r="G1603" t="s">
        <v>11</v>
      </c>
      <c r="H1603" t="str">
        <f t="shared" ref="H1603:H1666" si="50">CONCATENATE(G1603,I1603)</f>
        <v>NAVERthsckdud77</v>
      </c>
      <c r="I1603" t="str">
        <f>"thsckdud77"</f>
        <v>thsckdud77</v>
      </c>
      <c r="J1603">
        <v>37420</v>
      </c>
      <c r="K1603" s="1">
        <v>44866</v>
      </c>
      <c r="L1603" t="s">
        <v>1629</v>
      </c>
      <c r="M1603">
        <f t="shared" ref="M1603:M1666" si="51">VLOOKUP(H1603,R:S,2,FALSE)</f>
        <v>37420</v>
      </c>
      <c r="N1603" t="e">
        <f>VLOOKUP(H1603,Sheet1!G:H,2,FALSE)</f>
        <v>#N/A</v>
      </c>
      <c r="R1603" t="s">
        <v>3527</v>
      </c>
      <c r="S1603">
        <v>996150</v>
      </c>
    </row>
    <row r="1604" spans="1:19" x14ac:dyDescent="0.3">
      <c r="A1604" t="s">
        <v>8</v>
      </c>
      <c r="B1604">
        <f>VLOOKUP(A1604,Sheet2!B:F,5,FALSE)</f>
        <v>928</v>
      </c>
      <c r="C1604" t="s">
        <v>9</v>
      </c>
      <c r="D1604">
        <f>VLOOKUP(C1604,Sheet2!C:G,5,FALSE)</f>
        <v>1202</v>
      </c>
      <c r="E1604" t="s">
        <v>122</v>
      </c>
      <c r="F1604">
        <f>VLOOKUP(E1604,Sheet2!D:E,2,FALSE)</f>
        <v>251</v>
      </c>
      <c r="G1604" t="s">
        <v>11</v>
      </c>
      <c r="H1604" t="str">
        <f t="shared" si="50"/>
        <v>NAVERthss498</v>
      </c>
      <c r="I1604" t="str">
        <f>"thss498"</f>
        <v>thss498</v>
      </c>
      <c r="J1604">
        <v>134710</v>
      </c>
      <c r="K1604" s="1">
        <v>44866</v>
      </c>
      <c r="L1604" t="s">
        <v>1630</v>
      </c>
      <c r="M1604">
        <f t="shared" si="51"/>
        <v>134710</v>
      </c>
      <c r="N1604" t="e">
        <f>VLOOKUP(H1604,Sheet1!G:H,2,FALSE)</f>
        <v>#N/A</v>
      </c>
      <c r="R1604" t="s">
        <v>3528</v>
      </c>
      <c r="S1604">
        <v>17340</v>
      </c>
    </row>
    <row r="1605" spans="1:19" x14ac:dyDescent="0.3">
      <c r="A1605" t="s">
        <v>8</v>
      </c>
      <c r="B1605">
        <f>VLOOKUP(A1605,Sheet2!B:F,5,FALSE)</f>
        <v>928</v>
      </c>
      <c r="C1605" t="s">
        <v>9</v>
      </c>
      <c r="D1605">
        <f>VLOOKUP(C1605,Sheet2!C:G,5,FALSE)</f>
        <v>1202</v>
      </c>
      <c r="E1605" t="s">
        <v>73</v>
      </c>
      <c r="F1605">
        <f>VLOOKUP(E1605,Sheet2!D:E,2,FALSE)</f>
        <v>895</v>
      </c>
      <c r="G1605" t="s">
        <v>11</v>
      </c>
      <c r="H1605" t="str">
        <f t="shared" si="50"/>
        <v>NAVERthswkdtn70</v>
      </c>
      <c r="I1605" t="str">
        <f>"thswkdtn70"</f>
        <v>thswkdtn70</v>
      </c>
      <c r="J1605">
        <v>1545850</v>
      </c>
      <c r="K1605" s="1">
        <v>44866</v>
      </c>
      <c r="L1605" t="s">
        <v>1631</v>
      </c>
      <c r="M1605">
        <f t="shared" si="51"/>
        <v>1545850</v>
      </c>
      <c r="N1605" t="e">
        <f>VLOOKUP(H1605,Sheet1!G:H,2,FALSE)</f>
        <v>#N/A</v>
      </c>
      <c r="R1605" t="s">
        <v>3529</v>
      </c>
      <c r="S1605">
        <v>928200</v>
      </c>
    </row>
    <row r="1606" spans="1:19" x14ac:dyDescent="0.3">
      <c r="A1606" t="s">
        <v>8</v>
      </c>
      <c r="B1606">
        <f>VLOOKUP(A1606,Sheet2!B:F,5,FALSE)</f>
        <v>928</v>
      </c>
      <c r="C1606" t="s">
        <v>9</v>
      </c>
      <c r="D1606">
        <f>VLOOKUP(C1606,Sheet2!C:G,5,FALSE)</f>
        <v>1202</v>
      </c>
      <c r="E1606" t="s">
        <v>47</v>
      </c>
      <c r="F1606">
        <f>VLOOKUP(E1606,Sheet2!D:E,2,FALSE)</f>
        <v>898</v>
      </c>
      <c r="G1606" t="s">
        <v>11</v>
      </c>
      <c r="H1606" t="str">
        <f t="shared" si="50"/>
        <v>NAVERthswo3144</v>
      </c>
      <c r="I1606" t="str">
        <f>"thswo3144"</f>
        <v>thswo3144</v>
      </c>
      <c r="J1606">
        <v>23460</v>
      </c>
      <c r="K1606" s="1">
        <v>44866</v>
      </c>
      <c r="L1606" t="s">
        <v>1632</v>
      </c>
      <c r="M1606">
        <f t="shared" si="51"/>
        <v>25580</v>
      </c>
      <c r="N1606" t="e">
        <f>VLOOKUP(H1606,Sheet1!G:H,2,FALSE)</f>
        <v>#N/A</v>
      </c>
      <c r="R1606" t="s">
        <v>3530</v>
      </c>
      <c r="S1606">
        <v>1036050</v>
      </c>
    </row>
    <row r="1607" spans="1:19" x14ac:dyDescent="0.3">
      <c r="A1607" t="s">
        <v>8</v>
      </c>
      <c r="B1607">
        <f>VLOOKUP(A1607,Sheet2!B:F,5,FALSE)</f>
        <v>928</v>
      </c>
      <c r="C1607" t="s">
        <v>167</v>
      </c>
      <c r="D1607">
        <f>VLOOKUP(C1607,Sheet2!C:G,5,FALSE)</f>
        <v>935</v>
      </c>
      <c r="E1607" t="s">
        <v>168</v>
      </c>
      <c r="F1607">
        <f>VLOOKUP(E1607,Sheet2!D:E,2,FALSE)</f>
        <v>2</v>
      </c>
      <c r="G1607" t="s">
        <v>11</v>
      </c>
      <c r="H1607" t="str">
        <f t="shared" si="50"/>
        <v>NAVERtigen29:naver</v>
      </c>
      <c r="I1607" t="str">
        <f>"tigen29:naver"</f>
        <v>tigen29:naver</v>
      </c>
      <c r="J1607">
        <v>108280</v>
      </c>
      <c r="K1607" s="1">
        <v>44866</v>
      </c>
      <c r="L1607" t="s">
        <v>1633</v>
      </c>
      <c r="M1607">
        <f t="shared" si="51"/>
        <v>108280</v>
      </c>
      <c r="N1607" t="e">
        <f>VLOOKUP(H1607,Sheet1!G:H,2,FALSE)</f>
        <v>#N/A</v>
      </c>
      <c r="R1607" t="s">
        <v>3531</v>
      </c>
      <c r="S1607">
        <v>0</v>
      </c>
    </row>
    <row r="1608" spans="1:19" x14ac:dyDescent="0.3">
      <c r="A1608" t="s">
        <v>16</v>
      </c>
      <c r="B1608">
        <f>VLOOKUP(A1608,Sheet2!B:F,5,FALSE)</f>
        <v>927</v>
      </c>
      <c r="C1608" t="s">
        <v>17</v>
      </c>
      <c r="D1608">
        <f>VLOOKUP(C1608,Sheet2!C:G,5,FALSE)</f>
        <v>1200</v>
      </c>
      <c r="E1608" t="s">
        <v>18</v>
      </c>
      <c r="F1608">
        <f>VLOOKUP(E1608,Sheet2!D:E,2,FALSE)</f>
        <v>201116</v>
      </c>
      <c r="G1608" t="s">
        <v>11</v>
      </c>
      <c r="H1608" t="str">
        <f t="shared" si="50"/>
        <v>NAVERtime-out:naver</v>
      </c>
      <c r="I1608" t="str">
        <f>"time-out:naver"</f>
        <v>time-out:naver</v>
      </c>
      <c r="J1608">
        <v>595770</v>
      </c>
      <c r="K1608" s="1">
        <v>44866</v>
      </c>
      <c r="L1608" t="s">
        <v>1634</v>
      </c>
      <c r="M1608">
        <f t="shared" si="51"/>
        <v>595770</v>
      </c>
      <c r="N1608" t="e">
        <f>VLOOKUP(H1608,Sheet1!G:H,2,FALSE)</f>
        <v>#N/A</v>
      </c>
      <c r="R1608" t="s">
        <v>3532</v>
      </c>
      <c r="S1608">
        <v>238080</v>
      </c>
    </row>
    <row r="1609" spans="1:19" x14ac:dyDescent="0.3">
      <c r="A1609" t="s">
        <v>8</v>
      </c>
      <c r="B1609">
        <f>VLOOKUP(A1609,Sheet2!B:F,5,FALSE)</f>
        <v>928</v>
      </c>
      <c r="C1609" t="s">
        <v>13</v>
      </c>
      <c r="D1609">
        <f>VLOOKUP(C1609,Sheet2!C:G,5,FALSE)</f>
        <v>1184</v>
      </c>
      <c r="E1609" t="s">
        <v>217</v>
      </c>
      <c r="F1609">
        <f>VLOOKUP(E1609,Sheet2!D:E,2,FALSE)</f>
        <v>201027</v>
      </c>
      <c r="G1609" t="s">
        <v>11</v>
      </c>
      <c r="H1609" t="str">
        <f t="shared" si="50"/>
        <v>NAVERting1156</v>
      </c>
      <c r="I1609" t="str">
        <f>"ting1156"</f>
        <v>ting1156</v>
      </c>
      <c r="J1609">
        <v>8310</v>
      </c>
      <c r="K1609" s="1">
        <v>44866</v>
      </c>
      <c r="L1609" t="s">
        <v>1635</v>
      </c>
      <c r="M1609">
        <f t="shared" si="51"/>
        <v>8310</v>
      </c>
      <c r="N1609" t="e">
        <f>VLOOKUP(H1609,Sheet1!G:H,2,FALSE)</f>
        <v>#N/A</v>
      </c>
      <c r="R1609" t="s">
        <v>3533</v>
      </c>
      <c r="S1609">
        <v>36170</v>
      </c>
    </row>
    <row r="1610" spans="1:19" x14ac:dyDescent="0.3">
      <c r="A1610" t="s">
        <v>41</v>
      </c>
      <c r="B1610">
        <f>VLOOKUP(A1610,Sheet2!B:F,5,FALSE)</f>
        <v>926</v>
      </c>
      <c r="C1610" t="s">
        <v>56</v>
      </c>
      <c r="D1610">
        <f>VLOOKUP(C1610,Sheet2!C:G,5,FALSE)</f>
        <v>1207</v>
      </c>
      <c r="E1610" t="s">
        <v>57</v>
      </c>
      <c r="F1610">
        <f>VLOOKUP(E1610,Sheet2!D:E,2,FALSE)</f>
        <v>200982</v>
      </c>
      <c r="G1610" t="s">
        <v>11</v>
      </c>
      <c r="H1610" t="str">
        <f t="shared" si="50"/>
        <v>NAVERtjdskrqhd</v>
      </c>
      <c r="I1610" t="str">
        <f>"tjdskrqhd"</f>
        <v>tjdskrqhd</v>
      </c>
      <c r="J1610">
        <v>321470</v>
      </c>
      <c r="K1610" s="1">
        <v>44866</v>
      </c>
      <c r="L1610" t="s">
        <v>1636</v>
      </c>
      <c r="M1610">
        <f t="shared" si="51"/>
        <v>321470</v>
      </c>
      <c r="N1610" t="e">
        <f>VLOOKUP(H1610,Sheet1!G:H,2,FALSE)</f>
        <v>#N/A</v>
      </c>
      <c r="R1610" t="s">
        <v>3534</v>
      </c>
      <c r="S1610">
        <v>61920</v>
      </c>
    </row>
    <row r="1611" spans="1:19" x14ac:dyDescent="0.3">
      <c r="A1611" t="s">
        <v>8</v>
      </c>
      <c r="B1611">
        <f>VLOOKUP(A1611,Sheet2!B:F,5,FALSE)</f>
        <v>928</v>
      </c>
      <c r="C1611" t="s">
        <v>13</v>
      </c>
      <c r="D1611">
        <f>VLOOKUP(C1611,Sheet2!C:G,5,FALSE)</f>
        <v>1184</v>
      </c>
      <c r="E1611" t="s">
        <v>115</v>
      </c>
      <c r="F1611">
        <f>VLOOKUP(E1611,Sheet2!D:E,2,FALSE)</f>
        <v>1548</v>
      </c>
      <c r="G1611" t="s">
        <v>11</v>
      </c>
      <c r="H1611" t="str">
        <f t="shared" si="50"/>
        <v>NAVERtjdtjdodrmf</v>
      </c>
      <c r="I1611" t="str">
        <f>"tjdtjdodrmf"</f>
        <v>tjdtjdodrmf</v>
      </c>
      <c r="J1611">
        <v>14660</v>
      </c>
      <c r="K1611" s="1">
        <v>44866</v>
      </c>
      <c r="L1611" t="s">
        <v>1637</v>
      </c>
      <c r="M1611">
        <f t="shared" si="51"/>
        <v>14660</v>
      </c>
      <c r="N1611" t="e">
        <f>VLOOKUP(H1611,Sheet1!G:H,2,FALSE)</f>
        <v>#N/A</v>
      </c>
      <c r="R1611" t="s">
        <v>3535</v>
      </c>
      <c r="S1611">
        <v>78550</v>
      </c>
    </row>
    <row r="1612" spans="1:19" x14ac:dyDescent="0.3">
      <c r="A1612" t="s">
        <v>16</v>
      </c>
      <c r="B1612">
        <f>VLOOKUP(A1612,Sheet2!B:F,5,FALSE)</f>
        <v>927</v>
      </c>
      <c r="C1612" t="s">
        <v>17</v>
      </c>
      <c r="D1612">
        <f>VLOOKUP(C1612,Sheet2!C:G,5,FALSE)</f>
        <v>1200</v>
      </c>
      <c r="E1612" t="s">
        <v>137</v>
      </c>
      <c r="F1612">
        <f>VLOOKUP(E1612,Sheet2!D:E,2,FALSE)</f>
        <v>1012</v>
      </c>
      <c r="G1612" t="s">
        <v>11</v>
      </c>
      <c r="H1612" t="str">
        <f t="shared" si="50"/>
        <v>NAVERtjrcozz</v>
      </c>
      <c r="I1612" t="str">
        <f>"tjrcozz"</f>
        <v>tjrcozz</v>
      </c>
      <c r="J1612">
        <v>4730</v>
      </c>
      <c r="K1612" s="1">
        <v>44866</v>
      </c>
      <c r="L1612" t="s">
        <v>1638</v>
      </c>
      <c r="M1612">
        <f t="shared" si="51"/>
        <v>4730</v>
      </c>
      <c r="N1612" t="e">
        <f>VLOOKUP(H1612,Sheet1!G:H,2,FALSE)</f>
        <v>#N/A</v>
      </c>
      <c r="R1612" t="s">
        <v>3536</v>
      </c>
      <c r="S1612">
        <v>120</v>
      </c>
    </row>
    <row r="1613" spans="1:19" x14ac:dyDescent="0.3">
      <c r="A1613" t="s">
        <v>8</v>
      </c>
      <c r="B1613">
        <f>VLOOKUP(A1613,Sheet2!B:F,5,FALSE)</f>
        <v>928</v>
      </c>
      <c r="C1613" t="s">
        <v>9</v>
      </c>
      <c r="D1613">
        <f>VLOOKUP(C1613,Sheet2!C:G,5,FALSE)</f>
        <v>1202</v>
      </c>
      <c r="E1613" t="s">
        <v>37</v>
      </c>
      <c r="F1613">
        <f>VLOOKUP(E1613,Sheet2!D:E,2,FALSE)</f>
        <v>81</v>
      </c>
      <c r="G1613" t="s">
        <v>11</v>
      </c>
      <c r="H1613" t="str">
        <f t="shared" si="50"/>
        <v>NAVERtjrekdflek</v>
      </c>
      <c r="I1613" t="str">
        <f>"tjrekdflek"</f>
        <v>tjrekdflek</v>
      </c>
      <c r="J1613">
        <v>356230</v>
      </c>
      <c r="K1613" s="1">
        <v>44866</v>
      </c>
      <c r="L1613" t="s">
        <v>1639</v>
      </c>
      <c r="M1613">
        <f t="shared" si="51"/>
        <v>356230</v>
      </c>
      <c r="N1613" t="e">
        <f>VLOOKUP(H1613,Sheet1!G:H,2,FALSE)</f>
        <v>#N/A</v>
      </c>
      <c r="R1613" t="s">
        <v>3537</v>
      </c>
      <c r="S1613">
        <v>7581840</v>
      </c>
    </row>
    <row r="1614" spans="1:19" x14ac:dyDescent="0.3">
      <c r="A1614" t="s">
        <v>16</v>
      </c>
      <c r="B1614">
        <f>VLOOKUP(A1614,Sheet2!B:F,5,FALSE)</f>
        <v>927</v>
      </c>
      <c r="C1614" t="s">
        <v>17</v>
      </c>
      <c r="D1614">
        <f>VLOOKUP(C1614,Sheet2!C:G,5,FALSE)</f>
        <v>1200</v>
      </c>
      <c r="E1614" t="s">
        <v>100</v>
      </c>
      <c r="F1614">
        <f>VLOOKUP(E1614,Sheet2!D:E,2,FALSE)</f>
        <v>201038</v>
      </c>
      <c r="G1614" t="s">
        <v>11</v>
      </c>
      <c r="H1614" t="str">
        <f t="shared" si="50"/>
        <v>NAVERtkatmf:naver</v>
      </c>
      <c r="I1614" t="str">
        <f>"tkatmf:naver"</f>
        <v>tkatmf:naver</v>
      </c>
      <c r="J1614">
        <v>1697</v>
      </c>
      <c r="K1614" s="1">
        <v>44866</v>
      </c>
      <c r="L1614" t="s">
        <v>1368</v>
      </c>
      <c r="M1614" t="e">
        <f t="shared" si="51"/>
        <v>#N/A</v>
      </c>
      <c r="N1614" t="e">
        <f>VLOOKUP(H1614,Sheet1!G:H,2,FALSE)</f>
        <v>#N/A</v>
      </c>
      <c r="R1614" t="s">
        <v>3538</v>
      </c>
      <c r="S1614">
        <v>401050</v>
      </c>
    </row>
    <row r="1615" spans="1:19" x14ac:dyDescent="0.3">
      <c r="A1615" t="s">
        <v>8</v>
      </c>
      <c r="B1615">
        <f>VLOOKUP(A1615,Sheet2!B:F,5,FALSE)</f>
        <v>928</v>
      </c>
      <c r="C1615" t="s">
        <v>13</v>
      </c>
      <c r="D1615">
        <f>VLOOKUP(C1615,Sheet2!C:G,5,FALSE)</f>
        <v>1184</v>
      </c>
      <c r="E1615" t="s">
        <v>217</v>
      </c>
      <c r="F1615">
        <f>VLOOKUP(E1615,Sheet2!D:E,2,FALSE)</f>
        <v>201027</v>
      </c>
      <c r="G1615" t="s">
        <v>11</v>
      </c>
      <c r="H1615" t="str">
        <f t="shared" si="50"/>
        <v>NAVERtkbolt326</v>
      </c>
      <c r="I1615" t="str">
        <f>"tkbolt326"</f>
        <v>tkbolt326</v>
      </c>
      <c r="J1615">
        <v>38790</v>
      </c>
      <c r="K1615" s="1">
        <v>44866</v>
      </c>
      <c r="L1615" t="s">
        <v>1640</v>
      </c>
      <c r="M1615">
        <f t="shared" si="51"/>
        <v>38790</v>
      </c>
      <c r="N1615" t="e">
        <f>VLOOKUP(H1615,Sheet1!G:H,2,FALSE)</f>
        <v>#N/A</v>
      </c>
      <c r="R1615" t="s">
        <v>3539</v>
      </c>
      <c r="S1615">
        <v>1170960</v>
      </c>
    </row>
    <row r="1616" spans="1:19" x14ac:dyDescent="0.3">
      <c r="A1616" t="s">
        <v>16</v>
      </c>
      <c r="B1616">
        <f>VLOOKUP(A1616,Sheet2!B:F,5,FALSE)</f>
        <v>927</v>
      </c>
      <c r="C1616" t="s">
        <v>17</v>
      </c>
      <c r="D1616">
        <f>VLOOKUP(C1616,Sheet2!C:G,5,FALSE)</f>
        <v>1200</v>
      </c>
      <c r="E1616" t="s">
        <v>96</v>
      </c>
      <c r="F1616">
        <f>VLOOKUP(E1616,Sheet2!D:E,2,FALSE)</f>
        <v>1271</v>
      </c>
      <c r="G1616" t="s">
        <v>11</v>
      </c>
      <c r="H1616" t="str">
        <f t="shared" si="50"/>
        <v>NAVERtkdaksvvvv:naver</v>
      </c>
      <c r="I1616" t="str">
        <f>"tkdaksvvvv:naver"</f>
        <v>tkdaksvvvv:naver</v>
      </c>
      <c r="J1616">
        <v>1056500</v>
      </c>
      <c r="K1616" s="1">
        <v>44866</v>
      </c>
      <c r="L1616" t="s">
        <v>1641</v>
      </c>
      <c r="M1616">
        <f t="shared" si="51"/>
        <v>1056500</v>
      </c>
      <c r="N1616" t="e">
        <f>VLOOKUP(H1616,Sheet1!G:H,2,FALSE)</f>
        <v>#N/A</v>
      </c>
      <c r="R1616" t="s">
        <v>3540</v>
      </c>
      <c r="S1616">
        <v>348020</v>
      </c>
    </row>
    <row r="1617" spans="1:19" x14ac:dyDescent="0.3">
      <c r="A1617" t="s">
        <v>22</v>
      </c>
      <c r="B1617">
        <f>VLOOKUP(A1617,Sheet2!B:F,5,FALSE)</f>
        <v>809</v>
      </c>
      <c r="C1617" t="s">
        <v>679</v>
      </c>
      <c r="D1617">
        <f>VLOOKUP(C1617,Sheet2!C:G,5,FALSE)</f>
        <v>980</v>
      </c>
      <c r="E1617" t="s">
        <v>680</v>
      </c>
      <c r="F1617">
        <f>VLOOKUP(E1617,Sheet2!D:E,2,FALSE)</f>
        <v>200938</v>
      </c>
      <c r="G1617" t="s">
        <v>11</v>
      </c>
      <c r="H1617" t="str">
        <f t="shared" si="50"/>
        <v>NAVERtkdxo3282</v>
      </c>
      <c r="I1617" t="str">
        <f>"tkdxo3282"</f>
        <v>tkdxo3282</v>
      </c>
      <c r="J1617">
        <v>20624160</v>
      </c>
      <c r="K1617" s="1">
        <v>44866</v>
      </c>
      <c r="L1617" t="s">
        <v>1642</v>
      </c>
      <c r="M1617">
        <f t="shared" si="51"/>
        <v>20624160</v>
      </c>
      <c r="N1617" t="e">
        <f>VLOOKUP(H1617,Sheet1!G:H,2,FALSE)</f>
        <v>#N/A</v>
      </c>
      <c r="R1617" t="s">
        <v>3541</v>
      </c>
      <c r="S1617">
        <v>809950</v>
      </c>
    </row>
    <row r="1618" spans="1:19" x14ac:dyDescent="0.3">
      <c r="A1618" t="s">
        <v>8</v>
      </c>
      <c r="B1618">
        <f>VLOOKUP(A1618,Sheet2!B:F,5,FALSE)</f>
        <v>928</v>
      </c>
      <c r="C1618" t="s">
        <v>13</v>
      </c>
      <c r="D1618">
        <f>VLOOKUP(C1618,Sheet2!C:G,5,FALSE)</f>
        <v>1184</v>
      </c>
      <c r="E1618" t="s">
        <v>51</v>
      </c>
      <c r="F1618">
        <f>VLOOKUP(E1618,Sheet2!D:E,2,FALSE)</f>
        <v>1274</v>
      </c>
      <c r="G1618" t="s">
        <v>11</v>
      </c>
      <c r="H1618" t="str">
        <f t="shared" si="50"/>
        <v>NAVERtkeng21</v>
      </c>
      <c r="I1618" t="str">
        <f>"tkeng21"</f>
        <v>tkeng21</v>
      </c>
      <c r="J1618">
        <v>1540</v>
      </c>
      <c r="K1618" s="1">
        <v>44866</v>
      </c>
      <c r="L1618" t="s">
        <v>1643</v>
      </c>
      <c r="M1618">
        <f t="shared" si="51"/>
        <v>1540</v>
      </c>
      <c r="N1618" t="e">
        <f>VLOOKUP(H1618,Sheet1!G:H,2,FALSE)</f>
        <v>#N/A</v>
      </c>
      <c r="R1618" t="s">
        <v>3542</v>
      </c>
      <c r="S1618">
        <v>172950</v>
      </c>
    </row>
    <row r="1619" spans="1:19" x14ac:dyDescent="0.3">
      <c r="A1619" t="s">
        <v>8</v>
      </c>
      <c r="B1619">
        <f>VLOOKUP(A1619,Sheet2!B:F,5,FALSE)</f>
        <v>928</v>
      </c>
      <c r="C1619" t="s">
        <v>9</v>
      </c>
      <c r="D1619">
        <f>VLOOKUP(C1619,Sheet2!C:G,5,FALSE)</f>
        <v>1202</v>
      </c>
      <c r="E1619" t="s">
        <v>37</v>
      </c>
      <c r="F1619">
        <f>VLOOKUP(E1619,Sheet2!D:E,2,FALSE)</f>
        <v>81</v>
      </c>
      <c r="G1619" t="s">
        <v>11</v>
      </c>
      <c r="H1619" t="str">
        <f t="shared" si="50"/>
        <v>NAVERtkfkdgo3a</v>
      </c>
      <c r="I1619" t="str">
        <f>"tkfkdgo3a"</f>
        <v>tkfkdgo3a</v>
      </c>
      <c r="J1619">
        <v>75440</v>
      </c>
      <c r="K1619" s="1">
        <v>44866</v>
      </c>
      <c r="L1619" t="s">
        <v>1644</v>
      </c>
      <c r="M1619">
        <f t="shared" si="51"/>
        <v>75440</v>
      </c>
      <c r="N1619" t="e">
        <f>VLOOKUP(H1619,Sheet1!G:H,2,FALSE)</f>
        <v>#N/A</v>
      </c>
      <c r="R1619" t="s">
        <v>3543</v>
      </c>
      <c r="S1619">
        <v>231190</v>
      </c>
    </row>
    <row r="1620" spans="1:19" x14ac:dyDescent="0.3">
      <c r="A1620" t="s">
        <v>16</v>
      </c>
      <c r="B1620">
        <f>VLOOKUP(A1620,Sheet2!B:F,5,FALSE)</f>
        <v>927</v>
      </c>
      <c r="C1620" t="s">
        <v>17</v>
      </c>
      <c r="D1620">
        <f>VLOOKUP(C1620,Sheet2!C:G,5,FALSE)</f>
        <v>1200</v>
      </c>
      <c r="E1620" t="s">
        <v>78</v>
      </c>
      <c r="F1620">
        <f>VLOOKUP(E1620,Sheet2!D:E,2,FALSE)</f>
        <v>57</v>
      </c>
      <c r="G1620" t="s">
        <v>11</v>
      </c>
      <c r="H1620" t="str">
        <f t="shared" si="50"/>
        <v>NAVERtkhealthcare</v>
      </c>
      <c r="I1620" t="str">
        <f>"tkhealthcare"</f>
        <v>tkhealthcare</v>
      </c>
      <c r="J1620">
        <v>451980</v>
      </c>
      <c r="K1620" s="1">
        <v>44866</v>
      </c>
      <c r="L1620" t="s">
        <v>1645</v>
      </c>
      <c r="M1620">
        <f t="shared" si="51"/>
        <v>451980</v>
      </c>
      <c r="N1620" t="e">
        <f>VLOOKUP(H1620,Sheet1!G:H,2,FALSE)</f>
        <v>#N/A</v>
      </c>
      <c r="R1620" t="s">
        <v>3544</v>
      </c>
      <c r="S1620">
        <v>1695330</v>
      </c>
    </row>
    <row r="1621" spans="1:19" x14ac:dyDescent="0.3">
      <c r="A1621" t="s">
        <v>41</v>
      </c>
      <c r="B1621">
        <f>VLOOKUP(A1621,Sheet2!B:F,5,FALSE)</f>
        <v>926</v>
      </c>
      <c r="C1621" t="s">
        <v>56</v>
      </c>
      <c r="D1621">
        <f>VLOOKUP(C1621,Sheet2!C:G,5,FALSE)</f>
        <v>1207</v>
      </c>
      <c r="E1621" t="s">
        <v>57</v>
      </c>
      <c r="F1621">
        <f>VLOOKUP(E1621,Sheet2!D:E,2,FALSE)</f>
        <v>200982</v>
      </c>
      <c r="G1621" t="s">
        <v>11</v>
      </c>
      <c r="H1621" t="str">
        <f t="shared" si="50"/>
        <v>NAVERtksqkek77:naver</v>
      </c>
      <c r="I1621" t="str">
        <f>"tksqkek77:naver"</f>
        <v>tksqkek77:naver</v>
      </c>
      <c r="J1621">
        <v>3490</v>
      </c>
      <c r="K1621" s="1">
        <v>44866</v>
      </c>
      <c r="L1621" t="s">
        <v>1646</v>
      </c>
      <c r="M1621">
        <f t="shared" si="51"/>
        <v>3490</v>
      </c>
      <c r="N1621" t="e">
        <f>VLOOKUP(H1621,Sheet1!G:H,2,FALSE)</f>
        <v>#N/A</v>
      </c>
      <c r="R1621" t="s">
        <v>3545</v>
      </c>
      <c r="S1621">
        <v>539270</v>
      </c>
    </row>
    <row r="1622" spans="1:19" x14ac:dyDescent="0.3">
      <c r="A1622" t="s">
        <v>8</v>
      </c>
      <c r="B1622">
        <f>VLOOKUP(A1622,Sheet2!B:F,5,FALSE)</f>
        <v>928</v>
      </c>
      <c r="C1622" t="s">
        <v>9</v>
      </c>
      <c r="D1622">
        <f>VLOOKUP(C1622,Sheet2!C:G,5,FALSE)</f>
        <v>1202</v>
      </c>
      <c r="E1622" t="s">
        <v>27</v>
      </c>
      <c r="F1622">
        <f>VLOOKUP(E1622,Sheet2!D:E,2,FALSE)</f>
        <v>806</v>
      </c>
      <c r="G1622" t="s">
        <v>11</v>
      </c>
      <c r="H1622" t="str">
        <f t="shared" si="50"/>
        <v>NAVERtls3880:naver</v>
      </c>
      <c r="I1622" t="str">
        <f>"tls3880:naver"</f>
        <v>tls3880:naver</v>
      </c>
      <c r="J1622">
        <v>335010</v>
      </c>
      <c r="K1622" s="1">
        <v>44866</v>
      </c>
      <c r="L1622" t="s">
        <v>1208</v>
      </c>
      <c r="M1622">
        <f t="shared" si="51"/>
        <v>335010</v>
      </c>
      <c r="N1622" t="e">
        <f>VLOOKUP(H1622,Sheet1!G:H,2,FALSE)</f>
        <v>#N/A</v>
      </c>
      <c r="R1622" t="s">
        <v>3546</v>
      </c>
      <c r="S1622">
        <v>732100</v>
      </c>
    </row>
    <row r="1623" spans="1:19" x14ac:dyDescent="0.3">
      <c r="A1623" t="s">
        <v>8</v>
      </c>
      <c r="B1623">
        <f>VLOOKUP(A1623,Sheet2!B:F,5,FALSE)</f>
        <v>928</v>
      </c>
      <c r="C1623" t="s">
        <v>9</v>
      </c>
      <c r="D1623">
        <f>VLOOKUP(C1623,Sheet2!C:G,5,FALSE)</f>
        <v>1202</v>
      </c>
      <c r="E1623" t="s">
        <v>37</v>
      </c>
      <c r="F1623">
        <f>VLOOKUP(E1623,Sheet2!D:E,2,FALSE)</f>
        <v>81</v>
      </c>
      <c r="G1623" t="s">
        <v>11</v>
      </c>
      <c r="H1623" t="str">
        <f t="shared" si="50"/>
        <v>NAVERtlsrhkdxkdlf</v>
      </c>
      <c r="I1623" t="str">
        <f>"tlsrhkdxkdlf"</f>
        <v>tlsrhkdxkdlf</v>
      </c>
      <c r="J1623">
        <v>19420</v>
      </c>
      <c r="K1623" s="1">
        <v>44866</v>
      </c>
      <c r="L1623" t="s">
        <v>1647</v>
      </c>
      <c r="M1623">
        <f t="shared" si="51"/>
        <v>19420</v>
      </c>
      <c r="N1623" t="e">
        <f>VLOOKUP(H1623,Sheet1!G:H,2,FALSE)</f>
        <v>#N/A</v>
      </c>
      <c r="R1623" t="s">
        <v>3547</v>
      </c>
      <c r="S1623">
        <v>730930</v>
      </c>
    </row>
    <row r="1624" spans="1:19" x14ac:dyDescent="0.3">
      <c r="A1624" t="s">
        <v>16</v>
      </c>
      <c r="B1624">
        <f>VLOOKUP(A1624,Sheet2!B:F,5,FALSE)</f>
        <v>927</v>
      </c>
      <c r="C1624" t="s">
        <v>17</v>
      </c>
      <c r="D1624">
        <f>VLOOKUP(C1624,Sheet2!C:G,5,FALSE)</f>
        <v>1200</v>
      </c>
      <c r="E1624" t="s">
        <v>244</v>
      </c>
      <c r="F1624">
        <f>VLOOKUP(E1624,Sheet2!D:E,2,FALSE)</f>
        <v>817</v>
      </c>
      <c r="G1624" t="s">
        <v>11</v>
      </c>
      <c r="H1624" t="str">
        <f t="shared" si="50"/>
        <v>NAVERtodam2015</v>
      </c>
      <c r="I1624" t="str">
        <f>"todam2015"</f>
        <v>todam2015</v>
      </c>
      <c r="J1624">
        <v>298210</v>
      </c>
      <c r="K1624" s="1">
        <v>44866</v>
      </c>
      <c r="L1624" t="s">
        <v>25</v>
      </c>
      <c r="M1624">
        <f t="shared" si="51"/>
        <v>298210</v>
      </c>
      <c r="N1624" t="e">
        <f>VLOOKUP(H1624,Sheet1!G:H,2,FALSE)</f>
        <v>#N/A</v>
      </c>
      <c r="R1624" t="s">
        <v>3548</v>
      </c>
      <c r="S1624">
        <v>30960</v>
      </c>
    </row>
    <row r="1625" spans="1:19" x14ac:dyDescent="0.3">
      <c r="A1625" t="s">
        <v>16</v>
      </c>
      <c r="B1625">
        <f>VLOOKUP(A1625,Sheet2!B:F,5,FALSE)</f>
        <v>927</v>
      </c>
      <c r="C1625" t="s">
        <v>17</v>
      </c>
      <c r="D1625">
        <f>VLOOKUP(C1625,Sheet2!C:G,5,FALSE)</f>
        <v>1200</v>
      </c>
      <c r="E1625" t="s">
        <v>78</v>
      </c>
      <c r="F1625">
        <f>VLOOKUP(E1625,Sheet2!D:E,2,FALSE)</f>
        <v>57</v>
      </c>
      <c r="G1625" t="s">
        <v>11</v>
      </c>
      <c r="H1625" t="str">
        <f t="shared" si="50"/>
        <v>NAVERtodaypick</v>
      </c>
      <c r="I1625" t="str">
        <f>"todaypick"</f>
        <v>todaypick</v>
      </c>
      <c r="J1625">
        <v>516840</v>
      </c>
      <c r="K1625" s="1">
        <v>44866</v>
      </c>
      <c r="L1625" t="s">
        <v>1648</v>
      </c>
      <c r="M1625">
        <f t="shared" si="51"/>
        <v>529890</v>
      </c>
      <c r="N1625" t="e">
        <f>VLOOKUP(H1625,Sheet1!G:H,2,FALSE)</f>
        <v>#N/A</v>
      </c>
      <c r="R1625" t="s">
        <v>3549</v>
      </c>
      <c r="S1625">
        <v>6950740</v>
      </c>
    </row>
    <row r="1626" spans="1:19" x14ac:dyDescent="0.3">
      <c r="A1626" t="s">
        <v>16</v>
      </c>
      <c r="B1626">
        <f>VLOOKUP(A1626,Sheet2!B:F,5,FALSE)</f>
        <v>927</v>
      </c>
      <c r="C1626" t="s">
        <v>17</v>
      </c>
      <c r="D1626">
        <f>VLOOKUP(C1626,Sheet2!C:G,5,FALSE)</f>
        <v>1200</v>
      </c>
      <c r="E1626" t="s">
        <v>100</v>
      </c>
      <c r="F1626">
        <f>VLOOKUP(E1626,Sheet2!D:E,2,FALSE)</f>
        <v>201038</v>
      </c>
      <c r="G1626" t="s">
        <v>11</v>
      </c>
      <c r="H1626" t="str">
        <f t="shared" si="50"/>
        <v>NAVERtogukco</v>
      </c>
      <c r="I1626" t="str">
        <f>"togukco"</f>
        <v>togukco</v>
      </c>
      <c r="J1626">
        <v>45180</v>
      </c>
      <c r="K1626" s="1">
        <v>44866</v>
      </c>
      <c r="L1626" t="s">
        <v>1649</v>
      </c>
      <c r="M1626">
        <f t="shared" si="51"/>
        <v>46420</v>
      </c>
      <c r="N1626" t="e">
        <f>VLOOKUP(H1626,Sheet1!G:H,2,FALSE)</f>
        <v>#N/A</v>
      </c>
      <c r="R1626" t="s">
        <v>3550</v>
      </c>
      <c r="S1626">
        <v>104990</v>
      </c>
    </row>
    <row r="1627" spans="1:19" x14ac:dyDescent="0.3">
      <c r="A1627" t="s">
        <v>8</v>
      </c>
      <c r="B1627">
        <f>VLOOKUP(A1627,Sheet2!B:F,5,FALSE)</f>
        <v>928</v>
      </c>
      <c r="C1627" t="s">
        <v>9</v>
      </c>
      <c r="D1627">
        <f>VLOOKUP(C1627,Sheet2!C:G,5,FALSE)</f>
        <v>1202</v>
      </c>
      <c r="E1627" t="s">
        <v>37</v>
      </c>
      <c r="F1627">
        <f>VLOOKUP(E1627,Sheet2!D:E,2,FALSE)</f>
        <v>81</v>
      </c>
      <c r="G1627" t="s">
        <v>11</v>
      </c>
      <c r="H1627" t="str">
        <f t="shared" si="50"/>
        <v>NAVERtomas009</v>
      </c>
      <c r="I1627" t="str">
        <f>"tomas009"</f>
        <v>tomas009</v>
      </c>
      <c r="J1627">
        <v>691890</v>
      </c>
      <c r="K1627" s="1">
        <v>44866</v>
      </c>
      <c r="L1627" t="s">
        <v>1650</v>
      </c>
      <c r="M1627">
        <f t="shared" si="51"/>
        <v>691890</v>
      </c>
      <c r="N1627" t="e">
        <f>VLOOKUP(H1627,Sheet1!G:H,2,FALSE)</f>
        <v>#N/A</v>
      </c>
      <c r="R1627" t="s">
        <v>3551</v>
      </c>
      <c r="S1627">
        <v>22210</v>
      </c>
    </row>
    <row r="1628" spans="1:19" x14ac:dyDescent="0.3">
      <c r="A1628" t="s">
        <v>8</v>
      </c>
      <c r="B1628">
        <f>VLOOKUP(A1628,Sheet2!B:F,5,FALSE)</f>
        <v>928</v>
      </c>
      <c r="C1628" t="s">
        <v>9</v>
      </c>
      <c r="D1628">
        <f>VLOOKUP(C1628,Sheet2!C:G,5,FALSE)</f>
        <v>1202</v>
      </c>
      <c r="E1628" t="s">
        <v>45</v>
      </c>
      <c r="F1628">
        <f>VLOOKUP(E1628,Sheet2!D:E,2,FALSE)</f>
        <v>26</v>
      </c>
      <c r="G1628" t="s">
        <v>11</v>
      </c>
      <c r="H1628" t="str">
        <f t="shared" si="50"/>
        <v>NAVERtomatobag</v>
      </c>
      <c r="I1628" t="str">
        <f>"tomatobag"</f>
        <v>tomatobag</v>
      </c>
      <c r="J1628">
        <v>1156130</v>
      </c>
      <c r="K1628" s="1">
        <v>44866</v>
      </c>
      <c r="L1628" t="s">
        <v>1651</v>
      </c>
      <c r="M1628">
        <f t="shared" si="51"/>
        <v>1156130</v>
      </c>
      <c r="N1628" t="e">
        <f>VLOOKUP(H1628,Sheet1!G:H,2,FALSE)</f>
        <v>#N/A</v>
      </c>
      <c r="R1628" t="s">
        <v>3552</v>
      </c>
      <c r="S1628">
        <v>510870</v>
      </c>
    </row>
    <row r="1629" spans="1:19" x14ac:dyDescent="0.3">
      <c r="A1629" t="s">
        <v>16</v>
      </c>
      <c r="B1629">
        <f>VLOOKUP(A1629,Sheet2!B:F,5,FALSE)</f>
        <v>927</v>
      </c>
      <c r="C1629" t="s">
        <v>17</v>
      </c>
      <c r="D1629">
        <f>VLOOKUP(C1629,Sheet2!C:G,5,FALSE)</f>
        <v>1200</v>
      </c>
      <c r="E1629" t="s">
        <v>93</v>
      </c>
      <c r="F1629">
        <f>VLOOKUP(E1629,Sheet2!D:E,2,FALSE)</f>
        <v>930</v>
      </c>
      <c r="G1629" t="s">
        <v>11</v>
      </c>
      <c r="H1629" t="str">
        <f t="shared" si="50"/>
        <v>NAVERtoopiece2:naver</v>
      </c>
      <c r="I1629" t="str">
        <f>"toopiece2:naver"</f>
        <v>toopiece2:naver</v>
      </c>
      <c r="J1629">
        <v>1089380</v>
      </c>
      <c r="K1629" s="1">
        <v>44866</v>
      </c>
      <c r="L1629" t="s">
        <v>1652</v>
      </c>
      <c r="M1629">
        <f t="shared" si="51"/>
        <v>1120140</v>
      </c>
      <c r="N1629" t="e">
        <f>VLOOKUP(H1629,Sheet1!G:H,2,FALSE)</f>
        <v>#N/A</v>
      </c>
      <c r="R1629" t="s">
        <v>3553</v>
      </c>
      <c r="S1629">
        <v>814240</v>
      </c>
    </row>
    <row r="1630" spans="1:19" x14ac:dyDescent="0.3">
      <c r="A1630" t="s">
        <v>22</v>
      </c>
      <c r="B1630">
        <f>VLOOKUP(A1630,Sheet2!B:F,5,FALSE)</f>
        <v>809</v>
      </c>
      <c r="C1630" t="s">
        <v>23</v>
      </c>
      <c r="D1630">
        <f>VLOOKUP(C1630,Sheet2!C:G,5,FALSE)</f>
        <v>810</v>
      </c>
      <c r="E1630" t="s">
        <v>86</v>
      </c>
      <c r="F1630">
        <f>VLOOKUP(E1630,Sheet2!D:E,2,FALSE)</f>
        <v>201021</v>
      </c>
      <c r="G1630" t="s">
        <v>11</v>
      </c>
      <c r="H1630" t="str">
        <f t="shared" si="50"/>
        <v>NAVERtopazpila:naver</v>
      </c>
      <c r="I1630" t="str">
        <f>"topazpila:naver"</f>
        <v>topazpila:naver</v>
      </c>
      <c r="J1630">
        <v>1156500</v>
      </c>
      <c r="K1630" s="1">
        <v>44866</v>
      </c>
      <c r="L1630" t="s">
        <v>1653</v>
      </c>
      <c r="M1630">
        <f t="shared" si="51"/>
        <v>1156500</v>
      </c>
      <c r="N1630" t="e">
        <f>VLOOKUP(H1630,Sheet1!G:H,2,FALSE)</f>
        <v>#N/A</v>
      </c>
      <c r="R1630" t="s">
        <v>3554</v>
      </c>
      <c r="S1630">
        <v>4250</v>
      </c>
    </row>
    <row r="1631" spans="1:19" x14ac:dyDescent="0.3">
      <c r="A1631" t="s">
        <v>8</v>
      </c>
      <c r="B1631">
        <f>VLOOKUP(A1631,Sheet2!B:F,5,FALSE)</f>
        <v>928</v>
      </c>
      <c r="C1631" t="s">
        <v>13</v>
      </c>
      <c r="D1631">
        <f>VLOOKUP(C1631,Sheet2!C:G,5,FALSE)</f>
        <v>1184</v>
      </c>
      <c r="E1631" t="s">
        <v>59</v>
      </c>
      <c r="F1631">
        <f>VLOOKUP(E1631,Sheet2!D:E,2,FALSE)</f>
        <v>9</v>
      </c>
      <c r="G1631" t="s">
        <v>11</v>
      </c>
      <c r="H1631" t="str">
        <f t="shared" si="50"/>
        <v>NAVERtopeng</v>
      </c>
      <c r="I1631" t="str">
        <f>"topeng"</f>
        <v>topeng</v>
      </c>
      <c r="J1631">
        <v>28140</v>
      </c>
      <c r="K1631" s="1">
        <v>44866</v>
      </c>
      <c r="L1631" t="s">
        <v>1654</v>
      </c>
      <c r="M1631">
        <f t="shared" si="51"/>
        <v>28140</v>
      </c>
      <c r="N1631" t="e">
        <f>VLOOKUP(H1631,Sheet1!G:H,2,FALSE)</f>
        <v>#N/A</v>
      </c>
      <c r="R1631" t="s">
        <v>3555</v>
      </c>
      <c r="S1631">
        <v>1353690</v>
      </c>
    </row>
    <row r="1632" spans="1:19" x14ac:dyDescent="0.3">
      <c r="A1632" t="s">
        <v>16</v>
      </c>
      <c r="B1632">
        <f>VLOOKUP(A1632,Sheet2!B:F,5,FALSE)</f>
        <v>927</v>
      </c>
      <c r="C1632" t="s">
        <v>17</v>
      </c>
      <c r="D1632">
        <f>VLOOKUP(C1632,Sheet2!C:G,5,FALSE)</f>
        <v>1200</v>
      </c>
      <c r="E1632" t="s">
        <v>100</v>
      </c>
      <c r="F1632">
        <f>VLOOKUP(E1632,Sheet2!D:E,2,FALSE)</f>
        <v>201038</v>
      </c>
      <c r="G1632" t="s">
        <v>11</v>
      </c>
      <c r="H1632" t="str">
        <f t="shared" si="50"/>
        <v>NAVERtopncar</v>
      </c>
      <c r="I1632" t="str">
        <f>"topncar"</f>
        <v>topncar</v>
      </c>
      <c r="J1632">
        <v>790580</v>
      </c>
      <c r="K1632" s="1">
        <v>44866</v>
      </c>
      <c r="L1632" t="s">
        <v>1655</v>
      </c>
      <c r="M1632">
        <f t="shared" si="51"/>
        <v>790580</v>
      </c>
      <c r="N1632" t="e">
        <f>VLOOKUP(H1632,Sheet1!G:H,2,FALSE)</f>
        <v>#N/A</v>
      </c>
      <c r="R1632" t="s">
        <v>3556</v>
      </c>
      <c r="S1632">
        <v>0</v>
      </c>
    </row>
    <row r="1633" spans="1:19" x14ac:dyDescent="0.3">
      <c r="A1633" t="s">
        <v>41</v>
      </c>
      <c r="B1633">
        <f>VLOOKUP(A1633,Sheet2!B:F,5,FALSE)</f>
        <v>926</v>
      </c>
      <c r="C1633" t="s">
        <v>56</v>
      </c>
      <c r="D1633">
        <f>VLOOKUP(C1633,Sheet2!C:G,5,FALSE)</f>
        <v>1207</v>
      </c>
      <c r="E1633" t="s">
        <v>64</v>
      </c>
      <c r="F1633">
        <f>VLOOKUP(E1633,Sheet2!D:E,2,FALSE)</f>
        <v>201011</v>
      </c>
      <c r="G1633" t="s">
        <v>11</v>
      </c>
      <c r="H1633" t="str">
        <f t="shared" si="50"/>
        <v>NAVERtops3860</v>
      </c>
      <c r="I1633" t="str">
        <f>"tops3860"</f>
        <v>tops3860</v>
      </c>
      <c r="J1633">
        <v>105900</v>
      </c>
      <c r="K1633" s="1">
        <v>44866</v>
      </c>
      <c r="L1633" t="s">
        <v>1656</v>
      </c>
      <c r="M1633">
        <f t="shared" si="51"/>
        <v>105900</v>
      </c>
      <c r="N1633" t="e">
        <f>VLOOKUP(H1633,Sheet1!G:H,2,FALSE)</f>
        <v>#N/A</v>
      </c>
      <c r="R1633" t="s">
        <v>3557</v>
      </c>
      <c r="S1633">
        <v>38050</v>
      </c>
    </row>
    <row r="1634" spans="1:19" x14ac:dyDescent="0.3">
      <c r="A1634" t="s">
        <v>16</v>
      </c>
      <c r="B1634">
        <f>VLOOKUP(A1634,Sheet2!B:F,5,FALSE)</f>
        <v>927</v>
      </c>
      <c r="C1634" t="s">
        <v>17</v>
      </c>
      <c r="D1634">
        <f>VLOOKUP(C1634,Sheet2!C:G,5,FALSE)</f>
        <v>1200</v>
      </c>
      <c r="E1634" t="s">
        <v>100</v>
      </c>
      <c r="F1634">
        <f>VLOOKUP(E1634,Sheet2!D:E,2,FALSE)</f>
        <v>201038</v>
      </c>
      <c r="G1634" t="s">
        <v>11</v>
      </c>
      <c r="H1634" t="str">
        <f t="shared" si="50"/>
        <v>NAVERtotal__wood:naver</v>
      </c>
      <c r="I1634" t="str">
        <f>"total__wood:naver"</f>
        <v>total__wood:naver</v>
      </c>
      <c r="J1634">
        <v>82920</v>
      </c>
      <c r="K1634" s="1">
        <v>44866</v>
      </c>
      <c r="L1634" t="s">
        <v>1657</v>
      </c>
      <c r="M1634">
        <f t="shared" si="51"/>
        <v>82920</v>
      </c>
      <c r="N1634" t="e">
        <f>VLOOKUP(H1634,Sheet1!G:H,2,FALSE)</f>
        <v>#N/A</v>
      </c>
      <c r="R1634" t="s">
        <v>3558</v>
      </c>
      <c r="S1634">
        <v>0</v>
      </c>
    </row>
    <row r="1635" spans="1:19" x14ac:dyDescent="0.3">
      <c r="A1635" t="s">
        <v>8</v>
      </c>
      <c r="B1635">
        <f>VLOOKUP(A1635,Sheet2!B:F,5,FALSE)</f>
        <v>928</v>
      </c>
      <c r="C1635" t="s">
        <v>9</v>
      </c>
      <c r="D1635">
        <f>VLOOKUP(C1635,Sheet2!C:G,5,FALSE)</f>
        <v>1202</v>
      </c>
      <c r="E1635" t="s">
        <v>37</v>
      </c>
      <c r="F1635">
        <f>VLOOKUP(E1635,Sheet2!D:E,2,FALSE)</f>
        <v>81</v>
      </c>
      <c r="G1635" t="s">
        <v>11</v>
      </c>
      <c r="H1635" t="str">
        <f t="shared" si="50"/>
        <v>NAVERtotalmgv5409</v>
      </c>
      <c r="I1635" t="str">
        <f>"totalmgv5409"</f>
        <v>totalmgv5409</v>
      </c>
      <c r="J1635">
        <v>5870040</v>
      </c>
      <c r="K1635" s="1">
        <v>44866</v>
      </c>
      <c r="L1635" t="s">
        <v>1658</v>
      </c>
      <c r="M1635">
        <f t="shared" si="51"/>
        <v>5870040</v>
      </c>
      <c r="N1635" t="e">
        <f>VLOOKUP(H1635,Sheet1!G:H,2,FALSE)</f>
        <v>#N/A</v>
      </c>
      <c r="R1635" t="s">
        <v>3559</v>
      </c>
      <c r="S1635">
        <v>0</v>
      </c>
    </row>
    <row r="1636" spans="1:19" x14ac:dyDescent="0.3">
      <c r="A1636" t="s">
        <v>41</v>
      </c>
      <c r="B1636">
        <f>VLOOKUP(A1636,Sheet2!B:F,5,FALSE)</f>
        <v>926</v>
      </c>
      <c r="C1636" t="s">
        <v>56</v>
      </c>
      <c r="D1636">
        <f>VLOOKUP(C1636,Sheet2!C:G,5,FALSE)</f>
        <v>1207</v>
      </c>
      <c r="E1636" t="s">
        <v>57</v>
      </c>
      <c r="F1636">
        <f>VLOOKUP(E1636,Sheet2!D:E,2,FALSE)</f>
        <v>200982</v>
      </c>
      <c r="G1636" t="s">
        <v>11</v>
      </c>
      <c r="H1636" t="str">
        <f t="shared" si="50"/>
        <v>NAVERtourmktg</v>
      </c>
      <c r="I1636" t="str">
        <f>"tourmktg"</f>
        <v>tourmktg</v>
      </c>
      <c r="J1636">
        <v>456340</v>
      </c>
      <c r="K1636" s="1">
        <v>44866</v>
      </c>
      <c r="L1636" t="s">
        <v>1362</v>
      </c>
      <c r="M1636">
        <f t="shared" si="51"/>
        <v>456340</v>
      </c>
      <c r="N1636" t="e">
        <f>VLOOKUP(H1636,Sheet1!G:H,2,FALSE)</f>
        <v>#N/A</v>
      </c>
      <c r="R1636" t="s">
        <v>3560</v>
      </c>
      <c r="S1636">
        <v>272140</v>
      </c>
    </row>
    <row r="1637" spans="1:19" x14ac:dyDescent="0.3">
      <c r="A1637" t="s">
        <v>8</v>
      </c>
      <c r="B1637">
        <f>VLOOKUP(A1637,Sheet2!B:F,5,FALSE)</f>
        <v>928</v>
      </c>
      <c r="C1637" t="s">
        <v>9</v>
      </c>
      <c r="D1637">
        <f>VLOOKUP(C1637,Sheet2!C:G,5,FALSE)</f>
        <v>1202</v>
      </c>
      <c r="E1637" t="s">
        <v>27</v>
      </c>
      <c r="F1637">
        <f>VLOOKUP(E1637,Sheet2!D:E,2,FALSE)</f>
        <v>806</v>
      </c>
      <c r="G1637" t="s">
        <v>11</v>
      </c>
      <c r="H1637" t="str">
        <f t="shared" si="50"/>
        <v>NAVERtove2020</v>
      </c>
      <c r="I1637" t="str">
        <f>"tove2020"</f>
        <v>tove2020</v>
      </c>
      <c r="J1637">
        <v>1890</v>
      </c>
      <c r="K1637" s="1">
        <v>44866</v>
      </c>
      <c r="L1637" t="s">
        <v>1659</v>
      </c>
      <c r="M1637">
        <f t="shared" si="51"/>
        <v>1890</v>
      </c>
      <c r="N1637" t="e">
        <f>VLOOKUP(H1637,Sheet1!G:H,2,FALSE)</f>
        <v>#N/A</v>
      </c>
      <c r="R1637" t="s">
        <v>3561</v>
      </c>
      <c r="S1637">
        <v>13060</v>
      </c>
    </row>
    <row r="1638" spans="1:19" x14ac:dyDescent="0.3">
      <c r="A1638" t="s">
        <v>8</v>
      </c>
      <c r="B1638">
        <f>VLOOKUP(A1638,Sheet2!B:F,5,FALSE)</f>
        <v>928</v>
      </c>
      <c r="C1638" t="s">
        <v>9</v>
      </c>
      <c r="D1638">
        <f>VLOOKUP(C1638,Sheet2!C:G,5,FALSE)</f>
        <v>1202</v>
      </c>
      <c r="E1638" t="s">
        <v>75</v>
      </c>
      <c r="F1638">
        <f>VLOOKUP(E1638,Sheet2!D:E,2,FALSE)</f>
        <v>50</v>
      </c>
      <c r="G1638" t="s">
        <v>11</v>
      </c>
      <c r="H1638" t="str">
        <f t="shared" si="50"/>
        <v>NAVERtree2547</v>
      </c>
      <c r="I1638" t="str">
        <f>"tree2547"</f>
        <v>tree2547</v>
      </c>
      <c r="J1638">
        <v>705070</v>
      </c>
      <c r="K1638" s="1">
        <v>44866</v>
      </c>
      <c r="L1638" t="s">
        <v>1660</v>
      </c>
      <c r="M1638" t="e">
        <f t="shared" si="51"/>
        <v>#N/A</v>
      </c>
      <c r="N1638" t="str">
        <f>VLOOKUP(H1638,Sheet1!G:H,2,FALSE)</f>
        <v>1년에 한두달 광고하는 광고주며 광고주가 통화를 끊어버림</v>
      </c>
      <c r="R1638" t="s">
        <v>3562</v>
      </c>
      <c r="S1638">
        <v>312580</v>
      </c>
    </row>
    <row r="1639" spans="1:19" x14ac:dyDescent="0.3">
      <c r="A1639" t="s">
        <v>16</v>
      </c>
      <c r="B1639">
        <f>VLOOKUP(A1639,Sheet2!B:F,5,FALSE)</f>
        <v>927</v>
      </c>
      <c r="C1639" t="s">
        <v>17</v>
      </c>
      <c r="D1639">
        <f>VLOOKUP(C1639,Sheet2!C:G,5,FALSE)</f>
        <v>1200</v>
      </c>
      <c r="E1639" t="s">
        <v>78</v>
      </c>
      <c r="F1639">
        <f>VLOOKUP(E1639,Sheet2!D:E,2,FALSE)</f>
        <v>57</v>
      </c>
      <c r="G1639" t="s">
        <v>11</v>
      </c>
      <c r="H1639" t="str">
        <f t="shared" si="50"/>
        <v>NAVERtrendkkim:naver</v>
      </c>
      <c r="I1639" t="str">
        <f>"trendkkim:naver"</f>
        <v>trendkkim:naver</v>
      </c>
      <c r="J1639">
        <v>737580</v>
      </c>
      <c r="K1639" s="1">
        <v>44866</v>
      </c>
      <c r="L1639" t="s">
        <v>1661</v>
      </c>
      <c r="M1639">
        <f t="shared" si="51"/>
        <v>737580</v>
      </c>
      <c r="N1639" t="e">
        <f>VLOOKUP(H1639,Sheet1!G:H,2,FALSE)</f>
        <v>#N/A</v>
      </c>
      <c r="R1639" t="s">
        <v>3563</v>
      </c>
      <c r="S1639">
        <v>818370</v>
      </c>
    </row>
    <row r="1640" spans="1:19" x14ac:dyDescent="0.3">
      <c r="A1640" t="s">
        <v>8</v>
      </c>
      <c r="B1640">
        <f>VLOOKUP(A1640,Sheet2!B:F,5,FALSE)</f>
        <v>928</v>
      </c>
      <c r="C1640" t="s">
        <v>9</v>
      </c>
      <c r="D1640">
        <f>VLOOKUP(C1640,Sheet2!C:G,5,FALSE)</f>
        <v>1202</v>
      </c>
      <c r="E1640" t="s">
        <v>45</v>
      </c>
      <c r="F1640">
        <f>VLOOKUP(E1640,Sheet2!D:E,2,FALSE)</f>
        <v>26</v>
      </c>
      <c r="G1640" t="s">
        <v>11</v>
      </c>
      <c r="H1640" t="str">
        <f t="shared" si="50"/>
        <v>NAVERts1234</v>
      </c>
      <c r="I1640" t="str">
        <f>"ts1234"</f>
        <v>ts1234</v>
      </c>
      <c r="J1640">
        <v>75070</v>
      </c>
      <c r="K1640" s="1">
        <v>44866</v>
      </c>
      <c r="L1640" t="s">
        <v>1662</v>
      </c>
      <c r="M1640">
        <f t="shared" si="51"/>
        <v>45590</v>
      </c>
      <c r="N1640" t="e">
        <f>VLOOKUP(H1640,Sheet1!G:H,2,FALSE)</f>
        <v>#N/A</v>
      </c>
      <c r="R1640" t="s">
        <v>3564</v>
      </c>
      <c r="S1640">
        <v>248840</v>
      </c>
    </row>
    <row r="1641" spans="1:19" x14ac:dyDescent="0.3">
      <c r="A1641" t="s">
        <v>8</v>
      </c>
      <c r="B1641">
        <f>VLOOKUP(A1641,Sheet2!B:F,5,FALSE)</f>
        <v>928</v>
      </c>
      <c r="C1641" t="s">
        <v>9</v>
      </c>
      <c r="D1641">
        <f>VLOOKUP(C1641,Sheet2!C:G,5,FALSE)</f>
        <v>1202</v>
      </c>
      <c r="E1641" t="s">
        <v>477</v>
      </c>
      <c r="F1641">
        <f>VLOOKUP(E1641,Sheet2!D:E,2,FALSE)</f>
        <v>201112</v>
      </c>
      <c r="G1641" t="s">
        <v>11</v>
      </c>
      <c r="H1641" t="str">
        <f t="shared" si="50"/>
        <v>NAVERtsscience</v>
      </c>
      <c r="I1641" t="str">
        <f>"tsscience"</f>
        <v>tsscience</v>
      </c>
      <c r="J1641">
        <v>596580</v>
      </c>
      <c r="K1641" s="1">
        <v>44866</v>
      </c>
      <c r="L1641" t="s">
        <v>1663</v>
      </c>
      <c r="M1641">
        <f t="shared" si="51"/>
        <v>596580</v>
      </c>
      <c r="N1641" t="e">
        <f>VLOOKUP(H1641,Sheet1!G:H,2,FALSE)</f>
        <v>#N/A</v>
      </c>
      <c r="R1641" t="s">
        <v>3565</v>
      </c>
      <c r="S1641">
        <v>702600</v>
      </c>
    </row>
    <row r="1642" spans="1:19" x14ac:dyDescent="0.3">
      <c r="A1642" t="s">
        <v>16</v>
      </c>
      <c r="B1642">
        <f>VLOOKUP(A1642,Sheet2!B:F,5,FALSE)</f>
        <v>927</v>
      </c>
      <c r="C1642" t="s">
        <v>17</v>
      </c>
      <c r="D1642">
        <f>VLOOKUP(C1642,Sheet2!C:G,5,FALSE)</f>
        <v>1200</v>
      </c>
      <c r="E1642" t="s">
        <v>78</v>
      </c>
      <c r="F1642">
        <f>VLOOKUP(E1642,Sheet2!D:E,2,FALSE)</f>
        <v>57</v>
      </c>
      <c r="G1642" t="s">
        <v>11</v>
      </c>
      <c r="H1642" t="str">
        <f t="shared" si="50"/>
        <v>NAVERttagu8446:naver</v>
      </c>
      <c r="I1642" t="str">
        <f>"ttagu8446:naver"</f>
        <v>ttagu8446:naver</v>
      </c>
      <c r="J1642">
        <v>3493040</v>
      </c>
      <c r="K1642" s="1">
        <v>44866</v>
      </c>
      <c r="L1642" t="s">
        <v>1664</v>
      </c>
      <c r="M1642">
        <f t="shared" si="51"/>
        <v>3493040</v>
      </c>
      <c r="N1642" t="e">
        <f>VLOOKUP(H1642,Sheet1!G:H,2,FALSE)</f>
        <v>#N/A</v>
      </c>
      <c r="R1642" t="s">
        <v>3566</v>
      </c>
      <c r="S1642">
        <v>298980</v>
      </c>
    </row>
    <row r="1643" spans="1:19" x14ac:dyDescent="0.3">
      <c r="A1643" t="s">
        <v>8</v>
      </c>
      <c r="B1643">
        <f>VLOOKUP(A1643,Sheet2!B:F,5,FALSE)</f>
        <v>928</v>
      </c>
      <c r="C1643" t="s">
        <v>9</v>
      </c>
      <c r="D1643">
        <f>VLOOKUP(C1643,Sheet2!C:G,5,FALSE)</f>
        <v>1202</v>
      </c>
      <c r="E1643" t="s">
        <v>27</v>
      </c>
      <c r="F1643">
        <f>VLOOKUP(E1643,Sheet2!D:E,2,FALSE)</f>
        <v>806</v>
      </c>
      <c r="G1643" t="s">
        <v>11</v>
      </c>
      <c r="H1643" t="str">
        <f t="shared" si="50"/>
        <v>NAVERttft00</v>
      </c>
      <c r="I1643" t="str">
        <f>"ttft00"</f>
        <v>ttft00</v>
      </c>
      <c r="J1643">
        <v>1749360</v>
      </c>
      <c r="K1643" s="1">
        <v>44866</v>
      </c>
      <c r="L1643" t="s">
        <v>1665</v>
      </c>
      <c r="M1643">
        <f t="shared" si="51"/>
        <v>1749360</v>
      </c>
      <c r="N1643" t="e">
        <f>VLOOKUP(H1643,Sheet1!G:H,2,FALSE)</f>
        <v>#N/A</v>
      </c>
      <c r="R1643" t="s">
        <v>3567</v>
      </c>
      <c r="S1643">
        <v>6900</v>
      </c>
    </row>
    <row r="1644" spans="1:19" x14ac:dyDescent="0.3">
      <c r="A1644" t="s">
        <v>16</v>
      </c>
      <c r="B1644">
        <f>VLOOKUP(A1644,Sheet2!B:F,5,FALSE)</f>
        <v>927</v>
      </c>
      <c r="C1644" t="s">
        <v>17</v>
      </c>
      <c r="D1644">
        <f>VLOOKUP(C1644,Sheet2!C:G,5,FALSE)</f>
        <v>1200</v>
      </c>
      <c r="E1644" t="s">
        <v>96</v>
      </c>
      <c r="F1644">
        <f>VLOOKUP(E1644,Sheet2!D:E,2,FALSE)</f>
        <v>1271</v>
      </c>
      <c r="G1644" t="s">
        <v>11</v>
      </c>
      <c r="H1644" t="str">
        <f t="shared" si="50"/>
        <v>NAVERttrendy</v>
      </c>
      <c r="I1644" t="str">
        <f>"ttrendy"</f>
        <v>ttrendy</v>
      </c>
      <c r="J1644">
        <v>15580</v>
      </c>
      <c r="K1644" s="1">
        <v>44866</v>
      </c>
      <c r="L1644" t="s">
        <v>1666</v>
      </c>
      <c r="M1644">
        <f t="shared" si="51"/>
        <v>15580</v>
      </c>
      <c r="N1644" t="e">
        <f>VLOOKUP(H1644,Sheet1!G:H,2,FALSE)</f>
        <v>#N/A</v>
      </c>
      <c r="R1644" t="s">
        <v>3568</v>
      </c>
      <c r="S1644">
        <v>2610</v>
      </c>
    </row>
    <row r="1645" spans="1:19" x14ac:dyDescent="0.3">
      <c r="A1645" t="s">
        <v>16</v>
      </c>
      <c r="B1645">
        <f>VLOOKUP(A1645,Sheet2!B:F,5,FALSE)</f>
        <v>927</v>
      </c>
      <c r="C1645" t="s">
        <v>17</v>
      </c>
      <c r="D1645">
        <f>VLOOKUP(C1645,Sheet2!C:G,5,FALSE)</f>
        <v>1200</v>
      </c>
      <c r="E1645" t="s">
        <v>290</v>
      </c>
      <c r="F1645">
        <f>VLOOKUP(E1645,Sheet2!D:E,2,FALSE)</f>
        <v>556</v>
      </c>
      <c r="G1645" t="s">
        <v>11</v>
      </c>
      <c r="H1645" t="str">
        <f t="shared" si="50"/>
        <v>NAVERtutupet0525</v>
      </c>
      <c r="I1645" t="str">
        <f>"tutupet0525"</f>
        <v>tutupet0525</v>
      </c>
      <c r="J1645">
        <v>18802290</v>
      </c>
      <c r="K1645" s="1">
        <v>44866</v>
      </c>
      <c r="L1645" t="s">
        <v>1667</v>
      </c>
      <c r="M1645">
        <f t="shared" si="51"/>
        <v>18802290</v>
      </c>
      <c r="N1645" t="e">
        <f>VLOOKUP(H1645,Sheet1!G:H,2,FALSE)</f>
        <v>#N/A</v>
      </c>
      <c r="R1645" t="s">
        <v>3569</v>
      </c>
      <c r="S1645">
        <v>1040</v>
      </c>
    </row>
    <row r="1646" spans="1:19" x14ac:dyDescent="0.3">
      <c r="A1646" t="s">
        <v>16</v>
      </c>
      <c r="B1646">
        <f>VLOOKUP(A1646,Sheet2!B:F,5,FALSE)</f>
        <v>927</v>
      </c>
      <c r="C1646" t="s">
        <v>17</v>
      </c>
      <c r="D1646">
        <f>VLOOKUP(C1646,Sheet2!C:G,5,FALSE)</f>
        <v>1200</v>
      </c>
      <c r="E1646" t="s">
        <v>229</v>
      </c>
      <c r="F1646">
        <f>VLOOKUP(E1646,Sheet2!D:E,2,FALSE)</f>
        <v>560</v>
      </c>
      <c r="G1646" t="s">
        <v>11</v>
      </c>
      <c r="H1646" t="str">
        <f t="shared" si="50"/>
        <v>NAVERtveg1:naver</v>
      </c>
      <c r="I1646" t="str">
        <f>"tveg1:naver"</f>
        <v>tveg1:naver</v>
      </c>
      <c r="J1646">
        <v>30980</v>
      </c>
      <c r="K1646" s="1">
        <v>44866</v>
      </c>
      <c r="L1646" t="s">
        <v>1668</v>
      </c>
      <c r="M1646">
        <f t="shared" si="51"/>
        <v>76350</v>
      </c>
      <c r="N1646" t="e">
        <f>VLOOKUP(H1646,Sheet1!G:H,2,FALSE)</f>
        <v>#N/A</v>
      </c>
      <c r="R1646" t="s">
        <v>3570</v>
      </c>
      <c r="S1646">
        <v>6750020</v>
      </c>
    </row>
    <row r="1647" spans="1:19" x14ac:dyDescent="0.3">
      <c r="A1647" t="s">
        <v>41</v>
      </c>
      <c r="B1647">
        <f>VLOOKUP(A1647,Sheet2!B:F,5,FALSE)</f>
        <v>926</v>
      </c>
      <c r="C1647" t="s">
        <v>56</v>
      </c>
      <c r="D1647">
        <f>VLOOKUP(C1647,Sheet2!C:G,5,FALSE)</f>
        <v>1207</v>
      </c>
      <c r="E1647" t="s">
        <v>62</v>
      </c>
      <c r="F1647">
        <f>VLOOKUP(E1647,Sheet2!D:E,2,FALSE)</f>
        <v>201037</v>
      </c>
      <c r="G1647" t="s">
        <v>11</v>
      </c>
      <c r="H1647" t="str">
        <f t="shared" si="50"/>
        <v>NAVERtw02252:naver</v>
      </c>
      <c r="I1647" t="str">
        <f>"tw02252:naver"</f>
        <v>tw02252:naver</v>
      </c>
      <c r="J1647">
        <v>1410400</v>
      </c>
      <c r="K1647" s="1">
        <v>44866</v>
      </c>
      <c r="L1647" t="s">
        <v>1669</v>
      </c>
      <c r="M1647">
        <f t="shared" si="51"/>
        <v>1410400</v>
      </c>
      <c r="N1647" t="e">
        <f>VLOOKUP(H1647,Sheet1!G:H,2,FALSE)</f>
        <v>#N/A</v>
      </c>
      <c r="R1647" t="s">
        <v>3571</v>
      </c>
      <c r="S1647">
        <v>0</v>
      </c>
    </row>
    <row r="1648" spans="1:19" x14ac:dyDescent="0.3">
      <c r="A1648" t="s">
        <v>8</v>
      </c>
      <c r="B1648">
        <f>VLOOKUP(A1648,Sheet2!B:F,5,FALSE)</f>
        <v>928</v>
      </c>
      <c r="C1648" t="s">
        <v>223</v>
      </c>
      <c r="D1648">
        <f>VLOOKUP(C1648,Sheet2!C:G,5,FALSE)</f>
        <v>966</v>
      </c>
      <c r="E1648" t="s">
        <v>986</v>
      </c>
      <c r="F1648">
        <f>VLOOKUP(E1648,Sheet2!D:E,2,FALSE)</f>
        <v>201098</v>
      </c>
      <c r="G1648" t="s">
        <v>11</v>
      </c>
      <c r="H1648" t="str">
        <f t="shared" si="50"/>
        <v>NAVERtwozzim</v>
      </c>
      <c r="I1648" t="str">
        <f>"twozzim"</f>
        <v>twozzim</v>
      </c>
      <c r="J1648">
        <v>922610</v>
      </c>
      <c r="K1648" s="1">
        <v>44866</v>
      </c>
      <c r="L1648" t="s">
        <v>987</v>
      </c>
      <c r="M1648">
        <f t="shared" si="51"/>
        <v>922610</v>
      </c>
      <c r="N1648" t="e">
        <f>VLOOKUP(H1648,Sheet1!G:H,2,FALSE)</f>
        <v>#N/A</v>
      </c>
      <c r="R1648" t="s">
        <v>3572</v>
      </c>
      <c r="S1648">
        <v>77890</v>
      </c>
    </row>
    <row r="1649" spans="1:19" x14ac:dyDescent="0.3">
      <c r="A1649" t="s">
        <v>8</v>
      </c>
      <c r="B1649">
        <f>VLOOKUP(A1649,Sheet2!B:F,5,FALSE)</f>
        <v>928</v>
      </c>
      <c r="C1649" t="s">
        <v>9</v>
      </c>
      <c r="D1649">
        <f>VLOOKUP(C1649,Sheet2!C:G,5,FALSE)</f>
        <v>1202</v>
      </c>
      <c r="E1649" t="s">
        <v>122</v>
      </c>
      <c r="F1649">
        <f>VLOOKUP(E1649,Sheet2!D:E,2,FALSE)</f>
        <v>251</v>
      </c>
      <c r="G1649" t="s">
        <v>11</v>
      </c>
      <c r="H1649" t="str">
        <f t="shared" si="50"/>
        <v>NAVERty7363</v>
      </c>
      <c r="I1649" t="str">
        <f>"ty7363"</f>
        <v>ty7363</v>
      </c>
      <c r="J1649">
        <v>1066790</v>
      </c>
      <c r="K1649" s="1">
        <v>44866</v>
      </c>
      <c r="L1649" t="s">
        <v>1670</v>
      </c>
      <c r="M1649">
        <f t="shared" si="51"/>
        <v>1066790</v>
      </c>
      <c r="N1649" t="e">
        <f>VLOOKUP(H1649,Sheet1!G:H,2,FALSE)</f>
        <v>#N/A</v>
      </c>
      <c r="R1649" t="s">
        <v>3573</v>
      </c>
      <c r="S1649">
        <v>185310</v>
      </c>
    </row>
    <row r="1650" spans="1:19" x14ac:dyDescent="0.3">
      <c r="A1650" t="s">
        <v>8</v>
      </c>
      <c r="B1650">
        <f>VLOOKUP(A1650,Sheet2!B:F,5,FALSE)</f>
        <v>928</v>
      </c>
      <c r="C1650" t="s">
        <v>9</v>
      </c>
      <c r="D1650">
        <f>VLOOKUP(C1650,Sheet2!C:G,5,FALSE)</f>
        <v>1202</v>
      </c>
      <c r="E1650" t="s">
        <v>27</v>
      </c>
      <c r="F1650">
        <f>VLOOKUP(E1650,Sheet2!D:E,2,FALSE)</f>
        <v>806</v>
      </c>
      <c r="G1650" t="s">
        <v>11</v>
      </c>
      <c r="H1650" t="str">
        <f t="shared" si="50"/>
        <v>NAVERudorang</v>
      </c>
      <c r="I1650" t="str">
        <f>"udorang"</f>
        <v>udorang</v>
      </c>
      <c r="J1650">
        <v>462600</v>
      </c>
      <c r="K1650" s="1">
        <v>44866</v>
      </c>
      <c r="L1650" t="s">
        <v>1671</v>
      </c>
      <c r="M1650">
        <f t="shared" si="51"/>
        <v>462600</v>
      </c>
      <c r="N1650" t="e">
        <f>VLOOKUP(H1650,Sheet1!G:H,2,FALSE)</f>
        <v>#N/A</v>
      </c>
      <c r="R1650" t="s">
        <v>3574</v>
      </c>
      <c r="S1650">
        <v>35400</v>
      </c>
    </row>
    <row r="1651" spans="1:19" x14ac:dyDescent="0.3">
      <c r="A1651" t="s">
        <v>8</v>
      </c>
      <c r="B1651">
        <f>VLOOKUP(A1651,Sheet2!B:F,5,FALSE)</f>
        <v>928</v>
      </c>
      <c r="C1651" t="s">
        <v>9</v>
      </c>
      <c r="D1651">
        <f>VLOOKUP(C1651,Sheet2!C:G,5,FALSE)</f>
        <v>1202</v>
      </c>
      <c r="E1651" t="s">
        <v>37</v>
      </c>
      <c r="F1651">
        <f>VLOOKUP(E1651,Sheet2!D:E,2,FALSE)</f>
        <v>81</v>
      </c>
      <c r="G1651" t="s">
        <v>11</v>
      </c>
      <c r="H1651" t="str">
        <f t="shared" si="50"/>
        <v>NAVERuhc0523</v>
      </c>
      <c r="I1651" t="str">
        <f>"uhc0523"</f>
        <v>uhc0523</v>
      </c>
      <c r="J1651">
        <v>5040</v>
      </c>
      <c r="K1651" s="1">
        <v>44866</v>
      </c>
      <c r="L1651" t="s">
        <v>1672</v>
      </c>
      <c r="M1651">
        <f t="shared" si="51"/>
        <v>5040</v>
      </c>
      <c r="N1651" t="e">
        <f>VLOOKUP(H1651,Sheet1!G:H,2,FALSE)</f>
        <v>#N/A</v>
      </c>
      <c r="R1651" t="s">
        <v>3575</v>
      </c>
      <c r="S1651">
        <v>101530</v>
      </c>
    </row>
    <row r="1652" spans="1:19" x14ac:dyDescent="0.3">
      <c r="A1652" t="s">
        <v>41</v>
      </c>
      <c r="B1652">
        <f>VLOOKUP(A1652,Sheet2!B:F,5,FALSE)</f>
        <v>926</v>
      </c>
      <c r="C1652" t="s">
        <v>56</v>
      </c>
      <c r="D1652">
        <f>VLOOKUP(C1652,Sheet2!C:G,5,FALSE)</f>
        <v>1207</v>
      </c>
      <c r="E1652" t="s">
        <v>57</v>
      </c>
      <c r="F1652">
        <f>VLOOKUP(E1652,Sheet2!D:E,2,FALSE)</f>
        <v>200982</v>
      </c>
      <c r="G1652" t="s">
        <v>11</v>
      </c>
      <c r="H1652" t="str">
        <f t="shared" si="50"/>
        <v>NAVERuiop909</v>
      </c>
      <c r="I1652" t="str">
        <f>"uiop909"</f>
        <v>uiop909</v>
      </c>
      <c r="J1652">
        <v>62280</v>
      </c>
      <c r="K1652" s="1">
        <v>44866</v>
      </c>
      <c r="L1652" t="s">
        <v>1673</v>
      </c>
      <c r="M1652">
        <f t="shared" si="51"/>
        <v>62280</v>
      </c>
      <c r="N1652" t="e">
        <f>VLOOKUP(H1652,Sheet1!G:H,2,FALSE)</f>
        <v>#N/A</v>
      </c>
      <c r="R1652" t="s">
        <v>3576</v>
      </c>
      <c r="S1652">
        <v>378540</v>
      </c>
    </row>
    <row r="1653" spans="1:19" x14ac:dyDescent="0.3">
      <c r="A1653" t="s">
        <v>22</v>
      </c>
      <c r="B1653">
        <f>VLOOKUP(A1653,Sheet2!B:F,5,FALSE)</f>
        <v>809</v>
      </c>
      <c r="C1653" t="s">
        <v>23</v>
      </c>
      <c r="D1653">
        <f>VLOOKUP(C1653,Sheet2!C:G,5,FALSE)</f>
        <v>810</v>
      </c>
      <c r="E1653" t="s">
        <v>106</v>
      </c>
      <c r="F1653">
        <f>VLOOKUP(E1653,Sheet2!D:E,2,FALSE)</f>
        <v>1349</v>
      </c>
      <c r="G1653" t="s">
        <v>11</v>
      </c>
      <c r="H1653" t="str">
        <f t="shared" si="50"/>
        <v>NAVERukshin21</v>
      </c>
      <c r="I1653" t="str">
        <f>"ukshin21"</f>
        <v>ukshin21</v>
      </c>
      <c r="J1653">
        <v>266870</v>
      </c>
      <c r="K1653" s="1">
        <v>44866</v>
      </c>
      <c r="L1653" t="s">
        <v>1674</v>
      </c>
      <c r="M1653">
        <f t="shared" si="51"/>
        <v>266870</v>
      </c>
      <c r="N1653" t="e">
        <f>VLOOKUP(H1653,Sheet1!G:H,2,FALSE)</f>
        <v>#N/A</v>
      </c>
      <c r="R1653" t="s">
        <v>3577</v>
      </c>
      <c r="S1653">
        <v>2835760</v>
      </c>
    </row>
    <row r="1654" spans="1:19" x14ac:dyDescent="0.3">
      <c r="A1654" t="s">
        <v>8</v>
      </c>
      <c r="B1654">
        <f>VLOOKUP(A1654,Sheet2!B:F,5,FALSE)</f>
        <v>928</v>
      </c>
      <c r="C1654" t="s">
        <v>13</v>
      </c>
      <c r="D1654">
        <f>VLOOKUP(C1654,Sheet2!C:G,5,FALSE)</f>
        <v>1184</v>
      </c>
      <c r="E1654" t="s">
        <v>59</v>
      </c>
      <c r="F1654">
        <f>VLOOKUP(E1654,Sheet2!D:E,2,FALSE)</f>
        <v>9</v>
      </c>
      <c r="G1654" t="s">
        <v>11</v>
      </c>
      <c r="H1654" t="str">
        <f t="shared" si="50"/>
        <v>NAVERunicc</v>
      </c>
      <c r="I1654" t="str">
        <f>"unicc"</f>
        <v>unicc</v>
      </c>
      <c r="J1654">
        <v>22040</v>
      </c>
      <c r="K1654" s="1">
        <v>44866</v>
      </c>
      <c r="L1654" t="s">
        <v>1675</v>
      </c>
      <c r="M1654">
        <f t="shared" si="51"/>
        <v>22040</v>
      </c>
      <c r="N1654" t="e">
        <f>VLOOKUP(H1654,Sheet1!G:H,2,FALSE)</f>
        <v>#N/A</v>
      </c>
      <c r="R1654" t="s">
        <v>3578</v>
      </c>
      <c r="S1654">
        <v>1370270</v>
      </c>
    </row>
    <row r="1655" spans="1:19" x14ac:dyDescent="0.3">
      <c r="A1655" t="s">
        <v>8</v>
      </c>
      <c r="B1655">
        <f>VLOOKUP(A1655,Sheet2!B:F,5,FALSE)</f>
        <v>928</v>
      </c>
      <c r="C1655" t="s">
        <v>9</v>
      </c>
      <c r="D1655">
        <f>VLOOKUP(C1655,Sheet2!C:G,5,FALSE)</f>
        <v>1202</v>
      </c>
      <c r="E1655" t="s">
        <v>27</v>
      </c>
      <c r="F1655">
        <f>VLOOKUP(E1655,Sheet2!D:E,2,FALSE)</f>
        <v>806</v>
      </c>
      <c r="G1655" t="s">
        <v>11</v>
      </c>
      <c r="H1655" t="str">
        <f t="shared" si="50"/>
        <v>NAVERunicnc</v>
      </c>
      <c r="I1655" t="str">
        <f>"unicnc"</f>
        <v>unicnc</v>
      </c>
      <c r="J1655">
        <v>950900</v>
      </c>
      <c r="K1655" s="1">
        <v>44866</v>
      </c>
      <c r="L1655" t="s">
        <v>1676</v>
      </c>
      <c r="M1655">
        <f t="shared" si="51"/>
        <v>950900</v>
      </c>
      <c r="N1655" t="e">
        <f>VLOOKUP(H1655,Sheet1!G:H,2,FALSE)</f>
        <v>#N/A</v>
      </c>
      <c r="R1655" t="s">
        <v>3579</v>
      </c>
      <c r="S1655">
        <v>1162400</v>
      </c>
    </row>
    <row r="1656" spans="1:19" x14ac:dyDescent="0.3">
      <c r="A1656" t="s">
        <v>16</v>
      </c>
      <c r="B1656">
        <f>VLOOKUP(A1656,Sheet2!B:F,5,FALSE)</f>
        <v>927</v>
      </c>
      <c r="C1656" t="s">
        <v>17</v>
      </c>
      <c r="D1656">
        <f>VLOOKUP(C1656,Sheet2!C:G,5,FALSE)</f>
        <v>1200</v>
      </c>
      <c r="E1656" t="s">
        <v>66</v>
      </c>
      <c r="F1656">
        <f>VLOOKUP(E1656,Sheet2!D:E,2,FALSE)</f>
        <v>33</v>
      </c>
      <c r="G1656" t="s">
        <v>11</v>
      </c>
      <c r="H1656" t="str">
        <f t="shared" si="50"/>
        <v>NAVERuniel2001</v>
      </c>
      <c r="I1656" t="str">
        <f>"uniel2001"</f>
        <v>uniel2001</v>
      </c>
      <c r="J1656">
        <v>7830</v>
      </c>
      <c r="K1656" s="1">
        <v>44866</v>
      </c>
      <c r="L1656" t="s">
        <v>1677</v>
      </c>
      <c r="M1656">
        <f t="shared" si="51"/>
        <v>7830</v>
      </c>
      <c r="N1656" t="e">
        <f>VLOOKUP(H1656,Sheet1!G:H,2,FALSE)</f>
        <v>#N/A</v>
      </c>
      <c r="R1656" t="s">
        <v>3580</v>
      </c>
      <c r="S1656">
        <v>1828500</v>
      </c>
    </row>
    <row r="1657" spans="1:19" x14ac:dyDescent="0.3">
      <c r="A1657" t="s">
        <v>8</v>
      </c>
      <c r="B1657">
        <f>VLOOKUP(A1657,Sheet2!B:F,5,FALSE)</f>
        <v>928</v>
      </c>
      <c r="C1657" t="s">
        <v>9</v>
      </c>
      <c r="D1657">
        <f>VLOOKUP(C1657,Sheet2!C:G,5,FALSE)</f>
        <v>1202</v>
      </c>
      <c r="E1657" t="s">
        <v>45</v>
      </c>
      <c r="F1657">
        <f>VLOOKUP(E1657,Sheet2!D:E,2,FALSE)</f>
        <v>26</v>
      </c>
      <c r="G1657" t="s">
        <v>11</v>
      </c>
      <c r="H1657" t="str">
        <f t="shared" si="50"/>
        <v>NAVERunitrend</v>
      </c>
      <c r="I1657" t="str">
        <f>"unitrend"</f>
        <v>unitrend</v>
      </c>
      <c r="J1657">
        <v>245170</v>
      </c>
      <c r="K1657" s="1">
        <v>44866</v>
      </c>
      <c r="L1657" t="s">
        <v>1678</v>
      </c>
      <c r="M1657">
        <f t="shared" si="51"/>
        <v>245170</v>
      </c>
      <c r="N1657" t="e">
        <f>VLOOKUP(H1657,Sheet1!G:H,2,FALSE)</f>
        <v>#N/A</v>
      </c>
      <c r="R1657" t="s">
        <v>3581</v>
      </c>
      <c r="S1657">
        <v>174470</v>
      </c>
    </row>
    <row r="1658" spans="1:19" x14ac:dyDescent="0.3">
      <c r="A1658" t="s">
        <v>16</v>
      </c>
      <c r="B1658">
        <f>VLOOKUP(A1658,Sheet2!B:F,5,FALSE)</f>
        <v>927</v>
      </c>
      <c r="C1658" t="s">
        <v>17</v>
      </c>
      <c r="D1658">
        <f>VLOOKUP(C1658,Sheet2!C:G,5,FALSE)</f>
        <v>1200</v>
      </c>
      <c r="E1658" t="s">
        <v>137</v>
      </c>
      <c r="F1658">
        <f>VLOOKUP(E1658,Sheet2!D:E,2,FALSE)</f>
        <v>1012</v>
      </c>
      <c r="G1658" t="s">
        <v>11</v>
      </c>
      <c r="H1658" t="str">
        <f t="shared" si="50"/>
        <v>NAVERuniversallif</v>
      </c>
      <c r="I1658" t="str">
        <f>"universallif"</f>
        <v>universallif</v>
      </c>
      <c r="J1658">
        <v>372790</v>
      </c>
      <c r="K1658" s="1">
        <v>44866</v>
      </c>
      <c r="L1658" t="s">
        <v>1679</v>
      </c>
      <c r="M1658">
        <f t="shared" si="51"/>
        <v>372790</v>
      </c>
      <c r="N1658" t="e">
        <f>VLOOKUP(H1658,Sheet1!G:H,2,FALSE)</f>
        <v>#N/A</v>
      </c>
      <c r="R1658" t="s">
        <v>3582</v>
      </c>
      <c r="S1658">
        <v>6164140</v>
      </c>
    </row>
    <row r="1659" spans="1:19" x14ac:dyDescent="0.3">
      <c r="A1659" t="s">
        <v>8</v>
      </c>
      <c r="B1659">
        <f>VLOOKUP(A1659,Sheet2!B:F,5,FALSE)</f>
        <v>928</v>
      </c>
      <c r="C1659" t="s">
        <v>9</v>
      </c>
      <c r="D1659">
        <f>VLOOKUP(C1659,Sheet2!C:G,5,FALSE)</f>
        <v>1202</v>
      </c>
      <c r="E1659" t="s">
        <v>73</v>
      </c>
      <c r="F1659">
        <f>VLOOKUP(E1659,Sheet2!D:E,2,FALSE)</f>
        <v>895</v>
      </c>
      <c r="G1659" t="s">
        <v>11</v>
      </c>
      <c r="H1659" t="str">
        <f t="shared" si="50"/>
        <v>NAVERunivmeeting:naver</v>
      </c>
      <c r="I1659" t="str">
        <f>"univmeeting:naver"</f>
        <v>univmeeting:naver</v>
      </c>
      <c r="J1659">
        <v>42250</v>
      </c>
      <c r="K1659" s="1">
        <v>44866</v>
      </c>
      <c r="L1659" t="s">
        <v>1680</v>
      </c>
      <c r="M1659">
        <f t="shared" si="51"/>
        <v>42350</v>
      </c>
      <c r="N1659" t="e">
        <f>VLOOKUP(H1659,Sheet1!G:H,2,FALSE)</f>
        <v>#N/A</v>
      </c>
      <c r="R1659" t="s">
        <v>3583</v>
      </c>
      <c r="S1659">
        <v>870880</v>
      </c>
    </row>
    <row r="1660" spans="1:19" x14ac:dyDescent="0.3">
      <c r="A1660" t="s">
        <v>8</v>
      </c>
      <c r="B1660">
        <f>VLOOKUP(A1660,Sheet2!B:F,5,FALSE)</f>
        <v>928</v>
      </c>
      <c r="C1660" t="s">
        <v>9</v>
      </c>
      <c r="D1660">
        <f>VLOOKUP(C1660,Sheet2!C:G,5,FALSE)</f>
        <v>1202</v>
      </c>
      <c r="E1660" t="s">
        <v>27</v>
      </c>
      <c r="F1660">
        <f>VLOOKUP(E1660,Sheet2!D:E,2,FALSE)</f>
        <v>806</v>
      </c>
      <c r="G1660" t="s">
        <v>11</v>
      </c>
      <c r="H1660" t="str">
        <f t="shared" si="50"/>
        <v>NAVERupcasti</v>
      </c>
      <c r="I1660" t="str">
        <f>"upcasti"</f>
        <v>upcasti</v>
      </c>
      <c r="J1660">
        <v>28890</v>
      </c>
      <c r="K1660" s="1">
        <v>44866</v>
      </c>
      <c r="L1660" t="s">
        <v>1681</v>
      </c>
      <c r="M1660">
        <f t="shared" si="51"/>
        <v>28890</v>
      </c>
      <c r="N1660" t="e">
        <f>VLOOKUP(H1660,Sheet1!G:H,2,FALSE)</f>
        <v>#N/A</v>
      </c>
      <c r="R1660" t="s">
        <v>3584</v>
      </c>
      <c r="S1660">
        <v>3038890</v>
      </c>
    </row>
    <row r="1661" spans="1:19" x14ac:dyDescent="0.3">
      <c r="A1661" t="s">
        <v>8</v>
      </c>
      <c r="B1661">
        <f>VLOOKUP(A1661,Sheet2!B:F,5,FALSE)</f>
        <v>928</v>
      </c>
      <c r="C1661" t="s">
        <v>9</v>
      </c>
      <c r="D1661">
        <f>VLOOKUP(C1661,Sheet2!C:G,5,FALSE)</f>
        <v>1202</v>
      </c>
      <c r="E1661" t="s">
        <v>27</v>
      </c>
      <c r="F1661">
        <f>VLOOKUP(E1661,Sheet2!D:E,2,FALSE)</f>
        <v>806</v>
      </c>
      <c r="G1661" t="s">
        <v>11</v>
      </c>
      <c r="H1661" t="str">
        <f t="shared" si="50"/>
        <v>NAVERurisystem1</v>
      </c>
      <c r="I1661" t="str">
        <f>"urisystem1"</f>
        <v>urisystem1</v>
      </c>
      <c r="J1661">
        <v>54430</v>
      </c>
      <c r="K1661" s="1">
        <v>44866</v>
      </c>
      <c r="L1661" t="s">
        <v>1682</v>
      </c>
      <c r="M1661">
        <f t="shared" si="51"/>
        <v>54430</v>
      </c>
      <c r="N1661" t="e">
        <f>VLOOKUP(H1661,Sheet1!G:H,2,FALSE)</f>
        <v>#N/A</v>
      </c>
      <c r="R1661" t="s">
        <v>3585</v>
      </c>
      <c r="S1661">
        <v>430790</v>
      </c>
    </row>
    <row r="1662" spans="1:19" x14ac:dyDescent="0.3">
      <c r="A1662" t="s">
        <v>8</v>
      </c>
      <c r="B1662">
        <f>VLOOKUP(A1662,Sheet2!B:F,5,FALSE)</f>
        <v>928</v>
      </c>
      <c r="C1662" t="s">
        <v>9</v>
      </c>
      <c r="D1662">
        <f>VLOOKUP(C1662,Sheet2!C:G,5,FALSE)</f>
        <v>1202</v>
      </c>
      <c r="E1662" t="s">
        <v>27</v>
      </c>
      <c r="F1662">
        <f>VLOOKUP(E1662,Sheet2!D:E,2,FALSE)</f>
        <v>806</v>
      </c>
      <c r="G1662" t="s">
        <v>11</v>
      </c>
      <c r="H1662" t="str">
        <f t="shared" si="50"/>
        <v>NAVERusfishing_official:naver</v>
      </c>
      <c r="I1662" t="str">
        <f>"usfishing_official:naver"</f>
        <v>usfishing_official:naver</v>
      </c>
      <c r="J1662">
        <v>11930</v>
      </c>
      <c r="K1662" s="1">
        <v>44866</v>
      </c>
      <c r="L1662" t="s">
        <v>1683</v>
      </c>
      <c r="M1662">
        <f t="shared" si="51"/>
        <v>11930</v>
      </c>
      <c r="N1662" t="e">
        <f>VLOOKUP(H1662,Sheet1!G:H,2,FALSE)</f>
        <v>#N/A</v>
      </c>
      <c r="R1662" t="s">
        <v>3586</v>
      </c>
      <c r="S1662">
        <v>91520</v>
      </c>
    </row>
    <row r="1663" spans="1:19" x14ac:dyDescent="0.3">
      <c r="A1663" t="s">
        <v>8</v>
      </c>
      <c r="B1663">
        <f>VLOOKUP(A1663,Sheet2!B:F,5,FALSE)</f>
        <v>928</v>
      </c>
      <c r="C1663" t="s">
        <v>13</v>
      </c>
      <c r="D1663">
        <f>VLOOKUP(C1663,Sheet2!C:G,5,FALSE)</f>
        <v>1184</v>
      </c>
      <c r="E1663" t="s">
        <v>14</v>
      </c>
      <c r="F1663">
        <f>VLOOKUP(E1663,Sheet2!D:E,2,FALSE)</f>
        <v>914</v>
      </c>
      <c r="G1663" t="s">
        <v>11</v>
      </c>
      <c r="H1663" t="str">
        <f t="shared" si="50"/>
        <v>NAVERushoo</v>
      </c>
      <c r="I1663" t="str">
        <f>"ushoo"</f>
        <v>ushoo</v>
      </c>
      <c r="J1663">
        <v>571200</v>
      </c>
      <c r="K1663" s="1">
        <v>44866</v>
      </c>
      <c r="L1663" t="s">
        <v>323</v>
      </c>
      <c r="M1663">
        <f t="shared" si="51"/>
        <v>571200</v>
      </c>
      <c r="N1663" t="e">
        <f>VLOOKUP(H1663,Sheet1!G:H,2,FALSE)</f>
        <v>#N/A</v>
      </c>
      <c r="R1663" t="s">
        <v>3587</v>
      </c>
      <c r="S1663">
        <v>642880</v>
      </c>
    </row>
    <row r="1664" spans="1:19" x14ac:dyDescent="0.3">
      <c r="A1664" t="s">
        <v>8</v>
      </c>
      <c r="B1664">
        <f>VLOOKUP(A1664,Sheet2!B:F,5,FALSE)</f>
        <v>928</v>
      </c>
      <c r="C1664" t="s">
        <v>13</v>
      </c>
      <c r="D1664">
        <f>VLOOKUP(C1664,Sheet2!C:G,5,FALSE)</f>
        <v>1184</v>
      </c>
      <c r="E1664" t="s">
        <v>102</v>
      </c>
      <c r="F1664">
        <f>VLOOKUP(E1664,Sheet2!D:E,2,FALSE)</f>
        <v>917</v>
      </c>
      <c r="G1664" t="s">
        <v>11</v>
      </c>
      <c r="H1664" t="str">
        <f t="shared" si="50"/>
        <v>NAVERv17433</v>
      </c>
      <c r="I1664" t="str">
        <f>"v17433"</f>
        <v>v17433</v>
      </c>
      <c r="J1664">
        <v>2390</v>
      </c>
      <c r="K1664" s="1">
        <v>44866</v>
      </c>
      <c r="L1664" t="s">
        <v>1684</v>
      </c>
      <c r="M1664">
        <f t="shared" si="51"/>
        <v>2390</v>
      </c>
      <c r="N1664" t="e">
        <f>VLOOKUP(H1664,Sheet1!G:H,2,FALSE)</f>
        <v>#N/A</v>
      </c>
      <c r="R1664" t="s">
        <v>3588</v>
      </c>
      <c r="S1664">
        <v>1102030</v>
      </c>
    </row>
    <row r="1665" spans="1:19" x14ac:dyDescent="0.3">
      <c r="A1665" t="s">
        <v>8</v>
      </c>
      <c r="B1665">
        <f>VLOOKUP(A1665,Sheet2!B:F,5,FALSE)</f>
        <v>928</v>
      </c>
      <c r="C1665" t="s">
        <v>13</v>
      </c>
      <c r="D1665">
        <f>VLOOKUP(C1665,Sheet2!C:G,5,FALSE)</f>
        <v>1184</v>
      </c>
      <c r="E1665" t="s">
        <v>115</v>
      </c>
      <c r="F1665">
        <f>VLOOKUP(E1665,Sheet2!D:E,2,FALSE)</f>
        <v>1548</v>
      </c>
      <c r="G1665" t="s">
        <v>11</v>
      </c>
      <c r="H1665" t="str">
        <f t="shared" si="50"/>
        <v>NAVERvenueg</v>
      </c>
      <c r="I1665" t="str">
        <f>"venueg"</f>
        <v>venueg</v>
      </c>
      <c r="J1665">
        <v>1225780</v>
      </c>
      <c r="K1665" s="1">
        <v>44866</v>
      </c>
      <c r="L1665" t="s">
        <v>1685</v>
      </c>
      <c r="M1665">
        <f t="shared" si="51"/>
        <v>1225780</v>
      </c>
      <c r="N1665" t="e">
        <f>VLOOKUP(H1665,Sheet1!G:H,2,FALSE)</f>
        <v>#N/A</v>
      </c>
      <c r="R1665" t="s">
        <v>3589</v>
      </c>
      <c r="S1665">
        <v>263250</v>
      </c>
    </row>
    <row r="1666" spans="1:19" x14ac:dyDescent="0.3">
      <c r="A1666" t="s">
        <v>8</v>
      </c>
      <c r="B1666">
        <f>VLOOKUP(A1666,Sheet2!B:F,5,FALSE)</f>
        <v>928</v>
      </c>
      <c r="C1666" t="s">
        <v>9</v>
      </c>
      <c r="D1666">
        <f>VLOOKUP(C1666,Sheet2!C:G,5,FALSE)</f>
        <v>1202</v>
      </c>
      <c r="E1666" t="s">
        <v>35</v>
      </c>
      <c r="F1666">
        <f>VLOOKUP(E1666,Sheet2!D:E,2,FALSE)</f>
        <v>51</v>
      </c>
      <c r="G1666" t="s">
        <v>11</v>
      </c>
      <c r="H1666" t="str">
        <f t="shared" si="50"/>
        <v>NAVERvexpert</v>
      </c>
      <c r="I1666" t="str">
        <f>"vexpert"</f>
        <v>vexpert</v>
      </c>
      <c r="J1666">
        <v>980</v>
      </c>
      <c r="K1666" s="1">
        <v>44866</v>
      </c>
      <c r="L1666" t="s">
        <v>1686</v>
      </c>
      <c r="M1666">
        <f t="shared" si="51"/>
        <v>980</v>
      </c>
      <c r="N1666" t="e">
        <f>VLOOKUP(H1666,Sheet1!G:H,2,FALSE)</f>
        <v>#N/A</v>
      </c>
      <c r="R1666" t="s">
        <v>3590</v>
      </c>
      <c r="S1666">
        <v>1230060</v>
      </c>
    </row>
    <row r="1667" spans="1:19" x14ac:dyDescent="0.3">
      <c r="A1667" t="s">
        <v>8</v>
      </c>
      <c r="B1667">
        <f>VLOOKUP(A1667,Sheet2!B:F,5,FALSE)</f>
        <v>928</v>
      </c>
      <c r="C1667" t="s">
        <v>9</v>
      </c>
      <c r="D1667">
        <f>VLOOKUP(C1667,Sheet2!C:G,5,FALSE)</f>
        <v>1202</v>
      </c>
      <c r="E1667" t="s">
        <v>220</v>
      </c>
      <c r="F1667">
        <f>VLOOKUP(E1667,Sheet2!D:E,2,FALSE)</f>
        <v>1211</v>
      </c>
      <c r="G1667" t="s">
        <v>11</v>
      </c>
      <c r="H1667" t="str">
        <f t="shared" ref="H1667:H1730" si="52">CONCATENATE(G1667,I1667)</f>
        <v>NAVERvfxlab</v>
      </c>
      <c r="I1667" t="str">
        <f>"vfxlab"</f>
        <v>vfxlab</v>
      </c>
      <c r="J1667">
        <v>942040</v>
      </c>
      <c r="K1667" s="1">
        <v>44866</v>
      </c>
      <c r="L1667" t="s">
        <v>1687</v>
      </c>
      <c r="M1667">
        <f t="shared" ref="M1667:M1730" si="53">VLOOKUP(H1667,R:S,2,FALSE)</f>
        <v>942040</v>
      </c>
      <c r="N1667" t="e">
        <f>VLOOKUP(H1667,Sheet1!G:H,2,FALSE)</f>
        <v>#N/A</v>
      </c>
      <c r="R1667" t="s">
        <v>3591</v>
      </c>
      <c r="S1667">
        <v>0</v>
      </c>
    </row>
    <row r="1668" spans="1:19" x14ac:dyDescent="0.3">
      <c r="A1668" t="s">
        <v>8</v>
      </c>
      <c r="B1668">
        <f>VLOOKUP(A1668,Sheet2!B:F,5,FALSE)</f>
        <v>928</v>
      </c>
      <c r="C1668" t="s">
        <v>13</v>
      </c>
      <c r="D1668">
        <f>VLOOKUP(C1668,Sheet2!C:G,5,FALSE)</f>
        <v>1184</v>
      </c>
      <c r="E1668" t="s">
        <v>59</v>
      </c>
      <c r="F1668">
        <f>VLOOKUP(E1668,Sheet2!D:E,2,FALSE)</f>
        <v>9</v>
      </c>
      <c r="G1668" t="s">
        <v>11</v>
      </c>
      <c r="H1668" t="str">
        <f t="shared" si="52"/>
        <v>NAVERvictory5336</v>
      </c>
      <c r="I1668" t="str">
        <f>"victory5336"</f>
        <v>victory5336</v>
      </c>
      <c r="J1668">
        <v>12660</v>
      </c>
      <c r="K1668" s="1">
        <v>44866</v>
      </c>
      <c r="L1668" t="s">
        <v>1688</v>
      </c>
      <c r="M1668">
        <f t="shared" si="53"/>
        <v>12660</v>
      </c>
      <c r="N1668" t="e">
        <f>VLOOKUP(H1668,Sheet1!G:H,2,FALSE)</f>
        <v>#N/A</v>
      </c>
      <c r="R1668" t="s">
        <v>3592</v>
      </c>
      <c r="S1668">
        <v>384110</v>
      </c>
    </row>
    <row r="1669" spans="1:19" x14ac:dyDescent="0.3">
      <c r="A1669" t="s">
        <v>41</v>
      </c>
      <c r="B1669">
        <f>VLOOKUP(A1669,Sheet2!B:F,5,FALSE)</f>
        <v>926</v>
      </c>
      <c r="C1669" t="s">
        <v>56</v>
      </c>
      <c r="D1669">
        <f>VLOOKUP(C1669,Sheet2!C:G,5,FALSE)</f>
        <v>1207</v>
      </c>
      <c r="E1669" t="s">
        <v>253</v>
      </c>
      <c r="F1669">
        <f>VLOOKUP(E1669,Sheet2!D:E,2,FALSE)</f>
        <v>1328</v>
      </c>
      <c r="G1669" t="s">
        <v>11</v>
      </c>
      <c r="H1669" t="str">
        <f t="shared" si="52"/>
        <v>NAVERvictory75</v>
      </c>
      <c r="I1669" t="str">
        <f>"victory75"</f>
        <v>victory75</v>
      </c>
      <c r="J1669">
        <v>3820830</v>
      </c>
      <c r="K1669" s="1">
        <v>44866</v>
      </c>
      <c r="L1669" t="s">
        <v>1689</v>
      </c>
      <c r="M1669">
        <f t="shared" si="53"/>
        <v>3904300</v>
      </c>
      <c r="N1669" t="e">
        <f>VLOOKUP(H1669,Sheet1!G:H,2,FALSE)</f>
        <v>#N/A</v>
      </c>
      <c r="R1669" t="s">
        <v>3593</v>
      </c>
      <c r="S1669">
        <v>102590</v>
      </c>
    </row>
    <row r="1670" spans="1:19" x14ac:dyDescent="0.3">
      <c r="A1670" t="s">
        <v>8</v>
      </c>
      <c r="B1670">
        <f>VLOOKUP(A1670,Sheet2!B:F,5,FALSE)</f>
        <v>928</v>
      </c>
      <c r="C1670" t="s">
        <v>9</v>
      </c>
      <c r="D1670">
        <f>VLOOKUP(C1670,Sheet2!C:G,5,FALSE)</f>
        <v>1202</v>
      </c>
      <c r="E1670" t="s">
        <v>27</v>
      </c>
      <c r="F1670">
        <f>VLOOKUP(E1670,Sheet2!D:E,2,FALSE)</f>
        <v>806</v>
      </c>
      <c r="G1670" t="s">
        <v>11</v>
      </c>
      <c r="H1670" t="str">
        <f t="shared" si="52"/>
        <v>NAVERvigor4862:naver</v>
      </c>
      <c r="I1670" t="str">
        <f>"vigor4862:naver"</f>
        <v>vigor4862:naver</v>
      </c>
      <c r="J1670">
        <v>518770</v>
      </c>
      <c r="K1670" s="1">
        <v>44866</v>
      </c>
      <c r="L1670" t="s">
        <v>1690</v>
      </c>
      <c r="M1670">
        <f t="shared" si="53"/>
        <v>518770</v>
      </c>
      <c r="N1670" t="e">
        <f>VLOOKUP(H1670,Sheet1!G:H,2,FALSE)</f>
        <v>#N/A</v>
      </c>
      <c r="R1670" t="s">
        <v>3594</v>
      </c>
      <c r="S1670">
        <v>238040</v>
      </c>
    </row>
    <row r="1671" spans="1:19" x14ac:dyDescent="0.3">
      <c r="A1671" t="s">
        <v>8</v>
      </c>
      <c r="B1671">
        <f>VLOOKUP(A1671,Sheet2!B:F,5,FALSE)</f>
        <v>928</v>
      </c>
      <c r="C1671" t="s">
        <v>9</v>
      </c>
      <c r="D1671">
        <f>VLOOKUP(C1671,Sheet2!C:G,5,FALSE)</f>
        <v>1202</v>
      </c>
      <c r="E1671" t="s">
        <v>75</v>
      </c>
      <c r="F1671">
        <f>VLOOKUP(E1671,Sheet2!D:E,2,FALSE)</f>
        <v>50</v>
      </c>
      <c r="G1671" t="s">
        <v>11</v>
      </c>
      <c r="H1671" t="str">
        <f t="shared" si="52"/>
        <v>NAVERvip0424</v>
      </c>
      <c r="I1671" t="str">
        <f>"vip0424"</f>
        <v>vip0424</v>
      </c>
      <c r="J1671">
        <v>1294370</v>
      </c>
      <c r="K1671" s="1">
        <v>44866</v>
      </c>
      <c r="L1671" t="s">
        <v>1691</v>
      </c>
      <c r="M1671">
        <f t="shared" si="53"/>
        <v>1294370</v>
      </c>
      <c r="N1671" t="e">
        <f>VLOOKUP(H1671,Sheet1!G:H,2,FALSE)</f>
        <v>#N/A</v>
      </c>
      <c r="R1671" t="s">
        <v>3595</v>
      </c>
      <c r="S1671">
        <v>253450</v>
      </c>
    </row>
    <row r="1672" spans="1:19" x14ac:dyDescent="0.3">
      <c r="A1672" t="s">
        <v>16</v>
      </c>
      <c r="B1672">
        <f>VLOOKUP(A1672,Sheet2!B:F,5,FALSE)</f>
        <v>927</v>
      </c>
      <c r="C1672" t="s">
        <v>17</v>
      </c>
      <c r="D1672">
        <f>VLOOKUP(C1672,Sheet2!C:G,5,FALSE)</f>
        <v>1200</v>
      </c>
      <c r="E1672" t="s">
        <v>137</v>
      </c>
      <c r="F1672">
        <f>VLOOKUP(E1672,Sheet2!D:E,2,FALSE)</f>
        <v>1012</v>
      </c>
      <c r="G1672" t="s">
        <v>11</v>
      </c>
      <c r="H1672" t="str">
        <f t="shared" si="52"/>
        <v>NAVERvipm:naver</v>
      </c>
      <c r="I1672" t="str">
        <f>"vipm:naver"</f>
        <v>vipm:naver</v>
      </c>
      <c r="J1672">
        <v>129470</v>
      </c>
      <c r="K1672" s="1">
        <v>44866</v>
      </c>
      <c r="L1672" t="s">
        <v>1692</v>
      </c>
      <c r="M1672">
        <f t="shared" si="53"/>
        <v>129470</v>
      </c>
      <c r="N1672" t="e">
        <f>VLOOKUP(H1672,Sheet1!G:H,2,FALSE)</f>
        <v>#N/A</v>
      </c>
      <c r="R1672" t="s">
        <v>3596</v>
      </c>
      <c r="S1672">
        <v>149760</v>
      </c>
    </row>
    <row r="1673" spans="1:19" x14ac:dyDescent="0.3">
      <c r="A1673" t="s">
        <v>8</v>
      </c>
      <c r="B1673">
        <f>VLOOKUP(A1673,Sheet2!B:F,5,FALSE)</f>
        <v>928</v>
      </c>
      <c r="C1673" t="s">
        <v>13</v>
      </c>
      <c r="D1673">
        <f>VLOOKUP(C1673,Sheet2!C:G,5,FALSE)</f>
        <v>1184</v>
      </c>
      <c r="E1673" t="s">
        <v>115</v>
      </c>
      <c r="F1673">
        <f>VLOOKUP(E1673,Sheet2!D:E,2,FALSE)</f>
        <v>1548</v>
      </c>
      <c r="G1673" t="s">
        <v>11</v>
      </c>
      <c r="H1673" t="str">
        <f t="shared" si="52"/>
        <v>NAVERvirology</v>
      </c>
      <c r="I1673" t="str">
        <f>"virology"</f>
        <v>virology</v>
      </c>
      <c r="J1673">
        <v>8300</v>
      </c>
      <c r="K1673" s="1">
        <v>44866</v>
      </c>
      <c r="L1673" t="s">
        <v>1693</v>
      </c>
      <c r="M1673">
        <f t="shared" si="53"/>
        <v>8300</v>
      </c>
      <c r="N1673" t="e">
        <f>VLOOKUP(H1673,Sheet1!G:H,2,FALSE)</f>
        <v>#N/A</v>
      </c>
      <c r="R1673" t="s">
        <v>3597</v>
      </c>
      <c r="S1673">
        <v>7467220</v>
      </c>
    </row>
    <row r="1674" spans="1:19" x14ac:dyDescent="0.3">
      <c r="A1674" t="s">
        <v>8</v>
      </c>
      <c r="B1674">
        <f>VLOOKUP(A1674,Sheet2!B:F,5,FALSE)</f>
        <v>928</v>
      </c>
      <c r="C1674" t="s">
        <v>13</v>
      </c>
      <c r="D1674">
        <f>VLOOKUP(C1674,Sheet2!C:G,5,FALSE)</f>
        <v>1184</v>
      </c>
      <c r="E1674" t="s">
        <v>59</v>
      </c>
      <c r="F1674">
        <f>VLOOKUP(E1674,Sheet2!D:E,2,FALSE)</f>
        <v>9</v>
      </c>
      <c r="G1674" t="s">
        <v>11</v>
      </c>
      <c r="H1674" t="str">
        <f t="shared" si="52"/>
        <v>NAVERvision2005</v>
      </c>
      <c r="I1674" t="str">
        <f>"vision2005"</f>
        <v>vision2005</v>
      </c>
      <c r="J1674">
        <v>4450</v>
      </c>
      <c r="K1674" s="1">
        <v>44866</v>
      </c>
      <c r="L1674" t="s">
        <v>1694</v>
      </c>
      <c r="M1674">
        <f t="shared" si="53"/>
        <v>4450</v>
      </c>
      <c r="N1674" t="e">
        <f>VLOOKUP(H1674,Sheet1!G:H,2,FALSE)</f>
        <v>#N/A</v>
      </c>
      <c r="R1674" t="s">
        <v>3598</v>
      </c>
      <c r="S1674">
        <v>991480</v>
      </c>
    </row>
    <row r="1675" spans="1:19" x14ac:dyDescent="0.3">
      <c r="A1675" t="s">
        <v>8</v>
      </c>
      <c r="B1675">
        <f>VLOOKUP(A1675,Sheet2!B:F,5,FALSE)</f>
        <v>928</v>
      </c>
      <c r="C1675" t="s">
        <v>9</v>
      </c>
      <c r="D1675">
        <f>VLOOKUP(C1675,Sheet2!C:G,5,FALSE)</f>
        <v>1202</v>
      </c>
      <c r="E1675" t="s">
        <v>391</v>
      </c>
      <c r="F1675">
        <f>VLOOKUP(E1675,Sheet2!D:E,2,FALSE)</f>
        <v>1216</v>
      </c>
      <c r="G1675" t="s">
        <v>11</v>
      </c>
      <c r="H1675" t="str">
        <f t="shared" si="52"/>
        <v>NAVERvisionmall</v>
      </c>
      <c r="I1675" t="str">
        <f>"visionmall"</f>
        <v>visionmall</v>
      </c>
      <c r="J1675">
        <v>265730</v>
      </c>
      <c r="K1675" s="1">
        <v>44866</v>
      </c>
      <c r="L1675" t="s">
        <v>1695</v>
      </c>
      <c r="M1675">
        <f t="shared" si="53"/>
        <v>266700</v>
      </c>
      <c r="N1675" t="e">
        <f>VLOOKUP(H1675,Sheet1!G:H,2,FALSE)</f>
        <v>#N/A</v>
      </c>
      <c r="R1675" t="s">
        <v>3599</v>
      </c>
      <c r="S1675">
        <v>2631570</v>
      </c>
    </row>
    <row r="1676" spans="1:19" x14ac:dyDescent="0.3">
      <c r="A1676" t="s">
        <v>41</v>
      </c>
      <c r="B1676">
        <f>VLOOKUP(A1676,Sheet2!B:F,5,FALSE)</f>
        <v>926</v>
      </c>
      <c r="C1676" t="s">
        <v>56</v>
      </c>
      <c r="D1676">
        <f>VLOOKUP(C1676,Sheet2!C:G,5,FALSE)</f>
        <v>1207</v>
      </c>
      <c r="E1676" t="s">
        <v>253</v>
      </c>
      <c r="F1676">
        <f>VLOOKUP(E1676,Sheet2!D:E,2,FALSE)</f>
        <v>1328</v>
      </c>
      <c r="G1676" t="s">
        <v>11</v>
      </c>
      <c r="H1676" t="str">
        <f t="shared" si="52"/>
        <v>NAVERvivalime</v>
      </c>
      <c r="I1676" t="str">
        <f>"vivalime"</f>
        <v>vivalime</v>
      </c>
      <c r="J1676">
        <v>7344000</v>
      </c>
      <c r="K1676" s="1">
        <v>44866</v>
      </c>
      <c r="L1676" t="s">
        <v>1696</v>
      </c>
      <c r="M1676">
        <f t="shared" si="53"/>
        <v>7344000</v>
      </c>
      <c r="N1676" t="e">
        <f>VLOOKUP(H1676,Sheet1!G:H,2,FALSE)</f>
        <v>#N/A</v>
      </c>
      <c r="R1676" t="s">
        <v>3600</v>
      </c>
      <c r="S1676">
        <v>20673870</v>
      </c>
    </row>
    <row r="1677" spans="1:19" x14ac:dyDescent="0.3">
      <c r="A1677" t="s">
        <v>8</v>
      </c>
      <c r="B1677">
        <f>VLOOKUP(A1677,Sheet2!B:F,5,FALSE)</f>
        <v>928</v>
      </c>
      <c r="C1677" t="s">
        <v>9</v>
      </c>
      <c r="D1677">
        <f>VLOOKUP(C1677,Sheet2!C:G,5,FALSE)</f>
        <v>1202</v>
      </c>
      <c r="E1677" t="s">
        <v>37</v>
      </c>
      <c r="F1677">
        <f>VLOOKUP(E1677,Sheet2!D:E,2,FALSE)</f>
        <v>81</v>
      </c>
      <c r="G1677" t="s">
        <v>11</v>
      </c>
      <c r="H1677" t="str">
        <f t="shared" si="52"/>
        <v>NAVERvjavm88</v>
      </c>
      <c r="I1677" t="str">
        <f>"vjavm88"</f>
        <v>vjavm88</v>
      </c>
      <c r="J1677">
        <v>1528480</v>
      </c>
      <c r="K1677" s="1">
        <v>44866</v>
      </c>
      <c r="L1677" t="s">
        <v>1697</v>
      </c>
      <c r="M1677">
        <f t="shared" si="53"/>
        <v>1528480</v>
      </c>
      <c r="N1677" t="e">
        <f>VLOOKUP(H1677,Sheet1!G:H,2,FALSE)</f>
        <v>#N/A</v>
      </c>
      <c r="R1677" t="s">
        <v>3601</v>
      </c>
      <c r="S1677">
        <v>277980</v>
      </c>
    </row>
    <row r="1678" spans="1:19" x14ac:dyDescent="0.3">
      <c r="A1678" t="s">
        <v>16</v>
      </c>
      <c r="B1678">
        <f>VLOOKUP(A1678,Sheet2!B:F,5,FALSE)</f>
        <v>927</v>
      </c>
      <c r="C1678" t="s">
        <v>17</v>
      </c>
      <c r="D1678">
        <f>VLOOKUP(C1678,Sheet2!C:G,5,FALSE)</f>
        <v>1200</v>
      </c>
      <c r="E1678" t="s">
        <v>78</v>
      </c>
      <c r="F1678">
        <f>VLOOKUP(E1678,Sheet2!D:E,2,FALSE)</f>
        <v>57</v>
      </c>
      <c r="G1678" t="s">
        <v>11</v>
      </c>
      <c r="H1678" t="str">
        <f t="shared" si="52"/>
        <v>NAVERvkvk1995</v>
      </c>
      <c r="I1678" t="str">
        <f>"vkvk1995"</f>
        <v>vkvk1995</v>
      </c>
      <c r="J1678">
        <v>135380</v>
      </c>
      <c r="K1678" s="1">
        <v>44866</v>
      </c>
      <c r="L1678" t="s">
        <v>1698</v>
      </c>
      <c r="M1678">
        <f t="shared" si="53"/>
        <v>135380</v>
      </c>
      <c r="N1678" t="e">
        <f>VLOOKUP(H1678,Sheet1!G:H,2,FALSE)</f>
        <v>#N/A</v>
      </c>
      <c r="R1678" t="s">
        <v>3602</v>
      </c>
      <c r="S1678">
        <v>235640</v>
      </c>
    </row>
    <row r="1679" spans="1:19" x14ac:dyDescent="0.3">
      <c r="A1679" t="s">
        <v>22</v>
      </c>
      <c r="B1679">
        <f>VLOOKUP(A1679,Sheet2!B:F,5,FALSE)</f>
        <v>809</v>
      </c>
      <c r="C1679" t="s">
        <v>23</v>
      </c>
      <c r="D1679">
        <f>VLOOKUP(C1679,Sheet2!C:G,5,FALSE)</f>
        <v>810</v>
      </c>
      <c r="E1679" t="s">
        <v>236</v>
      </c>
      <c r="F1679">
        <f>VLOOKUP(E1679,Sheet2!D:E,2,FALSE)</f>
        <v>201052</v>
      </c>
      <c r="G1679" t="s">
        <v>11</v>
      </c>
      <c r="H1679" t="str">
        <f t="shared" si="52"/>
        <v>NAVERvop0505:naver</v>
      </c>
      <c r="I1679" t="str">
        <f>"vop0505:naver"</f>
        <v>vop0505:naver</v>
      </c>
      <c r="J1679">
        <v>97770</v>
      </c>
      <c r="K1679" s="1">
        <v>44866</v>
      </c>
      <c r="L1679" t="s">
        <v>1699</v>
      </c>
      <c r="M1679">
        <f t="shared" si="53"/>
        <v>97770</v>
      </c>
      <c r="N1679" t="e">
        <f>VLOOKUP(H1679,Sheet1!G:H,2,FALSE)</f>
        <v>#N/A</v>
      </c>
      <c r="R1679" t="s">
        <v>3603</v>
      </c>
      <c r="S1679">
        <v>228880</v>
      </c>
    </row>
    <row r="1680" spans="1:19" x14ac:dyDescent="0.3">
      <c r="A1680" t="s">
        <v>8</v>
      </c>
      <c r="B1680">
        <f>VLOOKUP(A1680,Sheet2!B:F,5,FALSE)</f>
        <v>928</v>
      </c>
      <c r="C1680" t="s">
        <v>9</v>
      </c>
      <c r="D1680">
        <f>VLOOKUP(C1680,Sheet2!C:G,5,FALSE)</f>
        <v>1202</v>
      </c>
      <c r="E1680" t="s">
        <v>45</v>
      </c>
      <c r="F1680">
        <f>VLOOKUP(E1680,Sheet2!D:E,2,FALSE)</f>
        <v>26</v>
      </c>
      <c r="G1680" t="s">
        <v>11</v>
      </c>
      <c r="H1680" t="str">
        <f t="shared" si="52"/>
        <v>NAVERvstar0313</v>
      </c>
      <c r="I1680" t="str">
        <f>"vstar0313"</f>
        <v>vstar0313</v>
      </c>
      <c r="J1680">
        <v>1741750</v>
      </c>
      <c r="K1680" s="1">
        <v>44866</v>
      </c>
      <c r="L1680" t="s">
        <v>1700</v>
      </c>
      <c r="M1680">
        <f t="shared" si="53"/>
        <v>1741750</v>
      </c>
      <c r="N1680" t="e">
        <f>VLOOKUP(H1680,Sheet1!G:H,2,FALSE)</f>
        <v>#N/A</v>
      </c>
      <c r="R1680" t="s">
        <v>3604</v>
      </c>
      <c r="S1680">
        <v>172190</v>
      </c>
    </row>
    <row r="1681" spans="1:19" x14ac:dyDescent="0.3">
      <c r="A1681" t="s">
        <v>8</v>
      </c>
      <c r="B1681">
        <f>VLOOKUP(A1681,Sheet2!B:F,5,FALSE)</f>
        <v>928</v>
      </c>
      <c r="C1681" t="s">
        <v>9</v>
      </c>
      <c r="D1681">
        <f>VLOOKUP(C1681,Sheet2!C:G,5,FALSE)</f>
        <v>1202</v>
      </c>
      <c r="E1681" t="s">
        <v>27</v>
      </c>
      <c r="F1681">
        <f>VLOOKUP(E1681,Sheet2!D:E,2,FALSE)</f>
        <v>806</v>
      </c>
      <c r="G1681" t="s">
        <v>11</v>
      </c>
      <c r="H1681" t="str">
        <f t="shared" si="52"/>
        <v>NAVERvz001</v>
      </c>
      <c r="I1681" t="str">
        <f>"vz001"</f>
        <v>vz001</v>
      </c>
      <c r="J1681">
        <v>222700</v>
      </c>
      <c r="K1681" s="1">
        <v>44866</v>
      </c>
      <c r="L1681" t="s">
        <v>1701</v>
      </c>
      <c r="M1681">
        <f t="shared" si="53"/>
        <v>222700</v>
      </c>
      <c r="N1681" t="e">
        <f>VLOOKUP(H1681,Sheet1!G:H,2,FALSE)</f>
        <v>#N/A</v>
      </c>
      <c r="R1681" t="s">
        <v>3605</v>
      </c>
      <c r="S1681">
        <v>393050</v>
      </c>
    </row>
    <row r="1682" spans="1:19" x14ac:dyDescent="0.3">
      <c r="A1682" t="s">
        <v>41</v>
      </c>
      <c r="B1682">
        <f>VLOOKUP(A1682,Sheet2!B:F,5,FALSE)</f>
        <v>926</v>
      </c>
      <c r="C1682" t="s">
        <v>56</v>
      </c>
      <c r="D1682">
        <f>VLOOKUP(C1682,Sheet2!C:G,5,FALSE)</f>
        <v>1207</v>
      </c>
      <c r="E1682" t="s">
        <v>57</v>
      </c>
      <c r="F1682">
        <f>VLOOKUP(E1682,Sheet2!D:E,2,FALSE)</f>
        <v>200982</v>
      </c>
      <c r="G1682" t="s">
        <v>11</v>
      </c>
      <c r="H1682" t="str">
        <f t="shared" si="52"/>
        <v>NAVERw_interpark</v>
      </c>
      <c r="I1682" t="str">
        <f>"w_interpark"</f>
        <v>w_interpark</v>
      </c>
      <c r="J1682">
        <v>147030</v>
      </c>
      <c r="K1682" s="1">
        <v>44866</v>
      </c>
      <c r="L1682" t="s">
        <v>1702</v>
      </c>
      <c r="M1682">
        <f t="shared" si="53"/>
        <v>443320</v>
      </c>
      <c r="N1682" t="e">
        <f>VLOOKUP(H1682,Sheet1!G:H,2,FALSE)</f>
        <v>#N/A</v>
      </c>
      <c r="R1682" t="s">
        <v>3606</v>
      </c>
      <c r="S1682">
        <v>203420</v>
      </c>
    </row>
    <row r="1683" spans="1:19" x14ac:dyDescent="0.3">
      <c r="A1683" t="s">
        <v>16</v>
      </c>
      <c r="B1683">
        <f>VLOOKUP(A1683,Sheet2!B:F,5,FALSE)</f>
        <v>927</v>
      </c>
      <c r="C1683" t="s">
        <v>17</v>
      </c>
      <c r="D1683">
        <f>VLOOKUP(C1683,Sheet2!C:G,5,FALSE)</f>
        <v>1200</v>
      </c>
      <c r="E1683" t="s">
        <v>29</v>
      </c>
      <c r="F1683">
        <f>VLOOKUP(E1683,Sheet2!D:E,2,FALSE)</f>
        <v>1496</v>
      </c>
      <c r="G1683" t="s">
        <v>11</v>
      </c>
      <c r="H1683" t="str">
        <f t="shared" si="52"/>
        <v>NAVERwalkbrain1</v>
      </c>
      <c r="I1683" t="str">
        <f>"walkbrain1"</f>
        <v>walkbrain1</v>
      </c>
      <c r="J1683">
        <v>1095116</v>
      </c>
      <c r="K1683" s="1">
        <v>44866</v>
      </c>
      <c r="L1683" t="s">
        <v>1703</v>
      </c>
      <c r="M1683">
        <f t="shared" si="53"/>
        <v>1048450</v>
      </c>
      <c r="N1683" t="e">
        <f>VLOOKUP(H1683,Sheet1!G:H,2,FALSE)</f>
        <v>#N/A</v>
      </c>
      <c r="R1683" t="s">
        <v>3607</v>
      </c>
      <c r="S1683">
        <v>313740</v>
      </c>
    </row>
    <row r="1684" spans="1:19" x14ac:dyDescent="0.3">
      <c r="A1684" t="s">
        <v>8</v>
      </c>
      <c r="B1684">
        <f>VLOOKUP(A1684,Sheet2!B:F,5,FALSE)</f>
        <v>928</v>
      </c>
      <c r="C1684" t="s">
        <v>9</v>
      </c>
      <c r="D1684">
        <f>VLOOKUP(C1684,Sheet2!C:G,5,FALSE)</f>
        <v>1202</v>
      </c>
      <c r="E1684" t="s">
        <v>39</v>
      </c>
      <c r="F1684">
        <f>VLOOKUP(E1684,Sheet2!D:E,2,FALSE)</f>
        <v>25</v>
      </c>
      <c r="G1684" t="s">
        <v>11</v>
      </c>
      <c r="H1684" t="str">
        <f t="shared" si="52"/>
        <v>NAVERwaneebe</v>
      </c>
      <c r="I1684" t="str">
        <f>"waneebe"</f>
        <v>waneebe</v>
      </c>
      <c r="J1684">
        <v>1187150</v>
      </c>
      <c r="K1684" s="1">
        <v>44866</v>
      </c>
      <c r="L1684" t="s">
        <v>1704</v>
      </c>
      <c r="M1684">
        <f t="shared" si="53"/>
        <v>1187150</v>
      </c>
      <c r="N1684" t="e">
        <f>VLOOKUP(H1684,Sheet1!G:H,2,FALSE)</f>
        <v>#N/A</v>
      </c>
      <c r="R1684" t="s">
        <v>3608</v>
      </c>
      <c r="S1684">
        <v>365780</v>
      </c>
    </row>
    <row r="1685" spans="1:19" x14ac:dyDescent="0.3">
      <c r="A1685" t="s">
        <v>8</v>
      </c>
      <c r="B1685">
        <f>VLOOKUP(A1685,Sheet2!B:F,5,FALSE)</f>
        <v>928</v>
      </c>
      <c r="C1685" t="s">
        <v>13</v>
      </c>
      <c r="D1685">
        <f>VLOOKUP(C1685,Sheet2!C:G,5,FALSE)</f>
        <v>1184</v>
      </c>
      <c r="E1685" t="s">
        <v>102</v>
      </c>
      <c r="F1685">
        <f>VLOOKUP(E1685,Sheet2!D:E,2,FALSE)</f>
        <v>917</v>
      </c>
      <c r="G1685" t="s">
        <v>11</v>
      </c>
      <c r="H1685" t="str">
        <f t="shared" si="52"/>
        <v>NAVERwatchcase2</v>
      </c>
      <c r="I1685" t="str">
        <f>"watchcase2"</f>
        <v>watchcase2</v>
      </c>
      <c r="J1685">
        <v>31569290</v>
      </c>
      <c r="K1685" s="1">
        <v>44866</v>
      </c>
      <c r="L1685" t="s">
        <v>1705</v>
      </c>
      <c r="M1685">
        <f t="shared" si="53"/>
        <v>31460290</v>
      </c>
      <c r="N1685" t="e">
        <f>VLOOKUP(H1685,Sheet1!G:H,2,FALSE)</f>
        <v>#N/A</v>
      </c>
      <c r="R1685" t="s">
        <v>3609</v>
      </c>
      <c r="S1685">
        <v>8310</v>
      </c>
    </row>
    <row r="1686" spans="1:19" x14ac:dyDescent="0.3">
      <c r="A1686" t="s">
        <v>16</v>
      </c>
      <c r="B1686">
        <f>VLOOKUP(A1686,Sheet2!B:F,5,FALSE)</f>
        <v>927</v>
      </c>
      <c r="C1686" t="s">
        <v>17</v>
      </c>
      <c r="D1686">
        <f>VLOOKUP(C1686,Sheet2!C:G,5,FALSE)</f>
        <v>1200</v>
      </c>
      <c r="E1686" t="s">
        <v>137</v>
      </c>
      <c r="F1686">
        <f>VLOOKUP(E1686,Sheet2!D:E,2,FALSE)</f>
        <v>1012</v>
      </c>
      <c r="G1686" t="s">
        <v>11</v>
      </c>
      <c r="H1686" t="str">
        <f t="shared" si="52"/>
        <v>NAVERwaternix</v>
      </c>
      <c r="I1686" t="str">
        <f>"waternix"</f>
        <v>waternix</v>
      </c>
      <c r="J1686">
        <v>238680</v>
      </c>
      <c r="K1686" s="1">
        <v>44866</v>
      </c>
      <c r="L1686" t="s">
        <v>1706</v>
      </c>
      <c r="M1686">
        <f t="shared" si="53"/>
        <v>238680</v>
      </c>
      <c r="N1686" t="e">
        <f>VLOOKUP(H1686,Sheet1!G:H,2,FALSE)</f>
        <v>#N/A</v>
      </c>
      <c r="R1686" t="s">
        <v>3610</v>
      </c>
      <c r="S1686">
        <v>4940</v>
      </c>
    </row>
    <row r="1687" spans="1:19" x14ac:dyDescent="0.3">
      <c r="A1687" t="s">
        <v>41</v>
      </c>
      <c r="B1687">
        <f>VLOOKUP(A1687,Sheet2!B:F,5,FALSE)</f>
        <v>926</v>
      </c>
      <c r="C1687" t="s">
        <v>56</v>
      </c>
      <c r="D1687">
        <f>VLOOKUP(C1687,Sheet2!C:G,5,FALSE)</f>
        <v>1207</v>
      </c>
      <c r="E1687" t="s">
        <v>62</v>
      </c>
      <c r="F1687">
        <f>VLOOKUP(E1687,Sheet2!D:E,2,FALSE)</f>
        <v>201037</v>
      </c>
      <c r="G1687" t="s">
        <v>11</v>
      </c>
      <c r="H1687" t="str">
        <f t="shared" si="52"/>
        <v>NAVERwavecompany</v>
      </c>
      <c r="I1687" t="str">
        <f>"wavecompany"</f>
        <v>wavecompany</v>
      </c>
      <c r="J1687">
        <v>55510</v>
      </c>
      <c r="K1687" s="1">
        <v>44866</v>
      </c>
      <c r="L1687" t="s">
        <v>1213</v>
      </c>
      <c r="M1687">
        <f t="shared" si="53"/>
        <v>55510</v>
      </c>
      <c r="N1687" t="e">
        <f>VLOOKUP(H1687,Sheet1!G:H,2,FALSE)</f>
        <v>#N/A</v>
      </c>
      <c r="R1687" t="s">
        <v>3611</v>
      </c>
      <c r="S1687">
        <v>91180</v>
      </c>
    </row>
    <row r="1688" spans="1:19" x14ac:dyDescent="0.3">
      <c r="A1688" t="s">
        <v>16</v>
      </c>
      <c r="B1688">
        <f>VLOOKUP(A1688,Sheet2!B:F,5,FALSE)</f>
        <v>927</v>
      </c>
      <c r="C1688" t="s">
        <v>17</v>
      </c>
      <c r="D1688">
        <f>VLOOKUP(C1688,Sheet2!C:G,5,FALSE)</f>
        <v>1200</v>
      </c>
      <c r="E1688" t="s">
        <v>18</v>
      </c>
      <c r="F1688">
        <f>VLOOKUP(E1688,Sheet2!D:E,2,FALSE)</f>
        <v>201116</v>
      </c>
      <c r="G1688" t="s">
        <v>11</v>
      </c>
      <c r="H1688" t="str">
        <f t="shared" si="52"/>
        <v>NAVERways98:naver</v>
      </c>
      <c r="I1688" t="str">
        <f>"ways98:naver"</f>
        <v>ways98:naver</v>
      </c>
      <c r="J1688">
        <v>393420</v>
      </c>
      <c r="K1688" s="1">
        <v>44866</v>
      </c>
      <c r="L1688" t="s">
        <v>1707</v>
      </c>
      <c r="M1688">
        <f t="shared" si="53"/>
        <v>393420</v>
      </c>
      <c r="N1688" t="e">
        <f>VLOOKUP(H1688,Sheet1!G:H,2,FALSE)</f>
        <v>#N/A</v>
      </c>
      <c r="R1688" t="s">
        <v>3612</v>
      </c>
      <c r="S1688">
        <v>76960</v>
      </c>
    </row>
    <row r="1689" spans="1:19" x14ac:dyDescent="0.3">
      <c r="A1689" t="s">
        <v>8</v>
      </c>
      <c r="B1689">
        <f>VLOOKUP(A1689,Sheet2!B:F,5,FALSE)</f>
        <v>928</v>
      </c>
      <c r="C1689" t="s">
        <v>13</v>
      </c>
      <c r="D1689">
        <f>VLOOKUP(C1689,Sheet2!C:G,5,FALSE)</f>
        <v>1184</v>
      </c>
      <c r="E1689" t="s">
        <v>374</v>
      </c>
      <c r="F1689">
        <f>VLOOKUP(E1689,Sheet2!D:E,2,FALSE)</f>
        <v>201022</v>
      </c>
      <c r="G1689" t="s">
        <v>11</v>
      </c>
      <c r="H1689" t="str">
        <f t="shared" si="52"/>
        <v>NAVERwe_will_win:naver</v>
      </c>
      <c r="I1689" t="str">
        <f>"we_will_win:naver"</f>
        <v>we_will_win:naver</v>
      </c>
      <c r="J1689">
        <v>1400</v>
      </c>
      <c r="K1689" s="1">
        <v>44866</v>
      </c>
      <c r="L1689" t="s">
        <v>1708</v>
      </c>
      <c r="M1689">
        <f t="shared" si="53"/>
        <v>1400</v>
      </c>
      <c r="N1689" t="e">
        <f>VLOOKUP(H1689,Sheet1!G:H,2,FALSE)</f>
        <v>#N/A</v>
      </c>
      <c r="R1689" t="s">
        <v>3613</v>
      </c>
      <c r="S1689">
        <v>0</v>
      </c>
    </row>
    <row r="1690" spans="1:19" x14ac:dyDescent="0.3">
      <c r="A1690" t="s">
        <v>176</v>
      </c>
      <c r="B1690">
        <f>VLOOKUP(A1690,Sheet2!B:F,5,FALSE)</f>
        <v>1204</v>
      </c>
      <c r="C1690" t="s">
        <v>177</v>
      </c>
      <c r="D1690">
        <f>VLOOKUP(C1690,Sheet2!C:G,5,FALSE)</f>
        <v>1205</v>
      </c>
      <c r="E1690" t="s">
        <v>178</v>
      </c>
      <c r="F1690">
        <f>VLOOKUP(E1690,Sheet2!D:E,2,FALSE)</f>
        <v>201073</v>
      </c>
      <c r="G1690" t="s">
        <v>11</v>
      </c>
      <c r="H1690" t="str">
        <f t="shared" si="52"/>
        <v>NAVERwellchoi</v>
      </c>
      <c r="I1690" t="str">
        <f>"wellchoi"</f>
        <v>wellchoi</v>
      </c>
      <c r="J1690">
        <v>120950</v>
      </c>
      <c r="K1690" s="1">
        <v>44866</v>
      </c>
      <c r="L1690" t="s">
        <v>1709</v>
      </c>
      <c r="M1690">
        <f t="shared" si="53"/>
        <v>120950</v>
      </c>
      <c r="N1690" t="e">
        <f>VLOOKUP(H1690,Sheet1!G:H,2,FALSE)</f>
        <v>#N/A</v>
      </c>
      <c r="R1690" t="s">
        <v>3614</v>
      </c>
      <c r="S1690">
        <v>147420</v>
      </c>
    </row>
    <row r="1691" spans="1:19" x14ac:dyDescent="0.3">
      <c r="A1691" t="s">
        <v>8</v>
      </c>
      <c r="B1691">
        <f>VLOOKUP(A1691,Sheet2!B:F,5,FALSE)</f>
        <v>928</v>
      </c>
      <c r="C1691" t="s">
        <v>167</v>
      </c>
      <c r="D1691">
        <f>VLOOKUP(C1691,Sheet2!C:G,5,FALSE)</f>
        <v>935</v>
      </c>
      <c r="E1691" t="s">
        <v>168</v>
      </c>
      <c r="F1691">
        <f>VLOOKUP(E1691,Sheet2!D:E,2,FALSE)</f>
        <v>2</v>
      </c>
      <c r="G1691" t="s">
        <v>11</v>
      </c>
      <c r="H1691" t="str">
        <f t="shared" si="52"/>
        <v>NAVERwemake</v>
      </c>
      <c r="I1691" t="str">
        <f>"wemake"</f>
        <v>wemake</v>
      </c>
      <c r="J1691">
        <v>15561810</v>
      </c>
      <c r="K1691" s="1">
        <v>44866</v>
      </c>
      <c r="L1691" t="s">
        <v>671</v>
      </c>
      <c r="M1691">
        <f t="shared" si="53"/>
        <v>15561810</v>
      </c>
      <c r="N1691" t="e">
        <f>VLOOKUP(H1691,Sheet1!G:H,2,FALSE)</f>
        <v>#N/A</v>
      </c>
      <c r="R1691" t="s">
        <v>3615</v>
      </c>
      <c r="S1691">
        <v>1541620</v>
      </c>
    </row>
    <row r="1692" spans="1:19" x14ac:dyDescent="0.3">
      <c r="A1692" t="s">
        <v>8</v>
      </c>
      <c r="B1692">
        <f>VLOOKUP(A1692,Sheet2!B:F,5,FALSE)</f>
        <v>928</v>
      </c>
      <c r="C1692" t="s">
        <v>167</v>
      </c>
      <c r="D1692">
        <f>VLOOKUP(C1692,Sheet2!C:G,5,FALSE)</f>
        <v>935</v>
      </c>
      <c r="E1692" t="s">
        <v>168</v>
      </c>
      <c r="F1692">
        <f>VLOOKUP(E1692,Sheet2!D:E,2,FALSE)</f>
        <v>2</v>
      </c>
      <c r="G1692" t="s">
        <v>11</v>
      </c>
      <c r="H1692" t="str">
        <f t="shared" si="52"/>
        <v>NAVERwemake0</v>
      </c>
      <c r="I1692" t="str">
        <f>"wemake0"</f>
        <v>wemake0</v>
      </c>
      <c r="J1692">
        <v>76803040</v>
      </c>
      <c r="K1692" s="1">
        <v>44866</v>
      </c>
      <c r="L1692" t="s">
        <v>671</v>
      </c>
      <c r="M1692">
        <f t="shared" si="53"/>
        <v>76803040</v>
      </c>
      <c r="N1692" t="e">
        <f>VLOOKUP(H1692,Sheet1!G:H,2,FALSE)</f>
        <v>#N/A</v>
      </c>
      <c r="R1692" t="s">
        <v>3616</v>
      </c>
      <c r="S1692">
        <v>1749590</v>
      </c>
    </row>
    <row r="1693" spans="1:19" x14ac:dyDescent="0.3">
      <c r="A1693" t="s">
        <v>8</v>
      </c>
      <c r="B1693">
        <f>VLOOKUP(A1693,Sheet2!B:F,5,FALSE)</f>
        <v>928</v>
      </c>
      <c r="C1693" t="s">
        <v>167</v>
      </c>
      <c r="D1693">
        <f>VLOOKUP(C1693,Sheet2!C:G,5,FALSE)</f>
        <v>935</v>
      </c>
      <c r="E1693" t="s">
        <v>168</v>
      </c>
      <c r="F1693">
        <f>VLOOKUP(E1693,Sheet2!D:E,2,FALSE)</f>
        <v>2</v>
      </c>
      <c r="G1693" t="s">
        <v>11</v>
      </c>
      <c r="H1693" t="str">
        <f t="shared" si="52"/>
        <v>NAVERwemake1</v>
      </c>
      <c r="I1693" t="str">
        <f>"wemake1"</f>
        <v>wemake1</v>
      </c>
      <c r="J1693">
        <v>19482350</v>
      </c>
      <c r="K1693" s="1">
        <v>44866</v>
      </c>
      <c r="L1693" t="s">
        <v>671</v>
      </c>
      <c r="M1693">
        <f t="shared" si="53"/>
        <v>19482350</v>
      </c>
      <c r="N1693" t="e">
        <f>VLOOKUP(H1693,Sheet1!G:H,2,FALSE)</f>
        <v>#N/A</v>
      </c>
      <c r="R1693" t="s">
        <v>3617</v>
      </c>
      <c r="S1693">
        <v>3493860</v>
      </c>
    </row>
    <row r="1694" spans="1:19" x14ac:dyDescent="0.3">
      <c r="A1694" t="s">
        <v>8</v>
      </c>
      <c r="B1694">
        <f>VLOOKUP(A1694,Sheet2!B:F,5,FALSE)</f>
        <v>928</v>
      </c>
      <c r="C1694" t="s">
        <v>13</v>
      </c>
      <c r="D1694">
        <f>VLOOKUP(C1694,Sheet2!C:G,5,FALSE)</f>
        <v>1184</v>
      </c>
      <c r="E1694" t="s">
        <v>102</v>
      </c>
      <c r="F1694">
        <f>VLOOKUP(E1694,Sheet2!D:E,2,FALSE)</f>
        <v>917</v>
      </c>
      <c r="G1694" t="s">
        <v>11</v>
      </c>
      <c r="H1694" t="str">
        <f t="shared" si="52"/>
        <v>NAVERwesleygym</v>
      </c>
      <c r="I1694" t="str">
        <f>"wesleygym"</f>
        <v>wesleygym</v>
      </c>
      <c r="J1694">
        <v>298230</v>
      </c>
      <c r="K1694" s="1">
        <v>44866</v>
      </c>
      <c r="L1694" t="s">
        <v>1710</v>
      </c>
      <c r="M1694">
        <f t="shared" si="53"/>
        <v>298230</v>
      </c>
      <c r="N1694" t="e">
        <f>VLOOKUP(H1694,Sheet1!G:H,2,FALSE)</f>
        <v>#N/A</v>
      </c>
      <c r="R1694" t="s">
        <v>3618</v>
      </c>
      <c r="S1694">
        <v>82810</v>
      </c>
    </row>
    <row r="1695" spans="1:19" x14ac:dyDescent="0.3">
      <c r="A1695" t="s">
        <v>8</v>
      </c>
      <c r="B1695">
        <f>VLOOKUP(A1695,Sheet2!B:F,5,FALSE)</f>
        <v>928</v>
      </c>
      <c r="C1695" t="s">
        <v>13</v>
      </c>
      <c r="D1695">
        <f>VLOOKUP(C1695,Sheet2!C:G,5,FALSE)</f>
        <v>1184</v>
      </c>
      <c r="E1695" t="s">
        <v>102</v>
      </c>
      <c r="F1695">
        <f>VLOOKUP(E1695,Sheet2!D:E,2,FALSE)</f>
        <v>917</v>
      </c>
      <c r="G1695" t="s">
        <v>11</v>
      </c>
      <c r="H1695" t="str">
        <f t="shared" si="52"/>
        <v>NAVERwesthunter21</v>
      </c>
      <c r="I1695" t="str">
        <f>"westhunter21"</f>
        <v>westhunter21</v>
      </c>
      <c r="J1695">
        <v>48410</v>
      </c>
      <c r="K1695" s="1">
        <v>44866</v>
      </c>
      <c r="L1695" t="s">
        <v>1711</v>
      </c>
      <c r="M1695">
        <f t="shared" si="53"/>
        <v>48410</v>
      </c>
      <c r="N1695" t="e">
        <f>VLOOKUP(H1695,Sheet1!G:H,2,FALSE)</f>
        <v>#N/A</v>
      </c>
      <c r="R1695" t="s">
        <v>3619</v>
      </c>
      <c r="S1695">
        <v>6070</v>
      </c>
    </row>
    <row r="1696" spans="1:19" x14ac:dyDescent="0.3">
      <c r="A1696" t="s">
        <v>8</v>
      </c>
      <c r="B1696">
        <f>VLOOKUP(A1696,Sheet2!B:F,5,FALSE)</f>
        <v>928</v>
      </c>
      <c r="C1696" t="s">
        <v>13</v>
      </c>
      <c r="D1696">
        <f>VLOOKUP(C1696,Sheet2!C:G,5,FALSE)</f>
        <v>1184</v>
      </c>
      <c r="E1696" t="s">
        <v>102</v>
      </c>
      <c r="F1696">
        <f>VLOOKUP(E1696,Sheet2!D:E,2,FALSE)</f>
        <v>917</v>
      </c>
      <c r="G1696" t="s">
        <v>11</v>
      </c>
      <c r="H1696" t="str">
        <f t="shared" si="52"/>
        <v>NAVERweve2875</v>
      </c>
      <c r="I1696" t="str">
        <f>"weve2875"</f>
        <v>weve2875</v>
      </c>
      <c r="J1696">
        <v>172820</v>
      </c>
      <c r="K1696" s="1">
        <v>44866</v>
      </c>
      <c r="L1696" t="s">
        <v>1712</v>
      </c>
      <c r="M1696">
        <f t="shared" si="53"/>
        <v>172820</v>
      </c>
      <c r="N1696" t="e">
        <f>VLOOKUP(H1696,Sheet1!G:H,2,FALSE)</f>
        <v>#N/A</v>
      </c>
      <c r="R1696" t="s">
        <v>3620</v>
      </c>
      <c r="S1696">
        <v>3171200</v>
      </c>
    </row>
    <row r="1697" spans="1:19" x14ac:dyDescent="0.3">
      <c r="A1697" t="s">
        <v>8</v>
      </c>
      <c r="B1697">
        <f>VLOOKUP(A1697,Sheet2!B:F,5,FALSE)</f>
        <v>928</v>
      </c>
      <c r="C1697" t="s">
        <v>9</v>
      </c>
      <c r="D1697">
        <f>VLOOKUP(C1697,Sheet2!C:G,5,FALSE)</f>
        <v>1202</v>
      </c>
      <c r="E1697" t="s">
        <v>47</v>
      </c>
      <c r="F1697">
        <f>VLOOKUP(E1697,Sheet2!D:E,2,FALSE)</f>
        <v>898</v>
      </c>
      <c r="G1697" t="s">
        <v>11</v>
      </c>
      <c r="H1697" t="str">
        <f t="shared" si="52"/>
        <v>NAVERwgs513:naver</v>
      </c>
      <c r="I1697" t="str">
        <f>"wgs513:naver"</f>
        <v>wgs513:naver</v>
      </c>
      <c r="J1697">
        <v>1400</v>
      </c>
      <c r="K1697" s="1">
        <v>44866</v>
      </c>
      <c r="L1697" t="s">
        <v>1713</v>
      </c>
      <c r="M1697">
        <f t="shared" si="53"/>
        <v>1400</v>
      </c>
      <c r="N1697" t="e">
        <f>VLOOKUP(H1697,Sheet1!G:H,2,FALSE)</f>
        <v>#N/A</v>
      </c>
      <c r="R1697" t="s">
        <v>3621</v>
      </c>
      <c r="S1697">
        <v>847730</v>
      </c>
    </row>
    <row r="1698" spans="1:19" x14ac:dyDescent="0.3">
      <c r="A1698" t="s">
        <v>8</v>
      </c>
      <c r="B1698">
        <f>VLOOKUP(A1698,Sheet2!B:F,5,FALSE)</f>
        <v>928</v>
      </c>
      <c r="C1698" t="s">
        <v>9</v>
      </c>
      <c r="D1698">
        <f>VLOOKUP(C1698,Sheet2!C:G,5,FALSE)</f>
        <v>1202</v>
      </c>
      <c r="E1698" t="s">
        <v>122</v>
      </c>
      <c r="F1698">
        <f>VLOOKUP(E1698,Sheet2!D:E,2,FALSE)</f>
        <v>251</v>
      </c>
      <c r="G1698" t="s">
        <v>11</v>
      </c>
      <c r="H1698" t="str">
        <f t="shared" si="52"/>
        <v>NAVERwhatthegyeongju:naver</v>
      </c>
      <c r="I1698" t="str">
        <f>"whatthegyeongju:naver"</f>
        <v>whatthegyeongju:naver</v>
      </c>
      <c r="J1698">
        <v>59777</v>
      </c>
      <c r="K1698" s="1">
        <v>44866</v>
      </c>
      <c r="L1698" t="s">
        <v>1714</v>
      </c>
      <c r="M1698">
        <f t="shared" si="53"/>
        <v>59822</v>
      </c>
      <c r="N1698" t="e">
        <f>VLOOKUP(H1698,Sheet1!G:H,2,FALSE)</f>
        <v>#N/A</v>
      </c>
      <c r="R1698" t="s">
        <v>3622</v>
      </c>
      <c r="S1698">
        <v>1704800</v>
      </c>
    </row>
    <row r="1699" spans="1:19" x14ac:dyDescent="0.3">
      <c r="A1699" t="s">
        <v>16</v>
      </c>
      <c r="B1699">
        <f>VLOOKUP(A1699,Sheet2!B:F,5,FALSE)</f>
        <v>927</v>
      </c>
      <c r="C1699" t="s">
        <v>17</v>
      </c>
      <c r="D1699">
        <f>VLOOKUP(C1699,Sheet2!C:G,5,FALSE)</f>
        <v>1200</v>
      </c>
      <c r="E1699" t="s">
        <v>66</v>
      </c>
      <c r="F1699">
        <f>VLOOKUP(E1699,Sheet2!D:E,2,FALSE)</f>
        <v>33</v>
      </c>
      <c r="G1699" t="s">
        <v>11</v>
      </c>
      <c r="H1699" t="str">
        <f t="shared" si="52"/>
        <v>NAVERwhdbstjdvs12</v>
      </c>
      <c r="I1699" t="str">
        <f>"whdbstjdvs12"</f>
        <v>whdbstjdvs12</v>
      </c>
      <c r="J1699">
        <v>128660</v>
      </c>
      <c r="K1699" s="1">
        <v>44866</v>
      </c>
      <c r="L1699" t="s">
        <v>1715</v>
      </c>
      <c r="M1699">
        <f t="shared" si="53"/>
        <v>128660</v>
      </c>
      <c r="N1699" t="e">
        <f>VLOOKUP(H1699,Sheet1!G:H,2,FALSE)</f>
        <v>#N/A</v>
      </c>
      <c r="R1699" t="s">
        <v>3623</v>
      </c>
      <c r="S1699">
        <v>5890</v>
      </c>
    </row>
    <row r="1700" spans="1:19" x14ac:dyDescent="0.3">
      <c r="A1700" t="s">
        <v>41</v>
      </c>
      <c r="B1700">
        <f>VLOOKUP(A1700,Sheet2!B:F,5,FALSE)</f>
        <v>926</v>
      </c>
      <c r="C1700" t="s">
        <v>56</v>
      </c>
      <c r="D1700">
        <f>VLOOKUP(C1700,Sheet2!C:G,5,FALSE)</f>
        <v>1207</v>
      </c>
      <c r="E1700" t="s">
        <v>253</v>
      </c>
      <c r="F1700">
        <f>VLOOKUP(E1700,Sheet2!D:E,2,FALSE)</f>
        <v>1328</v>
      </c>
      <c r="G1700" t="s">
        <v>11</v>
      </c>
      <c r="H1700" t="str">
        <f t="shared" si="52"/>
        <v>NAVERwhite2vv</v>
      </c>
      <c r="I1700" t="str">
        <f>"white2vv"</f>
        <v>white2vv</v>
      </c>
      <c r="J1700">
        <v>334760</v>
      </c>
      <c r="K1700" s="1">
        <v>44866</v>
      </c>
      <c r="L1700" t="s">
        <v>1716</v>
      </c>
      <c r="M1700">
        <f t="shared" si="53"/>
        <v>334760</v>
      </c>
      <c r="N1700" t="e">
        <f>VLOOKUP(H1700,Sheet1!G:H,2,FALSE)</f>
        <v>#N/A</v>
      </c>
      <c r="R1700" t="s">
        <v>3624</v>
      </c>
      <c r="S1700">
        <v>5839750</v>
      </c>
    </row>
    <row r="1701" spans="1:19" x14ac:dyDescent="0.3">
      <c r="A1701" t="s">
        <v>8</v>
      </c>
      <c r="B1701">
        <f>VLOOKUP(A1701,Sheet2!B:F,5,FALSE)</f>
        <v>928</v>
      </c>
      <c r="C1701" t="s">
        <v>9</v>
      </c>
      <c r="D1701">
        <f>VLOOKUP(C1701,Sheet2!C:G,5,FALSE)</f>
        <v>1202</v>
      </c>
      <c r="E1701" t="s">
        <v>33</v>
      </c>
      <c r="F1701">
        <f>VLOOKUP(E1701,Sheet2!D:E,2,FALSE)</f>
        <v>933</v>
      </c>
      <c r="G1701" t="s">
        <v>11</v>
      </c>
      <c r="H1701" t="str">
        <f t="shared" si="52"/>
        <v>NAVERwholefarm</v>
      </c>
      <c r="I1701" t="str">
        <f>"wholefarm"</f>
        <v>wholefarm</v>
      </c>
      <c r="J1701">
        <v>201580</v>
      </c>
      <c r="K1701" s="1">
        <v>44866</v>
      </c>
      <c r="L1701" t="s">
        <v>1717</v>
      </c>
      <c r="M1701">
        <f t="shared" si="53"/>
        <v>201580</v>
      </c>
      <c r="N1701" t="e">
        <f>VLOOKUP(H1701,Sheet1!G:H,2,FALSE)</f>
        <v>#N/A</v>
      </c>
      <c r="R1701" t="s">
        <v>3625</v>
      </c>
      <c r="S1701">
        <v>90930</v>
      </c>
    </row>
    <row r="1702" spans="1:19" x14ac:dyDescent="0.3">
      <c r="A1702" t="s">
        <v>16</v>
      </c>
      <c r="B1702">
        <f>VLOOKUP(A1702,Sheet2!B:F,5,FALSE)</f>
        <v>927</v>
      </c>
      <c r="C1702" t="s">
        <v>17</v>
      </c>
      <c r="D1702">
        <f>VLOOKUP(C1702,Sheet2!C:G,5,FALSE)</f>
        <v>1200</v>
      </c>
      <c r="E1702" t="s">
        <v>446</v>
      </c>
      <c r="F1702">
        <f>VLOOKUP(E1702,Sheet2!D:E,2,FALSE)</f>
        <v>566</v>
      </c>
      <c r="G1702" t="s">
        <v>11</v>
      </c>
      <c r="H1702" t="str">
        <f t="shared" si="52"/>
        <v>NAVERwhtjddndy</v>
      </c>
      <c r="I1702" t="str">
        <f>"whtjddndy"</f>
        <v>whtjddndy</v>
      </c>
      <c r="J1702">
        <v>9691860</v>
      </c>
      <c r="K1702" s="1">
        <v>44866</v>
      </c>
      <c r="L1702" t="s">
        <v>1718</v>
      </c>
      <c r="M1702">
        <f t="shared" si="53"/>
        <v>9691860</v>
      </c>
      <c r="N1702" t="e">
        <f>VLOOKUP(H1702,Sheet1!G:H,2,FALSE)</f>
        <v>#N/A</v>
      </c>
      <c r="R1702" t="s">
        <v>3626</v>
      </c>
      <c r="S1702">
        <v>2610</v>
      </c>
    </row>
    <row r="1703" spans="1:19" x14ac:dyDescent="0.3">
      <c r="A1703" t="s">
        <v>8</v>
      </c>
      <c r="B1703">
        <f>VLOOKUP(A1703,Sheet2!B:F,5,FALSE)</f>
        <v>928</v>
      </c>
      <c r="C1703" t="s">
        <v>9</v>
      </c>
      <c r="D1703">
        <f>VLOOKUP(C1703,Sheet2!C:G,5,FALSE)</f>
        <v>1202</v>
      </c>
      <c r="E1703" t="s">
        <v>35</v>
      </c>
      <c r="F1703">
        <f>VLOOKUP(E1703,Sheet2!D:E,2,FALSE)</f>
        <v>51</v>
      </c>
      <c r="G1703" t="s">
        <v>11</v>
      </c>
      <c r="H1703" t="str">
        <f t="shared" si="52"/>
        <v>NAVERwhtkdgus</v>
      </c>
      <c r="I1703" t="str">
        <f>"whtkdgus"</f>
        <v>whtkdgus</v>
      </c>
      <c r="J1703">
        <v>6980</v>
      </c>
      <c r="K1703" s="1">
        <v>44866</v>
      </c>
      <c r="L1703" t="s">
        <v>1719</v>
      </c>
      <c r="M1703">
        <f t="shared" si="53"/>
        <v>6980</v>
      </c>
      <c r="N1703" t="e">
        <f>VLOOKUP(H1703,Sheet1!G:H,2,FALSE)</f>
        <v>#N/A</v>
      </c>
      <c r="R1703" t="s">
        <v>3627</v>
      </c>
      <c r="S1703">
        <v>1021870</v>
      </c>
    </row>
    <row r="1704" spans="1:19" x14ac:dyDescent="0.3">
      <c r="A1704" t="s">
        <v>41</v>
      </c>
      <c r="B1704">
        <f>VLOOKUP(A1704,Sheet2!B:F,5,FALSE)</f>
        <v>926</v>
      </c>
      <c r="C1704" t="s">
        <v>56</v>
      </c>
      <c r="D1704">
        <f>VLOOKUP(C1704,Sheet2!C:G,5,FALSE)</f>
        <v>1207</v>
      </c>
      <c r="E1704" t="s">
        <v>62</v>
      </c>
      <c r="F1704">
        <f>VLOOKUP(E1704,Sheet2!D:E,2,FALSE)</f>
        <v>201037</v>
      </c>
      <c r="G1704" t="s">
        <v>11</v>
      </c>
      <c r="H1704" t="str">
        <f t="shared" si="52"/>
        <v>NAVERwhtndms9090:naver</v>
      </c>
      <c r="I1704" t="str">
        <f>"whtndms9090:naver"</f>
        <v>whtndms9090:naver</v>
      </c>
      <c r="J1704">
        <v>294940</v>
      </c>
      <c r="K1704" s="1">
        <v>44866</v>
      </c>
      <c r="L1704" t="s">
        <v>1720</v>
      </c>
      <c r="M1704">
        <f t="shared" si="53"/>
        <v>294940</v>
      </c>
      <c r="N1704" t="e">
        <f>VLOOKUP(H1704,Sheet1!G:H,2,FALSE)</f>
        <v>#N/A</v>
      </c>
      <c r="R1704" t="s">
        <v>3628</v>
      </c>
      <c r="S1704">
        <v>36705</v>
      </c>
    </row>
    <row r="1705" spans="1:19" x14ac:dyDescent="0.3">
      <c r="A1705" t="s">
        <v>8</v>
      </c>
      <c r="B1705">
        <f>VLOOKUP(A1705,Sheet2!B:F,5,FALSE)</f>
        <v>928</v>
      </c>
      <c r="C1705" t="s">
        <v>9</v>
      </c>
      <c r="D1705">
        <f>VLOOKUP(C1705,Sheet2!C:G,5,FALSE)</f>
        <v>1202</v>
      </c>
      <c r="E1705" t="s">
        <v>31</v>
      </c>
      <c r="F1705">
        <f>VLOOKUP(E1705,Sheet2!D:E,2,FALSE)</f>
        <v>1040</v>
      </c>
      <c r="G1705" t="s">
        <v>11</v>
      </c>
      <c r="H1705" t="str">
        <f t="shared" si="52"/>
        <v>NAVERwias123</v>
      </c>
      <c r="I1705" t="str">
        <f>"wias123"</f>
        <v>wias123</v>
      </c>
      <c r="J1705">
        <v>1184940</v>
      </c>
      <c r="K1705" s="1">
        <v>44866</v>
      </c>
      <c r="L1705" t="s">
        <v>1721</v>
      </c>
      <c r="M1705">
        <f t="shared" si="53"/>
        <v>1184940</v>
      </c>
      <c r="N1705" t="e">
        <f>VLOOKUP(H1705,Sheet1!G:H,2,FALSE)</f>
        <v>#N/A</v>
      </c>
      <c r="R1705" t="s">
        <v>3629</v>
      </c>
      <c r="S1705">
        <v>110380</v>
      </c>
    </row>
    <row r="1706" spans="1:19" x14ac:dyDescent="0.3">
      <c r="A1706" t="s">
        <v>8</v>
      </c>
      <c r="B1706">
        <f>VLOOKUP(A1706,Sheet2!B:F,5,FALSE)</f>
        <v>928</v>
      </c>
      <c r="C1706" t="s">
        <v>9</v>
      </c>
      <c r="D1706">
        <f>VLOOKUP(C1706,Sheet2!C:G,5,FALSE)</f>
        <v>1202</v>
      </c>
      <c r="E1706" t="s">
        <v>31</v>
      </c>
      <c r="F1706">
        <f>VLOOKUP(E1706,Sheet2!D:E,2,FALSE)</f>
        <v>1040</v>
      </c>
      <c r="G1706" t="s">
        <v>11</v>
      </c>
      <c r="H1706" t="str">
        <f t="shared" si="52"/>
        <v>NAVERwilshire</v>
      </c>
      <c r="I1706" t="str">
        <f>"wilshire"</f>
        <v>wilshire</v>
      </c>
      <c r="J1706">
        <v>909090</v>
      </c>
      <c r="K1706" s="1">
        <v>44866</v>
      </c>
      <c r="L1706" t="s">
        <v>1722</v>
      </c>
      <c r="M1706">
        <f t="shared" si="53"/>
        <v>909090</v>
      </c>
      <c r="N1706" t="e">
        <f>VLOOKUP(H1706,Sheet1!G:H,2,FALSE)</f>
        <v>#N/A</v>
      </c>
      <c r="R1706" t="s">
        <v>3630</v>
      </c>
      <c r="S1706">
        <v>280</v>
      </c>
    </row>
    <row r="1707" spans="1:19" x14ac:dyDescent="0.3">
      <c r="A1707" t="s">
        <v>8</v>
      </c>
      <c r="B1707">
        <f>VLOOKUP(A1707,Sheet2!B:F,5,FALSE)</f>
        <v>928</v>
      </c>
      <c r="C1707" t="s">
        <v>13</v>
      </c>
      <c r="D1707">
        <f>VLOOKUP(C1707,Sheet2!C:G,5,FALSE)</f>
        <v>1184</v>
      </c>
      <c r="E1707" t="s">
        <v>59</v>
      </c>
      <c r="F1707">
        <f>VLOOKUP(E1707,Sheet2!D:E,2,FALSE)</f>
        <v>9</v>
      </c>
      <c r="G1707" t="s">
        <v>11</v>
      </c>
      <c r="H1707" t="str">
        <f t="shared" si="52"/>
        <v>NAVERwindkee</v>
      </c>
      <c r="I1707" t="str">
        <f>"windkee"</f>
        <v>windkee</v>
      </c>
      <c r="J1707">
        <v>97370</v>
      </c>
      <c r="K1707" s="1">
        <v>44866</v>
      </c>
      <c r="L1707" t="s">
        <v>1723</v>
      </c>
      <c r="M1707">
        <f t="shared" si="53"/>
        <v>97370</v>
      </c>
      <c r="N1707" t="e">
        <f>VLOOKUP(H1707,Sheet1!G:H,2,FALSE)</f>
        <v>#N/A</v>
      </c>
      <c r="R1707" t="s">
        <v>3631</v>
      </c>
      <c r="S1707">
        <v>1059790</v>
      </c>
    </row>
    <row r="1708" spans="1:19" x14ac:dyDescent="0.3">
      <c r="A1708" t="s">
        <v>41</v>
      </c>
      <c r="B1708">
        <f>VLOOKUP(A1708,Sheet2!B:F,5,FALSE)</f>
        <v>926</v>
      </c>
      <c r="C1708" t="s">
        <v>56</v>
      </c>
      <c r="D1708">
        <f>VLOOKUP(C1708,Sheet2!C:G,5,FALSE)</f>
        <v>1207</v>
      </c>
      <c r="E1708" t="s">
        <v>57</v>
      </c>
      <c r="F1708">
        <f>VLOOKUP(E1708,Sheet2!D:E,2,FALSE)</f>
        <v>200982</v>
      </c>
      <c r="G1708" t="s">
        <v>11</v>
      </c>
      <c r="H1708" t="str">
        <f t="shared" si="52"/>
        <v>NAVERwinner97</v>
      </c>
      <c r="I1708" t="str">
        <f>"winner97"</f>
        <v>winner97</v>
      </c>
      <c r="J1708">
        <v>300540</v>
      </c>
      <c r="K1708" s="1">
        <v>44866</v>
      </c>
      <c r="L1708" t="s">
        <v>1724</v>
      </c>
      <c r="M1708">
        <f t="shared" si="53"/>
        <v>300540</v>
      </c>
      <c r="N1708" t="e">
        <f>VLOOKUP(H1708,Sheet1!G:H,2,FALSE)</f>
        <v>#N/A</v>
      </c>
      <c r="R1708" t="s">
        <v>3632</v>
      </c>
      <c r="S1708">
        <v>588970</v>
      </c>
    </row>
    <row r="1709" spans="1:19" x14ac:dyDescent="0.3">
      <c r="A1709" t="s">
        <v>16</v>
      </c>
      <c r="B1709">
        <f>VLOOKUP(A1709,Sheet2!B:F,5,FALSE)</f>
        <v>927</v>
      </c>
      <c r="C1709" t="s">
        <v>17</v>
      </c>
      <c r="D1709">
        <f>VLOOKUP(C1709,Sheet2!C:G,5,FALSE)</f>
        <v>1200</v>
      </c>
      <c r="E1709" t="s">
        <v>100</v>
      </c>
      <c r="F1709">
        <f>VLOOKUP(E1709,Sheet2!D:E,2,FALSE)</f>
        <v>201038</v>
      </c>
      <c r="G1709" t="s">
        <v>11</v>
      </c>
      <c r="H1709" t="str">
        <f t="shared" si="52"/>
        <v>NAVERwinnermart</v>
      </c>
      <c r="I1709" t="str">
        <f>"winnermart"</f>
        <v>winnermart</v>
      </c>
      <c r="J1709">
        <v>414280</v>
      </c>
      <c r="K1709" s="1">
        <v>44866</v>
      </c>
      <c r="L1709" t="s">
        <v>1725</v>
      </c>
      <c r="M1709">
        <f t="shared" si="53"/>
        <v>417280</v>
      </c>
      <c r="N1709" t="e">
        <f>VLOOKUP(H1709,Sheet1!G:H,2,FALSE)</f>
        <v>#N/A</v>
      </c>
      <c r="R1709" t="s">
        <v>3633</v>
      </c>
      <c r="S1709">
        <v>122700</v>
      </c>
    </row>
    <row r="1710" spans="1:19" x14ac:dyDescent="0.3">
      <c r="A1710" t="s">
        <v>8</v>
      </c>
      <c r="B1710">
        <f>VLOOKUP(A1710,Sheet2!B:F,5,FALSE)</f>
        <v>928</v>
      </c>
      <c r="C1710" t="s">
        <v>9</v>
      </c>
      <c r="D1710">
        <f>VLOOKUP(C1710,Sheet2!C:G,5,FALSE)</f>
        <v>1202</v>
      </c>
      <c r="E1710" t="s">
        <v>110</v>
      </c>
      <c r="F1710">
        <f>VLOOKUP(E1710,Sheet2!D:E,2,FALSE)</f>
        <v>929</v>
      </c>
      <c r="G1710" t="s">
        <v>11</v>
      </c>
      <c r="H1710" t="str">
        <f t="shared" si="52"/>
        <v>NAVERwiselawyer</v>
      </c>
      <c r="I1710" t="str">
        <f>"wiselawyer"</f>
        <v>wiselawyer</v>
      </c>
      <c r="J1710">
        <v>231420</v>
      </c>
      <c r="K1710" s="1">
        <v>44866</v>
      </c>
      <c r="L1710" t="s">
        <v>1726</v>
      </c>
      <c r="M1710">
        <f t="shared" si="53"/>
        <v>231420</v>
      </c>
      <c r="N1710" t="e">
        <f>VLOOKUP(H1710,Sheet1!G:H,2,FALSE)</f>
        <v>#N/A</v>
      </c>
      <c r="R1710" t="s">
        <v>3634</v>
      </c>
      <c r="S1710">
        <v>5420</v>
      </c>
    </row>
    <row r="1711" spans="1:19" x14ac:dyDescent="0.3">
      <c r="A1711" t="s">
        <v>41</v>
      </c>
      <c r="B1711">
        <f>VLOOKUP(A1711,Sheet2!B:F,5,FALSE)</f>
        <v>926</v>
      </c>
      <c r="C1711" t="s">
        <v>56</v>
      </c>
      <c r="D1711">
        <f>VLOOKUP(C1711,Sheet2!C:G,5,FALSE)</f>
        <v>1207</v>
      </c>
      <c r="E1711" t="s">
        <v>253</v>
      </c>
      <c r="F1711">
        <f>VLOOKUP(E1711,Sheet2!D:E,2,FALSE)</f>
        <v>1328</v>
      </c>
      <c r="G1711" t="s">
        <v>11</v>
      </c>
      <c r="H1711" t="str">
        <f t="shared" si="52"/>
        <v>NAVERwithus123</v>
      </c>
      <c r="I1711" t="str">
        <f>"withus123"</f>
        <v>withus123</v>
      </c>
      <c r="J1711">
        <v>8649460</v>
      </c>
      <c r="K1711" s="1">
        <v>44866</v>
      </c>
      <c r="L1711" t="s">
        <v>1727</v>
      </c>
      <c r="M1711">
        <f t="shared" si="53"/>
        <v>7893250</v>
      </c>
      <c r="N1711" t="e">
        <f>VLOOKUP(H1711,Sheet1!G:H,2,FALSE)</f>
        <v>#N/A</v>
      </c>
      <c r="R1711" t="s">
        <v>3635</v>
      </c>
      <c r="S1711">
        <v>107200</v>
      </c>
    </row>
    <row r="1712" spans="1:19" x14ac:dyDescent="0.3">
      <c r="A1712" t="s">
        <v>22</v>
      </c>
      <c r="B1712">
        <f>VLOOKUP(A1712,Sheet2!B:F,5,FALSE)</f>
        <v>809</v>
      </c>
      <c r="C1712" t="s">
        <v>23</v>
      </c>
      <c r="D1712">
        <f>VLOOKUP(C1712,Sheet2!C:G,5,FALSE)</f>
        <v>810</v>
      </c>
      <c r="E1712" t="s">
        <v>24</v>
      </c>
      <c r="F1712">
        <f>VLOOKUP(E1712,Sheet2!D:E,2,FALSE)</f>
        <v>201032</v>
      </c>
      <c r="G1712" t="s">
        <v>11</v>
      </c>
      <c r="H1712" t="str">
        <f t="shared" si="52"/>
        <v>NAVERwithusnet:naver</v>
      </c>
      <c r="I1712" t="str">
        <f>"withusnet:naver"</f>
        <v>withusnet:naver</v>
      </c>
      <c r="J1712">
        <v>140</v>
      </c>
      <c r="K1712" s="1">
        <v>44866</v>
      </c>
      <c r="L1712" t="s">
        <v>1728</v>
      </c>
      <c r="M1712">
        <f t="shared" si="53"/>
        <v>140</v>
      </c>
      <c r="N1712" t="e">
        <f>VLOOKUP(H1712,Sheet1!G:H,2,FALSE)</f>
        <v>#N/A</v>
      </c>
      <c r="R1712" t="s">
        <v>3636</v>
      </c>
      <c r="S1712">
        <v>140</v>
      </c>
    </row>
    <row r="1713" spans="1:19" x14ac:dyDescent="0.3">
      <c r="A1713" t="s">
        <v>16</v>
      </c>
      <c r="B1713">
        <f>VLOOKUP(A1713,Sheet2!B:F,5,FALSE)</f>
        <v>927</v>
      </c>
      <c r="C1713" t="s">
        <v>17</v>
      </c>
      <c r="D1713">
        <f>VLOOKUP(C1713,Sheet2!C:G,5,FALSE)</f>
        <v>1200</v>
      </c>
      <c r="E1713" t="s">
        <v>229</v>
      </c>
      <c r="F1713">
        <f>VLOOKUP(E1713,Sheet2!D:E,2,FALSE)</f>
        <v>560</v>
      </c>
      <c r="G1713" t="s">
        <v>11</v>
      </c>
      <c r="H1713" t="str">
        <f t="shared" si="52"/>
        <v>NAVERwitty_market:naver</v>
      </c>
      <c r="I1713" t="str">
        <f>"witty_market:naver"</f>
        <v>witty_market:naver</v>
      </c>
      <c r="J1713">
        <v>144070</v>
      </c>
      <c r="K1713" s="1">
        <v>44866</v>
      </c>
      <c r="L1713" t="s">
        <v>1729</v>
      </c>
      <c r="M1713">
        <f t="shared" si="53"/>
        <v>144070</v>
      </c>
      <c r="N1713" t="e">
        <f>VLOOKUP(H1713,Sheet1!G:H,2,FALSE)</f>
        <v>#N/A</v>
      </c>
      <c r="R1713" t="s">
        <v>3637</v>
      </c>
      <c r="S1713">
        <v>1051370</v>
      </c>
    </row>
    <row r="1714" spans="1:19" x14ac:dyDescent="0.3">
      <c r="A1714" t="s">
        <v>41</v>
      </c>
      <c r="B1714">
        <f>VLOOKUP(A1714,Sheet2!B:F,5,FALSE)</f>
        <v>926</v>
      </c>
      <c r="C1714" t="s">
        <v>56</v>
      </c>
      <c r="D1714">
        <f>VLOOKUP(C1714,Sheet2!C:G,5,FALSE)</f>
        <v>1207</v>
      </c>
      <c r="E1714" t="s">
        <v>64</v>
      </c>
      <c r="F1714">
        <f>VLOOKUP(E1714,Sheet2!D:E,2,FALSE)</f>
        <v>201011</v>
      </c>
      <c r="G1714" t="s">
        <v>11</v>
      </c>
      <c r="H1714" t="str">
        <f t="shared" si="52"/>
        <v>NAVERwizer6633</v>
      </c>
      <c r="I1714" t="str">
        <f>"wizer6633"</f>
        <v>wizer6633</v>
      </c>
      <c r="J1714">
        <v>266490</v>
      </c>
      <c r="K1714" s="1">
        <v>44866</v>
      </c>
      <c r="L1714" t="s">
        <v>1730</v>
      </c>
      <c r="M1714">
        <f t="shared" si="53"/>
        <v>266490</v>
      </c>
      <c r="N1714" t="e">
        <f>VLOOKUP(H1714,Sheet1!G:H,2,FALSE)</f>
        <v>#N/A</v>
      </c>
      <c r="R1714" t="s">
        <v>3638</v>
      </c>
      <c r="S1714">
        <v>2028080</v>
      </c>
    </row>
    <row r="1715" spans="1:19" x14ac:dyDescent="0.3">
      <c r="A1715" t="s">
        <v>8</v>
      </c>
      <c r="B1715">
        <f>VLOOKUP(A1715,Sheet2!B:F,5,FALSE)</f>
        <v>928</v>
      </c>
      <c r="C1715" t="s">
        <v>9</v>
      </c>
      <c r="D1715">
        <f>VLOOKUP(C1715,Sheet2!C:G,5,FALSE)</f>
        <v>1202</v>
      </c>
      <c r="E1715" t="s">
        <v>122</v>
      </c>
      <c r="F1715">
        <f>VLOOKUP(E1715,Sheet2!D:E,2,FALSE)</f>
        <v>251</v>
      </c>
      <c r="G1715" t="s">
        <v>11</v>
      </c>
      <c r="H1715" t="str">
        <f t="shared" si="52"/>
        <v>NAVERwizu2011</v>
      </c>
      <c r="I1715" t="str">
        <f>"wizu2011"</f>
        <v>wizu2011</v>
      </c>
      <c r="J1715">
        <v>2421670</v>
      </c>
      <c r="K1715" s="1">
        <v>44866</v>
      </c>
      <c r="L1715" t="s">
        <v>1731</v>
      </c>
      <c r="M1715">
        <f t="shared" si="53"/>
        <v>1947540</v>
      </c>
      <c r="N1715" t="e">
        <f>VLOOKUP(H1715,Sheet1!G:H,2,FALSE)</f>
        <v>#N/A</v>
      </c>
      <c r="R1715" t="s">
        <v>3639</v>
      </c>
      <c r="S1715">
        <v>6820</v>
      </c>
    </row>
    <row r="1716" spans="1:19" x14ac:dyDescent="0.3">
      <c r="A1716" t="s">
        <v>16</v>
      </c>
      <c r="B1716">
        <f>VLOOKUP(A1716,Sheet2!B:F,5,FALSE)</f>
        <v>927</v>
      </c>
      <c r="C1716" t="s">
        <v>17</v>
      </c>
      <c r="D1716">
        <f>VLOOKUP(C1716,Sheet2!C:G,5,FALSE)</f>
        <v>1200</v>
      </c>
      <c r="E1716" t="s">
        <v>371</v>
      </c>
      <c r="F1716">
        <f>VLOOKUP(E1716,Sheet2!D:E,2,FALSE)</f>
        <v>551</v>
      </c>
      <c r="G1716" t="s">
        <v>11</v>
      </c>
      <c r="H1716" t="str">
        <f t="shared" si="52"/>
        <v>NAVERwjdgktn8991</v>
      </c>
      <c r="I1716" t="str">
        <f>"wjdgktn8991"</f>
        <v>wjdgktn8991</v>
      </c>
      <c r="J1716">
        <v>8440850</v>
      </c>
      <c r="K1716" s="1">
        <v>44866</v>
      </c>
      <c r="L1716" t="s">
        <v>1732</v>
      </c>
      <c r="M1716">
        <f t="shared" si="53"/>
        <v>8440850</v>
      </c>
      <c r="N1716" t="e">
        <f>VLOOKUP(H1716,Sheet1!G:H,2,FALSE)</f>
        <v>#N/A</v>
      </c>
      <c r="R1716" t="s">
        <v>3640</v>
      </c>
      <c r="S1716">
        <v>120610</v>
      </c>
    </row>
    <row r="1717" spans="1:19" x14ac:dyDescent="0.3">
      <c r="A1717" t="s">
        <v>8</v>
      </c>
      <c r="B1717">
        <f>VLOOKUP(A1717,Sheet2!B:F,5,FALSE)</f>
        <v>928</v>
      </c>
      <c r="C1717" t="s">
        <v>9</v>
      </c>
      <c r="D1717">
        <f>VLOOKUP(C1717,Sheet2!C:G,5,FALSE)</f>
        <v>1202</v>
      </c>
      <c r="E1717" t="s">
        <v>45</v>
      </c>
      <c r="F1717">
        <f>VLOOKUP(E1717,Sheet2!D:E,2,FALSE)</f>
        <v>26</v>
      </c>
      <c r="G1717" t="s">
        <v>11</v>
      </c>
      <c r="H1717" t="str">
        <f t="shared" si="52"/>
        <v>NAVERwjdwoqhr1144</v>
      </c>
      <c r="I1717" t="str">
        <f>"wjdwoqhr1144"</f>
        <v>wjdwoqhr1144</v>
      </c>
      <c r="J1717">
        <v>404260</v>
      </c>
      <c r="K1717" s="1">
        <v>44866</v>
      </c>
      <c r="L1717" t="s">
        <v>1733</v>
      </c>
      <c r="M1717">
        <f t="shared" si="53"/>
        <v>404260</v>
      </c>
      <c r="N1717" t="e">
        <f>VLOOKUP(H1717,Sheet1!G:H,2,FALSE)</f>
        <v>#N/A</v>
      </c>
      <c r="R1717" t="s">
        <v>3641</v>
      </c>
      <c r="S1717">
        <v>2493280</v>
      </c>
    </row>
    <row r="1718" spans="1:19" x14ac:dyDescent="0.3">
      <c r="A1718" t="s">
        <v>16</v>
      </c>
      <c r="B1718">
        <f>VLOOKUP(A1718,Sheet2!B:F,5,FALSE)</f>
        <v>927</v>
      </c>
      <c r="C1718" t="s">
        <v>17</v>
      </c>
      <c r="D1718">
        <f>VLOOKUP(C1718,Sheet2!C:G,5,FALSE)</f>
        <v>1200</v>
      </c>
      <c r="E1718" t="s">
        <v>371</v>
      </c>
      <c r="F1718">
        <f>VLOOKUP(E1718,Sheet2!D:E,2,FALSE)</f>
        <v>551</v>
      </c>
      <c r="G1718" t="s">
        <v>11</v>
      </c>
      <c r="H1718" t="str">
        <f t="shared" si="52"/>
        <v>NAVERwjjs</v>
      </c>
      <c r="I1718" t="str">
        <f>"wjjs"</f>
        <v>wjjs</v>
      </c>
      <c r="J1718">
        <v>20570</v>
      </c>
      <c r="K1718" s="1">
        <v>44866</v>
      </c>
      <c r="L1718" t="s">
        <v>1734</v>
      </c>
      <c r="M1718">
        <f t="shared" si="53"/>
        <v>20570</v>
      </c>
      <c r="N1718" t="e">
        <f>VLOOKUP(H1718,Sheet1!G:H,2,FALSE)</f>
        <v>#N/A</v>
      </c>
      <c r="R1718" t="s">
        <v>3642</v>
      </c>
      <c r="S1718">
        <v>17730</v>
      </c>
    </row>
    <row r="1719" spans="1:19" x14ac:dyDescent="0.3">
      <c r="A1719" t="s">
        <v>8</v>
      </c>
      <c r="B1719">
        <f>VLOOKUP(A1719,Sheet2!B:F,5,FALSE)</f>
        <v>928</v>
      </c>
      <c r="C1719" t="s">
        <v>13</v>
      </c>
      <c r="D1719">
        <f>VLOOKUP(C1719,Sheet2!C:G,5,FALSE)</f>
        <v>1184</v>
      </c>
      <c r="E1719" t="s">
        <v>59</v>
      </c>
      <c r="F1719">
        <f>VLOOKUP(E1719,Sheet2!D:E,2,FALSE)</f>
        <v>9</v>
      </c>
      <c r="G1719" t="s">
        <v>11</v>
      </c>
      <c r="H1719" t="str">
        <f t="shared" si="52"/>
        <v>NAVERwjmanhole</v>
      </c>
      <c r="I1719" t="str">
        <f>"wjmanhole"</f>
        <v>wjmanhole</v>
      </c>
      <c r="J1719">
        <v>1280</v>
      </c>
      <c r="K1719" s="1">
        <v>44866</v>
      </c>
      <c r="L1719" t="s">
        <v>1735</v>
      </c>
      <c r="M1719">
        <f t="shared" si="53"/>
        <v>1280</v>
      </c>
      <c r="N1719" t="e">
        <f>VLOOKUP(H1719,Sheet1!G:H,2,FALSE)</f>
        <v>#N/A</v>
      </c>
      <c r="R1719" t="s">
        <v>3643</v>
      </c>
      <c r="S1719">
        <v>88650</v>
      </c>
    </row>
    <row r="1720" spans="1:19" x14ac:dyDescent="0.3">
      <c r="A1720" t="s">
        <v>8</v>
      </c>
      <c r="B1720">
        <f>VLOOKUP(A1720,Sheet2!B:F,5,FALSE)</f>
        <v>928</v>
      </c>
      <c r="C1720" t="s">
        <v>13</v>
      </c>
      <c r="D1720">
        <f>VLOOKUP(C1720,Sheet2!C:G,5,FALSE)</f>
        <v>1184</v>
      </c>
      <c r="E1720" t="s">
        <v>59</v>
      </c>
      <c r="F1720">
        <f>VLOOKUP(E1720,Sheet2!D:E,2,FALSE)</f>
        <v>9</v>
      </c>
      <c r="G1720" t="s">
        <v>11</v>
      </c>
      <c r="H1720" t="str">
        <f t="shared" si="52"/>
        <v>NAVERwjtank</v>
      </c>
      <c r="I1720" t="str">
        <f>"wjtank"</f>
        <v>wjtank</v>
      </c>
      <c r="J1720">
        <v>11510</v>
      </c>
      <c r="K1720" s="1">
        <v>44866</v>
      </c>
      <c r="L1720" t="s">
        <v>1736</v>
      </c>
      <c r="M1720">
        <f t="shared" si="53"/>
        <v>11510</v>
      </c>
      <c r="N1720" t="e">
        <f>VLOOKUP(H1720,Sheet1!G:H,2,FALSE)</f>
        <v>#N/A</v>
      </c>
      <c r="R1720" t="s">
        <v>3644</v>
      </c>
      <c r="S1720">
        <v>48540</v>
      </c>
    </row>
    <row r="1721" spans="1:19" x14ac:dyDescent="0.3">
      <c r="A1721" t="s">
        <v>8</v>
      </c>
      <c r="B1721">
        <f>VLOOKUP(A1721,Sheet2!B:F,5,FALSE)</f>
        <v>928</v>
      </c>
      <c r="C1721" t="s">
        <v>9</v>
      </c>
      <c r="D1721">
        <f>VLOOKUP(C1721,Sheet2!C:G,5,FALSE)</f>
        <v>1202</v>
      </c>
      <c r="E1721" t="s">
        <v>142</v>
      </c>
      <c r="F1721">
        <f>VLOOKUP(E1721,Sheet2!D:E,2,FALSE)</f>
        <v>652</v>
      </c>
      <c r="G1721" t="s">
        <v>11</v>
      </c>
      <c r="H1721" t="str">
        <f t="shared" si="52"/>
        <v>NAVERwjtax1</v>
      </c>
      <c r="I1721" t="str">
        <f>"wjtax1"</f>
        <v>wjtax1</v>
      </c>
      <c r="J1721">
        <v>108540</v>
      </c>
      <c r="K1721" s="1">
        <v>44866</v>
      </c>
      <c r="L1721" t="s">
        <v>1737</v>
      </c>
      <c r="M1721">
        <f t="shared" si="53"/>
        <v>108540</v>
      </c>
      <c r="N1721" t="e">
        <f>VLOOKUP(H1721,Sheet1!G:H,2,FALSE)</f>
        <v>#N/A</v>
      </c>
      <c r="R1721" t="s">
        <v>3645</v>
      </c>
      <c r="S1721">
        <v>8060</v>
      </c>
    </row>
    <row r="1722" spans="1:19" x14ac:dyDescent="0.3">
      <c r="A1722" t="s">
        <v>41</v>
      </c>
      <c r="B1722">
        <f>VLOOKUP(A1722,Sheet2!B:F,5,FALSE)</f>
        <v>926</v>
      </c>
      <c r="C1722" t="s">
        <v>56</v>
      </c>
      <c r="D1722">
        <f>VLOOKUP(C1722,Sheet2!C:G,5,FALSE)</f>
        <v>1207</v>
      </c>
      <c r="E1722" t="s">
        <v>64</v>
      </c>
      <c r="F1722">
        <f>VLOOKUP(E1722,Sheet2!D:E,2,FALSE)</f>
        <v>201011</v>
      </c>
      <c r="G1722" t="s">
        <v>11</v>
      </c>
      <c r="H1722" t="str">
        <f t="shared" si="52"/>
        <v>NAVERwjwaters</v>
      </c>
      <c r="I1722" t="str">
        <f>"wjwaters"</f>
        <v>wjwaters</v>
      </c>
      <c r="J1722">
        <v>48720</v>
      </c>
      <c r="K1722" s="1">
        <v>44866</v>
      </c>
      <c r="L1722" t="s">
        <v>1738</v>
      </c>
      <c r="M1722">
        <f t="shared" si="53"/>
        <v>48720</v>
      </c>
      <c r="N1722" t="e">
        <f>VLOOKUP(H1722,Sheet1!G:H,2,FALSE)</f>
        <v>#N/A</v>
      </c>
      <c r="R1722" t="s">
        <v>3646</v>
      </c>
      <c r="S1722">
        <v>4199940</v>
      </c>
    </row>
    <row r="1723" spans="1:19" x14ac:dyDescent="0.3">
      <c r="A1723" t="s">
        <v>8</v>
      </c>
      <c r="B1723">
        <f>VLOOKUP(A1723,Sheet2!B:F,5,FALSE)</f>
        <v>928</v>
      </c>
      <c r="C1723" t="s">
        <v>9</v>
      </c>
      <c r="D1723">
        <f>VLOOKUP(C1723,Sheet2!C:G,5,FALSE)</f>
        <v>1202</v>
      </c>
      <c r="E1723" t="s">
        <v>75</v>
      </c>
      <c r="F1723">
        <f>VLOOKUP(E1723,Sheet2!D:E,2,FALSE)</f>
        <v>50</v>
      </c>
      <c r="G1723" t="s">
        <v>11</v>
      </c>
      <c r="H1723" t="str">
        <f t="shared" si="52"/>
        <v>NAVERwkdqldi</v>
      </c>
      <c r="I1723" t="str">
        <f>"wkdqldi"</f>
        <v>wkdqldi</v>
      </c>
      <c r="J1723">
        <v>384460</v>
      </c>
      <c r="K1723" s="1">
        <v>44866</v>
      </c>
      <c r="L1723" t="s">
        <v>1739</v>
      </c>
      <c r="M1723">
        <f t="shared" si="53"/>
        <v>384460</v>
      </c>
      <c r="N1723" t="e">
        <f>VLOOKUP(H1723,Sheet1!G:H,2,FALSE)</f>
        <v>#N/A</v>
      </c>
      <c r="R1723" t="s">
        <v>3647</v>
      </c>
      <c r="S1723">
        <v>151920</v>
      </c>
    </row>
    <row r="1724" spans="1:19" x14ac:dyDescent="0.3">
      <c r="A1724" t="s">
        <v>41</v>
      </c>
      <c r="B1724">
        <f>VLOOKUP(A1724,Sheet2!B:F,5,FALSE)</f>
        <v>926</v>
      </c>
      <c r="C1724" t="s">
        <v>56</v>
      </c>
      <c r="D1724">
        <f>VLOOKUP(C1724,Sheet2!C:G,5,FALSE)</f>
        <v>1207</v>
      </c>
      <c r="E1724" t="s">
        <v>57</v>
      </c>
      <c r="F1724">
        <f>VLOOKUP(E1724,Sheet2!D:E,2,FALSE)</f>
        <v>200982</v>
      </c>
      <c r="G1724" t="s">
        <v>11</v>
      </c>
      <c r="H1724" t="str">
        <f t="shared" si="52"/>
        <v>NAVERwlsdid</v>
      </c>
      <c r="I1724" t="str">
        <f>"wlsdid"</f>
        <v>wlsdid</v>
      </c>
      <c r="J1724">
        <v>246150</v>
      </c>
      <c r="K1724" s="1">
        <v>44866</v>
      </c>
      <c r="L1724" t="s">
        <v>1740</v>
      </c>
      <c r="M1724">
        <f t="shared" si="53"/>
        <v>246150</v>
      </c>
      <c r="N1724" t="e">
        <f>VLOOKUP(H1724,Sheet1!G:H,2,FALSE)</f>
        <v>#N/A</v>
      </c>
      <c r="R1724" t="s">
        <v>3648</v>
      </c>
      <c r="S1724">
        <v>43970</v>
      </c>
    </row>
    <row r="1725" spans="1:19" x14ac:dyDescent="0.3">
      <c r="A1725" t="s">
        <v>41</v>
      </c>
      <c r="B1725">
        <f>VLOOKUP(A1725,Sheet2!B:F,5,FALSE)</f>
        <v>926</v>
      </c>
      <c r="C1725" t="s">
        <v>56</v>
      </c>
      <c r="D1725">
        <f>VLOOKUP(C1725,Sheet2!C:G,5,FALSE)</f>
        <v>1207</v>
      </c>
      <c r="E1725" t="s">
        <v>253</v>
      </c>
      <c r="F1725">
        <f>VLOOKUP(E1725,Sheet2!D:E,2,FALSE)</f>
        <v>1328</v>
      </c>
      <c r="G1725" t="s">
        <v>11</v>
      </c>
      <c r="H1725" t="str">
        <f t="shared" si="52"/>
        <v>NAVERwlsxor2002</v>
      </c>
      <c r="I1725" t="str">
        <f>"wlsxor2002"</f>
        <v>wlsxor2002</v>
      </c>
      <c r="J1725">
        <v>1004240</v>
      </c>
      <c r="K1725" s="1">
        <v>44866</v>
      </c>
      <c r="L1725" t="s">
        <v>1741</v>
      </c>
      <c r="M1725">
        <f t="shared" si="53"/>
        <v>1004240</v>
      </c>
      <c r="N1725" t="e">
        <f>VLOOKUP(H1725,Sheet1!G:H,2,FALSE)</f>
        <v>#N/A</v>
      </c>
      <c r="R1725" t="s">
        <v>3649</v>
      </c>
      <c r="S1725">
        <v>11897320</v>
      </c>
    </row>
    <row r="1726" spans="1:19" x14ac:dyDescent="0.3">
      <c r="A1726" t="s">
        <v>8</v>
      </c>
      <c r="B1726">
        <f>VLOOKUP(A1726,Sheet2!B:F,5,FALSE)</f>
        <v>928</v>
      </c>
      <c r="C1726" t="s">
        <v>13</v>
      </c>
      <c r="D1726">
        <f>VLOOKUP(C1726,Sheet2!C:G,5,FALSE)</f>
        <v>1184</v>
      </c>
      <c r="E1726" t="s">
        <v>102</v>
      </c>
      <c r="F1726">
        <f>VLOOKUP(E1726,Sheet2!D:E,2,FALSE)</f>
        <v>917</v>
      </c>
      <c r="G1726" t="s">
        <v>11</v>
      </c>
      <c r="H1726" t="str">
        <f t="shared" si="52"/>
        <v>NAVERwmelonshop</v>
      </c>
      <c r="I1726" t="str">
        <f>"wmelonshop"</f>
        <v>wmelonshop</v>
      </c>
      <c r="J1726">
        <v>3350310</v>
      </c>
      <c r="K1726" s="1">
        <v>44866</v>
      </c>
      <c r="L1726" t="s">
        <v>1742</v>
      </c>
      <c r="M1726">
        <f t="shared" si="53"/>
        <v>3358290</v>
      </c>
      <c r="N1726" t="e">
        <f>VLOOKUP(H1726,Sheet1!G:H,2,FALSE)</f>
        <v>#N/A</v>
      </c>
      <c r="R1726" t="s">
        <v>3650</v>
      </c>
      <c r="S1726">
        <v>296410</v>
      </c>
    </row>
    <row r="1727" spans="1:19" x14ac:dyDescent="0.3">
      <c r="A1727" t="s">
        <v>16</v>
      </c>
      <c r="B1727">
        <f>VLOOKUP(A1727,Sheet2!B:F,5,FALSE)</f>
        <v>927</v>
      </c>
      <c r="C1727" t="s">
        <v>17</v>
      </c>
      <c r="D1727">
        <f>VLOOKUP(C1727,Sheet2!C:G,5,FALSE)</f>
        <v>1200</v>
      </c>
      <c r="E1727" t="s">
        <v>66</v>
      </c>
      <c r="F1727">
        <f>VLOOKUP(E1727,Sheet2!D:E,2,FALSE)</f>
        <v>33</v>
      </c>
      <c r="G1727" t="s">
        <v>11</v>
      </c>
      <c r="H1727" t="str">
        <f t="shared" si="52"/>
        <v>NAVERwmglobal</v>
      </c>
      <c r="I1727" t="str">
        <f>"wmglobal"</f>
        <v>wmglobal</v>
      </c>
      <c r="J1727">
        <v>14589820</v>
      </c>
      <c r="K1727" s="1">
        <v>44866</v>
      </c>
      <c r="L1727" t="s">
        <v>1743</v>
      </c>
      <c r="M1727">
        <f t="shared" si="53"/>
        <v>14589820</v>
      </c>
      <c r="N1727" t="e">
        <f>VLOOKUP(H1727,Sheet1!G:H,2,FALSE)</f>
        <v>#N/A</v>
      </c>
      <c r="R1727" t="s">
        <v>3651</v>
      </c>
      <c r="S1727">
        <v>31030</v>
      </c>
    </row>
    <row r="1728" spans="1:19" x14ac:dyDescent="0.3">
      <c r="A1728" t="s">
        <v>8</v>
      </c>
      <c r="B1728">
        <f>VLOOKUP(A1728,Sheet2!B:F,5,FALSE)</f>
        <v>928</v>
      </c>
      <c r="C1728" t="s">
        <v>167</v>
      </c>
      <c r="D1728">
        <f>VLOOKUP(C1728,Sheet2!C:G,5,FALSE)</f>
        <v>935</v>
      </c>
      <c r="E1728" t="s">
        <v>168</v>
      </c>
      <c r="F1728">
        <f>VLOOKUP(E1728,Sheet2!D:E,2,FALSE)</f>
        <v>2</v>
      </c>
      <c r="G1728" t="s">
        <v>11</v>
      </c>
      <c r="H1728" t="str">
        <f t="shared" si="52"/>
        <v>NAVERwmp_2018</v>
      </c>
      <c r="I1728" t="str">
        <f>"wmp_2018"</f>
        <v>wmp_2018</v>
      </c>
      <c r="J1728">
        <v>61947560</v>
      </c>
      <c r="K1728" s="1">
        <v>44866</v>
      </c>
      <c r="L1728" t="s">
        <v>671</v>
      </c>
      <c r="M1728">
        <f t="shared" si="53"/>
        <v>61947560</v>
      </c>
      <c r="N1728" t="e">
        <f>VLOOKUP(H1728,Sheet1!G:H,2,FALSE)</f>
        <v>#N/A</v>
      </c>
      <c r="R1728" t="s">
        <v>3652</v>
      </c>
      <c r="S1728">
        <v>216840</v>
      </c>
    </row>
    <row r="1729" spans="1:19" x14ac:dyDescent="0.3">
      <c r="A1729" t="s">
        <v>8</v>
      </c>
      <c r="B1729">
        <f>VLOOKUP(A1729,Sheet2!B:F,5,FALSE)</f>
        <v>928</v>
      </c>
      <c r="C1729" t="s">
        <v>167</v>
      </c>
      <c r="D1729">
        <f>VLOOKUP(C1729,Sheet2!C:G,5,FALSE)</f>
        <v>935</v>
      </c>
      <c r="E1729" t="s">
        <v>168</v>
      </c>
      <c r="F1729">
        <f>VLOOKUP(E1729,Sheet2!D:E,2,FALSE)</f>
        <v>2</v>
      </c>
      <c r="G1729" t="s">
        <v>11</v>
      </c>
      <c r="H1729" t="str">
        <f t="shared" si="52"/>
        <v>NAVERwmpbox</v>
      </c>
      <c r="I1729" t="str">
        <f>"wmpbox"</f>
        <v>wmpbox</v>
      </c>
      <c r="J1729">
        <v>27130760</v>
      </c>
      <c r="K1729" s="1">
        <v>44866</v>
      </c>
      <c r="L1729" t="s">
        <v>671</v>
      </c>
      <c r="M1729">
        <f t="shared" si="53"/>
        <v>27130760</v>
      </c>
      <c r="N1729" t="e">
        <f>VLOOKUP(H1729,Sheet1!G:H,2,FALSE)</f>
        <v>#N/A</v>
      </c>
      <c r="R1729" t="s">
        <v>3653</v>
      </c>
      <c r="S1729">
        <v>1646580</v>
      </c>
    </row>
    <row r="1730" spans="1:19" x14ac:dyDescent="0.3">
      <c r="A1730" t="s">
        <v>8</v>
      </c>
      <c r="B1730">
        <f>VLOOKUP(A1730,Sheet2!B:F,5,FALSE)</f>
        <v>928</v>
      </c>
      <c r="C1730" t="s">
        <v>167</v>
      </c>
      <c r="D1730">
        <f>VLOOKUP(C1730,Sheet2!C:G,5,FALSE)</f>
        <v>935</v>
      </c>
      <c r="E1730" t="s">
        <v>168</v>
      </c>
      <c r="F1730">
        <f>VLOOKUP(E1730,Sheet2!D:E,2,FALSE)</f>
        <v>2</v>
      </c>
      <c r="G1730" t="s">
        <v>11</v>
      </c>
      <c r="H1730" t="str">
        <f t="shared" si="52"/>
        <v>NAVERwmpshopping</v>
      </c>
      <c r="I1730" t="str">
        <f>"wmpshopping"</f>
        <v>wmpshopping</v>
      </c>
      <c r="J1730">
        <v>56114050</v>
      </c>
      <c r="K1730" s="1">
        <v>44866</v>
      </c>
      <c r="L1730" t="s">
        <v>671</v>
      </c>
      <c r="M1730">
        <f t="shared" si="53"/>
        <v>56114050</v>
      </c>
      <c r="N1730" t="e">
        <f>VLOOKUP(H1730,Sheet1!G:H,2,FALSE)</f>
        <v>#N/A</v>
      </c>
      <c r="R1730" t="s">
        <v>3654</v>
      </c>
      <c r="S1730">
        <v>861120</v>
      </c>
    </row>
    <row r="1731" spans="1:19" x14ac:dyDescent="0.3">
      <c r="A1731" t="s">
        <v>8</v>
      </c>
      <c r="B1731">
        <f>VLOOKUP(A1731,Sheet2!B:F,5,FALSE)</f>
        <v>928</v>
      </c>
      <c r="C1731" t="s">
        <v>13</v>
      </c>
      <c r="D1731">
        <f>VLOOKUP(C1731,Sheet2!C:G,5,FALSE)</f>
        <v>1184</v>
      </c>
      <c r="E1731" t="s">
        <v>59</v>
      </c>
      <c r="F1731">
        <f>VLOOKUP(E1731,Sheet2!D:E,2,FALSE)</f>
        <v>9</v>
      </c>
      <c r="G1731" t="s">
        <v>11</v>
      </c>
      <c r="H1731" t="str">
        <f t="shared" ref="H1731:H1794" si="54">CONCATENATE(G1731,I1731)</f>
        <v>NAVERwnkanglim</v>
      </c>
      <c r="I1731" t="str">
        <f>"wnkanglim"</f>
        <v>wnkanglim</v>
      </c>
      <c r="J1731">
        <v>6400</v>
      </c>
      <c r="K1731" s="1">
        <v>44866</v>
      </c>
      <c r="L1731" t="s">
        <v>1744</v>
      </c>
      <c r="M1731">
        <f t="shared" ref="M1731:M1794" si="55">VLOOKUP(H1731,R:S,2,FALSE)</f>
        <v>6400</v>
      </c>
      <c r="N1731" t="e">
        <f>VLOOKUP(H1731,Sheet1!G:H,2,FALSE)</f>
        <v>#N/A</v>
      </c>
      <c r="R1731" t="s">
        <v>3655</v>
      </c>
      <c r="S1731">
        <v>365950</v>
      </c>
    </row>
    <row r="1732" spans="1:19" x14ac:dyDescent="0.3">
      <c r="A1732" t="s">
        <v>8</v>
      </c>
      <c r="B1732">
        <f>VLOOKUP(A1732,Sheet2!B:F,5,FALSE)</f>
        <v>928</v>
      </c>
      <c r="C1732" t="s">
        <v>9</v>
      </c>
      <c r="D1732">
        <f>VLOOKUP(C1732,Sheet2!C:G,5,FALSE)</f>
        <v>1202</v>
      </c>
      <c r="E1732" t="s">
        <v>37</v>
      </c>
      <c r="F1732">
        <f>VLOOKUP(E1732,Sheet2!D:E,2,FALSE)</f>
        <v>81</v>
      </c>
      <c r="G1732" t="s">
        <v>11</v>
      </c>
      <c r="H1732" t="str">
        <f t="shared" si="54"/>
        <v>NAVERwnpaint</v>
      </c>
      <c r="I1732" t="str">
        <f>"wnpaint"</f>
        <v>wnpaint</v>
      </c>
      <c r="J1732">
        <v>1260</v>
      </c>
      <c r="K1732" s="1">
        <v>44866</v>
      </c>
      <c r="L1732" t="s">
        <v>1745</v>
      </c>
      <c r="M1732">
        <f t="shared" si="55"/>
        <v>1260</v>
      </c>
      <c r="N1732" t="e">
        <f>VLOOKUP(H1732,Sheet1!G:H,2,FALSE)</f>
        <v>#N/A</v>
      </c>
      <c r="R1732" t="s">
        <v>3656</v>
      </c>
      <c r="S1732">
        <v>716050</v>
      </c>
    </row>
    <row r="1733" spans="1:19" x14ac:dyDescent="0.3">
      <c r="A1733" t="s">
        <v>8</v>
      </c>
      <c r="B1733">
        <f>VLOOKUP(A1733,Sheet2!B:F,5,FALSE)</f>
        <v>928</v>
      </c>
      <c r="C1733" t="s">
        <v>9</v>
      </c>
      <c r="D1733">
        <f>VLOOKUP(C1733,Sheet2!C:G,5,FALSE)</f>
        <v>1202</v>
      </c>
      <c r="E1733" t="s">
        <v>20</v>
      </c>
      <c r="F1733">
        <f>VLOOKUP(E1733,Sheet2!D:E,2,FALSE)</f>
        <v>938</v>
      </c>
      <c r="G1733" t="s">
        <v>11</v>
      </c>
      <c r="H1733" t="str">
        <f t="shared" si="54"/>
        <v>NAVERwoman7</v>
      </c>
      <c r="I1733" t="str">
        <f>"woman7"</f>
        <v>woman7</v>
      </c>
      <c r="J1733">
        <v>361640</v>
      </c>
      <c r="K1733" s="1">
        <v>44866</v>
      </c>
      <c r="L1733" t="s">
        <v>1746</v>
      </c>
      <c r="M1733">
        <f t="shared" si="55"/>
        <v>361640</v>
      </c>
      <c r="N1733" t="e">
        <f>VLOOKUP(H1733,Sheet1!G:H,2,FALSE)</f>
        <v>#N/A</v>
      </c>
      <c r="R1733" t="s">
        <v>3657</v>
      </c>
      <c r="S1733">
        <v>1290590</v>
      </c>
    </row>
    <row r="1734" spans="1:19" x14ac:dyDescent="0.3">
      <c r="A1734" t="s">
        <v>8</v>
      </c>
      <c r="B1734">
        <f>VLOOKUP(A1734,Sheet2!B:F,5,FALSE)</f>
        <v>928</v>
      </c>
      <c r="C1734" t="s">
        <v>167</v>
      </c>
      <c r="D1734">
        <f>VLOOKUP(C1734,Sheet2!C:G,5,FALSE)</f>
        <v>935</v>
      </c>
      <c r="E1734" t="s">
        <v>168</v>
      </c>
      <c r="F1734">
        <f>VLOOKUP(E1734,Sheet2!D:E,2,FALSE)</f>
        <v>2</v>
      </c>
      <c r="G1734" t="s">
        <v>11</v>
      </c>
      <c r="H1734" t="str">
        <f t="shared" si="54"/>
        <v>NAVERwonder_shop</v>
      </c>
      <c r="I1734" t="str">
        <f>"wonder_shop"</f>
        <v>wonder_shop</v>
      </c>
      <c r="J1734">
        <v>12517970</v>
      </c>
      <c r="K1734" s="1">
        <v>44866</v>
      </c>
      <c r="L1734" t="s">
        <v>671</v>
      </c>
      <c r="M1734">
        <f t="shared" si="55"/>
        <v>12517970</v>
      </c>
      <c r="N1734" t="e">
        <f>VLOOKUP(H1734,Sheet1!G:H,2,FALSE)</f>
        <v>#N/A</v>
      </c>
      <c r="R1734" t="s">
        <v>3658</v>
      </c>
      <c r="S1734">
        <v>990</v>
      </c>
    </row>
    <row r="1735" spans="1:19" x14ac:dyDescent="0.3">
      <c r="A1735" t="s">
        <v>8</v>
      </c>
      <c r="B1735">
        <f>VLOOKUP(A1735,Sheet2!B:F,5,FALSE)</f>
        <v>928</v>
      </c>
      <c r="C1735" t="s">
        <v>13</v>
      </c>
      <c r="D1735">
        <f>VLOOKUP(C1735,Sheet2!C:G,5,FALSE)</f>
        <v>1184</v>
      </c>
      <c r="E1735" t="s">
        <v>59</v>
      </c>
      <c r="F1735">
        <f>VLOOKUP(E1735,Sheet2!D:E,2,FALSE)</f>
        <v>9</v>
      </c>
      <c r="G1735" t="s">
        <v>11</v>
      </c>
      <c r="H1735" t="str">
        <f t="shared" si="54"/>
        <v>NAVERwonjuu</v>
      </c>
      <c r="I1735" t="str">
        <f>"wonjuu"</f>
        <v>wonjuu</v>
      </c>
      <c r="J1735">
        <v>20580</v>
      </c>
      <c r="K1735" s="1">
        <v>44866</v>
      </c>
      <c r="L1735" t="s">
        <v>1747</v>
      </c>
      <c r="M1735">
        <f t="shared" si="55"/>
        <v>20580</v>
      </c>
      <c r="N1735" t="e">
        <f>VLOOKUP(H1735,Sheet1!G:H,2,FALSE)</f>
        <v>#N/A</v>
      </c>
      <c r="R1735" t="s">
        <v>3659</v>
      </c>
      <c r="S1735">
        <v>18424480</v>
      </c>
    </row>
    <row r="1736" spans="1:19" x14ac:dyDescent="0.3">
      <c r="A1736" t="s">
        <v>8</v>
      </c>
      <c r="B1736">
        <f>VLOOKUP(A1736,Sheet2!B:F,5,FALSE)</f>
        <v>928</v>
      </c>
      <c r="C1736" t="s">
        <v>9</v>
      </c>
      <c r="D1736">
        <f>VLOOKUP(C1736,Sheet2!C:G,5,FALSE)</f>
        <v>1202</v>
      </c>
      <c r="E1736" t="s">
        <v>20</v>
      </c>
      <c r="F1736">
        <f>VLOOKUP(E1736,Sheet2!D:E,2,FALSE)</f>
        <v>938</v>
      </c>
      <c r="G1736" t="s">
        <v>11</v>
      </c>
      <c r="H1736" t="str">
        <f t="shared" si="54"/>
        <v>NAVERwonsp2001</v>
      </c>
      <c r="I1736" t="str">
        <f>"wonsp2001"</f>
        <v>wonsp2001</v>
      </c>
      <c r="J1736">
        <v>109230</v>
      </c>
      <c r="K1736" s="1">
        <v>44866</v>
      </c>
      <c r="L1736" t="s">
        <v>1748</v>
      </c>
      <c r="M1736">
        <f t="shared" si="55"/>
        <v>109230</v>
      </c>
      <c r="N1736" t="e">
        <f>VLOOKUP(H1736,Sheet1!G:H,2,FALSE)</f>
        <v>#N/A</v>
      </c>
      <c r="R1736" t="s">
        <v>3660</v>
      </c>
      <c r="S1736">
        <v>750330</v>
      </c>
    </row>
    <row r="1737" spans="1:19" x14ac:dyDescent="0.3">
      <c r="A1737" t="s">
        <v>16</v>
      </c>
      <c r="B1737">
        <f>VLOOKUP(A1737,Sheet2!B:F,5,FALSE)</f>
        <v>927</v>
      </c>
      <c r="C1737" t="s">
        <v>17</v>
      </c>
      <c r="D1737">
        <f>VLOOKUP(C1737,Sheet2!C:G,5,FALSE)</f>
        <v>1200</v>
      </c>
      <c r="E1737" t="s">
        <v>78</v>
      </c>
      <c r="F1737">
        <f>VLOOKUP(E1737,Sheet2!D:E,2,FALSE)</f>
        <v>57</v>
      </c>
      <c r="G1737" t="s">
        <v>11</v>
      </c>
      <c r="H1737" t="str">
        <f t="shared" si="54"/>
        <v>NAVERwonsun1545</v>
      </c>
      <c r="I1737" t="str">
        <f>"wonsun1545"</f>
        <v>wonsun1545</v>
      </c>
      <c r="J1737">
        <v>4750940</v>
      </c>
      <c r="K1737" s="1">
        <v>44866</v>
      </c>
      <c r="L1737" t="s">
        <v>1749</v>
      </c>
      <c r="M1737">
        <f t="shared" si="55"/>
        <v>4750940</v>
      </c>
      <c r="N1737" t="e">
        <f>VLOOKUP(H1737,Sheet1!G:H,2,FALSE)</f>
        <v>#N/A</v>
      </c>
      <c r="R1737" t="s">
        <v>3661</v>
      </c>
      <c r="S1737">
        <v>597160</v>
      </c>
    </row>
    <row r="1738" spans="1:19" x14ac:dyDescent="0.3">
      <c r="A1738" t="s">
        <v>8</v>
      </c>
      <c r="B1738">
        <f>VLOOKUP(A1738,Sheet2!B:F,5,FALSE)</f>
        <v>928</v>
      </c>
      <c r="C1738" t="s">
        <v>9</v>
      </c>
      <c r="D1738">
        <f>VLOOKUP(C1738,Sheet2!C:G,5,FALSE)</f>
        <v>1202</v>
      </c>
      <c r="E1738" t="s">
        <v>33</v>
      </c>
      <c r="F1738">
        <f>VLOOKUP(E1738,Sheet2!D:E,2,FALSE)</f>
        <v>933</v>
      </c>
      <c r="G1738" t="s">
        <v>11</v>
      </c>
      <c r="H1738" t="str">
        <f t="shared" si="54"/>
        <v>NAVERwook7157</v>
      </c>
      <c r="I1738" t="str">
        <f>"wook7157"</f>
        <v>wook7157</v>
      </c>
      <c r="J1738">
        <v>675380</v>
      </c>
      <c r="K1738" s="1">
        <v>44866</v>
      </c>
      <c r="L1738" t="s">
        <v>1750</v>
      </c>
      <c r="M1738">
        <f t="shared" si="55"/>
        <v>299180</v>
      </c>
      <c r="N1738" t="e">
        <f>VLOOKUP(H1738,Sheet1!G:H,2,FALSE)</f>
        <v>#N/A</v>
      </c>
      <c r="R1738" t="s">
        <v>3662</v>
      </c>
      <c r="S1738">
        <v>344240</v>
      </c>
    </row>
    <row r="1739" spans="1:19" x14ac:dyDescent="0.3">
      <c r="A1739" t="s">
        <v>16</v>
      </c>
      <c r="B1739">
        <f>VLOOKUP(A1739,Sheet2!B:F,5,FALSE)</f>
        <v>927</v>
      </c>
      <c r="C1739" t="s">
        <v>17</v>
      </c>
      <c r="D1739">
        <f>VLOOKUP(C1739,Sheet2!C:G,5,FALSE)</f>
        <v>1200</v>
      </c>
      <c r="E1739" t="s">
        <v>66</v>
      </c>
      <c r="F1739">
        <f>VLOOKUP(E1739,Sheet2!D:E,2,FALSE)</f>
        <v>33</v>
      </c>
      <c r="G1739" t="s">
        <v>11</v>
      </c>
      <c r="H1739" t="str">
        <f t="shared" si="54"/>
        <v>NAVERwoolfmen2000</v>
      </c>
      <c r="I1739" t="str">
        <f>"woolfmen2000"</f>
        <v>woolfmen2000</v>
      </c>
      <c r="J1739">
        <v>101380</v>
      </c>
      <c r="K1739" s="1">
        <v>44866</v>
      </c>
      <c r="L1739" t="s">
        <v>1751</v>
      </c>
      <c r="M1739">
        <f t="shared" si="55"/>
        <v>101380</v>
      </c>
      <c r="N1739" t="e">
        <f>VLOOKUP(H1739,Sheet1!G:H,2,FALSE)</f>
        <v>#N/A</v>
      </c>
      <c r="R1739" t="s">
        <v>3663</v>
      </c>
      <c r="S1739">
        <v>1467190</v>
      </c>
    </row>
    <row r="1740" spans="1:19" x14ac:dyDescent="0.3">
      <c r="A1740" t="s">
        <v>8</v>
      </c>
      <c r="B1740">
        <f>VLOOKUP(A1740,Sheet2!B:F,5,FALSE)</f>
        <v>928</v>
      </c>
      <c r="C1740" t="s">
        <v>9</v>
      </c>
      <c r="D1740">
        <f>VLOOKUP(C1740,Sheet2!C:G,5,FALSE)</f>
        <v>1202</v>
      </c>
      <c r="E1740" t="s">
        <v>20</v>
      </c>
      <c r="F1740">
        <f>VLOOKUP(E1740,Sheet2!D:E,2,FALSE)</f>
        <v>938</v>
      </c>
      <c r="G1740" t="s">
        <v>11</v>
      </c>
      <c r="H1740" t="str">
        <f t="shared" si="54"/>
        <v>NAVERwoori885</v>
      </c>
      <c r="I1740" t="str">
        <f>"woori885"</f>
        <v>woori885</v>
      </c>
      <c r="J1740">
        <v>415610</v>
      </c>
      <c r="K1740" s="1">
        <v>44866</v>
      </c>
      <c r="L1740" t="s">
        <v>1752</v>
      </c>
      <c r="M1740">
        <f t="shared" si="55"/>
        <v>415610</v>
      </c>
      <c r="N1740" t="e">
        <f>VLOOKUP(H1740,Sheet1!G:H,2,FALSE)</f>
        <v>#N/A</v>
      </c>
      <c r="R1740" t="s">
        <v>3664</v>
      </c>
      <c r="S1740">
        <v>1994590</v>
      </c>
    </row>
    <row r="1741" spans="1:19" x14ac:dyDescent="0.3">
      <c r="A1741" t="s">
        <v>8</v>
      </c>
      <c r="B1741">
        <f>VLOOKUP(A1741,Sheet2!B:F,5,FALSE)</f>
        <v>928</v>
      </c>
      <c r="C1741" t="s">
        <v>13</v>
      </c>
      <c r="D1741">
        <f>VLOOKUP(C1741,Sheet2!C:G,5,FALSE)</f>
        <v>1184</v>
      </c>
      <c r="E1741" t="s">
        <v>102</v>
      </c>
      <c r="F1741">
        <f>VLOOKUP(E1741,Sheet2!D:E,2,FALSE)</f>
        <v>917</v>
      </c>
      <c r="G1741" t="s">
        <v>11</v>
      </c>
      <c r="H1741" t="str">
        <f t="shared" si="54"/>
        <v>NAVERwooryfence</v>
      </c>
      <c r="I1741" t="str">
        <f>"wooryfence"</f>
        <v>wooryfence</v>
      </c>
      <c r="J1741">
        <v>721790</v>
      </c>
      <c r="K1741" s="1">
        <v>44866</v>
      </c>
      <c r="L1741" t="s">
        <v>1753</v>
      </c>
      <c r="M1741">
        <f t="shared" si="55"/>
        <v>721790</v>
      </c>
      <c r="N1741" t="e">
        <f>VLOOKUP(H1741,Sheet1!G:H,2,FALSE)</f>
        <v>#N/A</v>
      </c>
      <c r="R1741" t="s">
        <v>3665</v>
      </c>
      <c r="S1741">
        <v>40980</v>
      </c>
    </row>
    <row r="1742" spans="1:19" x14ac:dyDescent="0.3">
      <c r="A1742" t="s">
        <v>16</v>
      </c>
      <c r="B1742">
        <f>VLOOKUP(A1742,Sheet2!B:F,5,FALSE)</f>
        <v>927</v>
      </c>
      <c r="C1742" t="s">
        <v>17</v>
      </c>
      <c r="D1742">
        <f>VLOOKUP(C1742,Sheet2!C:G,5,FALSE)</f>
        <v>1200</v>
      </c>
      <c r="E1742" t="s">
        <v>446</v>
      </c>
      <c r="F1742">
        <f>VLOOKUP(E1742,Sheet2!D:E,2,FALSE)</f>
        <v>566</v>
      </c>
      <c r="G1742" t="s">
        <v>11</v>
      </c>
      <c r="H1742" t="str">
        <f t="shared" si="54"/>
        <v>NAVERwoovak:naver</v>
      </c>
      <c r="I1742" t="str">
        <f>"woovak:naver"</f>
        <v>woovak:naver</v>
      </c>
      <c r="J1742">
        <v>364580</v>
      </c>
      <c r="K1742" s="1">
        <v>44866</v>
      </c>
      <c r="L1742" t="s">
        <v>1754</v>
      </c>
      <c r="M1742">
        <f t="shared" si="55"/>
        <v>364580</v>
      </c>
      <c r="N1742" t="e">
        <f>VLOOKUP(H1742,Sheet1!G:H,2,FALSE)</f>
        <v>#N/A</v>
      </c>
      <c r="R1742" t="s">
        <v>3666</v>
      </c>
      <c r="S1742">
        <v>299760</v>
      </c>
    </row>
    <row r="1743" spans="1:19" x14ac:dyDescent="0.3">
      <c r="A1743" t="s">
        <v>8</v>
      </c>
      <c r="B1743">
        <f>VLOOKUP(A1743,Sheet2!B:F,5,FALSE)</f>
        <v>928</v>
      </c>
      <c r="C1743" t="s">
        <v>9</v>
      </c>
      <c r="D1743">
        <f>VLOOKUP(C1743,Sheet2!C:G,5,FALSE)</f>
        <v>1202</v>
      </c>
      <c r="E1743" t="s">
        <v>39</v>
      </c>
      <c r="F1743">
        <f>VLOOKUP(E1743,Sheet2!D:E,2,FALSE)</f>
        <v>25</v>
      </c>
      <c r="G1743" t="s">
        <v>11</v>
      </c>
      <c r="H1743" t="str">
        <f t="shared" si="54"/>
        <v>NAVERworisky</v>
      </c>
      <c r="I1743" t="str">
        <f>"worisky"</f>
        <v>worisky</v>
      </c>
      <c r="J1743">
        <v>518250</v>
      </c>
      <c r="K1743" s="1">
        <v>44866</v>
      </c>
      <c r="L1743" t="s">
        <v>1755</v>
      </c>
      <c r="M1743">
        <f t="shared" si="55"/>
        <v>518250</v>
      </c>
      <c r="N1743" t="e">
        <f>VLOOKUP(H1743,Sheet1!G:H,2,FALSE)</f>
        <v>#N/A</v>
      </c>
      <c r="R1743" t="s">
        <v>3667</v>
      </c>
      <c r="S1743">
        <v>2572550</v>
      </c>
    </row>
    <row r="1744" spans="1:19" x14ac:dyDescent="0.3">
      <c r="A1744" t="s">
        <v>16</v>
      </c>
      <c r="B1744">
        <f>VLOOKUP(A1744,Sheet2!B:F,5,FALSE)</f>
        <v>927</v>
      </c>
      <c r="C1744" t="s">
        <v>17</v>
      </c>
      <c r="D1744">
        <f>VLOOKUP(C1744,Sheet2!C:G,5,FALSE)</f>
        <v>1200</v>
      </c>
      <c r="E1744" t="s">
        <v>100</v>
      </c>
      <c r="F1744">
        <f>VLOOKUP(E1744,Sheet2!D:E,2,FALSE)</f>
        <v>201038</v>
      </c>
      <c r="G1744" t="s">
        <v>11</v>
      </c>
      <c r="H1744" t="str">
        <f t="shared" si="54"/>
        <v>NAVERwork4b:naver</v>
      </c>
      <c r="I1744" t="str">
        <f>"work4b:naver"</f>
        <v>work4b:naver</v>
      </c>
      <c r="J1744">
        <v>37390</v>
      </c>
      <c r="K1744" s="1">
        <v>44866</v>
      </c>
      <c r="L1744" t="s">
        <v>1756</v>
      </c>
      <c r="M1744">
        <f t="shared" si="55"/>
        <v>37390</v>
      </c>
      <c r="N1744" t="e">
        <f>VLOOKUP(H1744,Sheet1!G:H,2,FALSE)</f>
        <v>#N/A</v>
      </c>
      <c r="R1744" t="s">
        <v>3668</v>
      </c>
      <c r="S1744">
        <v>696380</v>
      </c>
    </row>
    <row r="1745" spans="1:19" x14ac:dyDescent="0.3">
      <c r="A1745" t="s">
        <v>8</v>
      </c>
      <c r="B1745">
        <f>VLOOKUP(A1745,Sheet2!B:F,5,FALSE)</f>
        <v>928</v>
      </c>
      <c r="C1745" t="s">
        <v>9</v>
      </c>
      <c r="D1745">
        <f>VLOOKUP(C1745,Sheet2!C:G,5,FALSE)</f>
        <v>1202</v>
      </c>
      <c r="E1745" t="s">
        <v>27</v>
      </c>
      <c r="F1745">
        <f>VLOOKUP(E1745,Sheet2!D:E,2,FALSE)</f>
        <v>806</v>
      </c>
      <c r="G1745" t="s">
        <v>11</v>
      </c>
      <c r="H1745" t="str">
        <f t="shared" si="54"/>
        <v>NAVERwotmd0417:naver</v>
      </c>
      <c r="I1745" t="str">
        <f>"wotmd0417:naver"</f>
        <v>wotmd0417:naver</v>
      </c>
      <c r="J1745">
        <v>130330</v>
      </c>
      <c r="K1745" s="1">
        <v>44866</v>
      </c>
      <c r="L1745" t="s">
        <v>1757</v>
      </c>
      <c r="M1745">
        <f t="shared" si="55"/>
        <v>130330</v>
      </c>
      <c r="N1745" t="e">
        <f>VLOOKUP(H1745,Sheet1!G:H,2,FALSE)</f>
        <v>#N/A</v>
      </c>
      <c r="R1745" t="s">
        <v>3669</v>
      </c>
      <c r="S1745">
        <v>2102810</v>
      </c>
    </row>
    <row r="1746" spans="1:19" x14ac:dyDescent="0.3">
      <c r="A1746" t="s">
        <v>8</v>
      </c>
      <c r="B1746">
        <f>VLOOKUP(A1746,Sheet2!B:F,5,FALSE)</f>
        <v>928</v>
      </c>
      <c r="C1746" t="s">
        <v>9</v>
      </c>
      <c r="D1746">
        <f>VLOOKUP(C1746,Sheet2!C:G,5,FALSE)</f>
        <v>1202</v>
      </c>
      <c r="E1746" t="s">
        <v>10</v>
      </c>
      <c r="F1746">
        <f>VLOOKUP(E1746,Sheet2!D:E,2,FALSE)</f>
        <v>939</v>
      </c>
      <c r="G1746" t="s">
        <v>11</v>
      </c>
      <c r="H1746" t="str">
        <f t="shared" si="54"/>
        <v>NAVERwr3943</v>
      </c>
      <c r="I1746" t="str">
        <f>"wr3943"</f>
        <v>wr3943</v>
      </c>
      <c r="J1746">
        <v>32400</v>
      </c>
      <c r="K1746" s="1">
        <v>44866</v>
      </c>
      <c r="L1746" t="s">
        <v>1515</v>
      </c>
      <c r="M1746">
        <f t="shared" si="55"/>
        <v>32400</v>
      </c>
      <c r="N1746" t="e">
        <f>VLOOKUP(H1746,Sheet1!G:H,2,FALSE)</f>
        <v>#N/A</v>
      </c>
      <c r="R1746" t="s">
        <v>3670</v>
      </c>
      <c r="S1746">
        <v>628140</v>
      </c>
    </row>
    <row r="1747" spans="1:19" x14ac:dyDescent="0.3">
      <c r="A1747" t="s">
        <v>8</v>
      </c>
      <c r="B1747">
        <f>VLOOKUP(A1747,Sheet2!B:F,5,FALSE)</f>
        <v>928</v>
      </c>
      <c r="C1747" t="s">
        <v>13</v>
      </c>
      <c r="D1747">
        <f>VLOOKUP(C1747,Sheet2!C:G,5,FALSE)</f>
        <v>1184</v>
      </c>
      <c r="E1747" t="s">
        <v>51</v>
      </c>
      <c r="F1747">
        <f>VLOOKUP(E1747,Sheet2!D:E,2,FALSE)</f>
        <v>1274</v>
      </c>
      <c r="G1747" t="s">
        <v>11</v>
      </c>
      <c r="H1747" t="str">
        <f t="shared" si="54"/>
        <v>NAVERwscoly</v>
      </c>
      <c r="I1747" t="str">
        <f>"wscoly"</f>
        <v>wscoly</v>
      </c>
      <c r="J1747">
        <v>27581</v>
      </c>
      <c r="K1747" s="1">
        <v>44866</v>
      </c>
      <c r="L1747" t="s">
        <v>1758</v>
      </c>
      <c r="M1747">
        <f t="shared" si="55"/>
        <v>27623</v>
      </c>
      <c r="N1747" t="e">
        <f>VLOOKUP(H1747,Sheet1!G:H,2,FALSE)</f>
        <v>#N/A</v>
      </c>
      <c r="R1747" t="s">
        <v>3671</v>
      </c>
      <c r="S1747">
        <v>103850</v>
      </c>
    </row>
    <row r="1748" spans="1:19" x14ac:dyDescent="0.3">
      <c r="A1748" t="s">
        <v>16</v>
      </c>
      <c r="B1748">
        <f>VLOOKUP(A1748,Sheet2!B:F,5,FALSE)</f>
        <v>927</v>
      </c>
      <c r="C1748" t="s">
        <v>17</v>
      </c>
      <c r="D1748">
        <f>VLOOKUP(C1748,Sheet2!C:G,5,FALSE)</f>
        <v>1200</v>
      </c>
      <c r="E1748" t="s">
        <v>78</v>
      </c>
      <c r="F1748">
        <f>VLOOKUP(E1748,Sheet2!D:E,2,FALSE)</f>
        <v>57</v>
      </c>
      <c r="G1748" t="s">
        <v>11</v>
      </c>
      <c r="H1748" t="str">
        <f t="shared" si="54"/>
        <v>NAVERwv6432</v>
      </c>
      <c r="I1748" t="str">
        <f>"wv6432"</f>
        <v>wv6432</v>
      </c>
      <c r="J1748">
        <v>832490</v>
      </c>
      <c r="K1748" s="1">
        <v>44866</v>
      </c>
      <c r="L1748" t="s">
        <v>1759</v>
      </c>
      <c r="M1748">
        <f t="shared" si="55"/>
        <v>832490</v>
      </c>
      <c r="N1748" t="e">
        <f>VLOOKUP(H1748,Sheet1!G:H,2,FALSE)</f>
        <v>#N/A</v>
      </c>
      <c r="R1748" t="s">
        <v>3672</v>
      </c>
      <c r="S1748">
        <v>379970</v>
      </c>
    </row>
    <row r="1749" spans="1:19" x14ac:dyDescent="0.3">
      <c r="A1749" t="s">
        <v>41</v>
      </c>
      <c r="B1749">
        <f>VLOOKUP(A1749,Sheet2!B:F,5,FALSE)</f>
        <v>926</v>
      </c>
      <c r="C1749" t="s">
        <v>56</v>
      </c>
      <c r="D1749">
        <f>VLOOKUP(C1749,Sheet2!C:G,5,FALSE)</f>
        <v>1207</v>
      </c>
      <c r="E1749" t="s">
        <v>62</v>
      </c>
      <c r="F1749">
        <f>VLOOKUP(E1749,Sheet2!D:E,2,FALSE)</f>
        <v>201037</v>
      </c>
      <c r="G1749" t="s">
        <v>11</v>
      </c>
      <c r="H1749" t="str">
        <f t="shared" si="54"/>
        <v>NAVERwysg2002</v>
      </c>
      <c r="I1749" t="str">
        <f>"wysg2002"</f>
        <v>wysg2002</v>
      </c>
      <c r="J1749">
        <v>2020410</v>
      </c>
      <c r="K1749" s="1">
        <v>44866</v>
      </c>
      <c r="L1749" t="s">
        <v>1760</v>
      </c>
      <c r="M1749">
        <f t="shared" si="55"/>
        <v>2020410</v>
      </c>
      <c r="N1749" t="e">
        <f>VLOOKUP(H1749,Sheet1!G:H,2,FALSE)</f>
        <v>#N/A</v>
      </c>
      <c r="R1749" t="s">
        <v>3673</v>
      </c>
      <c r="S1749">
        <v>8326630</v>
      </c>
    </row>
    <row r="1750" spans="1:19" x14ac:dyDescent="0.3">
      <c r="A1750" t="s">
        <v>16</v>
      </c>
      <c r="B1750">
        <f>VLOOKUP(A1750,Sheet2!B:F,5,FALSE)</f>
        <v>927</v>
      </c>
      <c r="C1750" t="s">
        <v>17</v>
      </c>
      <c r="D1750">
        <f>VLOOKUP(C1750,Sheet2!C:G,5,FALSE)</f>
        <v>1200</v>
      </c>
      <c r="E1750" t="s">
        <v>78</v>
      </c>
      <c r="F1750">
        <f>VLOOKUP(E1750,Sheet2!D:E,2,FALSE)</f>
        <v>57</v>
      </c>
      <c r="G1750" t="s">
        <v>11</v>
      </c>
      <c r="H1750" t="str">
        <f t="shared" si="54"/>
        <v>NAVERxpkiller</v>
      </c>
      <c r="I1750" t="str">
        <f>"xpkiller"</f>
        <v>xpkiller</v>
      </c>
      <c r="J1750">
        <v>11761160</v>
      </c>
      <c r="K1750" s="1">
        <v>44866</v>
      </c>
      <c r="L1750" t="s">
        <v>1761</v>
      </c>
      <c r="M1750">
        <f t="shared" si="55"/>
        <v>10765520</v>
      </c>
      <c r="N1750" t="e">
        <f>VLOOKUP(H1750,Sheet1!G:H,2,FALSE)</f>
        <v>#N/A</v>
      </c>
      <c r="R1750" t="s">
        <v>3674</v>
      </c>
      <c r="S1750">
        <v>1121320</v>
      </c>
    </row>
    <row r="1751" spans="1:19" x14ac:dyDescent="0.3">
      <c r="A1751" t="s">
        <v>41</v>
      </c>
      <c r="B1751">
        <f>VLOOKUP(A1751,Sheet2!B:F,5,FALSE)</f>
        <v>926</v>
      </c>
      <c r="C1751" t="s">
        <v>42</v>
      </c>
      <c r="D1751">
        <f>VLOOKUP(C1751,Sheet2!C:G,5,FALSE)</f>
        <v>964</v>
      </c>
      <c r="E1751" t="s">
        <v>43</v>
      </c>
      <c r="F1751">
        <f>VLOOKUP(E1751,Sheet2!D:E,2,FALSE)</f>
        <v>200998</v>
      </c>
      <c r="G1751" t="s">
        <v>11</v>
      </c>
      <c r="H1751" t="str">
        <f t="shared" si="54"/>
        <v>NAVERy012500</v>
      </c>
      <c r="I1751" t="str">
        <f>"y012500"</f>
        <v>y012500</v>
      </c>
      <c r="J1751">
        <v>60</v>
      </c>
      <c r="K1751" s="1">
        <v>44866</v>
      </c>
      <c r="L1751" t="s">
        <v>1762</v>
      </c>
      <c r="M1751">
        <f t="shared" si="55"/>
        <v>60</v>
      </c>
      <c r="N1751" t="e">
        <f>VLOOKUP(H1751,Sheet1!G:H,2,FALSE)</f>
        <v>#N/A</v>
      </c>
      <c r="R1751" t="s">
        <v>3675</v>
      </c>
      <c r="S1751">
        <v>1771700</v>
      </c>
    </row>
    <row r="1752" spans="1:19" x14ac:dyDescent="0.3">
      <c r="A1752" t="s">
        <v>8</v>
      </c>
      <c r="B1752">
        <f>VLOOKUP(A1752,Sheet2!B:F,5,FALSE)</f>
        <v>928</v>
      </c>
      <c r="C1752" t="s">
        <v>13</v>
      </c>
      <c r="D1752">
        <f>VLOOKUP(C1752,Sheet2!C:G,5,FALSE)</f>
        <v>1184</v>
      </c>
      <c r="E1752" t="s">
        <v>59</v>
      </c>
      <c r="F1752">
        <f>VLOOKUP(E1752,Sheet2!D:E,2,FALSE)</f>
        <v>9</v>
      </c>
      <c r="G1752" t="s">
        <v>11</v>
      </c>
      <c r="H1752" t="str">
        <f t="shared" si="54"/>
        <v>NAVERy21</v>
      </c>
      <c r="I1752" t="str">
        <f>"y21"</f>
        <v>y21</v>
      </c>
      <c r="J1752">
        <v>49210</v>
      </c>
      <c r="K1752" s="1">
        <v>44866</v>
      </c>
      <c r="L1752" t="s">
        <v>1763</v>
      </c>
      <c r="M1752">
        <f t="shared" si="55"/>
        <v>49210</v>
      </c>
      <c r="N1752" t="e">
        <f>VLOOKUP(H1752,Sheet1!G:H,2,FALSE)</f>
        <v>#N/A</v>
      </c>
      <c r="R1752" t="s">
        <v>3676</v>
      </c>
      <c r="S1752">
        <v>3730</v>
      </c>
    </row>
    <row r="1753" spans="1:19" x14ac:dyDescent="0.3">
      <c r="A1753" t="s">
        <v>41</v>
      </c>
      <c r="B1753">
        <f>VLOOKUP(A1753,Sheet2!B:F,5,FALSE)</f>
        <v>926</v>
      </c>
      <c r="C1753" t="s">
        <v>56</v>
      </c>
      <c r="D1753">
        <f>VLOOKUP(C1753,Sheet2!C:G,5,FALSE)</f>
        <v>1207</v>
      </c>
      <c r="E1753" t="s">
        <v>64</v>
      </c>
      <c r="F1753">
        <f>VLOOKUP(E1753,Sheet2!D:E,2,FALSE)</f>
        <v>201011</v>
      </c>
      <c r="G1753" t="s">
        <v>11</v>
      </c>
      <c r="H1753" t="str">
        <f t="shared" si="54"/>
        <v>NAVERy77lsw</v>
      </c>
      <c r="I1753" t="str">
        <f>"y77lsw"</f>
        <v>y77lsw</v>
      </c>
      <c r="J1753">
        <v>32460</v>
      </c>
      <c r="K1753" s="1">
        <v>44866</v>
      </c>
      <c r="L1753" t="s">
        <v>1764</v>
      </c>
      <c r="M1753">
        <f t="shared" si="55"/>
        <v>32460</v>
      </c>
      <c r="N1753" t="e">
        <f>VLOOKUP(H1753,Sheet1!G:H,2,FALSE)</f>
        <v>#N/A</v>
      </c>
      <c r="R1753" t="s">
        <v>3677</v>
      </c>
      <c r="S1753">
        <v>2262380</v>
      </c>
    </row>
    <row r="1754" spans="1:19" x14ac:dyDescent="0.3">
      <c r="A1754" t="s">
        <v>41</v>
      </c>
      <c r="B1754">
        <f>VLOOKUP(A1754,Sheet2!B:F,5,FALSE)</f>
        <v>926</v>
      </c>
      <c r="C1754" t="s">
        <v>42</v>
      </c>
      <c r="D1754">
        <f>VLOOKUP(C1754,Sheet2!C:G,5,FALSE)</f>
        <v>964</v>
      </c>
      <c r="E1754" t="s">
        <v>43</v>
      </c>
      <c r="F1754">
        <f>VLOOKUP(E1754,Sheet2!D:E,2,FALSE)</f>
        <v>200998</v>
      </c>
      <c r="G1754" t="s">
        <v>11</v>
      </c>
      <c r="H1754" t="str">
        <f t="shared" si="54"/>
        <v>NAVERyanan2930</v>
      </c>
      <c r="I1754" t="str">
        <f>"yanan2930"</f>
        <v>yanan2930</v>
      </c>
      <c r="J1754">
        <v>4500</v>
      </c>
      <c r="K1754" s="1">
        <v>44866</v>
      </c>
      <c r="L1754" t="s">
        <v>1765</v>
      </c>
      <c r="M1754">
        <f t="shared" si="55"/>
        <v>4500</v>
      </c>
      <c r="N1754" t="e">
        <f>VLOOKUP(H1754,Sheet1!G:H,2,FALSE)</f>
        <v>#N/A</v>
      </c>
      <c r="R1754" t="s">
        <v>3678</v>
      </c>
      <c r="S1754">
        <v>64759150</v>
      </c>
    </row>
    <row r="1755" spans="1:19" x14ac:dyDescent="0.3">
      <c r="A1755" t="s">
        <v>8</v>
      </c>
      <c r="B1755">
        <f>VLOOKUP(A1755,Sheet2!B:F,5,FALSE)</f>
        <v>928</v>
      </c>
      <c r="C1755" t="s">
        <v>223</v>
      </c>
      <c r="D1755">
        <f>VLOOKUP(C1755,Sheet2!C:G,5,FALSE)</f>
        <v>966</v>
      </c>
      <c r="E1755" t="s">
        <v>224</v>
      </c>
      <c r="F1755">
        <f>VLOOKUP(E1755,Sheet2!D:E,2,FALSE)</f>
        <v>201008</v>
      </c>
      <c r="G1755" t="s">
        <v>11</v>
      </c>
      <c r="H1755" t="str">
        <f t="shared" si="54"/>
        <v>NAVERyangji9000</v>
      </c>
      <c r="I1755" t="str">
        <f>"yangji9000"</f>
        <v>yangji9000</v>
      </c>
      <c r="J1755">
        <v>644720</v>
      </c>
      <c r="K1755" s="1">
        <v>44866</v>
      </c>
      <c r="L1755" t="s">
        <v>631</v>
      </c>
      <c r="M1755">
        <f t="shared" si="55"/>
        <v>644720</v>
      </c>
      <c r="N1755" t="e">
        <f>VLOOKUP(H1755,Sheet1!G:H,2,FALSE)</f>
        <v>#N/A</v>
      </c>
      <c r="R1755" t="s">
        <v>3679</v>
      </c>
      <c r="S1755">
        <v>2854390</v>
      </c>
    </row>
    <row r="1756" spans="1:19" x14ac:dyDescent="0.3">
      <c r="A1756" t="s">
        <v>8</v>
      </c>
      <c r="B1756">
        <f>VLOOKUP(A1756,Sheet2!B:F,5,FALSE)</f>
        <v>928</v>
      </c>
      <c r="C1756" t="s">
        <v>223</v>
      </c>
      <c r="D1756">
        <f>VLOOKUP(C1756,Sheet2!C:G,5,FALSE)</f>
        <v>966</v>
      </c>
      <c r="E1756" t="s">
        <v>224</v>
      </c>
      <c r="F1756">
        <f>VLOOKUP(E1756,Sheet2!D:E,2,FALSE)</f>
        <v>201008</v>
      </c>
      <c r="G1756" t="s">
        <v>11</v>
      </c>
      <c r="H1756" t="str">
        <f t="shared" si="54"/>
        <v>NAVERyangji9001</v>
      </c>
      <c r="I1756" t="str">
        <f>"yangji9001"</f>
        <v>yangji9001</v>
      </c>
      <c r="J1756">
        <v>291440</v>
      </c>
      <c r="K1756" s="1">
        <v>44866</v>
      </c>
      <c r="L1756" t="s">
        <v>631</v>
      </c>
      <c r="M1756">
        <f t="shared" si="55"/>
        <v>291440</v>
      </c>
      <c r="N1756" t="e">
        <f>VLOOKUP(H1756,Sheet1!G:H,2,FALSE)</f>
        <v>#N/A</v>
      </c>
      <c r="R1756" t="s">
        <v>3680</v>
      </c>
      <c r="S1756">
        <v>679490</v>
      </c>
    </row>
    <row r="1757" spans="1:19" x14ac:dyDescent="0.3">
      <c r="A1757" t="s">
        <v>8</v>
      </c>
      <c r="B1757">
        <f>VLOOKUP(A1757,Sheet2!B:F,5,FALSE)</f>
        <v>928</v>
      </c>
      <c r="C1757" t="s">
        <v>223</v>
      </c>
      <c r="D1757">
        <f>VLOOKUP(C1757,Sheet2!C:G,5,FALSE)</f>
        <v>966</v>
      </c>
      <c r="E1757" t="s">
        <v>224</v>
      </c>
      <c r="F1757">
        <f>VLOOKUP(E1757,Sheet2!D:E,2,FALSE)</f>
        <v>201008</v>
      </c>
      <c r="G1757" t="s">
        <v>11</v>
      </c>
      <c r="H1757" t="str">
        <f t="shared" si="54"/>
        <v>NAVERyangji9002</v>
      </c>
      <c r="I1757" t="str">
        <f>"yangji9002"</f>
        <v>yangji9002</v>
      </c>
      <c r="J1757">
        <v>12777810</v>
      </c>
      <c r="K1757" s="1">
        <v>44866</v>
      </c>
      <c r="L1757" t="s">
        <v>225</v>
      </c>
      <c r="M1757">
        <f t="shared" si="55"/>
        <v>12777810</v>
      </c>
      <c r="N1757" t="e">
        <f>VLOOKUP(H1757,Sheet1!G:H,2,FALSE)</f>
        <v>#N/A</v>
      </c>
      <c r="R1757" t="s">
        <v>3681</v>
      </c>
      <c r="S1757">
        <v>311360</v>
      </c>
    </row>
    <row r="1758" spans="1:19" x14ac:dyDescent="0.3">
      <c r="A1758" t="s">
        <v>8</v>
      </c>
      <c r="B1758">
        <f>VLOOKUP(A1758,Sheet2!B:F,5,FALSE)</f>
        <v>928</v>
      </c>
      <c r="C1758" t="s">
        <v>223</v>
      </c>
      <c r="D1758">
        <f>VLOOKUP(C1758,Sheet2!C:G,5,FALSE)</f>
        <v>966</v>
      </c>
      <c r="E1758" t="s">
        <v>224</v>
      </c>
      <c r="F1758">
        <f>VLOOKUP(E1758,Sheet2!D:E,2,FALSE)</f>
        <v>201008</v>
      </c>
      <c r="G1758" t="s">
        <v>11</v>
      </c>
      <c r="H1758" t="str">
        <f t="shared" si="54"/>
        <v>NAVERyangji9003</v>
      </c>
      <c r="I1758" t="str">
        <f>"yangji9003"</f>
        <v>yangji9003</v>
      </c>
      <c r="J1758">
        <v>503420</v>
      </c>
      <c r="K1758" s="1">
        <v>44866</v>
      </c>
      <c r="L1758" t="s">
        <v>631</v>
      </c>
      <c r="M1758">
        <f t="shared" si="55"/>
        <v>503420</v>
      </c>
      <c r="N1758" t="e">
        <f>VLOOKUP(H1758,Sheet1!G:H,2,FALSE)</f>
        <v>#N/A</v>
      </c>
      <c r="R1758" t="s">
        <v>3682</v>
      </c>
      <c r="S1758">
        <v>595940</v>
      </c>
    </row>
    <row r="1759" spans="1:19" x14ac:dyDescent="0.3">
      <c r="A1759" t="s">
        <v>8</v>
      </c>
      <c r="B1759">
        <f>VLOOKUP(A1759,Sheet2!B:F,5,FALSE)</f>
        <v>928</v>
      </c>
      <c r="C1759" t="s">
        <v>223</v>
      </c>
      <c r="D1759">
        <f>VLOOKUP(C1759,Sheet2!C:G,5,FALSE)</f>
        <v>966</v>
      </c>
      <c r="E1759" t="s">
        <v>224</v>
      </c>
      <c r="F1759">
        <f>VLOOKUP(E1759,Sheet2!D:E,2,FALSE)</f>
        <v>201008</v>
      </c>
      <c r="G1759" t="s">
        <v>11</v>
      </c>
      <c r="H1759" t="str">
        <f t="shared" si="54"/>
        <v>NAVERyangji9004</v>
      </c>
      <c r="I1759" t="str">
        <f>"yangji9004"</f>
        <v>yangji9004</v>
      </c>
      <c r="J1759">
        <v>805990</v>
      </c>
      <c r="K1759" s="1">
        <v>44866</v>
      </c>
      <c r="L1759" t="s">
        <v>631</v>
      </c>
      <c r="M1759">
        <f t="shared" si="55"/>
        <v>805990</v>
      </c>
      <c r="N1759" t="e">
        <f>VLOOKUP(H1759,Sheet1!G:H,2,FALSE)</f>
        <v>#N/A</v>
      </c>
      <c r="R1759" t="s">
        <v>3683</v>
      </c>
      <c r="S1759">
        <v>256320</v>
      </c>
    </row>
    <row r="1760" spans="1:19" x14ac:dyDescent="0.3">
      <c r="A1760" t="s">
        <v>41</v>
      </c>
      <c r="B1760">
        <f>VLOOKUP(A1760,Sheet2!B:F,5,FALSE)</f>
        <v>926</v>
      </c>
      <c r="C1760" t="s">
        <v>56</v>
      </c>
      <c r="D1760">
        <f>VLOOKUP(C1760,Sheet2!C:G,5,FALSE)</f>
        <v>1207</v>
      </c>
      <c r="E1760" t="s">
        <v>57</v>
      </c>
      <c r="F1760">
        <f>VLOOKUP(E1760,Sheet2!D:E,2,FALSE)</f>
        <v>200982</v>
      </c>
      <c r="G1760" t="s">
        <v>11</v>
      </c>
      <c r="H1760" t="str">
        <f t="shared" si="54"/>
        <v>NAVERyangju-ch:naver</v>
      </c>
      <c r="I1760" t="str">
        <f>"yangju-ch:naver"</f>
        <v>yangju-ch:naver</v>
      </c>
      <c r="J1760">
        <v>158050</v>
      </c>
      <c r="K1760" s="1">
        <v>44866</v>
      </c>
      <c r="L1760" t="s">
        <v>1766</v>
      </c>
      <c r="M1760">
        <f t="shared" si="55"/>
        <v>158050</v>
      </c>
      <c r="N1760" t="e">
        <f>VLOOKUP(H1760,Sheet1!G:H,2,FALSE)</f>
        <v>#N/A</v>
      </c>
      <c r="R1760" t="s">
        <v>3684</v>
      </c>
      <c r="S1760">
        <v>0</v>
      </c>
    </row>
    <row r="1761" spans="1:19" x14ac:dyDescent="0.3">
      <c r="A1761" t="s">
        <v>8</v>
      </c>
      <c r="B1761">
        <f>VLOOKUP(A1761,Sheet2!B:F,5,FALSE)</f>
        <v>928</v>
      </c>
      <c r="C1761" t="s">
        <v>9</v>
      </c>
      <c r="D1761">
        <f>VLOOKUP(C1761,Sheet2!C:G,5,FALSE)</f>
        <v>1202</v>
      </c>
      <c r="E1761" t="s">
        <v>27</v>
      </c>
      <c r="F1761">
        <f>VLOOKUP(E1761,Sheet2!D:E,2,FALSE)</f>
        <v>806</v>
      </c>
      <c r="G1761" t="s">
        <v>11</v>
      </c>
      <c r="H1761" t="str">
        <f t="shared" si="54"/>
        <v>NAVERyangpa113</v>
      </c>
      <c r="I1761" t="str">
        <f>"yangpa113"</f>
        <v>yangpa113</v>
      </c>
      <c r="J1761">
        <v>613950</v>
      </c>
      <c r="K1761" s="1">
        <v>44866</v>
      </c>
      <c r="L1761" t="s">
        <v>1767</v>
      </c>
      <c r="M1761">
        <f t="shared" si="55"/>
        <v>613950</v>
      </c>
      <c r="N1761" t="e">
        <f>VLOOKUP(H1761,Sheet1!G:H,2,FALSE)</f>
        <v>#N/A</v>
      </c>
      <c r="R1761" t="s">
        <v>3685</v>
      </c>
      <c r="S1761">
        <v>91360</v>
      </c>
    </row>
    <row r="1762" spans="1:19" x14ac:dyDescent="0.3">
      <c r="A1762" t="s">
        <v>41</v>
      </c>
      <c r="B1762">
        <f>VLOOKUP(A1762,Sheet2!B:F,5,FALSE)</f>
        <v>926</v>
      </c>
      <c r="C1762" t="s">
        <v>56</v>
      </c>
      <c r="D1762">
        <f>VLOOKUP(C1762,Sheet2!C:G,5,FALSE)</f>
        <v>1207</v>
      </c>
      <c r="E1762" t="s">
        <v>57</v>
      </c>
      <c r="F1762">
        <f>VLOOKUP(E1762,Sheet2!D:E,2,FALSE)</f>
        <v>200982</v>
      </c>
      <c r="G1762" t="s">
        <v>11</v>
      </c>
      <c r="H1762" t="str">
        <f t="shared" si="54"/>
        <v>NAVERyangpa115</v>
      </c>
      <c r="I1762" t="str">
        <f>"yangpa115"</f>
        <v>yangpa115</v>
      </c>
      <c r="J1762">
        <v>103610</v>
      </c>
      <c r="K1762" s="1">
        <v>44866</v>
      </c>
      <c r="L1762" t="s">
        <v>1768</v>
      </c>
      <c r="M1762">
        <f t="shared" si="55"/>
        <v>103610</v>
      </c>
      <c r="N1762" t="e">
        <f>VLOOKUP(H1762,Sheet1!G:H,2,FALSE)</f>
        <v>#N/A</v>
      </c>
      <c r="R1762" t="s">
        <v>3686</v>
      </c>
      <c r="S1762">
        <v>537530</v>
      </c>
    </row>
    <row r="1763" spans="1:19" x14ac:dyDescent="0.3">
      <c r="A1763" t="s">
        <v>16</v>
      </c>
      <c r="B1763">
        <f>VLOOKUP(A1763,Sheet2!B:F,5,FALSE)</f>
        <v>927</v>
      </c>
      <c r="C1763" t="s">
        <v>17</v>
      </c>
      <c r="D1763">
        <f>VLOOKUP(C1763,Sheet2!C:G,5,FALSE)</f>
        <v>1200</v>
      </c>
      <c r="E1763" t="s">
        <v>93</v>
      </c>
      <c r="F1763">
        <f>VLOOKUP(E1763,Sheet2!D:E,2,FALSE)</f>
        <v>930</v>
      </c>
      <c r="G1763" t="s">
        <v>11</v>
      </c>
      <c r="H1763" t="str">
        <f t="shared" si="54"/>
        <v>NAVERybhflower</v>
      </c>
      <c r="I1763" t="str">
        <f>"ybhflower"</f>
        <v>ybhflower</v>
      </c>
      <c r="J1763">
        <v>2599450</v>
      </c>
      <c r="K1763" s="1">
        <v>44866</v>
      </c>
      <c r="L1763" t="s">
        <v>1769</v>
      </c>
      <c r="M1763">
        <f t="shared" si="55"/>
        <v>2599450</v>
      </c>
      <c r="N1763" t="e">
        <f>VLOOKUP(H1763,Sheet1!G:H,2,FALSE)</f>
        <v>#N/A</v>
      </c>
      <c r="R1763" t="s">
        <v>3687</v>
      </c>
      <c r="S1763">
        <v>83460</v>
      </c>
    </row>
    <row r="1764" spans="1:19" x14ac:dyDescent="0.3">
      <c r="A1764" t="s">
        <v>41</v>
      </c>
      <c r="B1764">
        <f>VLOOKUP(A1764,Sheet2!B:F,5,FALSE)</f>
        <v>926</v>
      </c>
      <c r="C1764" t="s">
        <v>56</v>
      </c>
      <c r="D1764">
        <f>VLOOKUP(C1764,Sheet2!C:G,5,FALSE)</f>
        <v>1207</v>
      </c>
      <c r="E1764" t="s">
        <v>57</v>
      </c>
      <c r="F1764">
        <f>VLOOKUP(E1764,Sheet2!D:E,2,FALSE)</f>
        <v>200982</v>
      </c>
      <c r="G1764" t="s">
        <v>11</v>
      </c>
      <c r="H1764" t="str">
        <f t="shared" si="54"/>
        <v>NAVERyec1012</v>
      </c>
      <c r="I1764" t="str">
        <f>"yec1012"</f>
        <v>yec1012</v>
      </c>
      <c r="J1764">
        <v>58850</v>
      </c>
      <c r="K1764" s="1">
        <v>44866</v>
      </c>
      <c r="L1764" t="s">
        <v>1770</v>
      </c>
      <c r="M1764">
        <f t="shared" si="55"/>
        <v>58850</v>
      </c>
      <c r="N1764" t="e">
        <f>VLOOKUP(H1764,Sheet1!G:H,2,FALSE)</f>
        <v>#N/A</v>
      </c>
      <c r="R1764" t="s">
        <v>3688</v>
      </c>
      <c r="S1764">
        <v>1017610</v>
      </c>
    </row>
    <row r="1765" spans="1:19" x14ac:dyDescent="0.3">
      <c r="A1765" t="s">
        <v>16</v>
      </c>
      <c r="B1765">
        <f>VLOOKUP(A1765,Sheet2!B:F,5,FALSE)</f>
        <v>927</v>
      </c>
      <c r="C1765" t="s">
        <v>17</v>
      </c>
      <c r="D1765">
        <f>VLOOKUP(C1765,Sheet2!C:G,5,FALSE)</f>
        <v>1200</v>
      </c>
      <c r="E1765" t="s">
        <v>371</v>
      </c>
      <c r="F1765">
        <f>VLOOKUP(E1765,Sheet2!D:E,2,FALSE)</f>
        <v>551</v>
      </c>
      <c r="G1765" t="s">
        <v>11</v>
      </c>
      <c r="H1765" t="str">
        <f t="shared" si="54"/>
        <v>NAVERyechang7</v>
      </c>
      <c r="I1765" t="str">
        <f>"yechang7"</f>
        <v>yechang7</v>
      </c>
      <c r="J1765">
        <v>817080</v>
      </c>
      <c r="K1765" s="1">
        <v>44866</v>
      </c>
      <c r="L1765" t="s">
        <v>1771</v>
      </c>
      <c r="M1765">
        <f t="shared" si="55"/>
        <v>817080</v>
      </c>
      <c r="N1765" t="e">
        <f>VLOOKUP(H1765,Sheet1!G:H,2,FALSE)</f>
        <v>#N/A</v>
      </c>
      <c r="R1765" t="s">
        <v>3689</v>
      </c>
      <c r="S1765">
        <v>95840</v>
      </c>
    </row>
    <row r="1766" spans="1:19" x14ac:dyDescent="0.3">
      <c r="A1766" t="s">
        <v>16</v>
      </c>
      <c r="B1766">
        <f>VLOOKUP(A1766,Sheet2!B:F,5,FALSE)</f>
        <v>927</v>
      </c>
      <c r="C1766" t="s">
        <v>17</v>
      </c>
      <c r="D1766">
        <f>VLOOKUP(C1766,Sheet2!C:G,5,FALSE)</f>
        <v>1200</v>
      </c>
      <c r="E1766" t="s">
        <v>93</v>
      </c>
      <c r="F1766">
        <f>VLOOKUP(E1766,Sheet2!D:E,2,FALSE)</f>
        <v>930</v>
      </c>
      <c r="G1766" t="s">
        <v>11</v>
      </c>
      <c r="H1766" t="str">
        <f t="shared" si="54"/>
        <v>NAVERyedamwoo22</v>
      </c>
      <c r="I1766" t="str">
        <f>"yedamwoo22"</f>
        <v>yedamwoo22</v>
      </c>
      <c r="J1766">
        <v>1358480</v>
      </c>
      <c r="K1766" s="1">
        <v>44866</v>
      </c>
      <c r="L1766" t="s">
        <v>1772</v>
      </c>
      <c r="M1766">
        <f t="shared" si="55"/>
        <v>1358480</v>
      </c>
      <c r="N1766" t="e">
        <f>VLOOKUP(H1766,Sheet1!G:H,2,FALSE)</f>
        <v>#N/A</v>
      </c>
      <c r="R1766" t="s">
        <v>3690</v>
      </c>
      <c r="S1766">
        <v>8054500</v>
      </c>
    </row>
    <row r="1767" spans="1:19" x14ac:dyDescent="0.3">
      <c r="A1767" t="s">
        <v>41</v>
      </c>
      <c r="B1767">
        <f>VLOOKUP(A1767,Sheet2!B:F,5,FALSE)</f>
        <v>926</v>
      </c>
      <c r="C1767" t="s">
        <v>56</v>
      </c>
      <c r="D1767">
        <f>VLOOKUP(C1767,Sheet2!C:G,5,FALSE)</f>
        <v>1207</v>
      </c>
      <c r="E1767" t="s">
        <v>57</v>
      </c>
      <c r="F1767">
        <f>VLOOKUP(E1767,Sheet2!D:E,2,FALSE)</f>
        <v>200982</v>
      </c>
      <c r="G1767" t="s">
        <v>11</v>
      </c>
      <c r="H1767" t="str">
        <f t="shared" si="54"/>
        <v>NAVERyega1877</v>
      </c>
      <c r="I1767" t="str">
        <f>"yega1877"</f>
        <v>yega1877</v>
      </c>
      <c r="J1767">
        <v>160850</v>
      </c>
      <c r="K1767" s="1">
        <v>44866</v>
      </c>
      <c r="L1767" t="s">
        <v>1773</v>
      </c>
      <c r="M1767">
        <f t="shared" si="55"/>
        <v>160850</v>
      </c>
      <c r="N1767" t="e">
        <f>VLOOKUP(H1767,Sheet1!G:H,2,FALSE)</f>
        <v>#N/A</v>
      </c>
      <c r="R1767" t="s">
        <v>3691</v>
      </c>
      <c r="S1767">
        <v>873330</v>
      </c>
    </row>
    <row r="1768" spans="1:19" x14ac:dyDescent="0.3">
      <c r="A1768" t="s">
        <v>41</v>
      </c>
      <c r="B1768">
        <f>VLOOKUP(A1768,Sheet2!B:F,5,FALSE)</f>
        <v>926</v>
      </c>
      <c r="C1768" t="s">
        <v>56</v>
      </c>
      <c r="D1768">
        <f>VLOOKUP(C1768,Sheet2!C:G,5,FALSE)</f>
        <v>1207</v>
      </c>
      <c r="E1768" t="s">
        <v>57</v>
      </c>
      <c r="F1768">
        <f>VLOOKUP(E1768,Sheet2!D:E,2,FALSE)</f>
        <v>200982</v>
      </c>
      <c r="G1768" t="s">
        <v>11</v>
      </c>
      <c r="H1768" t="str">
        <f t="shared" si="54"/>
        <v>NAVERyeilmgr22</v>
      </c>
      <c r="I1768" t="str">
        <f>"yeilmgr22"</f>
        <v>yeilmgr22</v>
      </c>
      <c r="J1768">
        <v>395880</v>
      </c>
      <c r="K1768" s="1">
        <v>44866</v>
      </c>
      <c r="L1768" t="s">
        <v>1774</v>
      </c>
      <c r="M1768">
        <f t="shared" si="55"/>
        <v>395880</v>
      </c>
      <c r="N1768" t="e">
        <f>VLOOKUP(H1768,Sheet1!G:H,2,FALSE)</f>
        <v>#N/A</v>
      </c>
      <c r="R1768" t="s">
        <v>3692</v>
      </c>
      <c r="S1768">
        <v>283460</v>
      </c>
    </row>
    <row r="1769" spans="1:19" x14ac:dyDescent="0.3">
      <c r="A1769" t="s">
        <v>8</v>
      </c>
      <c r="B1769">
        <f>VLOOKUP(A1769,Sheet2!B:F,5,FALSE)</f>
        <v>928</v>
      </c>
      <c r="C1769" t="s">
        <v>13</v>
      </c>
      <c r="D1769">
        <f>VLOOKUP(C1769,Sheet2!C:G,5,FALSE)</f>
        <v>1184</v>
      </c>
      <c r="E1769" t="s">
        <v>59</v>
      </c>
      <c r="F1769">
        <f>VLOOKUP(E1769,Sheet2!D:E,2,FALSE)</f>
        <v>9</v>
      </c>
      <c r="G1769" t="s">
        <v>11</v>
      </c>
      <c r="H1769" t="str">
        <f t="shared" si="54"/>
        <v>NAVERyeinart77</v>
      </c>
      <c r="I1769" t="str">
        <f>"yeinart77"</f>
        <v>yeinart77</v>
      </c>
      <c r="J1769">
        <v>11200</v>
      </c>
      <c r="K1769" s="1">
        <v>44866</v>
      </c>
      <c r="L1769" t="s">
        <v>1775</v>
      </c>
      <c r="M1769">
        <f t="shared" si="55"/>
        <v>11200</v>
      </c>
      <c r="N1769" t="e">
        <f>VLOOKUP(H1769,Sheet1!G:H,2,FALSE)</f>
        <v>#N/A</v>
      </c>
      <c r="R1769" t="s">
        <v>3693</v>
      </c>
      <c r="S1769">
        <v>26140</v>
      </c>
    </row>
    <row r="1770" spans="1:19" x14ac:dyDescent="0.3">
      <c r="A1770" t="s">
        <v>8</v>
      </c>
      <c r="B1770">
        <f>VLOOKUP(A1770,Sheet2!B:F,5,FALSE)</f>
        <v>928</v>
      </c>
      <c r="C1770" t="s">
        <v>9</v>
      </c>
      <c r="D1770">
        <f>VLOOKUP(C1770,Sheet2!C:G,5,FALSE)</f>
        <v>1202</v>
      </c>
      <c r="E1770" t="s">
        <v>27</v>
      </c>
      <c r="F1770">
        <f>VLOOKUP(E1770,Sheet2!D:E,2,FALSE)</f>
        <v>806</v>
      </c>
      <c r="G1770" t="s">
        <v>11</v>
      </c>
      <c r="H1770" t="str">
        <f t="shared" si="54"/>
        <v>NAVERyes2440</v>
      </c>
      <c r="I1770" t="str">
        <f>"yes2440"</f>
        <v>yes2440</v>
      </c>
      <c r="J1770">
        <v>223960</v>
      </c>
      <c r="K1770" s="1">
        <v>44866</v>
      </c>
      <c r="L1770" t="s">
        <v>1776</v>
      </c>
      <c r="M1770">
        <f t="shared" si="55"/>
        <v>223960</v>
      </c>
      <c r="N1770" t="e">
        <f>VLOOKUP(H1770,Sheet1!G:H,2,FALSE)</f>
        <v>#N/A</v>
      </c>
      <c r="R1770" t="s">
        <v>3694</v>
      </c>
      <c r="S1770">
        <v>212960</v>
      </c>
    </row>
    <row r="1771" spans="1:19" x14ac:dyDescent="0.3">
      <c r="A1771" t="s">
        <v>16</v>
      </c>
      <c r="B1771">
        <f>VLOOKUP(A1771,Sheet2!B:F,5,FALSE)</f>
        <v>927</v>
      </c>
      <c r="C1771" t="s">
        <v>17</v>
      </c>
      <c r="D1771">
        <f>VLOOKUP(C1771,Sheet2!C:G,5,FALSE)</f>
        <v>1200</v>
      </c>
      <c r="E1771" t="s">
        <v>53</v>
      </c>
      <c r="F1771">
        <f>VLOOKUP(E1771,Sheet2!D:E,2,FALSE)</f>
        <v>201080</v>
      </c>
      <c r="G1771" t="s">
        <v>11</v>
      </c>
      <c r="H1771" t="str">
        <f t="shared" si="54"/>
        <v>NAVERygfrr11:naver</v>
      </c>
      <c r="I1771" t="str">
        <f>"ygfrr11:naver"</f>
        <v>ygfrr11:naver</v>
      </c>
      <c r="J1771">
        <v>209670</v>
      </c>
      <c r="K1771" s="1">
        <v>44866</v>
      </c>
      <c r="L1771" t="s">
        <v>1777</v>
      </c>
      <c r="M1771">
        <f t="shared" si="55"/>
        <v>213470</v>
      </c>
      <c r="N1771" t="e">
        <f>VLOOKUP(H1771,Sheet1!G:H,2,FALSE)</f>
        <v>#N/A</v>
      </c>
      <c r="R1771" t="s">
        <v>3695</v>
      </c>
      <c r="S1771">
        <v>1380</v>
      </c>
    </row>
    <row r="1772" spans="1:19" x14ac:dyDescent="0.3">
      <c r="A1772" t="s">
        <v>8</v>
      </c>
      <c r="B1772">
        <f>VLOOKUP(A1772,Sheet2!B:F,5,FALSE)</f>
        <v>928</v>
      </c>
      <c r="C1772" t="s">
        <v>9</v>
      </c>
      <c r="D1772">
        <f>VLOOKUP(C1772,Sheet2!C:G,5,FALSE)</f>
        <v>1202</v>
      </c>
      <c r="E1772" t="s">
        <v>39</v>
      </c>
      <c r="F1772">
        <f>VLOOKUP(E1772,Sheet2!D:E,2,FALSE)</f>
        <v>25</v>
      </c>
      <c r="G1772" t="s">
        <v>11</v>
      </c>
      <c r="H1772" t="str">
        <f t="shared" si="54"/>
        <v>NAVERygim3191</v>
      </c>
      <c r="I1772" t="str">
        <f>"ygim3191"</f>
        <v>ygim3191</v>
      </c>
      <c r="J1772">
        <v>123490</v>
      </c>
      <c r="K1772" s="1">
        <v>44866</v>
      </c>
      <c r="L1772" t="s">
        <v>1778</v>
      </c>
      <c r="M1772">
        <f t="shared" si="55"/>
        <v>123490</v>
      </c>
      <c r="N1772" t="e">
        <f>VLOOKUP(H1772,Sheet1!G:H,2,FALSE)</f>
        <v>#N/A</v>
      </c>
      <c r="R1772" t="s">
        <v>3696</v>
      </c>
      <c r="S1772">
        <v>1412580</v>
      </c>
    </row>
    <row r="1773" spans="1:19" x14ac:dyDescent="0.3">
      <c r="A1773" t="s">
        <v>8</v>
      </c>
      <c r="B1773">
        <f>VLOOKUP(A1773,Sheet2!B:F,5,FALSE)</f>
        <v>928</v>
      </c>
      <c r="C1773" t="s">
        <v>9</v>
      </c>
      <c r="D1773">
        <f>VLOOKUP(C1773,Sheet2!C:G,5,FALSE)</f>
        <v>1202</v>
      </c>
      <c r="E1773" t="s">
        <v>45</v>
      </c>
      <c r="F1773">
        <f>VLOOKUP(E1773,Sheet2!D:E,2,FALSE)</f>
        <v>26</v>
      </c>
      <c r="G1773" t="s">
        <v>11</v>
      </c>
      <c r="H1773" t="str">
        <f t="shared" si="54"/>
        <v>NAVERyhd1234</v>
      </c>
      <c r="I1773" t="str">
        <f>"yhd1234"</f>
        <v>yhd1234</v>
      </c>
      <c r="J1773">
        <v>235240</v>
      </c>
      <c r="K1773" s="1">
        <v>44866</v>
      </c>
      <c r="L1773" t="s">
        <v>1779</v>
      </c>
      <c r="M1773">
        <f t="shared" si="55"/>
        <v>235240</v>
      </c>
      <c r="N1773" t="e">
        <f>VLOOKUP(H1773,Sheet1!G:H,2,FALSE)</f>
        <v>#N/A</v>
      </c>
      <c r="R1773" t="s">
        <v>3697</v>
      </c>
      <c r="S1773">
        <v>3544470</v>
      </c>
    </row>
    <row r="1774" spans="1:19" x14ac:dyDescent="0.3">
      <c r="A1774" t="s">
        <v>8</v>
      </c>
      <c r="B1774">
        <f>VLOOKUP(A1774,Sheet2!B:F,5,FALSE)</f>
        <v>928</v>
      </c>
      <c r="C1774" t="s">
        <v>9</v>
      </c>
      <c r="D1774">
        <f>VLOOKUP(C1774,Sheet2!C:G,5,FALSE)</f>
        <v>1202</v>
      </c>
      <c r="E1774" t="s">
        <v>27</v>
      </c>
      <c r="F1774">
        <f>VLOOKUP(E1774,Sheet2!D:E,2,FALSE)</f>
        <v>806</v>
      </c>
      <c r="G1774" t="s">
        <v>11</v>
      </c>
      <c r="H1774" t="str">
        <f t="shared" si="54"/>
        <v>NAVERyhs5256:naver</v>
      </c>
      <c r="I1774" t="str">
        <f>"yhs5256:naver"</f>
        <v>yhs5256:naver</v>
      </c>
      <c r="J1774">
        <v>44570</v>
      </c>
      <c r="K1774" s="1">
        <v>44866</v>
      </c>
      <c r="L1774" t="s">
        <v>1780</v>
      </c>
      <c r="M1774">
        <f t="shared" si="55"/>
        <v>44570</v>
      </c>
      <c r="N1774" t="e">
        <f>VLOOKUP(H1774,Sheet1!G:H,2,FALSE)</f>
        <v>#N/A</v>
      </c>
      <c r="R1774" t="s">
        <v>3698</v>
      </c>
      <c r="S1774">
        <v>596150</v>
      </c>
    </row>
    <row r="1775" spans="1:19" x14ac:dyDescent="0.3">
      <c r="A1775" t="s">
        <v>8</v>
      </c>
      <c r="B1775">
        <f>VLOOKUP(A1775,Sheet2!B:F,5,FALSE)</f>
        <v>928</v>
      </c>
      <c r="C1775" t="s">
        <v>13</v>
      </c>
      <c r="D1775">
        <f>VLOOKUP(C1775,Sheet2!C:G,5,FALSE)</f>
        <v>1184</v>
      </c>
      <c r="E1775" t="s">
        <v>51</v>
      </c>
      <c r="F1775">
        <f>VLOOKUP(E1775,Sheet2!D:E,2,FALSE)</f>
        <v>1274</v>
      </c>
      <c r="G1775" t="s">
        <v>11</v>
      </c>
      <c r="H1775" t="str">
        <f t="shared" si="54"/>
        <v>NAVERyhth12</v>
      </c>
      <c r="I1775" t="str">
        <f>"yhth12"</f>
        <v>yhth12</v>
      </c>
      <c r="J1775">
        <v>16940</v>
      </c>
      <c r="K1775" s="1">
        <v>44866</v>
      </c>
      <c r="L1775" t="s">
        <v>1781</v>
      </c>
      <c r="M1775">
        <f t="shared" si="55"/>
        <v>16940</v>
      </c>
      <c r="N1775" t="e">
        <f>VLOOKUP(H1775,Sheet1!G:H,2,FALSE)</f>
        <v>#N/A</v>
      </c>
      <c r="R1775" t="s">
        <v>3699</v>
      </c>
      <c r="S1775">
        <v>781810</v>
      </c>
    </row>
    <row r="1776" spans="1:19" x14ac:dyDescent="0.3">
      <c r="A1776" t="s">
        <v>16</v>
      </c>
      <c r="B1776">
        <f>VLOOKUP(A1776,Sheet2!B:F,5,FALSE)</f>
        <v>927</v>
      </c>
      <c r="C1776" t="s">
        <v>17</v>
      </c>
      <c r="D1776">
        <f>VLOOKUP(C1776,Sheet2!C:G,5,FALSE)</f>
        <v>1200</v>
      </c>
      <c r="E1776" t="s">
        <v>244</v>
      </c>
      <c r="F1776">
        <f>VLOOKUP(E1776,Sheet2!D:E,2,FALSE)</f>
        <v>817</v>
      </c>
      <c r="G1776" t="s">
        <v>11</v>
      </c>
      <c r="H1776" t="str">
        <f t="shared" si="54"/>
        <v>NAVERyjcompany00</v>
      </c>
      <c r="I1776" t="str">
        <f>"yjcompany00"</f>
        <v>yjcompany00</v>
      </c>
      <c r="J1776">
        <v>432220</v>
      </c>
      <c r="K1776" s="1">
        <v>44866</v>
      </c>
      <c r="L1776" t="s">
        <v>1782</v>
      </c>
      <c r="M1776">
        <f t="shared" si="55"/>
        <v>432220</v>
      </c>
      <c r="N1776" t="e">
        <f>VLOOKUP(H1776,Sheet1!G:H,2,FALSE)</f>
        <v>#N/A</v>
      </c>
      <c r="R1776" t="s">
        <v>3700</v>
      </c>
      <c r="S1776">
        <v>786530</v>
      </c>
    </row>
    <row r="1777" spans="1:19" x14ac:dyDescent="0.3">
      <c r="A1777" t="s">
        <v>8</v>
      </c>
      <c r="B1777">
        <f>VLOOKUP(A1777,Sheet2!B:F,5,FALSE)</f>
        <v>928</v>
      </c>
      <c r="C1777" t="s">
        <v>13</v>
      </c>
      <c r="D1777">
        <f>VLOOKUP(C1777,Sheet2!C:G,5,FALSE)</f>
        <v>1184</v>
      </c>
      <c r="E1777" t="s">
        <v>217</v>
      </c>
      <c r="F1777">
        <f>VLOOKUP(E1777,Sheet2!D:E,2,FALSE)</f>
        <v>201027</v>
      </c>
      <c r="G1777" t="s">
        <v>11</v>
      </c>
      <c r="H1777" t="str">
        <f t="shared" si="54"/>
        <v>NAVERyjmah</v>
      </c>
      <c r="I1777" t="str">
        <f>"yjmah"</f>
        <v>yjmah</v>
      </c>
      <c r="J1777">
        <v>580</v>
      </c>
      <c r="K1777" s="1">
        <v>44866</v>
      </c>
      <c r="L1777" t="s">
        <v>1783</v>
      </c>
      <c r="M1777">
        <f t="shared" si="55"/>
        <v>580</v>
      </c>
      <c r="N1777" t="e">
        <f>VLOOKUP(H1777,Sheet1!G:H,2,FALSE)</f>
        <v>#N/A</v>
      </c>
      <c r="R1777" t="s">
        <v>3701</v>
      </c>
      <c r="S1777">
        <v>53470</v>
      </c>
    </row>
    <row r="1778" spans="1:19" x14ac:dyDescent="0.3">
      <c r="A1778" t="s">
        <v>41</v>
      </c>
      <c r="B1778">
        <f>VLOOKUP(A1778,Sheet2!B:F,5,FALSE)</f>
        <v>926</v>
      </c>
      <c r="C1778" t="s">
        <v>56</v>
      </c>
      <c r="D1778">
        <f>VLOOKUP(C1778,Sheet2!C:G,5,FALSE)</f>
        <v>1207</v>
      </c>
      <c r="E1778" t="s">
        <v>57</v>
      </c>
      <c r="F1778">
        <f>VLOOKUP(E1778,Sheet2!D:E,2,FALSE)</f>
        <v>200982</v>
      </c>
      <c r="G1778" t="s">
        <v>11</v>
      </c>
      <c r="H1778" t="str">
        <f t="shared" si="54"/>
        <v>NAVERyjt2146</v>
      </c>
      <c r="I1778" t="str">
        <f>"yjt2146"</f>
        <v>yjt2146</v>
      </c>
      <c r="J1778">
        <v>39642</v>
      </c>
      <c r="K1778" s="1">
        <v>44866</v>
      </c>
      <c r="L1778" t="s">
        <v>1784</v>
      </c>
      <c r="M1778">
        <f t="shared" si="55"/>
        <v>39658</v>
      </c>
      <c r="N1778" t="str">
        <f>VLOOKUP(H1778,Sheet1!G:H,2,FALSE)</f>
        <v>광고주 트리플하이엠에서 관리받는 것 모르고 연락시 피이관 이슈 잇는 계정</v>
      </c>
      <c r="R1778" t="s">
        <v>3702</v>
      </c>
      <c r="S1778">
        <v>2168820</v>
      </c>
    </row>
    <row r="1779" spans="1:19" x14ac:dyDescent="0.3">
      <c r="A1779" t="s">
        <v>8</v>
      </c>
      <c r="B1779">
        <f>VLOOKUP(A1779,Sheet2!B:F,5,FALSE)</f>
        <v>928</v>
      </c>
      <c r="C1779" t="s">
        <v>13</v>
      </c>
      <c r="D1779">
        <f>VLOOKUP(C1779,Sheet2!C:G,5,FALSE)</f>
        <v>1184</v>
      </c>
      <c r="E1779" t="s">
        <v>102</v>
      </c>
      <c r="F1779">
        <f>VLOOKUP(E1779,Sheet2!D:E,2,FALSE)</f>
        <v>917</v>
      </c>
      <c r="G1779" t="s">
        <v>11</v>
      </c>
      <c r="H1779" t="str">
        <f t="shared" si="54"/>
        <v>NAVERylizonno2</v>
      </c>
      <c r="I1779" t="str">
        <f>"ylizonno2"</f>
        <v>ylizonno2</v>
      </c>
      <c r="J1779">
        <v>541050</v>
      </c>
      <c r="K1779" s="1">
        <v>44866</v>
      </c>
      <c r="L1779" t="s">
        <v>1785</v>
      </c>
      <c r="M1779">
        <f t="shared" si="55"/>
        <v>541050</v>
      </c>
      <c r="N1779" t="e">
        <f>VLOOKUP(H1779,Sheet1!G:H,2,FALSE)</f>
        <v>#N/A</v>
      </c>
      <c r="R1779" t="s">
        <v>3703</v>
      </c>
      <c r="S1779">
        <v>890</v>
      </c>
    </row>
    <row r="1780" spans="1:19" x14ac:dyDescent="0.3">
      <c r="A1780" t="s">
        <v>41</v>
      </c>
      <c r="B1780">
        <f>VLOOKUP(A1780,Sheet2!B:F,5,FALSE)</f>
        <v>926</v>
      </c>
      <c r="C1780" t="s">
        <v>42</v>
      </c>
      <c r="D1780">
        <f>VLOOKUP(C1780,Sheet2!C:G,5,FALSE)</f>
        <v>964</v>
      </c>
      <c r="E1780" t="s">
        <v>43</v>
      </c>
      <c r="F1780">
        <f>VLOOKUP(E1780,Sheet2!D:E,2,FALSE)</f>
        <v>200998</v>
      </c>
      <c r="G1780" t="s">
        <v>11</v>
      </c>
      <c r="H1780" t="str">
        <f t="shared" si="54"/>
        <v>NAVERymnet</v>
      </c>
      <c r="I1780" t="str">
        <f>"ymnet"</f>
        <v>ymnet</v>
      </c>
      <c r="J1780">
        <v>210</v>
      </c>
      <c r="K1780" s="1">
        <v>44866</v>
      </c>
      <c r="L1780" t="s">
        <v>1786</v>
      </c>
      <c r="M1780">
        <f t="shared" si="55"/>
        <v>210</v>
      </c>
      <c r="N1780" t="e">
        <f>VLOOKUP(H1780,Sheet1!G:H,2,FALSE)</f>
        <v>#N/A</v>
      </c>
      <c r="R1780" t="s">
        <v>3704</v>
      </c>
      <c r="S1780">
        <v>2665430</v>
      </c>
    </row>
    <row r="1781" spans="1:19" x14ac:dyDescent="0.3">
      <c r="A1781" t="s">
        <v>8</v>
      </c>
      <c r="B1781">
        <f>VLOOKUP(A1781,Sheet2!B:F,5,FALSE)</f>
        <v>928</v>
      </c>
      <c r="C1781" t="s">
        <v>9</v>
      </c>
      <c r="D1781">
        <f>VLOOKUP(C1781,Sheet2!C:G,5,FALSE)</f>
        <v>1202</v>
      </c>
      <c r="E1781" t="s">
        <v>39</v>
      </c>
      <c r="F1781">
        <f>VLOOKUP(E1781,Sheet2!D:E,2,FALSE)</f>
        <v>25</v>
      </c>
      <c r="G1781" t="s">
        <v>11</v>
      </c>
      <c r="H1781" t="str">
        <f t="shared" si="54"/>
        <v>NAVERyong6538</v>
      </c>
      <c r="I1781" t="str">
        <f>"yong6538"</f>
        <v>yong6538</v>
      </c>
      <c r="J1781">
        <v>1210</v>
      </c>
      <c r="K1781" s="1">
        <v>44866</v>
      </c>
      <c r="L1781" t="s">
        <v>1787</v>
      </c>
      <c r="M1781">
        <f t="shared" si="55"/>
        <v>1210</v>
      </c>
      <c r="N1781" t="e">
        <f>VLOOKUP(H1781,Sheet1!G:H,2,FALSE)</f>
        <v>#N/A</v>
      </c>
      <c r="R1781" t="s">
        <v>3705</v>
      </c>
      <c r="S1781">
        <v>560</v>
      </c>
    </row>
    <row r="1782" spans="1:19" x14ac:dyDescent="0.3">
      <c r="A1782" t="s">
        <v>8</v>
      </c>
      <c r="B1782">
        <f>VLOOKUP(A1782,Sheet2!B:F,5,FALSE)</f>
        <v>928</v>
      </c>
      <c r="C1782" t="s">
        <v>13</v>
      </c>
      <c r="D1782">
        <f>VLOOKUP(C1782,Sheet2!C:G,5,FALSE)</f>
        <v>1184</v>
      </c>
      <c r="E1782" t="s">
        <v>217</v>
      </c>
      <c r="F1782">
        <f>VLOOKUP(E1782,Sheet2!D:E,2,FALSE)</f>
        <v>201027</v>
      </c>
      <c r="G1782" t="s">
        <v>11</v>
      </c>
      <c r="H1782" t="str">
        <f t="shared" si="54"/>
        <v>NAVERyongyong8456</v>
      </c>
      <c r="I1782" t="str">
        <f>"yongyong8456"</f>
        <v>yongyong8456</v>
      </c>
      <c r="J1782">
        <v>840</v>
      </c>
      <c r="K1782" s="1">
        <v>44866</v>
      </c>
      <c r="L1782" t="s">
        <v>1788</v>
      </c>
      <c r="M1782">
        <f t="shared" si="55"/>
        <v>840</v>
      </c>
      <c r="N1782" t="e">
        <f>VLOOKUP(H1782,Sheet1!G:H,2,FALSE)</f>
        <v>#N/A</v>
      </c>
      <c r="R1782" t="s">
        <v>3706</v>
      </c>
      <c r="S1782">
        <v>15344570</v>
      </c>
    </row>
    <row r="1783" spans="1:19" x14ac:dyDescent="0.3">
      <c r="A1783" t="s">
        <v>41</v>
      </c>
      <c r="B1783">
        <f>VLOOKUP(A1783,Sheet2!B:F,5,FALSE)</f>
        <v>926</v>
      </c>
      <c r="C1783" t="s">
        <v>42</v>
      </c>
      <c r="D1783">
        <f>VLOOKUP(C1783,Sheet2!C:G,5,FALSE)</f>
        <v>964</v>
      </c>
      <c r="E1783" t="s">
        <v>43</v>
      </c>
      <c r="F1783">
        <f>VLOOKUP(E1783,Sheet2!D:E,2,FALSE)</f>
        <v>200998</v>
      </c>
      <c r="G1783" t="s">
        <v>11</v>
      </c>
      <c r="H1783" t="str">
        <f t="shared" si="54"/>
        <v>NAVERyoocanon</v>
      </c>
      <c r="I1783" t="str">
        <f>"yoocanon"</f>
        <v>yoocanon</v>
      </c>
      <c r="J1783">
        <v>350</v>
      </c>
      <c r="K1783" s="1">
        <v>44866</v>
      </c>
      <c r="L1783" t="s">
        <v>1789</v>
      </c>
      <c r="M1783">
        <f t="shared" si="55"/>
        <v>350</v>
      </c>
      <c r="N1783" t="e">
        <f>VLOOKUP(H1783,Sheet1!G:H,2,FALSE)</f>
        <v>#N/A</v>
      </c>
      <c r="R1783" t="s">
        <v>3707</v>
      </c>
      <c r="S1783">
        <v>1271320</v>
      </c>
    </row>
    <row r="1784" spans="1:19" x14ac:dyDescent="0.3">
      <c r="A1784" t="s">
        <v>8</v>
      </c>
      <c r="B1784">
        <f>VLOOKUP(A1784,Sheet2!B:F,5,FALSE)</f>
        <v>928</v>
      </c>
      <c r="C1784" t="s">
        <v>13</v>
      </c>
      <c r="D1784">
        <f>VLOOKUP(C1784,Sheet2!C:G,5,FALSE)</f>
        <v>1184</v>
      </c>
      <c r="E1784" t="s">
        <v>115</v>
      </c>
      <c r="F1784">
        <f>VLOOKUP(E1784,Sheet2!D:E,2,FALSE)</f>
        <v>1548</v>
      </c>
      <c r="G1784" t="s">
        <v>11</v>
      </c>
      <c r="H1784" t="str">
        <f t="shared" si="54"/>
        <v>NAVERyoolse:naver</v>
      </c>
      <c r="I1784" t="str">
        <f>"yoolse:naver"</f>
        <v>yoolse:naver</v>
      </c>
      <c r="J1784">
        <v>1501972</v>
      </c>
      <c r="K1784" s="1">
        <v>44866</v>
      </c>
      <c r="L1784" t="s">
        <v>1790</v>
      </c>
      <c r="M1784">
        <f t="shared" si="55"/>
        <v>1587530</v>
      </c>
      <c r="N1784" t="e">
        <f>VLOOKUP(H1784,Sheet1!G:H,2,FALSE)</f>
        <v>#N/A</v>
      </c>
      <c r="R1784" t="s">
        <v>3708</v>
      </c>
      <c r="S1784">
        <v>66760</v>
      </c>
    </row>
    <row r="1785" spans="1:19" x14ac:dyDescent="0.3">
      <c r="A1785" t="s">
        <v>8</v>
      </c>
      <c r="B1785">
        <f>VLOOKUP(A1785,Sheet2!B:F,5,FALSE)</f>
        <v>928</v>
      </c>
      <c r="C1785" t="s">
        <v>9</v>
      </c>
      <c r="D1785">
        <f>VLOOKUP(C1785,Sheet2!C:G,5,FALSE)</f>
        <v>1202</v>
      </c>
      <c r="E1785" t="s">
        <v>27</v>
      </c>
      <c r="F1785">
        <f>VLOOKUP(E1785,Sheet2!D:E,2,FALSE)</f>
        <v>806</v>
      </c>
      <c r="G1785" t="s">
        <v>11</v>
      </c>
      <c r="H1785" t="str">
        <f t="shared" si="54"/>
        <v>NAVERyoon76x:naver</v>
      </c>
      <c r="I1785" t="str">
        <f>"yoon76x:naver"</f>
        <v>yoon76x:naver</v>
      </c>
      <c r="J1785">
        <v>676720</v>
      </c>
      <c r="K1785" s="1">
        <v>44866</v>
      </c>
      <c r="L1785" t="s">
        <v>1791</v>
      </c>
      <c r="M1785">
        <f t="shared" si="55"/>
        <v>676720</v>
      </c>
      <c r="N1785" t="e">
        <f>VLOOKUP(H1785,Sheet1!G:H,2,FALSE)</f>
        <v>#N/A</v>
      </c>
      <c r="R1785" t="s">
        <v>3709</v>
      </c>
      <c r="S1785">
        <v>655170</v>
      </c>
    </row>
    <row r="1786" spans="1:19" x14ac:dyDescent="0.3">
      <c r="A1786" t="s">
        <v>8</v>
      </c>
      <c r="B1786">
        <f>VLOOKUP(A1786,Sheet2!B:F,5,FALSE)</f>
        <v>928</v>
      </c>
      <c r="C1786" t="s">
        <v>9</v>
      </c>
      <c r="D1786">
        <f>VLOOKUP(C1786,Sheet2!C:G,5,FALSE)</f>
        <v>1202</v>
      </c>
      <c r="E1786" t="s">
        <v>33</v>
      </c>
      <c r="F1786">
        <f>VLOOKUP(E1786,Sheet2!D:E,2,FALSE)</f>
        <v>933</v>
      </c>
      <c r="G1786" t="s">
        <v>11</v>
      </c>
      <c r="H1786" t="str">
        <f t="shared" si="54"/>
        <v>NAVERyoonjunglee2:naver</v>
      </c>
      <c r="I1786" t="str">
        <f>"yoonjunglee2:naver"</f>
        <v>yoonjunglee2:naver</v>
      </c>
      <c r="J1786">
        <v>261060</v>
      </c>
      <c r="K1786" s="1">
        <v>44866</v>
      </c>
      <c r="L1786" t="s">
        <v>1792</v>
      </c>
      <c r="M1786">
        <f t="shared" si="55"/>
        <v>261060</v>
      </c>
      <c r="N1786" t="e">
        <f>VLOOKUP(H1786,Sheet1!G:H,2,FALSE)</f>
        <v>#N/A</v>
      </c>
      <c r="R1786" t="s">
        <v>3710</v>
      </c>
      <c r="S1786">
        <v>1320</v>
      </c>
    </row>
    <row r="1787" spans="1:19" x14ac:dyDescent="0.3">
      <c r="A1787" t="s">
        <v>16</v>
      </c>
      <c r="B1787">
        <f>VLOOKUP(A1787,Sheet2!B:F,5,FALSE)</f>
        <v>927</v>
      </c>
      <c r="C1787" t="s">
        <v>17</v>
      </c>
      <c r="D1787">
        <f>VLOOKUP(C1787,Sheet2!C:G,5,FALSE)</f>
        <v>1200</v>
      </c>
      <c r="E1787" t="s">
        <v>437</v>
      </c>
      <c r="F1787">
        <f>VLOOKUP(E1787,Sheet2!D:E,2,FALSE)</f>
        <v>201118</v>
      </c>
      <c r="G1787" t="s">
        <v>11</v>
      </c>
      <c r="H1787" t="str">
        <f t="shared" si="54"/>
        <v>NAVERyoonvery:naver</v>
      </c>
      <c r="I1787" t="str">
        <f>"yoonvery:naver"</f>
        <v>yoonvery:naver</v>
      </c>
      <c r="J1787">
        <v>1254950</v>
      </c>
      <c r="K1787" s="1">
        <v>44866</v>
      </c>
      <c r="L1787" t="s">
        <v>1793</v>
      </c>
      <c r="M1787">
        <f t="shared" si="55"/>
        <v>1254950</v>
      </c>
      <c r="N1787" t="e">
        <f>VLOOKUP(H1787,Sheet1!G:H,2,FALSE)</f>
        <v>#N/A</v>
      </c>
      <c r="R1787" t="s">
        <v>3711</v>
      </c>
      <c r="S1787">
        <v>289800</v>
      </c>
    </row>
    <row r="1788" spans="1:19" x14ac:dyDescent="0.3">
      <c r="A1788" t="s">
        <v>41</v>
      </c>
      <c r="B1788">
        <f>VLOOKUP(A1788,Sheet2!B:F,5,FALSE)</f>
        <v>926</v>
      </c>
      <c r="C1788" t="s">
        <v>56</v>
      </c>
      <c r="D1788">
        <f>VLOOKUP(C1788,Sheet2!C:G,5,FALSE)</f>
        <v>1207</v>
      </c>
      <c r="E1788" t="s">
        <v>64</v>
      </c>
      <c r="F1788">
        <f>VLOOKUP(E1788,Sheet2!D:E,2,FALSE)</f>
        <v>201011</v>
      </c>
      <c r="G1788" t="s">
        <v>11</v>
      </c>
      <c r="H1788" t="str">
        <f t="shared" si="54"/>
        <v>NAVERyorisu2019</v>
      </c>
      <c r="I1788" t="str">
        <f>"yorisu2019"</f>
        <v>yorisu2019</v>
      </c>
      <c r="J1788">
        <v>23990</v>
      </c>
      <c r="K1788" s="1">
        <v>44866</v>
      </c>
      <c r="L1788" t="s">
        <v>1794</v>
      </c>
      <c r="M1788">
        <f t="shared" si="55"/>
        <v>23990</v>
      </c>
      <c r="N1788" t="e">
        <f>VLOOKUP(H1788,Sheet1!G:H,2,FALSE)</f>
        <v>#N/A</v>
      </c>
      <c r="R1788" t="s">
        <v>3712</v>
      </c>
      <c r="S1788">
        <v>18600</v>
      </c>
    </row>
    <row r="1789" spans="1:19" x14ac:dyDescent="0.3">
      <c r="A1789" t="s">
        <v>16</v>
      </c>
      <c r="B1789">
        <f>VLOOKUP(A1789,Sheet2!B:F,5,FALSE)</f>
        <v>927</v>
      </c>
      <c r="C1789" t="s">
        <v>17</v>
      </c>
      <c r="D1789">
        <f>VLOOKUP(C1789,Sheet2!C:G,5,FALSE)</f>
        <v>1200</v>
      </c>
      <c r="E1789" t="s">
        <v>66</v>
      </c>
      <c r="F1789">
        <f>VLOOKUP(E1789,Sheet2!D:E,2,FALSE)</f>
        <v>33</v>
      </c>
      <c r="G1789" t="s">
        <v>11</v>
      </c>
      <c r="H1789" t="str">
        <f t="shared" si="54"/>
        <v>NAVERyoungdis</v>
      </c>
      <c r="I1789" t="str">
        <f>"youngdis"</f>
        <v>youngdis</v>
      </c>
      <c r="J1789">
        <v>300</v>
      </c>
      <c r="K1789" s="1">
        <v>44866</v>
      </c>
      <c r="L1789" t="s">
        <v>1795</v>
      </c>
      <c r="M1789">
        <f t="shared" si="55"/>
        <v>300</v>
      </c>
      <c r="N1789" t="e">
        <f>VLOOKUP(H1789,Sheet1!G:H,2,FALSE)</f>
        <v>#N/A</v>
      </c>
      <c r="R1789" t="s">
        <v>3713</v>
      </c>
      <c r="S1789">
        <v>362750</v>
      </c>
    </row>
    <row r="1790" spans="1:19" x14ac:dyDescent="0.3">
      <c r="A1790" t="s">
        <v>8</v>
      </c>
      <c r="B1790">
        <f>VLOOKUP(A1790,Sheet2!B:F,5,FALSE)</f>
        <v>928</v>
      </c>
      <c r="C1790" t="s">
        <v>13</v>
      </c>
      <c r="D1790">
        <f>VLOOKUP(C1790,Sheet2!C:G,5,FALSE)</f>
        <v>1184</v>
      </c>
      <c r="E1790" t="s">
        <v>51</v>
      </c>
      <c r="F1790">
        <f>VLOOKUP(E1790,Sheet2!D:E,2,FALSE)</f>
        <v>1274</v>
      </c>
      <c r="G1790" t="s">
        <v>11</v>
      </c>
      <c r="H1790" t="str">
        <f t="shared" si="54"/>
        <v>NAVERyoungtop119</v>
      </c>
      <c r="I1790" t="str">
        <f>"youngtop119"</f>
        <v>youngtop119</v>
      </c>
      <c r="J1790">
        <v>350</v>
      </c>
      <c r="K1790" s="1">
        <v>44866</v>
      </c>
      <c r="L1790" t="s">
        <v>1796</v>
      </c>
      <c r="M1790">
        <f t="shared" si="55"/>
        <v>350</v>
      </c>
      <c r="N1790" t="e">
        <f>VLOOKUP(H1790,Sheet1!G:H,2,FALSE)</f>
        <v>#N/A</v>
      </c>
      <c r="R1790" t="s">
        <v>3714</v>
      </c>
      <c r="S1790">
        <v>37220</v>
      </c>
    </row>
    <row r="1791" spans="1:19" x14ac:dyDescent="0.3">
      <c r="A1791" t="s">
        <v>16</v>
      </c>
      <c r="B1791">
        <f>VLOOKUP(A1791,Sheet2!B:F,5,FALSE)</f>
        <v>927</v>
      </c>
      <c r="C1791" t="s">
        <v>17</v>
      </c>
      <c r="D1791">
        <f>VLOOKUP(C1791,Sheet2!C:G,5,FALSE)</f>
        <v>1200</v>
      </c>
      <c r="E1791" t="s">
        <v>244</v>
      </c>
      <c r="F1791">
        <f>VLOOKUP(E1791,Sheet2!D:E,2,FALSE)</f>
        <v>817</v>
      </c>
      <c r="G1791" t="s">
        <v>11</v>
      </c>
      <c r="H1791" t="str">
        <f t="shared" si="54"/>
        <v>NAVERyptech1</v>
      </c>
      <c r="I1791" t="str">
        <f>"yptech1"</f>
        <v>yptech1</v>
      </c>
      <c r="J1791">
        <v>27710</v>
      </c>
      <c r="K1791" s="1">
        <v>44866</v>
      </c>
      <c r="L1791" t="s">
        <v>1797</v>
      </c>
      <c r="M1791">
        <f t="shared" si="55"/>
        <v>27710</v>
      </c>
      <c r="N1791" t="e">
        <f>VLOOKUP(H1791,Sheet1!G:H,2,FALSE)</f>
        <v>#N/A</v>
      </c>
      <c r="R1791" t="s">
        <v>3715</v>
      </c>
      <c r="S1791">
        <v>787050</v>
      </c>
    </row>
    <row r="1792" spans="1:19" x14ac:dyDescent="0.3">
      <c r="A1792" t="s">
        <v>8</v>
      </c>
      <c r="B1792">
        <f>VLOOKUP(A1792,Sheet2!B:F,5,FALSE)</f>
        <v>928</v>
      </c>
      <c r="C1792" t="s">
        <v>9</v>
      </c>
      <c r="D1792">
        <f>VLOOKUP(C1792,Sheet2!C:G,5,FALSE)</f>
        <v>1202</v>
      </c>
      <c r="E1792" t="s">
        <v>20</v>
      </c>
      <c r="F1792">
        <f>VLOOKUP(E1792,Sheet2!D:E,2,FALSE)</f>
        <v>938</v>
      </c>
      <c r="G1792" t="s">
        <v>11</v>
      </c>
      <c r="H1792" t="str">
        <f t="shared" si="54"/>
        <v>NAVERysjmt2014</v>
      </c>
      <c r="I1792" t="str">
        <f>"ysjmt2014"</f>
        <v>ysjmt2014</v>
      </c>
      <c r="J1792">
        <v>451460</v>
      </c>
      <c r="K1792" s="1">
        <v>44866</v>
      </c>
      <c r="L1792" t="s">
        <v>140</v>
      </c>
      <c r="M1792">
        <f t="shared" si="55"/>
        <v>451460</v>
      </c>
      <c r="N1792" t="e">
        <f>VLOOKUP(H1792,Sheet1!G:H,2,FALSE)</f>
        <v>#N/A</v>
      </c>
      <c r="R1792" t="s">
        <v>3716</v>
      </c>
      <c r="S1792">
        <v>474740</v>
      </c>
    </row>
    <row r="1793" spans="1:19" x14ac:dyDescent="0.3">
      <c r="A1793" t="s">
        <v>8</v>
      </c>
      <c r="B1793">
        <f>VLOOKUP(A1793,Sheet2!B:F,5,FALSE)</f>
        <v>928</v>
      </c>
      <c r="C1793" t="s">
        <v>9</v>
      </c>
      <c r="D1793">
        <f>VLOOKUP(C1793,Sheet2!C:G,5,FALSE)</f>
        <v>1202</v>
      </c>
      <c r="E1793" t="s">
        <v>20</v>
      </c>
      <c r="F1793">
        <f>VLOOKUP(E1793,Sheet2!D:E,2,FALSE)</f>
        <v>938</v>
      </c>
      <c r="G1793" t="s">
        <v>11</v>
      </c>
      <c r="H1793" t="str">
        <f t="shared" si="54"/>
        <v>NAVERysmedi2014</v>
      </c>
      <c r="I1793" t="str">
        <f>"ysmedi2014"</f>
        <v>ysmedi2014</v>
      </c>
      <c r="J1793">
        <v>1238810</v>
      </c>
      <c r="K1793" s="1">
        <v>44866</v>
      </c>
      <c r="L1793" t="s">
        <v>1798</v>
      </c>
      <c r="M1793">
        <f t="shared" si="55"/>
        <v>1240900</v>
      </c>
      <c r="N1793" t="e">
        <f>VLOOKUP(H1793,Sheet1!G:H,2,FALSE)</f>
        <v>#N/A</v>
      </c>
      <c r="R1793" t="s">
        <v>3717</v>
      </c>
      <c r="S1793">
        <v>679330</v>
      </c>
    </row>
    <row r="1794" spans="1:19" x14ac:dyDescent="0.3">
      <c r="A1794" t="s">
        <v>8</v>
      </c>
      <c r="B1794">
        <f>VLOOKUP(A1794,Sheet2!B:F,5,FALSE)</f>
        <v>928</v>
      </c>
      <c r="C1794" t="s">
        <v>13</v>
      </c>
      <c r="D1794">
        <f>VLOOKUP(C1794,Sheet2!C:G,5,FALSE)</f>
        <v>1184</v>
      </c>
      <c r="E1794" t="s">
        <v>102</v>
      </c>
      <c r="F1794">
        <f>VLOOKUP(E1794,Sheet2!D:E,2,FALSE)</f>
        <v>917</v>
      </c>
      <c r="G1794" t="s">
        <v>11</v>
      </c>
      <c r="H1794" t="str">
        <f t="shared" si="54"/>
        <v>NAVERysmiz</v>
      </c>
      <c r="I1794" t="str">
        <f>"ysmiz"</f>
        <v>ysmiz</v>
      </c>
      <c r="J1794">
        <v>45860</v>
      </c>
      <c r="K1794" s="1">
        <v>44866</v>
      </c>
      <c r="L1794" t="s">
        <v>1799</v>
      </c>
      <c r="M1794">
        <f t="shared" si="55"/>
        <v>45860</v>
      </c>
      <c r="N1794" t="e">
        <f>VLOOKUP(H1794,Sheet1!G:H,2,FALSE)</f>
        <v>#N/A</v>
      </c>
      <c r="R1794" t="s">
        <v>3718</v>
      </c>
      <c r="S1794">
        <v>610520</v>
      </c>
    </row>
    <row r="1795" spans="1:19" x14ac:dyDescent="0.3">
      <c r="A1795" t="s">
        <v>41</v>
      </c>
      <c r="B1795">
        <f>VLOOKUP(A1795,Sheet2!B:F,5,FALSE)</f>
        <v>926</v>
      </c>
      <c r="C1795" t="s">
        <v>56</v>
      </c>
      <c r="D1795">
        <f>VLOOKUP(C1795,Sheet2!C:G,5,FALSE)</f>
        <v>1207</v>
      </c>
      <c r="E1795" t="s">
        <v>57</v>
      </c>
      <c r="F1795">
        <f>VLOOKUP(E1795,Sheet2!D:E,2,FALSE)</f>
        <v>200982</v>
      </c>
      <c r="G1795" t="s">
        <v>11</v>
      </c>
      <c r="H1795" t="str">
        <f t="shared" ref="H1795:H1858" si="56">CONCATENATE(G1795,I1795)</f>
        <v>NAVERysnews111</v>
      </c>
      <c r="I1795" t="str">
        <f>"ysnews111"</f>
        <v>ysnews111</v>
      </c>
      <c r="J1795">
        <v>9500</v>
      </c>
      <c r="K1795" s="1">
        <v>44866</v>
      </c>
      <c r="L1795" t="s">
        <v>1800</v>
      </c>
      <c r="M1795">
        <f t="shared" ref="M1795:M1858" si="57">VLOOKUP(H1795,R:S,2,FALSE)</f>
        <v>9500</v>
      </c>
      <c r="N1795" t="e">
        <f>VLOOKUP(H1795,Sheet1!G:H,2,FALSE)</f>
        <v>#N/A</v>
      </c>
      <c r="R1795" t="s">
        <v>3719</v>
      </c>
      <c r="S1795">
        <v>28190</v>
      </c>
    </row>
    <row r="1796" spans="1:19" x14ac:dyDescent="0.3">
      <c r="A1796" t="s">
        <v>8</v>
      </c>
      <c r="B1796">
        <f>VLOOKUP(A1796,Sheet2!B:F,5,FALSE)</f>
        <v>928</v>
      </c>
      <c r="C1796" t="s">
        <v>9</v>
      </c>
      <c r="D1796">
        <f>VLOOKUP(C1796,Sheet2!C:G,5,FALSE)</f>
        <v>1202</v>
      </c>
      <c r="E1796" t="s">
        <v>10</v>
      </c>
      <c r="F1796">
        <f>VLOOKUP(E1796,Sheet2!D:E,2,FALSE)</f>
        <v>939</v>
      </c>
      <c r="G1796" t="s">
        <v>11</v>
      </c>
      <c r="H1796" t="str">
        <f t="shared" si="56"/>
        <v>NAVERyss57</v>
      </c>
      <c r="I1796" t="str">
        <f>"yss57"</f>
        <v>yss57</v>
      </c>
      <c r="J1796">
        <v>5600</v>
      </c>
      <c r="K1796" s="1">
        <v>44866</v>
      </c>
      <c r="L1796" t="s">
        <v>1801</v>
      </c>
      <c r="M1796">
        <f t="shared" si="57"/>
        <v>5600</v>
      </c>
      <c r="N1796" t="e">
        <f>VLOOKUP(H1796,Sheet1!G:H,2,FALSE)</f>
        <v>#N/A</v>
      </c>
      <c r="R1796" t="s">
        <v>3720</v>
      </c>
      <c r="S1796">
        <v>19660</v>
      </c>
    </row>
    <row r="1797" spans="1:19" x14ac:dyDescent="0.3">
      <c r="A1797" t="s">
        <v>8</v>
      </c>
      <c r="B1797">
        <f>VLOOKUP(A1797,Sheet2!B:F,5,FALSE)</f>
        <v>928</v>
      </c>
      <c r="C1797" t="s">
        <v>9</v>
      </c>
      <c r="D1797">
        <f>VLOOKUP(C1797,Sheet2!C:G,5,FALSE)</f>
        <v>1202</v>
      </c>
      <c r="E1797" t="s">
        <v>75</v>
      </c>
      <c r="F1797">
        <f>VLOOKUP(E1797,Sheet2!D:E,2,FALSE)</f>
        <v>50</v>
      </c>
      <c r="G1797" t="s">
        <v>11</v>
      </c>
      <c r="H1797" t="str">
        <f t="shared" si="56"/>
        <v>NAVERyssonglaw</v>
      </c>
      <c r="I1797" t="str">
        <f>"yssonglaw"</f>
        <v>yssonglaw</v>
      </c>
      <c r="J1797">
        <v>1344400</v>
      </c>
      <c r="K1797" s="1">
        <v>44866</v>
      </c>
      <c r="L1797" t="s">
        <v>1802</v>
      </c>
      <c r="M1797">
        <f t="shared" si="57"/>
        <v>1344400</v>
      </c>
      <c r="N1797" t="e">
        <f>VLOOKUP(H1797,Sheet1!G:H,2,FALSE)</f>
        <v>#N/A</v>
      </c>
      <c r="R1797" t="s">
        <v>3721</v>
      </c>
      <c r="S1797">
        <v>1080320</v>
      </c>
    </row>
    <row r="1798" spans="1:19" x14ac:dyDescent="0.3">
      <c r="A1798" t="s">
        <v>8</v>
      </c>
      <c r="B1798">
        <f>VLOOKUP(A1798,Sheet2!B:F,5,FALSE)</f>
        <v>928</v>
      </c>
      <c r="C1798" t="s">
        <v>13</v>
      </c>
      <c r="D1798">
        <f>VLOOKUP(C1798,Sheet2!C:G,5,FALSE)</f>
        <v>1184</v>
      </c>
      <c r="E1798" t="s">
        <v>14</v>
      </c>
      <c r="F1798">
        <f>VLOOKUP(E1798,Sheet2!D:E,2,FALSE)</f>
        <v>914</v>
      </c>
      <c r="G1798" t="s">
        <v>11</v>
      </c>
      <c r="H1798" t="str">
        <f t="shared" si="56"/>
        <v>NAVERysupdent:naver</v>
      </c>
      <c r="I1798" t="str">
        <f>"ysupdent:naver"</f>
        <v>ysupdent:naver</v>
      </c>
      <c r="J1798">
        <v>49280</v>
      </c>
      <c r="K1798" s="1">
        <v>44866</v>
      </c>
      <c r="L1798" t="s">
        <v>1803</v>
      </c>
      <c r="M1798" t="e">
        <f t="shared" si="57"/>
        <v>#N/A</v>
      </c>
      <c r="N1798" t="e">
        <f>VLOOKUP(H1798,Sheet1!G:H,2,FALSE)</f>
        <v>#N/A</v>
      </c>
      <c r="R1798" t="s">
        <v>3722</v>
      </c>
      <c r="S1798">
        <v>6918180</v>
      </c>
    </row>
    <row r="1799" spans="1:19" x14ac:dyDescent="0.3">
      <c r="A1799" t="s">
        <v>8</v>
      </c>
      <c r="B1799">
        <f>VLOOKUP(A1799,Sheet2!B:F,5,FALSE)</f>
        <v>928</v>
      </c>
      <c r="C1799" t="s">
        <v>9</v>
      </c>
      <c r="D1799">
        <f>VLOOKUP(C1799,Sheet2!C:G,5,FALSE)</f>
        <v>1202</v>
      </c>
      <c r="E1799" t="s">
        <v>10</v>
      </c>
      <c r="F1799">
        <f>VLOOKUP(E1799,Sheet2!D:E,2,FALSE)</f>
        <v>939</v>
      </c>
      <c r="G1799" t="s">
        <v>11</v>
      </c>
      <c r="H1799" t="str">
        <f t="shared" si="56"/>
        <v>NAVERytslucky</v>
      </c>
      <c r="I1799" t="str">
        <f>"ytslucky"</f>
        <v>ytslucky</v>
      </c>
      <c r="J1799">
        <v>3939490</v>
      </c>
      <c r="K1799" s="1">
        <v>44866</v>
      </c>
      <c r="L1799" t="s">
        <v>1804</v>
      </c>
      <c r="M1799">
        <f t="shared" si="57"/>
        <v>3939490</v>
      </c>
      <c r="N1799" t="e">
        <f>VLOOKUP(H1799,Sheet1!G:H,2,FALSE)</f>
        <v>#N/A</v>
      </c>
      <c r="R1799" t="s">
        <v>3723</v>
      </c>
      <c r="S1799">
        <v>647950</v>
      </c>
    </row>
    <row r="1800" spans="1:19" x14ac:dyDescent="0.3">
      <c r="A1800" t="s">
        <v>41</v>
      </c>
      <c r="B1800">
        <f>VLOOKUP(A1800,Sheet2!B:F,5,FALSE)</f>
        <v>926</v>
      </c>
      <c r="C1800" t="s">
        <v>56</v>
      </c>
      <c r="D1800">
        <f>VLOOKUP(C1800,Sheet2!C:G,5,FALSE)</f>
        <v>1207</v>
      </c>
      <c r="E1800" t="s">
        <v>57</v>
      </c>
      <c r="F1800">
        <f>VLOOKUP(E1800,Sheet2!D:E,2,FALSE)</f>
        <v>200982</v>
      </c>
      <c r="G1800" t="s">
        <v>11</v>
      </c>
      <c r="H1800" t="str">
        <f t="shared" si="56"/>
        <v>NAVERyudang</v>
      </c>
      <c r="I1800" t="str">
        <f>"yudang"</f>
        <v>yudang</v>
      </c>
      <c r="J1800">
        <v>921320</v>
      </c>
      <c r="K1800" s="1">
        <v>44866</v>
      </c>
      <c r="L1800" t="s">
        <v>1805</v>
      </c>
      <c r="M1800">
        <f t="shared" si="57"/>
        <v>921320</v>
      </c>
      <c r="N1800" t="str">
        <f>VLOOKUP(H1800,Sheet1!G:H,2,FALSE)</f>
        <v>카카오 마스터 권한 이전한 건에 대해서도 계속 못미더워 하심.</v>
      </c>
      <c r="R1800" t="s">
        <v>3724</v>
      </c>
      <c r="S1800">
        <v>784570</v>
      </c>
    </row>
    <row r="1801" spans="1:19" x14ac:dyDescent="0.3">
      <c r="A1801" t="s">
        <v>8</v>
      </c>
      <c r="B1801">
        <f>VLOOKUP(A1801,Sheet2!B:F,5,FALSE)</f>
        <v>928</v>
      </c>
      <c r="C1801" t="s">
        <v>13</v>
      </c>
      <c r="D1801">
        <f>VLOOKUP(C1801,Sheet2!C:G,5,FALSE)</f>
        <v>1184</v>
      </c>
      <c r="E1801" t="s">
        <v>115</v>
      </c>
      <c r="F1801">
        <f>VLOOKUP(E1801,Sheet2!D:E,2,FALSE)</f>
        <v>1548</v>
      </c>
      <c r="G1801" t="s">
        <v>11</v>
      </c>
      <c r="H1801" t="str">
        <f t="shared" si="56"/>
        <v>NAVERyuil1107</v>
      </c>
      <c r="I1801" t="str">
        <f>"yuil1107"</f>
        <v>yuil1107</v>
      </c>
      <c r="J1801">
        <v>382170</v>
      </c>
      <c r="K1801" s="1">
        <v>44866</v>
      </c>
      <c r="L1801" t="s">
        <v>1806</v>
      </c>
      <c r="M1801">
        <f t="shared" si="57"/>
        <v>382170</v>
      </c>
      <c r="N1801" t="e">
        <f>VLOOKUP(H1801,Sheet1!G:H,2,FALSE)</f>
        <v>#N/A</v>
      </c>
      <c r="R1801" t="s">
        <v>3725</v>
      </c>
      <c r="S1801">
        <v>417850</v>
      </c>
    </row>
    <row r="1802" spans="1:19" x14ac:dyDescent="0.3">
      <c r="A1802" t="s">
        <v>8</v>
      </c>
      <c r="B1802">
        <f>VLOOKUP(A1802,Sheet2!B:F,5,FALSE)</f>
        <v>928</v>
      </c>
      <c r="C1802" t="s">
        <v>9</v>
      </c>
      <c r="D1802">
        <f>VLOOKUP(C1802,Sheet2!C:G,5,FALSE)</f>
        <v>1202</v>
      </c>
      <c r="E1802" t="s">
        <v>37</v>
      </c>
      <c r="F1802">
        <f>VLOOKUP(E1802,Sheet2!D:E,2,FALSE)</f>
        <v>81</v>
      </c>
      <c r="G1802" t="s">
        <v>11</v>
      </c>
      <c r="H1802" t="str">
        <f t="shared" si="56"/>
        <v>NAVERyummy99</v>
      </c>
      <c r="I1802" t="str">
        <f>"yummy99"</f>
        <v>yummy99</v>
      </c>
      <c r="J1802">
        <v>49980</v>
      </c>
      <c r="K1802" s="1">
        <v>44866</v>
      </c>
      <c r="L1802" t="s">
        <v>1807</v>
      </c>
      <c r="M1802">
        <f t="shared" si="57"/>
        <v>49980</v>
      </c>
      <c r="N1802" t="e">
        <f>VLOOKUP(H1802,Sheet1!G:H,2,FALSE)</f>
        <v>#N/A</v>
      </c>
      <c r="R1802" t="s">
        <v>3726</v>
      </c>
      <c r="S1802">
        <v>64520</v>
      </c>
    </row>
    <row r="1803" spans="1:19" x14ac:dyDescent="0.3">
      <c r="A1803" t="s">
        <v>8</v>
      </c>
      <c r="B1803">
        <f>VLOOKUP(A1803,Sheet2!B:F,5,FALSE)</f>
        <v>928</v>
      </c>
      <c r="C1803" t="s">
        <v>9</v>
      </c>
      <c r="D1803">
        <f>VLOOKUP(C1803,Sheet2!C:G,5,FALSE)</f>
        <v>1202</v>
      </c>
      <c r="E1803" t="s">
        <v>35</v>
      </c>
      <c r="F1803">
        <f>VLOOKUP(E1803,Sheet2!D:E,2,FALSE)</f>
        <v>51</v>
      </c>
      <c r="G1803" t="s">
        <v>11</v>
      </c>
      <c r="H1803" t="str">
        <f t="shared" si="56"/>
        <v>NAVERyun8915</v>
      </c>
      <c r="I1803" t="str">
        <f>"yun8915"</f>
        <v>yun8915</v>
      </c>
      <c r="J1803">
        <v>112360</v>
      </c>
      <c r="K1803" s="1">
        <v>44866</v>
      </c>
      <c r="L1803" t="s">
        <v>1808</v>
      </c>
      <c r="M1803">
        <f t="shared" si="57"/>
        <v>112360</v>
      </c>
      <c r="N1803" t="e">
        <f>VLOOKUP(H1803,Sheet1!G:H,2,FALSE)</f>
        <v>#N/A</v>
      </c>
      <c r="R1803" t="s">
        <v>3727</v>
      </c>
      <c r="S1803">
        <v>1514100</v>
      </c>
    </row>
    <row r="1804" spans="1:19" x14ac:dyDescent="0.3">
      <c r="A1804" t="s">
        <v>8</v>
      </c>
      <c r="B1804">
        <f>VLOOKUP(A1804,Sheet2!B:F,5,FALSE)</f>
        <v>928</v>
      </c>
      <c r="C1804" t="s">
        <v>9</v>
      </c>
      <c r="D1804">
        <f>VLOOKUP(C1804,Sheet2!C:G,5,FALSE)</f>
        <v>1202</v>
      </c>
      <c r="E1804" t="s">
        <v>75</v>
      </c>
      <c r="F1804">
        <f>VLOOKUP(E1804,Sheet2!D:E,2,FALSE)</f>
        <v>50</v>
      </c>
      <c r="G1804" t="s">
        <v>11</v>
      </c>
      <c r="H1804" t="str">
        <f t="shared" si="56"/>
        <v>NAVERyureka777</v>
      </c>
      <c r="I1804" t="str">
        <f>"yureka777"</f>
        <v>yureka777</v>
      </c>
      <c r="J1804">
        <v>620940</v>
      </c>
      <c r="K1804" s="1">
        <v>44866</v>
      </c>
      <c r="L1804" t="s">
        <v>418</v>
      </c>
      <c r="M1804">
        <f t="shared" si="57"/>
        <v>620940</v>
      </c>
      <c r="N1804" t="e">
        <f>VLOOKUP(H1804,Sheet1!G:H,2,FALSE)</f>
        <v>#N/A</v>
      </c>
      <c r="R1804" t="s">
        <v>3728</v>
      </c>
      <c r="S1804">
        <v>105900</v>
      </c>
    </row>
    <row r="1805" spans="1:19" x14ac:dyDescent="0.3">
      <c r="A1805" t="s">
        <v>16</v>
      </c>
      <c r="B1805">
        <f>VLOOKUP(A1805,Sheet2!B:F,5,FALSE)</f>
        <v>927</v>
      </c>
      <c r="C1805" t="s">
        <v>17</v>
      </c>
      <c r="D1805">
        <f>VLOOKUP(C1805,Sheet2!C:G,5,FALSE)</f>
        <v>1200</v>
      </c>
      <c r="E1805" t="s">
        <v>244</v>
      </c>
      <c r="F1805">
        <f>VLOOKUP(E1805,Sheet2!D:E,2,FALSE)</f>
        <v>817</v>
      </c>
      <c r="G1805" t="s">
        <v>11</v>
      </c>
      <c r="H1805" t="str">
        <f t="shared" si="56"/>
        <v>NAVERyusineco-:naver</v>
      </c>
      <c r="I1805" t="str">
        <f>"yusineco-:naver"</f>
        <v>yusineco-:naver</v>
      </c>
      <c r="J1805">
        <v>559300</v>
      </c>
      <c r="K1805" s="1">
        <v>44866</v>
      </c>
      <c r="L1805" t="s">
        <v>1809</v>
      </c>
      <c r="M1805">
        <f t="shared" si="57"/>
        <v>559300</v>
      </c>
      <c r="N1805" t="e">
        <f>VLOOKUP(H1805,Sheet1!G:H,2,FALSE)</f>
        <v>#N/A</v>
      </c>
      <c r="R1805" t="s">
        <v>3729</v>
      </c>
      <c r="S1805">
        <v>4133000</v>
      </c>
    </row>
    <row r="1806" spans="1:19" x14ac:dyDescent="0.3">
      <c r="A1806" t="s">
        <v>8</v>
      </c>
      <c r="B1806">
        <f>VLOOKUP(A1806,Sheet2!B:F,5,FALSE)</f>
        <v>928</v>
      </c>
      <c r="C1806" t="s">
        <v>9</v>
      </c>
      <c r="D1806">
        <f>VLOOKUP(C1806,Sheet2!C:G,5,FALSE)</f>
        <v>1202</v>
      </c>
      <c r="E1806" t="s">
        <v>27</v>
      </c>
      <c r="F1806">
        <f>VLOOKUP(E1806,Sheet2!D:E,2,FALSE)</f>
        <v>806</v>
      </c>
      <c r="G1806" t="s">
        <v>11</v>
      </c>
      <c r="H1806" t="str">
        <f t="shared" si="56"/>
        <v>NAVERyvette197903:naver</v>
      </c>
      <c r="I1806" t="str">
        <f>"yvette197903:naver"</f>
        <v>yvette197903:naver</v>
      </c>
      <c r="J1806">
        <v>110231</v>
      </c>
      <c r="K1806" s="1">
        <v>44866</v>
      </c>
      <c r="L1806" t="s">
        <v>1810</v>
      </c>
      <c r="M1806">
        <f t="shared" si="57"/>
        <v>110276</v>
      </c>
      <c r="N1806" t="e">
        <f>VLOOKUP(H1806,Sheet1!G:H,2,FALSE)</f>
        <v>#N/A</v>
      </c>
      <c r="R1806" t="s">
        <v>3730</v>
      </c>
      <c r="S1806">
        <v>5050</v>
      </c>
    </row>
    <row r="1807" spans="1:19" x14ac:dyDescent="0.3">
      <c r="A1807" t="s">
        <v>8</v>
      </c>
      <c r="B1807">
        <f>VLOOKUP(A1807,Sheet2!B:F,5,FALSE)</f>
        <v>928</v>
      </c>
      <c r="C1807" t="s">
        <v>9</v>
      </c>
      <c r="D1807">
        <f>VLOOKUP(C1807,Sheet2!C:G,5,FALSE)</f>
        <v>1202</v>
      </c>
      <c r="E1807" t="s">
        <v>47</v>
      </c>
      <c r="F1807">
        <f>VLOOKUP(E1807,Sheet2!D:E,2,FALSE)</f>
        <v>898</v>
      </c>
      <c r="G1807" t="s">
        <v>11</v>
      </c>
      <c r="H1807" t="str">
        <f t="shared" si="56"/>
        <v>NAVERyw_ygl</v>
      </c>
      <c r="I1807" t="str">
        <f>"yw_ygl"</f>
        <v>yw_ygl</v>
      </c>
      <c r="J1807">
        <v>1192420</v>
      </c>
      <c r="K1807" s="1">
        <v>44866</v>
      </c>
      <c r="L1807" t="s">
        <v>1811</v>
      </c>
      <c r="M1807">
        <f t="shared" si="57"/>
        <v>692430</v>
      </c>
      <c r="N1807" t="e">
        <f>VLOOKUP(H1807,Sheet1!G:H,2,FALSE)</f>
        <v>#N/A</v>
      </c>
      <c r="R1807" t="s">
        <v>3731</v>
      </c>
      <c r="S1807">
        <v>1506270</v>
      </c>
    </row>
    <row r="1808" spans="1:19" x14ac:dyDescent="0.3">
      <c r="A1808" t="s">
        <v>8</v>
      </c>
      <c r="B1808">
        <f>VLOOKUP(A1808,Sheet2!B:F,5,FALSE)</f>
        <v>928</v>
      </c>
      <c r="C1808" t="s">
        <v>9</v>
      </c>
      <c r="D1808">
        <f>VLOOKUP(C1808,Sheet2!C:G,5,FALSE)</f>
        <v>1202</v>
      </c>
      <c r="E1808" t="s">
        <v>47</v>
      </c>
      <c r="F1808">
        <f>VLOOKUP(E1808,Sheet2!D:E,2,FALSE)</f>
        <v>898</v>
      </c>
      <c r="G1808" t="s">
        <v>11</v>
      </c>
      <c r="H1808" t="str">
        <f t="shared" si="56"/>
        <v>NAVERywd_vmware</v>
      </c>
      <c r="I1808" t="str">
        <f>"ywd_vmware"</f>
        <v>ywd_vmware</v>
      </c>
      <c r="J1808">
        <v>318340</v>
      </c>
      <c r="K1808" s="1">
        <v>44866</v>
      </c>
      <c r="L1808" t="s">
        <v>1811</v>
      </c>
      <c r="M1808">
        <f t="shared" si="57"/>
        <v>318340</v>
      </c>
      <c r="N1808" t="e">
        <f>VLOOKUP(H1808,Sheet1!G:H,2,FALSE)</f>
        <v>#N/A</v>
      </c>
      <c r="R1808" t="s">
        <v>3732</v>
      </c>
      <c r="S1808">
        <v>560</v>
      </c>
    </row>
    <row r="1809" spans="1:19" x14ac:dyDescent="0.3">
      <c r="A1809" t="s">
        <v>41</v>
      </c>
      <c r="B1809">
        <f>VLOOKUP(A1809,Sheet2!B:F,5,FALSE)</f>
        <v>926</v>
      </c>
      <c r="C1809" t="s">
        <v>56</v>
      </c>
      <c r="D1809">
        <f>VLOOKUP(C1809,Sheet2!C:G,5,FALSE)</f>
        <v>1207</v>
      </c>
      <c r="E1809" t="s">
        <v>64</v>
      </c>
      <c r="F1809">
        <f>VLOOKUP(E1809,Sheet2!D:E,2,FALSE)</f>
        <v>201011</v>
      </c>
      <c r="G1809" t="s">
        <v>11</v>
      </c>
      <c r="H1809" t="str">
        <f t="shared" si="56"/>
        <v>NAVERyyj7791</v>
      </c>
      <c r="I1809" t="str">
        <f>"yyj7791"</f>
        <v>yyj7791</v>
      </c>
      <c r="J1809">
        <v>770</v>
      </c>
      <c r="K1809" s="1">
        <v>44866</v>
      </c>
      <c r="L1809" t="s">
        <v>1812</v>
      </c>
      <c r="M1809">
        <f t="shared" si="57"/>
        <v>770</v>
      </c>
      <c r="N1809" t="e">
        <f>VLOOKUP(H1809,Sheet1!G:H,2,FALSE)</f>
        <v>#N/A</v>
      </c>
      <c r="R1809" t="s">
        <v>3733</v>
      </c>
      <c r="S1809">
        <v>181310</v>
      </c>
    </row>
    <row r="1810" spans="1:19" x14ac:dyDescent="0.3">
      <c r="A1810" t="s">
        <v>16</v>
      </c>
      <c r="B1810">
        <f>VLOOKUP(A1810,Sheet2!B:F,5,FALSE)</f>
        <v>927</v>
      </c>
      <c r="C1810" t="s">
        <v>17</v>
      </c>
      <c r="D1810">
        <f>VLOOKUP(C1810,Sheet2!C:G,5,FALSE)</f>
        <v>1200</v>
      </c>
      <c r="E1810" t="s">
        <v>66</v>
      </c>
      <c r="F1810">
        <f>VLOOKUP(E1810,Sheet2!D:E,2,FALSE)</f>
        <v>33</v>
      </c>
      <c r="G1810" t="s">
        <v>11</v>
      </c>
      <c r="H1810" t="str">
        <f t="shared" si="56"/>
        <v>NAVERyykorea</v>
      </c>
      <c r="I1810" t="str">
        <f>"yykorea"</f>
        <v>yykorea</v>
      </c>
      <c r="J1810">
        <v>7710</v>
      </c>
      <c r="K1810" s="1">
        <v>44866</v>
      </c>
      <c r="L1810" t="s">
        <v>1813</v>
      </c>
      <c r="M1810">
        <f t="shared" si="57"/>
        <v>7710</v>
      </c>
      <c r="N1810" t="e">
        <f>VLOOKUP(H1810,Sheet1!G:H,2,FALSE)</f>
        <v>#N/A</v>
      </c>
      <c r="R1810" t="s">
        <v>3734</v>
      </c>
      <c r="S1810">
        <v>140</v>
      </c>
    </row>
    <row r="1811" spans="1:19" x14ac:dyDescent="0.3">
      <c r="A1811" t="s">
        <v>16</v>
      </c>
      <c r="B1811">
        <f>VLOOKUP(A1811,Sheet2!B:F,5,FALSE)</f>
        <v>927</v>
      </c>
      <c r="C1811" t="s">
        <v>17</v>
      </c>
      <c r="D1811">
        <f>VLOOKUP(C1811,Sheet2!C:G,5,FALSE)</f>
        <v>1200</v>
      </c>
      <c r="E1811" t="s">
        <v>93</v>
      </c>
      <c r="F1811">
        <f>VLOOKUP(E1811,Sheet2!D:E,2,FALSE)</f>
        <v>930</v>
      </c>
      <c r="G1811" t="s">
        <v>11</v>
      </c>
      <c r="H1811" t="str">
        <f t="shared" si="56"/>
        <v>NAVERz10shop</v>
      </c>
      <c r="I1811" t="str">
        <f>"z10shop"</f>
        <v>z10shop</v>
      </c>
      <c r="J1811">
        <v>3527080</v>
      </c>
      <c r="K1811" s="1">
        <v>44866</v>
      </c>
      <c r="L1811" t="s">
        <v>1814</v>
      </c>
      <c r="M1811">
        <f t="shared" si="57"/>
        <v>3527080</v>
      </c>
      <c r="N1811" t="e">
        <f>VLOOKUP(H1811,Sheet1!G:H,2,FALSE)</f>
        <v>#N/A</v>
      </c>
      <c r="R1811" t="s">
        <v>3735</v>
      </c>
      <c r="S1811">
        <v>2080</v>
      </c>
    </row>
    <row r="1812" spans="1:19" x14ac:dyDescent="0.3">
      <c r="A1812" t="s">
        <v>16</v>
      </c>
      <c r="B1812">
        <f>VLOOKUP(A1812,Sheet2!B:F,5,FALSE)</f>
        <v>927</v>
      </c>
      <c r="C1812" t="s">
        <v>17</v>
      </c>
      <c r="D1812">
        <f>VLOOKUP(C1812,Sheet2!C:G,5,FALSE)</f>
        <v>1200</v>
      </c>
      <c r="E1812" t="s">
        <v>93</v>
      </c>
      <c r="F1812">
        <f>VLOOKUP(E1812,Sheet2!D:E,2,FALSE)</f>
        <v>930</v>
      </c>
      <c r="G1812" t="s">
        <v>11</v>
      </c>
      <c r="H1812" t="str">
        <f t="shared" si="56"/>
        <v>NAVERz9golf</v>
      </c>
      <c r="I1812" t="str">
        <f>"z9golf"</f>
        <v>z9golf</v>
      </c>
      <c r="J1812">
        <v>29330</v>
      </c>
      <c r="K1812" s="1">
        <v>44866</v>
      </c>
      <c r="L1812" t="s">
        <v>1815</v>
      </c>
      <c r="M1812">
        <f t="shared" si="57"/>
        <v>29330</v>
      </c>
      <c r="N1812" t="e">
        <f>VLOOKUP(H1812,Sheet1!G:H,2,FALSE)</f>
        <v>#N/A</v>
      </c>
      <c r="R1812" t="s">
        <v>3736</v>
      </c>
      <c r="S1812">
        <v>1344680</v>
      </c>
    </row>
    <row r="1813" spans="1:19" x14ac:dyDescent="0.3">
      <c r="A1813" t="s">
        <v>8</v>
      </c>
      <c r="B1813">
        <f>VLOOKUP(A1813,Sheet2!B:F,5,FALSE)</f>
        <v>928</v>
      </c>
      <c r="C1813" t="s">
        <v>9</v>
      </c>
      <c r="D1813">
        <f>VLOOKUP(C1813,Sheet2!C:G,5,FALSE)</f>
        <v>1202</v>
      </c>
      <c r="E1813" t="s">
        <v>122</v>
      </c>
      <c r="F1813">
        <f>VLOOKUP(E1813,Sheet2!D:E,2,FALSE)</f>
        <v>251</v>
      </c>
      <c r="G1813" t="s">
        <v>11</v>
      </c>
      <c r="H1813" t="str">
        <f t="shared" si="56"/>
        <v>NAVERzalhana</v>
      </c>
      <c r="I1813" t="str">
        <f>"zalhana"</f>
        <v>zalhana</v>
      </c>
      <c r="J1813">
        <v>110890</v>
      </c>
      <c r="K1813" s="1">
        <v>44866</v>
      </c>
      <c r="L1813" t="s">
        <v>1816</v>
      </c>
      <c r="M1813">
        <f t="shared" si="57"/>
        <v>110890</v>
      </c>
      <c r="N1813" t="e">
        <f>VLOOKUP(H1813,Sheet1!G:H,2,FALSE)</f>
        <v>#N/A</v>
      </c>
      <c r="R1813" t="s">
        <v>3737</v>
      </c>
      <c r="S1813">
        <v>614880</v>
      </c>
    </row>
    <row r="1814" spans="1:19" x14ac:dyDescent="0.3">
      <c r="A1814" t="s">
        <v>41</v>
      </c>
      <c r="B1814">
        <f>VLOOKUP(A1814,Sheet2!B:F,5,FALSE)</f>
        <v>926</v>
      </c>
      <c r="C1814" t="s">
        <v>56</v>
      </c>
      <c r="D1814">
        <f>VLOOKUP(C1814,Sheet2!C:G,5,FALSE)</f>
        <v>1207</v>
      </c>
      <c r="E1814" t="s">
        <v>91</v>
      </c>
      <c r="F1814">
        <f>VLOOKUP(E1814,Sheet2!D:E,2,FALSE)</f>
        <v>201104</v>
      </c>
      <c r="G1814" t="s">
        <v>11</v>
      </c>
      <c r="H1814" t="str">
        <f t="shared" si="56"/>
        <v>NAVERzamyeong</v>
      </c>
      <c r="I1814" t="str">
        <f>"zamyeong"</f>
        <v>zamyeong</v>
      </c>
      <c r="J1814">
        <v>430070</v>
      </c>
      <c r="K1814" s="1">
        <v>44866</v>
      </c>
      <c r="L1814" t="s">
        <v>1051</v>
      </c>
      <c r="M1814">
        <f t="shared" si="57"/>
        <v>430070</v>
      </c>
      <c r="N1814" t="e">
        <f>VLOOKUP(H1814,Sheet1!G:H,2,FALSE)</f>
        <v>#N/A</v>
      </c>
      <c r="R1814" t="s">
        <v>3738</v>
      </c>
      <c r="S1814">
        <v>117400</v>
      </c>
    </row>
    <row r="1815" spans="1:19" x14ac:dyDescent="0.3">
      <c r="A1815" t="s">
        <v>8</v>
      </c>
      <c r="B1815">
        <f>VLOOKUP(A1815,Sheet2!B:F,5,FALSE)</f>
        <v>928</v>
      </c>
      <c r="C1815" t="s">
        <v>13</v>
      </c>
      <c r="D1815">
        <f>VLOOKUP(C1815,Sheet2!C:G,5,FALSE)</f>
        <v>1184</v>
      </c>
      <c r="E1815" t="s">
        <v>102</v>
      </c>
      <c r="F1815">
        <f>VLOOKUP(E1815,Sheet2!D:E,2,FALSE)</f>
        <v>917</v>
      </c>
      <c r="G1815" t="s">
        <v>11</v>
      </c>
      <c r="H1815" t="str">
        <f t="shared" si="56"/>
        <v>NAVERzangbi</v>
      </c>
      <c r="I1815" t="str">
        <f>"zangbi"</f>
        <v>zangbi</v>
      </c>
      <c r="J1815">
        <v>4612140</v>
      </c>
      <c r="K1815" s="1">
        <v>44866</v>
      </c>
      <c r="L1815" t="s">
        <v>1817</v>
      </c>
      <c r="M1815">
        <f t="shared" si="57"/>
        <v>4612140</v>
      </c>
      <c r="N1815" t="e">
        <f>VLOOKUP(H1815,Sheet1!G:H,2,FALSE)</f>
        <v>#N/A</v>
      </c>
      <c r="R1815" t="s">
        <v>3739</v>
      </c>
      <c r="S1815">
        <v>360</v>
      </c>
    </row>
    <row r="1816" spans="1:19" x14ac:dyDescent="0.3">
      <c r="A1816" t="s">
        <v>8</v>
      </c>
      <c r="B1816">
        <f>VLOOKUP(A1816,Sheet2!B:F,5,FALSE)</f>
        <v>928</v>
      </c>
      <c r="C1816" t="s">
        <v>9</v>
      </c>
      <c r="D1816">
        <f>VLOOKUP(C1816,Sheet2!C:G,5,FALSE)</f>
        <v>1202</v>
      </c>
      <c r="E1816" t="s">
        <v>27</v>
      </c>
      <c r="F1816">
        <f>VLOOKUP(E1816,Sheet2!D:E,2,FALSE)</f>
        <v>806</v>
      </c>
      <c r="G1816" t="s">
        <v>11</v>
      </c>
      <c r="H1816" t="str">
        <f t="shared" si="56"/>
        <v>NAVERzbros8</v>
      </c>
      <c r="I1816" t="str">
        <f>"zbros8"</f>
        <v>zbros8</v>
      </c>
      <c r="J1816">
        <v>2350</v>
      </c>
      <c r="K1816" s="1">
        <v>44866</v>
      </c>
      <c r="L1816" t="s">
        <v>1818</v>
      </c>
      <c r="M1816">
        <f t="shared" si="57"/>
        <v>2350</v>
      </c>
      <c r="N1816" t="e">
        <f>VLOOKUP(H1816,Sheet1!G:H,2,FALSE)</f>
        <v>#N/A</v>
      </c>
      <c r="R1816" t="s">
        <v>3740</v>
      </c>
      <c r="S1816">
        <v>40180</v>
      </c>
    </row>
    <row r="1817" spans="1:19" x14ac:dyDescent="0.3">
      <c r="A1817" t="s">
        <v>8</v>
      </c>
      <c r="B1817">
        <f>VLOOKUP(A1817,Sheet2!B:F,5,FALSE)</f>
        <v>928</v>
      </c>
      <c r="C1817" t="s">
        <v>13</v>
      </c>
      <c r="D1817">
        <f>VLOOKUP(C1817,Sheet2!C:G,5,FALSE)</f>
        <v>1184</v>
      </c>
      <c r="E1817" t="s">
        <v>59</v>
      </c>
      <c r="F1817">
        <f>VLOOKUP(E1817,Sheet2!D:E,2,FALSE)</f>
        <v>9</v>
      </c>
      <c r="G1817" t="s">
        <v>11</v>
      </c>
      <c r="H1817" t="str">
        <f t="shared" si="56"/>
        <v>NAVERzeuseng</v>
      </c>
      <c r="I1817" t="str">
        <f>"zeuseng"</f>
        <v>zeuseng</v>
      </c>
      <c r="J1817">
        <v>42550</v>
      </c>
      <c r="K1817" s="1">
        <v>44866</v>
      </c>
      <c r="L1817" t="s">
        <v>1819</v>
      </c>
      <c r="M1817">
        <f t="shared" si="57"/>
        <v>42550</v>
      </c>
      <c r="N1817" t="e">
        <f>VLOOKUP(H1817,Sheet1!G:H,2,FALSE)</f>
        <v>#N/A</v>
      </c>
      <c r="R1817" t="s">
        <v>3741</v>
      </c>
      <c r="S1817">
        <v>3400</v>
      </c>
    </row>
    <row r="1818" spans="1:19" x14ac:dyDescent="0.3">
      <c r="A1818" t="s">
        <v>16</v>
      </c>
      <c r="B1818">
        <f>VLOOKUP(A1818,Sheet2!B:F,5,FALSE)</f>
        <v>927</v>
      </c>
      <c r="C1818" t="s">
        <v>17</v>
      </c>
      <c r="D1818">
        <f>VLOOKUP(C1818,Sheet2!C:G,5,FALSE)</f>
        <v>1200</v>
      </c>
      <c r="E1818" t="s">
        <v>78</v>
      </c>
      <c r="F1818">
        <f>VLOOKUP(E1818,Sheet2!D:E,2,FALSE)</f>
        <v>57</v>
      </c>
      <c r="G1818" t="s">
        <v>11</v>
      </c>
      <c r="H1818" t="str">
        <f t="shared" si="56"/>
        <v>NAVERzincone:naver</v>
      </c>
      <c r="I1818" t="str">
        <f>"zincone:naver"</f>
        <v>zincone:naver</v>
      </c>
      <c r="J1818">
        <v>55000</v>
      </c>
      <c r="K1818" s="1">
        <v>44866</v>
      </c>
      <c r="L1818" t="s">
        <v>1820</v>
      </c>
      <c r="M1818" t="e">
        <f t="shared" si="57"/>
        <v>#N/A</v>
      </c>
      <c r="N1818" t="e">
        <f>VLOOKUP(H1818,Sheet1!G:H,2,FALSE)</f>
        <v>#N/A</v>
      </c>
      <c r="R1818" t="s">
        <v>3742</v>
      </c>
      <c r="S1818">
        <v>2084180</v>
      </c>
    </row>
    <row r="1819" spans="1:19" x14ac:dyDescent="0.3">
      <c r="A1819" t="s">
        <v>41</v>
      </c>
      <c r="B1819">
        <f>VLOOKUP(A1819,Sheet2!B:F,5,FALSE)</f>
        <v>926</v>
      </c>
      <c r="C1819" t="s">
        <v>56</v>
      </c>
      <c r="D1819">
        <f>VLOOKUP(C1819,Sheet2!C:G,5,FALSE)</f>
        <v>1207</v>
      </c>
      <c r="E1819" t="s">
        <v>57</v>
      </c>
      <c r="F1819">
        <f>VLOOKUP(E1819,Sheet2!D:E,2,FALSE)</f>
        <v>200982</v>
      </c>
      <c r="G1819" t="s">
        <v>11</v>
      </c>
      <c r="H1819" t="str">
        <f t="shared" si="56"/>
        <v>NAVERzioxx</v>
      </c>
      <c r="I1819" t="str">
        <f>"zioxx"</f>
        <v>zioxx</v>
      </c>
      <c r="J1819">
        <v>11040</v>
      </c>
      <c r="K1819" s="1">
        <v>44866</v>
      </c>
      <c r="L1819" t="s">
        <v>1821</v>
      </c>
      <c r="M1819">
        <f t="shared" si="57"/>
        <v>11040</v>
      </c>
      <c r="N1819" t="e">
        <f>VLOOKUP(H1819,Sheet1!G:H,2,FALSE)</f>
        <v>#N/A</v>
      </c>
      <c r="R1819" t="s">
        <v>3743</v>
      </c>
      <c r="S1819">
        <v>1377260</v>
      </c>
    </row>
    <row r="1820" spans="1:19" x14ac:dyDescent="0.3">
      <c r="A1820" t="s">
        <v>8</v>
      </c>
      <c r="B1820">
        <f>VLOOKUP(A1820,Sheet2!B:F,5,FALSE)</f>
        <v>928</v>
      </c>
      <c r="C1820" t="s">
        <v>13</v>
      </c>
      <c r="D1820">
        <f>VLOOKUP(C1820,Sheet2!C:G,5,FALSE)</f>
        <v>1184</v>
      </c>
      <c r="E1820" t="s">
        <v>102</v>
      </c>
      <c r="F1820">
        <f>VLOOKUP(E1820,Sheet2!D:E,2,FALSE)</f>
        <v>917</v>
      </c>
      <c r="G1820" t="s">
        <v>11</v>
      </c>
      <c r="H1820" t="str">
        <f t="shared" si="56"/>
        <v>NAVERzoomtech</v>
      </c>
      <c r="I1820" t="str">
        <f>"zoomtech"</f>
        <v>zoomtech</v>
      </c>
      <c r="J1820">
        <v>611010</v>
      </c>
      <c r="K1820" s="1">
        <v>44866</v>
      </c>
      <c r="L1820" t="s">
        <v>1822</v>
      </c>
      <c r="M1820">
        <f t="shared" si="57"/>
        <v>611010</v>
      </c>
      <c r="N1820" t="e">
        <f>VLOOKUP(H1820,Sheet1!G:H,2,FALSE)</f>
        <v>#N/A</v>
      </c>
      <c r="R1820" t="s">
        <v>3744</v>
      </c>
      <c r="S1820">
        <v>301570</v>
      </c>
    </row>
    <row r="1821" spans="1:19" x14ac:dyDescent="0.3">
      <c r="A1821" t="s">
        <v>16</v>
      </c>
      <c r="B1821">
        <f>VLOOKUP(A1821,Sheet2!B:F,5,FALSE)</f>
        <v>927</v>
      </c>
      <c r="C1821" t="s">
        <v>17</v>
      </c>
      <c r="D1821">
        <f>VLOOKUP(C1821,Sheet2!C:G,5,FALSE)</f>
        <v>1200</v>
      </c>
      <c r="E1821" t="s">
        <v>93</v>
      </c>
      <c r="F1821">
        <f>VLOOKUP(E1821,Sheet2!D:E,2,FALSE)</f>
        <v>930</v>
      </c>
      <c r="G1821" t="s">
        <v>11</v>
      </c>
      <c r="H1821" t="str">
        <f t="shared" si="56"/>
        <v>NAVERzzini3307</v>
      </c>
      <c r="I1821" t="str">
        <f>"zzini3307"</f>
        <v>zzini3307</v>
      </c>
      <c r="J1821">
        <v>97250</v>
      </c>
      <c r="K1821" s="1">
        <v>44866</v>
      </c>
      <c r="L1821" t="s">
        <v>1823</v>
      </c>
      <c r="M1821">
        <f t="shared" si="57"/>
        <v>97250</v>
      </c>
      <c r="N1821" t="e">
        <f>VLOOKUP(H1821,Sheet1!G:H,2,FALSE)</f>
        <v>#N/A</v>
      </c>
      <c r="R1821" t="s">
        <v>3745</v>
      </c>
      <c r="S1821">
        <v>2610</v>
      </c>
    </row>
    <row r="1822" spans="1:19" x14ac:dyDescent="0.3">
      <c r="A1822" t="s">
        <v>8</v>
      </c>
      <c r="B1822">
        <f>VLOOKUP(A1822,Sheet2!B:F,5,FALSE)</f>
        <v>928</v>
      </c>
      <c r="C1822" t="s">
        <v>167</v>
      </c>
      <c r="D1822">
        <f>VLOOKUP(C1822,Sheet2!C:G,5,FALSE)</f>
        <v>935</v>
      </c>
      <c r="E1822" t="s">
        <v>168</v>
      </c>
      <c r="F1822">
        <f>VLOOKUP(E1822,Sheet2!D:E,2,FALSE)</f>
        <v>2</v>
      </c>
      <c r="G1822" t="s">
        <v>1824</v>
      </c>
      <c r="H1822" t="str">
        <f t="shared" si="56"/>
        <v>KAKAO297232</v>
      </c>
      <c r="I1822" t="str">
        <f>"297232"</f>
        <v>297232</v>
      </c>
      <c r="J1822">
        <v>123400</v>
      </c>
      <c r="K1822" s="1">
        <v>44866</v>
      </c>
      <c r="L1822" t="s">
        <v>1633</v>
      </c>
      <c r="M1822">
        <f t="shared" si="57"/>
        <v>123400</v>
      </c>
      <c r="N1822" t="e">
        <f>VLOOKUP(H1822,Sheet1!G:H,2,FALSE)</f>
        <v>#N/A</v>
      </c>
      <c r="R1822" t="s">
        <v>3746</v>
      </c>
      <c r="S1822">
        <v>280</v>
      </c>
    </row>
    <row r="1823" spans="1:19" x14ac:dyDescent="0.3">
      <c r="A1823" t="s">
        <v>8</v>
      </c>
      <c r="B1823">
        <f>VLOOKUP(A1823,Sheet2!B:F,5,FALSE)</f>
        <v>928</v>
      </c>
      <c r="C1823" t="s">
        <v>9</v>
      </c>
      <c r="D1823">
        <f>VLOOKUP(C1823,Sheet2!C:G,5,FALSE)</f>
        <v>1202</v>
      </c>
      <c r="E1823" t="s">
        <v>39</v>
      </c>
      <c r="F1823">
        <f>VLOOKUP(E1823,Sheet2!D:E,2,FALSE)</f>
        <v>25</v>
      </c>
      <c r="G1823" t="s">
        <v>1824</v>
      </c>
      <c r="H1823" t="str">
        <f t="shared" si="56"/>
        <v>KAKAO297854</v>
      </c>
      <c r="I1823" t="str">
        <f>"297854"</f>
        <v>297854</v>
      </c>
      <c r="J1823">
        <v>7050</v>
      </c>
      <c r="K1823" s="1">
        <v>44866</v>
      </c>
      <c r="L1823" t="s">
        <v>563</v>
      </c>
      <c r="M1823" t="e">
        <f t="shared" si="57"/>
        <v>#N/A</v>
      </c>
      <c r="N1823" t="e">
        <f>VLOOKUP(H1823,Sheet1!G:H,2,FALSE)</f>
        <v>#N/A</v>
      </c>
      <c r="R1823" t="s">
        <v>3747</v>
      </c>
      <c r="S1823">
        <v>4490</v>
      </c>
    </row>
    <row r="1824" spans="1:19" x14ac:dyDescent="0.3">
      <c r="A1824" t="s">
        <v>8</v>
      </c>
      <c r="B1824">
        <f>VLOOKUP(A1824,Sheet2!B:F,5,FALSE)</f>
        <v>928</v>
      </c>
      <c r="C1824" t="s">
        <v>167</v>
      </c>
      <c r="D1824">
        <f>VLOOKUP(C1824,Sheet2!C:G,5,FALSE)</f>
        <v>935</v>
      </c>
      <c r="E1824" t="s">
        <v>168</v>
      </c>
      <c r="F1824">
        <f>VLOOKUP(E1824,Sheet2!D:E,2,FALSE)</f>
        <v>2</v>
      </c>
      <c r="G1824" t="s">
        <v>1824</v>
      </c>
      <c r="H1824" t="str">
        <f t="shared" si="56"/>
        <v>KAKAO298034</v>
      </c>
      <c r="I1824" t="str">
        <f>"298034"</f>
        <v>298034</v>
      </c>
      <c r="J1824">
        <v>1503670</v>
      </c>
      <c r="K1824" s="1">
        <v>44866</v>
      </c>
      <c r="L1824" t="s">
        <v>671</v>
      </c>
      <c r="M1824">
        <f t="shared" si="57"/>
        <v>1503670</v>
      </c>
      <c r="N1824" t="e">
        <f>VLOOKUP(H1824,Sheet1!G:H,2,FALSE)</f>
        <v>#N/A</v>
      </c>
      <c r="R1824" t="s">
        <v>3748</v>
      </c>
      <c r="S1824">
        <v>910150</v>
      </c>
    </row>
    <row r="1825" spans="1:19" x14ac:dyDescent="0.3">
      <c r="A1825" t="s">
        <v>8</v>
      </c>
      <c r="B1825">
        <f>VLOOKUP(A1825,Sheet2!B:F,5,FALSE)</f>
        <v>928</v>
      </c>
      <c r="C1825" t="s">
        <v>13</v>
      </c>
      <c r="D1825">
        <f>VLOOKUP(C1825,Sheet2!C:G,5,FALSE)</f>
        <v>1184</v>
      </c>
      <c r="E1825" t="s">
        <v>14</v>
      </c>
      <c r="F1825">
        <f>VLOOKUP(E1825,Sheet2!D:E,2,FALSE)</f>
        <v>914</v>
      </c>
      <c r="G1825" t="s">
        <v>1824</v>
      </c>
      <c r="H1825" t="str">
        <f t="shared" si="56"/>
        <v>KAKAO298107</v>
      </c>
      <c r="I1825" t="str">
        <f>"298107"</f>
        <v>298107</v>
      </c>
      <c r="J1825">
        <v>183720</v>
      </c>
      <c r="K1825" s="1">
        <v>44866</v>
      </c>
      <c r="L1825" t="s">
        <v>1825</v>
      </c>
      <c r="M1825">
        <f t="shared" si="57"/>
        <v>183720</v>
      </c>
      <c r="N1825" t="e">
        <f>VLOOKUP(H1825,Sheet1!G:H,2,FALSE)</f>
        <v>#N/A</v>
      </c>
      <c r="R1825" t="s">
        <v>3749</v>
      </c>
      <c r="S1825">
        <v>238840</v>
      </c>
    </row>
    <row r="1826" spans="1:19" x14ac:dyDescent="0.3">
      <c r="A1826" t="s">
        <v>8</v>
      </c>
      <c r="B1826">
        <f>VLOOKUP(A1826,Sheet2!B:F,5,FALSE)</f>
        <v>928</v>
      </c>
      <c r="C1826" t="s">
        <v>13</v>
      </c>
      <c r="D1826">
        <f>VLOOKUP(C1826,Sheet2!C:G,5,FALSE)</f>
        <v>1184</v>
      </c>
      <c r="E1826" t="s">
        <v>51</v>
      </c>
      <c r="F1826">
        <f>VLOOKUP(E1826,Sheet2!D:E,2,FALSE)</f>
        <v>1274</v>
      </c>
      <c r="G1826" t="s">
        <v>1824</v>
      </c>
      <c r="H1826" t="str">
        <f t="shared" si="56"/>
        <v>KAKAO298289</v>
      </c>
      <c r="I1826" t="str">
        <f>"298289"</f>
        <v>298289</v>
      </c>
      <c r="J1826">
        <v>107430</v>
      </c>
      <c r="K1826" s="1">
        <v>44866</v>
      </c>
      <c r="L1826" t="s">
        <v>1826</v>
      </c>
      <c r="M1826">
        <f t="shared" si="57"/>
        <v>107430</v>
      </c>
      <c r="N1826" t="e">
        <f>VLOOKUP(H1826,Sheet1!G:H,2,FALSE)</f>
        <v>#N/A</v>
      </c>
      <c r="R1826" t="s">
        <v>3750</v>
      </c>
      <c r="S1826">
        <v>13330</v>
      </c>
    </row>
    <row r="1827" spans="1:19" x14ac:dyDescent="0.3">
      <c r="A1827" t="s">
        <v>8</v>
      </c>
      <c r="B1827">
        <f>VLOOKUP(A1827,Sheet2!B:F,5,FALSE)</f>
        <v>928</v>
      </c>
      <c r="C1827" t="s">
        <v>9</v>
      </c>
      <c r="D1827">
        <f>VLOOKUP(C1827,Sheet2!C:G,5,FALSE)</f>
        <v>1202</v>
      </c>
      <c r="E1827" t="s">
        <v>10</v>
      </c>
      <c r="F1827">
        <f>VLOOKUP(E1827,Sheet2!D:E,2,FALSE)</f>
        <v>939</v>
      </c>
      <c r="G1827" t="s">
        <v>1824</v>
      </c>
      <c r="H1827" t="str">
        <f t="shared" si="56"/>
        <v>KAKAO298364</v>
      </c>
      <c r="I1827" t="str">
        <f>"298364"</f>
        <v>298364</v>
      </c>
      <c r="J1827">
        <v>46230</v>
      </c>
      <c r="K1827" s="1">
        <v>44866</v>
      </c>
      <c r="L1827" t="s">
        <v>1158</v>
      </c>
      <c r="M1827" t="e">
        <f t="shared" si="57"/>
        <v>#N/A</v>
      </c>
      <c r="N1827" t="e">
        <f>VLOOKUP(H1827,Sheet1!G:H,2,FALSE)</f>
        <v>#N/A</v>
      </c>
      <c r="R1827" t="s">
        <v>3751</v>
      </c>
      <c r="S1827">
        <v>2551700</v>
      </c>
    </row>
    <row r="1828" spans="1:19" x14ac:dyDescent="0.3">
      <c r="A1828" t="s">
        <v>8</v>
      </c>
      <c r="B1828">
        <f>VLOOKUP(A1828,Sheet2!B:F,5,FALSE)</f>
        <v>928</v>
      </c>
      <c r="C1828" t="s">
        <v>9</v>
      </c>
      <c r="D1828">
        <f>VLOOKUP(C1828,Sheet2!C:G,5,FALSE)</f>
        <v>1202</v>
      </c>
      <c r="E1828" t="s">
        <v>37</v>
      </c>
      <c r="F1828">
        <f>VLOOKUP(E1828,Sheet2!D:E,2,FALSE)</f>
        <v>81</v>
      </c>
      <c r="G1828" t="s">
        <v>1824</v>
      </c>
      <c r="H1828" t="str">
        <f t="shared" si="56"/>
        <v>KAKAO298661</v>
      </c>
      <c r="I1828" t="str">
        <f>"298661"</f>
        <v>298661</v>
      </c>
      <c r="J1828">
        <v>201250</v>
      </c>
      <c r="K1828" s="1">
        <v>44866</v>
      </c>
      <c r="L1828" t="s">
        <v>782</v>
      </c>
      <c r="M1828">
        <f t="shared" si="57"/>
        <v>201250</v>
      </c>
      <c r="N1828" t="e">
        <f>VLOOKUP(H1828,Sheet1!G:H,2,FALSE)</f>
        <v>#N/A</v>
      </c>
      <c r="R1828" t="s">
        <v>3752</v>
      </c>
      <c r="S1828">
        <v>693100</v>
      </c>
    </row>
    <row r="1829" spans="1:19" x14ac:dyDescent="0.3">
      <c r="A1829" t="s">
        <v>8</v>
      </c>
      <c r="B1829">
        <f>VLOOKUP(A1829,Sheet2!B:F,5,FALSE)</f>
        <v>928</v>
      </c>
      <c r="C1829" t="s">
        <v>9</v>
      </c>
      <c r="D1829">
        <f>VLOOKUP(C1829,Sheet2!C:G,5,FALSE)</f>
        <v>1202</v>
      </c>
      <c r="E1829" t="s">
        <v>45</v>
      </c>
      <c r="F1829">
        <f>VLOOKUP(E1829,Sheet2!D:E,2,FALSE)</f>
        <v>26</v>
      </c>
      <c r="G1829" t="s">
        <v>1824</v>
      </c>
      <c r="H1829" t="str">
        <f t="shared" si="56"/>
        <v>KAKAO299600</v>
      </c>
      <c r="I1829" t="str">
        <f>"299600"</f>
        <v>299600</v>
      </c>
      <c r="J1829">
        <v>17223460</v>
      </c>
      <c r="K1829" s="1">
        <v>44866</v>
      </c>
      <c r="L1829" t="s">
        <v>1083</v>
      </c>
      <c r="M1829">
        <f t="shared" si="57"/>
        <v>17223460</v>
      </c>
      <c r="N1829" t="e">
        <f>VLOOKUP(H1829,Sheet1!G:H,2,FALSE)</f>
        <v>#N/A</v>
      </c>
      <c r="R1829" t="s">
        <v>3753</v>
      </c>
      <c r="S1829">
        <v>449140</v>
      </c>
    </row>
    <row r="1830" spans="1:19" x14ac:dyDescent="0.3">
      <c r="A1830" t="s">
        <v>8</v>
      </c>
      <c r="B1830">
        <f>VLOOKUP(A1830,Sheet2!B:F,5,FALSE)</f>
        <v>928</v>
      </c>
      <c r="C1830" t="s">
        <v>9</v>
      </c>
      <c r="D1830">
        <f>VLOOKUP(C1830,Sheet2!C:G,5,FALSE)</f>
        <v>1202</v>
      </c>
      <c r="E1830" t="s">
        <v>45</v>
      </c>
      <c r="F1830">
        <f>VLOOKUP(E1830,Sheet2!D:E,2,FALSE)</f>
        <v>26</v>
      </c>
      <c r="G1830" t="s">
        <v>1824</v>
      </c>
      <c r="H1830" t="str">
        <f t="shared" si="56"/>
        <v>KAKAO299744</v>
      </c>
      <c r="I1830" t="str">
        <f>"299744"</f>
        <v>299744</v>
      </c>
      <c r="J1830">
        <v>1253680</v>
      </c>
      <c r="K1830" s="1">
        <v>44866</v>
      </c>
      <c r="L1830" t="s">
        <v>1608</v>
      </c>
      <c r="M1830">
        <f t="shared" si="57"/>
        <v>1253680</v>
      </c>
      <c r="N1830" t="e">
        <f>VLOOKUP(H1830,Sheet1!G:H,2,FALSE)</f>
        <v>#N/A</v>
      </c>
      <c r="R1830" t="s">
        <v>3754</v>
      </c>
      <c r="S1830">
        <v>51260</v>
      </c>
    </row>
    <row r="1831" spans="1:19" x14ac:dyDescent="0.3">
      <c r="A1831" t="s">
        <v>8</v>
      </c>
      <c r="B1831">
        <f>VLOOKUP(A1831,Sheet2!B:F,5,FALSE)</f>
        <v>928</v>
      </c>
      <c r="C1831" t="s">
        <v>13</v>
      </c>
      <c r="D1831">
        <f>VLOOKUP(C1831,Sheet2!C:G,5,FALSE)</f>
        <v>1184</v>
      </c>
      <c r="E1831" t="s">
        <v>118</v>
      </c>
      <c r="F1831">
        <f>VLOOKUP(E1831,Sheet2!D:E,2,FALSE)</f>
        <v>201004</v>
      </c>
      <c r="G1831" t="s">
        <v>1824</v>
      </c>
      <c r="H1831" t="str">
        <f t="shared" si="56"/>
        <v>KAKAO300171</v>
      </c>
      <c r="I1831" t="str">
        <f>"300171"</f>
        <v>300171</v>
      </c>
      <c r="J1831">
        <v>22050</v>
      </c>
      <c r="K1831" s="1">
        <v>44866</v>
      </c>
      <c r="L1831" t="s">
        <v>551</v>
      </c>
      <c r="M1831" t="e">
        <f t="shared" si="57"/>
        <v>#N/A</v>
      </c>
      <c r="N1831" t="e">
        <f>VLOOKUP(H1831,Sheet1!G:H,2,FALSE)</f>
        <v>#N/A</v>
      </c>
      <c r="R1831" t="s">
        <v>3755</v>
      </c>
      <c r="S1831">
        <v>2410</v>
      </c>
    </row>
    <row r="1832" spans="1:19" x14ac:dyDescent="0.3">
      <c r="A1832" t="s">
        <v>41</v>
      </c>
      <c r="B1832">
        <f>VLOOKUP(A1832,Sheet2!B:F,5,FALSE)</f>
        <v>926</v>
      </c>
      <c r="C1832" t="s">
        <v>56</v>
      </c>
      <c r="D1832">
        <f>VLOOKUP(C1832,Sheet2!C:G,5,FALSE)</f>
        <v>1207</v>
      </c>
      <c r="E1832" t="s">
        <v>64</v>
      </c>
      <c r="F1832">
        <f>VLOOKUP(E1832,Sheet2!D:E,2,FALSE)</f>
        <v>201011</v>
      </c>
      <c r="G1832" t="s">
        <v>1824</v>
      </c>
      <c r="H1832" t="str">
        <f t="shared" si="56"/>
        <v>KAKAO300250</v>
      </c>
      <c r="I1832" t="str">
        <f>"300250"</f>
        <v>300250</v>
      </c>
      <c r="J1832">
        <v>147770</v>
      </c>
      <c r="K1832" s="1">
        <v>44866</v>
      </c>
      <c r="L1832" t="s">
        <v>1656</v>
      </c>
      <c r="M1832">
        <f t="shared" si="57"/>
        <v>147770</v>
      </c>
      <c r="N1832" t="e">
        <f>VLOOKUP(H1832,Sheet1!G:H,2,FALSE)</f>
        <v>#N/A</v>
      </c>
      <c r="R1832" t="s">
        <v>3756</v>
      </c>
      <c r="S1832">
        <v>75440</v>
      </c>
    </row>
    <row r="1833" spans="1:19" x14ac:dyDescent="0.3">
      <c r="A1833" t="s">
        <v>16</v>
      </c>
      <c r="B1833">
        <f>VLOOKUP(A1833,Sheet2!B:F,5,FALSE)</f>
        <v>927</v>
      </c>
      <c r="C1833" t="s">
        <v>17</v>
      </c>
      <c r="D1833">
        <f>VLOOKUP(C1833,Sheet2!C:G,5,FALSE)</f>
        <v>1200</v>
      </c>
      <c r="E1833" t="s">
        <v>93</v>
      </c>
      <c r="F1833">
        <f>VLOOKUP(E1833,Sheet2!D:E,2,FALSE)</f>
        <v>930</v>
      </c>
      <c r="G1833" t="s">
        <v>1824</v>
      </c>
      <c r="H1833" t="str">
        <f t="shared" si="56"/>
        <v>KAKAO300251</v>
      </c>
      <c r="I1833" t="str">
        <f>"300251"</f>
        <v>300251</v>
      </c>
      <c r="J1833">
        <v>1435420</v>
      </c>
      <c r="K1833" s="1">
        <v>44866</v>
      </c>
      <c r="L1833" t="s">
        <v>1295</v>
      </c>
      <c r="M1833" t="e">
        <f t="shared" si="57"/>
        <v>#N/A</v>
      </c>
      <c r="N1833" t="e">
        <f>VLOOKUP(H1833,Sheet1!G:H,2,FALSE)</f>
        <v>#N/A</v>
      </c>
      <c r="R1833" t="s">
        <v>3757</v>
      </c>
      <c r="S1833">
        <v>1950140</v>
      </c>
    </row>
    <row r="1834" spans="1:19" x14ac:dyDescent="0.3">
      <c r="A1834" t="s">
        <v>8</v>
      </c>
      <c r="B1834">
        <f>VLOOKUP(A1834,Sheet2!B:F,5,FALSE)</f>
        <v>928</v>
      </c>
      <c r="C1834" t="s">
        <v>13</v>
      </c>
      <c r="D1834">
        <f>VLOOKUP(C1834,Sheet2!C:G,5,FALSE)</f>
        <v>1184</v>
      </c>
      <c r="E1834" t="s">
        <v>51</v>
      </c>
      <c r="F1834">
        <f>VLOOKUP(E1834,Sheet2!D:E,2,FALSE)</f>
        <v>1274</v>
      </c>
      <c r="G1834" t="s">
        <v>1824</v>
      </c>
      <c r="H1834" t="str">
        <f t="shared" si="56"/>
        <v>KAKAO300612</v>
      </c>
      <c r="I1834" t="str">
        <f>"300612"</f>
        <v>300612</v>
      </c>
      <c r="J1834">
        <v>9940</v>
      </c>
      <c r="K1834" s="1">
        <v>44866</v>
      </c>
      <c r="L1834" t="s">
        <v>320</v>
      </c>
      <c r="M1834">
        <f t="shared" si="57"/>
        <v>9940</v>
      </c>
      <c r="N1834" t="e">
        <f>VLOOKUP(H1834,Sheet1!G:H,2,FALSE)</f>
        <v>#N/A</v>
      </c>
      <c r="R1834" t="s">
        <v>3758</v>
      </c>
      <c r="S1834">
        <v>282090</v>
      </c>
    </row>
    <row r="1835" spans="1:19" x14ac:dyDescent="0.3">
      <c r="A1835" t="s">
        <v>8</v>
      </c>
      <c r="B1835">
        <f>VLOOKUP(A1835,Sheet2!B:F,5,FALSE)</f>
        <v>928</v>
      </c>
      <c r="C1835" t="s">
        <v>13</v>
      </c>
      <c r="D1835">
        <f>VLOOKUP(C1835,Sheet2!C:G,5,FALSE)</f>
        <v>1184</v>
      </c>
      <c r="E1835" t="s">
        <v>217</v>
      </c>
      <c r="F1835">
        <f>VLOOKUP(E1835,Sheet2!D:E,2,FALSE)</f>
        <v>201027</v>
      </c>
      <c r="G1835" t="s">
        <v>1824</v>
      </c>
      <c r="H1835" t="str">
        <f t="shared" si="56"/>
        <v>KAKAO300806</v>
      </c>
      <c r="I1835" t="str">
        <f>"300806"</f>
        <v>300806</v>
      </c>
      <c r="J1835">
        <v>12220</v>
      </c>
      <c r="K1835" s="1">
        <v>44866</v>
      </c>
      <c r="L1835" t="s">
        <v>1827</v>
      </c>
      <c r="M1835">
        <f t="shared" si="57"/>
        <v>12220</v>
      </c>
      <c r="N1835" t="e">
        <f>VLOOKUP(H1835,Sheet1!G:H,2,FALSE)</f>
        <v>#N/A</v>
      </c>
      <c r="R1835" t="s">
        <v>3759</v>
      </c>
      <c r="S1835">
        <v>0</v>
      </c>
    </row>
    <row r="1836" spans="1:19" x14ac:dyDescent="0.3">
      <c r="A1836" t="s">
        <v>8</v>
      </c>
      <c r="B1836">
        <f>VLOOKUP(A1836,Sheet2!B:F,5,FALSE)</f>
        <v>928</v>
      </c>
      <c r="C1836" t="s">
        <v>13</v>
      </c>
      <c r="D1836">
        <f>VLOOKUP(C1836,Sheet2!C:G,5,FALSE)</f>
        <v>1184</v>
      </c>
      <c r="E1836" t="s">
        <v>118</v>
      </c>
      <c r="F1836">
        <f>VLOOKUP(E1836,Sheet2!D:E,2,FALSE)</f>
        <v>201004</v>
      </c>
      <c r="G1836" t="s">
        <v>1824</v>
      </c>
      <c r="H1836" t="str">
        <f t="shared" si="56"/>
        <v>KAKAO300825</v>
      </c>
      <c r="I1836" t="str">
        <f>"300825"</f>
        <v>300825</v>
      </c>
      <c r="J1836">
        <v>271720</v>
      </c>
      <c r="K1836" s="1">
        <v>44866</v>
      </c>
      <c r="L1836" t="s">
        <v>1147</v>
      </c>
      <c r="M1836" t="e">
        <f t="shared" si="57"/>
        <v>#N/A</v>
      </c>
      <c r="N1836" t="e">
        <f>VLOOKUP(H1836,Sheet1!G:H,2,FALSE)</f>
        <v>#N/A</v>
      </c>
      <c r="R1836" t="s">
        <v>3760</v>
      </c>
      <c r="S1836">
        <v>302780</v>
      </c>
    </row>
    <row r="1837" spans="1:19" x14ac:dyDescent="0.3">
      <c r="A1837" t="s">
        <v>41</v>
      </c>
      <c r="B1837">
        <f>VLOOKUP(A1837,Sheet2!B:F,5,FALSE)</f>
        <v>926</v>
      </c>
      <c r="C1837" t="s">
        <v>42</v>
      </c>
      <c r="D1837">
        <f>VLOOKUP(C1837,Sheet2!C:G,5,FALSE)</f>
        <v>964</v>
      </c>
      <c r="E1837" t="s">
        <v>704</v>
      </c>
      <c r="F1837">
        <f>VLOOKUP(E1837,Sheet2!D:E,2,FALSE)</f>
        <v>1616</v>
      </c>
      <c r="G1837" t="s">
        <v>1824</v>
      </c>
      <c r="H1837" t="str">
        <f t="shared" si="56"/>
        <v>KAKAO300977</v>
      </c>
      <c r="I1837" t="str">
        <f>"300977"</f>
        <v>300977</v>
      </c>
      <c r="J1837">
        <v>1567800</v>
      </c>
      <c r="K1837" s="1">
        <v>44866</v>
      </c>
      <c r="L1837" t="s">
        <v>1828</v>
      </c>
      <c r="M1837" t="e">
        <f t="shared" si="57"/>
        <v>#N/A</v>
      </c>
      <c r="N1837" t="e">
        <f>VLOOKUP(H1837,Sheet1!G:H,2,FALSE)</f>
        <v>#N/A</v>
      </c>
      <c r="R1837" t="s">
        <v>3761</v>
      </c>
      <c r="S1837">
        <v>72520</v>
      </c>
    </row>
    <row r="1838" spans="1:19" x14ac:dyDescent="0.3">
      <c r="A1838" t="s">
        <v>41</v>
      </c>
      <c r="B1838">
        <f>VLOOKUP(A1838,Sheet2!B:F,5,FALSE)</f>
        <v>926</v>
      </c>
      <c r="C1838" t="s">
        <v>42</v>
      </c>
      <c r="D1838">
        <f>VLOOKUP(C1838,Sheet2!C:G,5,FALSE)</f>
        <v>964</v>
      </c>
      <c r="E1838" t="s">
        <v>704</v>
      </c>
      <c r="F1838">
        <f>VLOOKUP(E1838,Sheet2!D:E,2,FALSE)</f>
        <v>1616</v>
      </c>
      <c r="G1838" t="s">
        <v>1824</v>
      </c>
      <c r="H1838" t="str">
        <f t="shared" si="56"/>
        <v>KAKAO301061</v>
      </c>
      <c r="I1838" t="str">
        <f>"301061"</f>
        <v>301061</v>
      </c>
      <c r="J1838">
        <v>309440</v>
      </c>
      <c r="K1838" s="1">
        <v>44866</v>
      </c>
      <c r="L1838" t="s">
        <v>1829</v>
      </c>
      <c r="M1838" t="e">
        <f t="shared" si="57"/>
        <v>#N/A</v>
      </c>
      <c r="N1838" t="e">
        <f>VLOOKUP(H1838,Sheet1!G:H,2,FALSE)</f>
        <v>#N/A</v>
      </c>
      <c r="R1838" t="s">
        <v>3762</v>
      </c>
      <c r="S1838">
        <v>360570</v>
      </c>
    </row>
    <row r="1839" spans="1:19" x14ac:dyDescent="0.3">
      <c r="A1839" t="s">
        <v>8</v>
      </c>
      <c r="B1839">
        <f>VLOOKUP(A1839,Sheet2!B:F,5,FALSE)</f>
        <v>928</v>
      </c>
      <c r="C1839" t="s">
        <v>13</v>
      </c>
      <c r="D1839">
        <f>VLOOKUP(C1839,Sheet2!C:G,5,FALSE)</f>
        <v>1184</v>
      </c>
      <c r="E1839" t="s">
        <v>118</v>
      </c>
      <c r="F1839">
        <f>VLOOKUP(E1839,Sheet2!D:E,2,FALSE)</f>
        <v>201004</v>
      </c>
      <c r="G1839" t="s">
        <v>1824</v>
      </c>
      <c r="H1839" t="str">
        <f t="shared" si="56"/>
        <v>KAKAO301788</v>
      </c>
      <c r="I1839" t="str">
        <f>"301788"</f>
        <v>301788</v>
      </c>
      <c r="J1839">
        <v>2670</v>
      </c>
      <c r="K1839" s="1">
        <v>44866</v>
      </c>
      <c r="L1839" t="s">
        <v>1830</v>
      </c>
      <c r="M1839" t="e">
        <f t="shared" si="57"/>
        <v>#N/A</v>
      </c>
      <c r="N1839" t="e">
        <f>VLOOKUP(H1839,Sheet1!G:H,2,FALSE)</f>
        <v>#N/A</v>
      </c>
      <c r="R1839" t="s">
        <v>3763</v>
      </c>
      <c r="S1839">
        <v>4890</v>
      </c>
    </row>
    <row r="1840" spans="1:19" x14ac:dyDescent="0.3">
      <c r="A1840" t="s">
        <v>8</v>
      </c>
      <c r="B1840">
        <f>VLOOKUP(A1840,Sheet2!B:F,5,FALSE)</f>
        <v>928</v>
      </c>
      <c r="C1840" t="s">
        <v>9</v>
      </c>
      <c r="D1840">
        <f>VLOOKUP(C1840,Sheet2!C:G,5,FALSE)</f>
        <v>1202</v>
      </c>
      <c r="E1840" t="s">
        <v>27</v>
      </c>
      <c r="F1840">
        <f>VLOOKUP(E1840,Sheet2!D:E,2,FALSE)</f>
        <v>806</v>
      </c>
      <c r="G1840" t="s">
        <v>1824</v>
      </c>
      <c r="H1840" t="str">
        <f t="shared" si="56"/>
        <v>KAKAO302004</v>
      </c>
      <c r="I1840" t="str">
        <f>"302004"</f>
        <v>302004</v>
      </c>
      <c r="J1840">
        <v>4220</v>
      </c>
      <c r="K1840" s="1">
        <v>44866</v>
      </c>
      <c r="L1840" t="s">
        <v>203</v>
      </c>
      <c r="M1840">
        <f t="shared" si="57"/>
        <v>4220</v>
      </c>
      <c r="N1840" t="e">
        <f>VLOOKUP(H1840,Sheet1!G:H,2,FALSE)</f>
        <v>#N/A</v>
      </c>
      <c r="R1840" t="s">
        <v>3764</v>
      </c>
      <c r="S1840">
        <v>104710</v>
      </c>
    </row>
    <row r="1841" spans="1:19" x14ac:dyDescent="0.3">
      <c r="A1841" t="s">
        <v>41</v>
      </c>
      <c r="B1841">
        <f>VLOOKUP(A1841,Sheet2!B:F,5,FALSE)</f>
        <v>926</v>
      </c>
      <c r="C1841" t="s">
        <v>56</v>
      </c>
      <c r="D1841">
        <f>VLOOKUP(C1841,Sheet2!C:G,5,FALSE)</f>
        <v>1207</v>
      </c>
      <c r="E1841" t="s">
        <v>464</v>
      </c>
      <c r="F1841">
        <f>VLOOKUP(E1841,Sheet2!D:E,2,FALSE)</f>
        <v>201071</v>
      </c>
      <c r="G1841" t="s">
        <v>1824</v>
      </c>
      <c r="H1841" t="str">
        <f t="shared" si="56"/>
        <v>KAKAO302416</v>
      </c>
      <c r="I1841" t="str">
        <f>"302416"</f>
        <v>302416</v>
      </c>
      <c r="J1841">
        <v>177550</v>
      </c>
      <c r="K1841" s="1">
        <v>44866</v>
      </c>
      <c r="L1841" t="s">
        <v>1513</v>
      </c>
      <c r="M1841">
        <f t="shared" si="57"/>
        <v>177550</v>
      </c>
      <c r="N1841" t="e">
        <f>VLOOKUP(H1841,Sheet1!G:H,2,FALSE)</f>
        <v>#N/A</v>
      </c>
      <c r="R1841" t="s">
        <v>3765</v>
      </c>
      <c r="S1841">
        <v>19860</v>
      </c>
    </row>
    <row r="1842" spans="1:19" x14ac:dyDescent="0.3">
      <c r="A1842" t="s">
        <v>41</v>
      </c>
      <c r="B1842">
        <f>VLOOKUP(A1842,Sheet2!B:F,5,FALSE)</f>
        <v>926</v>
      </c>
      <c r="C1842" t="s">
        <v>56</v>
      </c>
      <c r="D1842">
        <f>VLOOKUP(C1842,Sheet2!C:G,5,FALSE)</f>
        <v>1207</v>
      </c>
      <c r="E1842" t="s">
        <v>253</v>
      </c>
      <c r="F1842">
        <f>VLOOKUP(E1842,Sheet2!D:E,2,FALSE)</f>
        <v>1328</v>
      </c>
      <c r="G1842" t="s">
        <v>1824</v>
      </c>
      <c r="H1842" t="str">
        <f t="shared" si="56"/>
        <v>KAKAO302940</v>
      </c>
      <c r="I1842" t="str">
        <f>"302940"</f>
        <v>302940</v>
      </c>
      <c r="J1842">
        <v>37480</v>
      </c>
      <c r="K1842" s="1">
        <v>44866</v>
      </c>
      <c r="L1842" t="s">
        <v>564</v>
      </c>
      <c r="M1842">
        <f t="shared" si="57"/>
        <v>37480</v>
      </c>
      <c r="N1842" t="e">
        <f>VLOOKUP(H1842,Sheet1!G:H,2,FALSE)</f>
        <v>#N/A</v>
      </c>
      <c r="R1842" t="s">
        <v>3766</v>
      </c>
      <c r="S1842">
        <v>136600</v>
      </c>
    </row>
    <row r="1843" spans="1:19" x14ac:dyDescent="0.3">
      <c r="A1843" t="s">
        <v>8</v>
      </c>
      <c r="B1843">
        <f>VLOOKUP(A1843,Sheet2!B:F,5,FALSE)</f>
        <v>928</v>
      </c>
      <c r="C1843" t="s">
        <v>167</v>
      </c>
      <c r="D1843">
        <f>VLOOKUP(C1843,Sheet2!C:G,5,FALSE)</f>
        <v>935</v>
      </c>
      <c r="E1843" t="s">
        <v>168</v>
      </c>
      <c r="F1843">
        <f>VLOOKUP(E1843,Sheet2!D:E,2,FALSE)</f>
        <v>2</v>
      </c>
      <c r="G1843" t="s">
        <v>1824</v>
      </c>
      <c r="H1843" t="str">
        <f t="shared" si="56"/>
        <v>KAKAO303244</v>
      </c>
      <c r="I1843" t="str">
        <f>"303244"</f>
        <v>303244</v>
      </c>
      <c r="J1843">
        <v>94190</v>
      </c>
      <c r="K1843" s="1">
        <v>44866</v>
      </c>
      <c r="L1843" t="s">
        <v>1104</v>
      </c>
      <c r="M1843">
        <f t="shared" si="57"/>
        <v>94190</v>
      </c>
      <c r="N1843" t="e">
        <f>VLOOKUP(H1843,Sheet1!G:H,2,FALSE)</f>
        <v>#N/A</v>
      </c>
      <c r="R1843" t="s">
        <v>3767</v>
      </c>
      <c r="S1843">
        <v>1210210</v>
      </c>
    </row>
    <row r="1844" spans="1:19" x14ac:dyDescent="0.3">
      <c r="A1844" t="s">
        <v>41</v>
      </c>
      <c r="B1844">
        <f>VLOOKUP(A1844,Sheet2!B:F,5,FALSE)</f>
        <v>926</v>
      </c>
      <c r="C1844" t="s">
        <v>56</v>
      </c>
      <c r="D1844">
        <f>VLOOKUP(C1844,Sheet2!C:G,5,FALSE)</f>
        <v>1207</v>
      </c>
      <c r="E1844" t="s">
        <v>253</v>
      </c>
      <c r="F1844">
        <f>VLOOKUP(E1844,Sheet2!D:E,2,FALSE)</f>
        <v>1328</v>
      </c>
      <c r="G1844" t="s">
        <v>1824</v>
      </c>
      <c r="H1844" t="str">
        <f t="shared" si="56"/>
        <v>KAKAO303272</v>
      </c>
      <c r="I1844" t="str">
        <f>"303272"</f>
        <v>303272</v>
      </c>
      <c r="J1844">
        <v>517880</v>
      </c>
      <c r="K1844" s="1">
        <v>44866</v>
      </c>
      <c r="L1844" t="s">
        <v>266</v>
      </c>
      <c r="M1844">
        <f t="shared" si="57"/>
        <v>517880</v>
      </c>
      <c r="N1844" t="e">
        <f>VLOOKUP(H1844,Sheet1!G:H,2,FALSE)</f>
        <v>#N/A</v>
      </c>
      <c r="R1844" t="s">
        <v>3768</v>
      </c>
      <c r="S1844">
        <v>85260</v>
      </c>
    </row>
    <row r="1845" spans="1:19" x14ac:dyDescent="0.3">
      <c r="A1845" t="s">
        <v>8</v>
      </c>
      <c r="B1845">
        <f>VLOOKUP(A1845,Sheet2!B:F,5,FALSE)</f>
        <v>928</v>
      </c>
      <c r="C1845" t="s">
        <v>13</v>
      </c>
      <c r="D1845">
        <f>VLOOKUP(C1845,Sheet2!C:G,5,FALSE)</f>
        <v>1184</v>
      </c>
      <c r="E1845" t="s">
        <v>115</v>
      </c>
      <c r="F1845">
        <f>VLOOKUP(E1845,Sheet2!D:E,2,FALSE)</f>
        <v>1548</v>
      </c>
      <c r="G1845" t="s">
        <v>1824</v>
      </c>
      <c r="H1845" t="str">
        <f t="shared" si="56"/>
        <v>KAKAO303517</v>
      </c>
      <c r="I1845" t="str">
        <f>"303517"</f>
        <v>303517</v>
      </c>
      <c r="J1845">
        <v>38440</v>
      </c>
      <c r="K1845" s="1">
        <v>44866</v>
      </c>
      <c r="L1845" t="s">
        <v>1685</v>
      </c>
      <c r="M1845" t="e">
        <f t="shared" si="57"/>
        <v>#N/A</v>
      </c>
      <c r="N1845" t="e">
        <f>VLOOKUP(H1845,Sheet1!G:H,2,FALSE)</f>
        <v>#N/A</v>
      </c>
      <c r="R1845" t="s">
        <v>3769</v>
      </c>
      <c r="S1845">
        <v>7530</v>
      </c>
    </row>
    <row r="1846" spans="1:19" x14ac:dyDescent="0.3">
      <c r="A1846" t="s">
        <v>8</v>
      </c>
      <c r="B1846">
        <f>VLOOKUP(A1846,Sheet2!B:F,5,FALSE)</f>
        <v>928</v>
      </c>
      <c r="C1846" t="s">
        <v>13</v>
      </c>
      <c r="D1846">
        <f>VLOOKUP(C1846,Sheet2!C:G,5,FALSE)</f>
        <v>1184</v>
      </c>
      <c r="E1846" t="s">
        <v>127</v>
      </c>
      <c r="F1846">
        <f>VLOOKUP(E1846,Sheet2!D:E,2,FALSE)</f>
        <v>201029</v>
      </c>
      <c r="G1846" t="s">
        <v>1824</v>
      </c>
      <c r="H1846" t="str">
        <f t="shared" si="56"/>
        <v>KAKAO303627</v>
      </c>
      <c r="I1846" t="str">
        <f>"303627"</f>
        <v>303627</v>
      </c>
      <c r="J1846">
        <v>31960</v>
      </c>
      <c r="K1846" s="1">
        <v>44866</v>
      </c>
      <c r="L1846" t="s">
        <v>449</v>
      </c>
      <c r="M1846">
        <f t="shared" si="57"/>
        <v>31960</v>
      </c>
      <c r="N1846" t="e">
        <f>VLOOKUP(H1846,Sheet1!G:H,2,FALSE)</f>
        <v>#N/A</v>
      </c>
      <c r="R1846" t="s">
        <v>3770</v>
      </c>
      <c r="S1846">
        <v>215520</v>
      </c>
    </row>
    <row r="1847" spans="1:19" x14ac:dyDescent="0.3">
      <c r="A1847" t="s">
        <v>8</v>
      </c>
      <c r="B1847">
        <f>VLOOKUP(A1847,Sheet2!B:F,5,FALSE)</f>
        <v>928</v>
      </c>
      <c r="C1847" t="s">
        <v>9</v>
      </c>
      <c r="D1847">
        <f>VLOOKUP(C1847,Sheet2!C:G,5,FALSE)</f>
        <v>1202</v>
      </c>
      <c r="E1847" t="s">
        <v>10</v>
      </c>
      <c r="F1847">
        <f>VLOOKUP(E1847,Sheet2!D:E,2,FALSE)</f>
        <v>939</v>
      </c>
      <c r="G1847" t="s">
        <v>1824</v>
      </c>
      <c r="H1847" t="str">
        <f t="shared" si="56"/>
        <v>KAKAO304759</v>
      </c>
      <c r="I1847" t="str">
        <f>"304759"</f>
        <v>304759</v>
      </c>
      <c r="J1847">
        <v>211280</v>
      </c>
      <c r="K1847" s="1">
        <v>44866</v>
      </c>
      <c r="L1847" t="s">
        <v>1804</v>
      </c>
      <c r="M1847" t="e">
        <f t="shared" si="57"/>
        <v>#N/A</v>
      </c>
      <c r="N1847" t="e">
        <f>VLOOKUP(H1847,Sheet1!G:H,2,FALSE)</f>
        <v>#N/A</v>
      </c>
      <c r="R1847" t="s">
        <v>3771</v>
      </c>
      <c r="S1847">
        <v>14240</v>
      </c>
    </row>
    <row r="1848" spans="1:19" x14ac:dyDescent="0.3">
      <c r="A1848" t="s">
        <v>41</v>
      </c>
      <c r="B1848">
        <f>VLOOKUP(A1848,Sheet2!B:F,5,FALSE)</f>
        <v>926</v>
      </c>
      <c r="C1848" t="s">
        <v>56</v>
      </c>
      <c r="D1848">
        <f>VLOOKUP(C1848,Sheet2!C:G,5,FALSE)</f>
        <v>1207</v>
      </c>
      <c r="E1848" t="s">
        <v>57</v>
      </c>
      <c r="F1848">
        <f>VLOOKUP(E1848,Sheet2!D:E,2,FALSE)</f>
        <v>200982</v>
      </c>
      <c r="G1848" t="s">
        <v>1824</v>
      </c>
      <c r="H1848" t="str">
        <f t="shared" si="56"/>
        <v>KAKAO304849</v>
      </c>
      <c r="I1848" t="str">
        <f>"304849"</f>
        <v>304849</v>
      </c>
      <c r="J1848">
        <v>184360</v>
      </c>
      <c r="K1848" s="1">
        <v>44866</v>
      </c>
      <c r="L1848" t="s">
        <v>1233</v>
      </c>
      <c r="M1848">
        <f t="shared" si="57"/>
        <v>184360</v>
      </c>
      <c r="N1848" t="e">
        <f>VLOOKUP(H1848,Sheet1!G:H,2,FALSE)</f>
        <v>#N/A</v>
      </c>
      <c r="R1848" t="s">
        <v>3772</v>
      </c>
      <c r="S1848">
        <v>364140</v>
      </c>
    </row>
    <row r="1849" spans="1:19" x14ac:dyDescent="0.3">
      <c r="A1849" t="s">
        <v>8</v>
      </c>
      <c r="B1849">
        <f>VLOOKUP(A1849,Sheet2!B:F,5,FALSE)</f>
        <v>928</v>
      </c>
      <c r="C1849" t="s">
        <v>9</v>
      </c>
      <c r="D1849">
        <f>VLOOKUP(C1849,Sheet2!C:G,5,FALSE)</f>
        <v>1202</v>
      </c>
      <c r="E1849" t="s">
        <v>45</v>
      </c>
      <c r="F1849">
        <f>VLOOKUP(E1849,Sheet2!D:E,2,FALSE)</f>
        <v>26</v>
      </c>
      <c r="G1849" t="s">
        <v>1824</v>
      </c>
      <c r="H1849" t="str">
        <f t="shared" si="56"/>
        <v>KAKAO304858</v>
      </c>
      <c r="I1849" t="str">
        <f>"304858"</f>
        <v>304858</v>
      </c>
      <c r="J1849">
        <v>335710</v>
      </c>
      <c r="K1849" s="1">
        <v>44866</v>
      </c>
      <c r="L1849" t="s">
        <v>1014</v>
      </c>
      <c r="M1849">
        <f t="shared" si="57"/>
        <v>335710</v>
      </c>
      <c r="N1849" t="e">
        <f>VLOOKUP(H1849,Sheet1!G:H,2,FALSE)</f>
        <v>#N/A</v>
      </c>
      <c r="R1849" t="s">
        <v>3773</v>
      </c>
      <c r="S1849">
        <v>1833830</v>
      </c>
    </row>
    <row r="1850" spans="1:19" x14ac:dyDescent="0.3">
      <c r="A1850" t="s">
        <v>8</v>
      </c>
      <c r="B1850">
        <f>VLOOKUP(A1850,Sheet2!B:F,5,FALSE)</f>
        <v>928</v>
      </c>
      <c r="C1850" t="s">
        <v>9</v>
      </c>
      <c r="D1850">
        <f>VLOOKUP(C1850,Sheet2!C:G,5,FALSE)</f>
        <v>1202</v>
      </c>
      <c r="E1850" t="s">
        <v>47</v>
      </c>
      <c r="F1850">
        <f>VLOOKUP(E1850,Sheet2!D:E,2,FALSE)</f>
        <v>898</v>
      </c>
      <c r="G1850" t="s">
        <v>1824</v>
      </c>
      <c r="H1850" t="str">
        <f t="shared" si="56"/>
        <v>KAKAO304891</v>
      </c>
      <c r="I1850" t="str">
        <f>"304891"</f>
        <v>304891</v>
      </c>
      <c r="J1850">
        <v>389960</v>
      </c>
      <c r="K1850" s="1">
        <v>44866</v>
      </c>
      <c r="L1850" t="s">
        <v>1831</v>
      </c>
      <c r="M1850">
        <f t="shared" si="57"/>
        <v>389960</v>
      </c>
      <c r="N1850" t="e">
        <f>VLOOKUP(H1850,Sheet1!G:H,2,FALSE)</f>
        <v>#N/A</v>
      </c>
      <c r="R1850" t="s">
        <v>3774</v>
      </c>
      <c r="S1850">
        <v>62410</v>
      </c>
    </row>
    <row r="1851" spans="1:19" x14ac:dyDescent="0.3">
      <c r="A1851" t="s">
        <v>8</v>
      </c>
      <c r="B1851">
        <f>VLOOKUP(A1851,Sheet2!B:F,5,FALSE)</f>
        <v>928</v>
      </c>
      <c r="C1851" t="s">
        <v>9</v>
      </c>
      <c r="D1851">
        <f>VLOOKUP(C1851,Sheet2!C:G,5,FALSE)</f>
        <v>1202</v>
      </c>
      <c r="E1851" t="s">
        <v>122</v>
      </c>
      <c r="F1851">
        <f>VLOOKUP(E1851,Sheet2!D:E,2,FALSE)</f>
        <v>251</v>
      </c>
      <c r="G1851" t="s">
        <v>1824</v>
      </c>
      <c r="H1851" t="str">
        <f t="shared" si="56"/>
        <v>KAKAO305014</v>
      </c>
      <c r="I1851" t="str">
        <f>"305014"</f>
        <v>305014</v>
      </c>
      <c r="J1851">
        <v>155300</v>
      </c>
      <c r="K1851" s="1">
        <v>44866</v>
      </c>
      <c r="L1851" t="s">
        <v>319</v>
      </c>
      <c r="M1851" t="e">
        <f t="shared" si="57"/>
        <v>#N/A</v>
      </c>
      <c r="N1851" t="e">
        <f>VLOOKUP(H1851,Sheet1!G:H,2,FALSE)</f>
        <v>#N/A</v>
      </c>
      <c r="R1851" t="s">
        <v>3775</v>
      </c>
      <c r="S1851">
        <v>229860</v>
      </c>
    </row>
    <row r="1852" spans="1:19" x14ac:dyDescent="0.3">
      <c r="A1852" t="s">
        <v>8</v>
      </c>
      <c r="B1852">
        <f>VLOOKUP(A1852,Sheet2!B:F,5,FALSE)</f>
        <v>928</v>
      </c>
      <c r="C1852" t="s">
        <v>9</v>
      </c>
      <c r="D1852">
        <f>VLOOKUP(C1852,Sheet2!C:G,5,FALSE)</f>
        <v>1202</v>
      </c>
      <c r="E1852" t="s">
        <v>45</v>
      </c>
      <c r="F1852">
        <f>VLOOKUP(E1852,Sheet2!D:E,2,FALSE)</f>
        <v>26</v>
      </c>
      <c r="G1852" t="s">
        <v>1824</v>
      </c>
      <c r="H1852" t="str">
        <f t="shared" si="56"/>
        <v>KAKAO305069</v>
      </c>
      <c r="I1852" t="str">
        <f>"305069"</f>
        <v>305069</v>
      </c>
      <c r="J1852">
        <v>4830</v>
      </c>
      <c r="K1852" s="1">
        <v>44866</v>
      </c>
      <c r="L1852" t="s">
        <v>573</v>
      </c>
      <c r="M1852">
        <f t="shared" si="57"/>
        <v>4830</v>
      </c>
      <c r="N1852" t="e">
        <f>VLOOKUP(H1852,Sheet1!G:H,2,FALSE)</f>
        <v>#N/A</v>
      </c>
      <c r="R1852" t="s">
        <v>3776</v>
      </c>
      <c r="S1852">
        <v>20320</v>
      </c>
    </row>
    <row r="1853" spans="1:19" x14ac:dyDescent="0.3">
      <c r="A1853" t="s">
        <v>41</v>
      </c>
      <c r="B1853">
        <f>VLOOKUP(A1853,Sheet2!B:F,5,FALSE)</f>
        <v>926</v>
      </c>
      <c r="C1853" t="s">
        <v>56</v>
      </c>
      <c r="D1853">
        <f>VLOOKUP(C1853,Sheet2!C:G,5,FALSE)</f>
        <v>1207</v>
      </c>
      <c r="E1853" t="s">
        <v>57</v>
      </c>
      <c r="F1853">
        <f>VLOOKUP(E1853,Sheet2!D:E,2,FALSE)</f>
        <v>200982</v>
      </c>
      <c r="G1853" t="s">
        <v>1824</v>
      </c>
      <c r="H1853" t="str">
        <f t="shared" si="56"/>
        <v>KAKAO305195</v>
      </c>
      <c r="I1853" t="str">
        <f>"305195"</f>
        <v>305195</v>
      </c>
      <c r="J1853">
        <v>9380</v>
      </c>
      <c r="K1853" s="1">
        <v>44866</v>
      </c>
      <c r="L1853" t="s">
        <v>307</v>
      </c>
      <c r="M1853">
        <f t="shared" si="57"/>
        <v>9380</v>
      </c>
      <c r="N1853" t="e">
        <f>VLOOKUP(H1853,Sheet1!G:H,2,FALSE)</f>
        <v>#N/A</v>
      </c>
      <c r="R1853" t="s">
        <v>3777</v>
      </c>
      <c r="S1853">
        <v>166510</v>
      </c>
    </row>
    <row r="1854" spans="1:19" x14ac:dyDescent="0.3">
      <c r="A1854" t="s">
        <v>8</v>
      </c>
      <c r="B1854">
        <f>VLOOKUP(A1854,Sheet2!B:F,5,FALSE)</f>
        <v>928</v>
      </c>
      <c r="C1854" t="s">
        <v>13</v>
      </c>
      <c r="D1854">
        <f>VLOOKUP(C1854,Sheet2!C:G,5,FALSE)</f>
        <v>1184</v>
      </c>
      <c r="E1854" t="s">
        <v>51</v>
      </c>
      <c r="F1854">
        <f>VLOOKUP(E1854,Sheet2!D:E,2,FALSE)</f>
        <v>1274</v>
      </c>
      <c r="G1854" t="s">
        <v>1824</v>
      </c>
      <c r="H1854" t="str">
        <f t="shared" si="56"/>
        <v>KAKAO305387</v>
      </c>
      <c r="I1854" t="str">
        <f>"305387"</f>
        <v>305387</v>
      </c>
      <c r="J1854">
        <v>5230</v>
      </c>
      <c r="K1854" s="1">
        <v>44866</v>
      </c>
      <c r="L1854" t="s">
        <v>1246</v>
      </c>
      <c r="M1854">
        <f t="shared" si="57"/>
        <v>5230</v>
      </c>
      <c r="N1854" t="e">
        <f>VLOOKUP(H1854,Sheet1!G:H,2,FALSE)</f>
        <v>#N/A</v>
      </c>
      <c r="R1854" t="s">
        <v>3778</v>
      </c>
      <c r="S1854">
        <v>33790</v>
      </c>
    </row>
    <row r="1855" spans="1:19" x14ac:dyDescent="0.3">
      <c r="A1855" t="s">
        <v>16</v>
      </c>
      <c r="B1855">
        <f>VLOOKUP(A1855,Sheet2!B:F,5,FALSE)</f>
        <v>927</v>
      </c>
      <c r="C1855" t="s">
        <v>17</v>
      </c>
      <c r="D1855">
        <f>VLOOKUP(C1855,Sheet2!C:G,5,FALSE)</f>
        <v>1200</v>
      </c>
      <c r="E1855" t="s">
        <v>78</v>
      </c>
      <c r="F1855">
        <f>VLOOKUP(E1855,Sheet2!D:E,2,FALSE)</f>
        <v>57</v>
      </c>
      <c r="G1855" t="s">
        <v>1824</v>
      </c>
      <c r="H1855" t="str">
        <f t="shared" si="56"/>
        <v>KAKAO305405</v>
      </c>
      <c r="I1855" t="str">
        <f>"305405"</f>
        <v>305405</v>
      </c>
      <c r="J1855">
        <v>362010</v>
      </c>
      <c r="K1855" s="1">
        <v>44866</v>
      </c>
      <c r="L1855" t="s">
        <v>361</v>
      </c>
      <c r="M1855">
        <f t="shared" si="57"/>
        <v>362010</v>
      </c>
      <c r="N1855" t="e">
        <f>VLOOKUP(H1855,Sheet1!G:H,2,FALSE)</f>
        <v>#N/A</v>
      </c>
      <c r="R1855" t="s">
        <v>3779</v>
      </c>
      <c r="S1855">
        <v>18540</v>
      </c>
    </row>
    <row r="1856" spans="1:19" x14ac:dyDescent="0.3">
      <c r="A1856" t="s">
        <v>8</v>
      </c>
      <c r="B1856">
        <f>VLOOKUP(A1856,Sheet2!B:F,5,FALSE)</f>
        <v>928</v>
      </c>
      <c r="C1856" t="s">
        <v>13</v>
      </c>
      <c r="D1856">
        <f>VLOOKUP(C1856,Sheet2!C:G,5,FALSE)</f>
        <v>1184</v>
      </c>
      <c r="E1856" t="s">
        <v>51</v>
      </c>
      <c r="F1856">
        <f>VLOOKUP(E1856,Sheet2!D:E,2,FALSE)</f>
        <v>1274</v>
      </c>
      <c r="G1856" t="s">
        <v>1824</v>
      </c>
      <c r="H1856" t="str">
        <f t="shared" si="56"/>
        <v>KAKAO305627</v>
      </c>
      <c r="I1856" t="str">
        <f>"305627"</f>
        <v>305627</v>
      </c>
      <c r="J1856">
        <v>1910</v>
      </c>
      <c r="K1856" s="1">
        <v>44866</v>
      </c>
      <c r="L1856" t="s">
        <v>1537</v>
      </c>
      <c r="M1856">
        <f t="shared" si="57"/>
        <v>1910</v>
      </c>
      <c r="N1856" t="e">
        <f>VLOOKUP(H1856,Sheet1!G:H,2,FALSE)</f>
        <v>#N/A</v>
      </c>
      <c r="R1856" t="s">
        <v>3780</v>
      </c>
      <c r="S1856">
        <v>113760</v>
      </c>
    </row>
    <row r="1857" spans="1:19" x14ac:dyDescent="0.3">
      <c r="A1857" t="s">
        <v>8</v>
      </c>
      <c r="B1857">
        <f>VLOOKUP(A1857,Sheet2!B:F,5,FALSE)</f>
        <v>928</v>
      </c>
      <c r="C1857" t="s">
        <v>9</v>
      </c>
      <c r="D1857">
        <f>VLOOKUP(C1857,Sheet2!C:G,5,FALSE)</f>
        <v>1202</v>
      </c>
      <c r="E1857" t="s">
        <v>47</v>
      </c>
      <c r="F1857">
        <f>VLOOKUP(E1857,Sheet2!D:E,2,FALSE)</f>
        <v>898</v>
      </c>
      <c r="G1857" t="s">
        <v>1824</v>
      </c>
      <c r="H1857" t="str">
        <f t="shared" si="56"/>
        <v>KAKAO305659</v>
      </c>
      <c r="I1857" t="str">
        <f>"305659"</f>
        <v>305659</v>
      </c>
      <c r="J1857">
        <v>72730</v>
      </c>
      <c r="K1857" s="1">
        <v>44866</v>
      </c>
      <c r="L1857" t="s">
        <v>866</v>
      </c>
      <c r="M1857">
        <f t="shared" si="57"/>
        <v>72730</v>
      </c>
      <c r="N1857" t="e">
        <f>VLOOKUP(H1857,Sheet1!G:H,2,FALSE)</f>
        <v>#N/A</v>
      </c>
      <c r="R1857" t="s">
        <v>3781</v>
      </c>
      <c r="S1857">
        <v>2370</v>
      </c>
    </row>
    <row r="1858" spans="1:19" x14ac:dyDescent="0.3">
      <c r="A1858" t="s">
        <v>8</v>
      </c>
      <c r="B1858">
        <f>VLOOKUP(A1858,Sheet2!B:F,5,FALSE)</f>
        <v>928</v>
      </c>
      <c r="C1858" t="s">
        <v>13</v>
      </c>
      <c r="D1858">
        <f>VLOOKUP(C1858,Sheet2!C:G,5,FALSE)</f>
        <v>1184</v>
      </c>
      <c r="E1858" t="s">
        <v>115</v>
      </c>
      <c r="F1858">
        <f>VLOOKUP(E1858,Sheet2!D:E,2,FALSE)</f>
        <v>1548</v>
      </c>
      <c r="G1858" t="s">
        <v>1824</v>
      </c>
      <c r="H1858" t="str">
        <f t="shared" si="56"/>
        <v>KAKAO305894</v>
      </c>
      <c r="I1858" t="str">
        <f>"305894"</f>
        <v>305894</v>
      </c>
      <c r="J1858">
        <v>5080</v>
      </c>
      <c r="K1858" s="1">
        <v>44866</v>
      </c>
      <c r="L1858" t="s">
        <v>1832</v>
      </c>
      <c r="M1858" t="e">
        <f t="shared" si="57"/>
        <v>#N/A</v>
      </c>
      <c r="N1858" t="e">
        <f>VLOOKUP(H1858,Sheet1!G:H,2,FALSE)</f>
        <v>#N/A</v>
      </c>
      <c r="R1858" t="s">
        <v>3782</v>
      </c>
      <c r="S1858">
        <v>456970</v>
      </c>
    </row>
    <row r="1859" spans="1:19" x14ac:dyDescent="0.3">
      <c r="A1859" t="s">
        <v>8</v>
      </c>
      <c r="B1859">
        <f>VLOOKUP(A1859,Sheet2!B:F,5,FALSE)</f>
        <v>928</v>
      </c>
      <c r="C1859" t="s">
        <v>13</v>
      </c>
      <c r="D1859">
        <f>VLOOKUP(C1859,Sheet2!C:G,5,FALSE)</f>
        <v>1184</v>
      </c>
      <c r="E1859" t="s">
        <v>118</v>
      </c>
      <c r="F1859">
        <f>VLOOKUP(E1859,Sheet2!D:E,2,FALSE)</f>
        <v>201004</v>
      </c>
      <c r="G1859" t="s">
        <v>1824</v>
      </c>
      <c r="H1859" t="str">
        <f t="shared" ref="H1859:H1922" si="58">CONCATENATE(G1859,I1859)</f>
        <v>KAKAO305990</v>
      </c>
      <c r="I1859" t="str">
        <f>"305990"</f>
        <v>305990</v>
      </c>
      <c r="J1859">
        <v>46290</v>
      </c>
      <c r="K1859" s="1">
        <v>44866</v>
      </c>
      <c r="L1859" t="s">
        <v>1833</v>
      </c>
      <c r="M1859" t="e">
        <f t="shared" ref="M1859:M1922" si="59">VLOOKUP(H1859,R:S,2,FALSE)</f>
        <v>#N/A</v>
      </c>
      <c r="N1859" t="e">
        <f>VLOOKUP(H1859,Sheet1!G:H,2,FALSE)</f>
        <v>#N/A</v>
      </c>
      <c r="R1859" t="s">
        <v>3783</v>
      </c>
      <c r="S1859">
        <v>286600</v>
      </c>
    </row>
    <row r="1860" spans="1:19" x14ac:dyDescent="0.3">
      <c r="A1860" t="s">
        <v>8</v>
      </c>
      <c r="B1860">
        <f>VLOOKUP(A1860,Sheet2!B:F,5,FALSE)</f>
        <v>928</v>
      </c>
      <c r="C1860" t="s">
        <v>13</v>
      </c>
      <c r="D1860">
        <f>VLOOKUP(C1860,Sheet2!C:G,5,FALSE)</f>
        <v>1184</v>
      </c>
      <c r="E1860" t="s">
        <v>115</v>
      </c>
      <c r="F1860">
        <f>VLOOKUP(E1860,Sheet2!D:E,2,FALSE)</f>
        <v>1548</v>
      </c>
      <c r="G1860" t="s">
        <v>1824</v>
      </c>
      <c r="H1860" t="str">
        <f t="shared" si="58"/>
        <v>KAKAO306055</v>
      </c>
      <c r="I1860" t="str">
        <f>"306055"</f>
        <v>306055</v>
      </c>
      <c r="J1860">
        <v>91180</v>
      </c>
      <c r="K1860" s="1">
        <v>44866</v>
      </c>
      <c r="L1860" t="s">
        <v>1560</v>
      </c>
      <c r="M1860" t="e">
        <f t="shared" si="59"/>
        <v>#N/A</v>
      </c>
      <c r="N1860" t="e">
        <f>VLOOKUP(H1860,Sheet1!G:H,2,FALSE)</f>
        <v>#N/A</v>
      </c>
      <c r="R1860" t="s">
        <v>3784</v>
      </c>
      <c r="S1860">
        <v>1920</v>
      </c>
    </row>
    <row r="1861" spans="1:19" x14ac:dyDescent="0.3">
      <c r="A1861" t="s">
        <v>41</v>
      </c>
      <c r="B1861">
        <f>VLOOKUP(A1861,Sheet2!B:F,5,FALSE)</f>
        <v>926</v>
      </c>
      <c r="C1861" t="s">
        <v>56</v>
      </c>
      <c r="D1861">
        <f>VLOOKUP(C1861,Sheet2!C:G,5,FALSE)</f>
        <v>1207</v>
      </c>
      <c r="E1861" t="s">
        <v>57</v>
      </c>
      <c r="F1861">
        <f>VLOOKUP(E1861,Sheet2!D:E,2,FALSE)</f>
        <v>200982</v>
      </c>
      <c r="G1861" t="s">
        <v>1824</v>
      </c>
      <c r="H1861" t="str">
        <f t="shared" si="58"/>
        <v>KAKAO306068</v>
      </c>
      <c r="I1861" t="str">
        <f>"306068"</f>
        <v>306068</v>
      </c>
      <c r="J1861">
        <v>40650</v>
      </c>
      <c r="K1861" s="1">
        <v>44866</v>
      </c>
      <c r="L1861" t="s">
        <v>1834</v>
      </c>
      <c r="M1861" t="e">
        <f t="shared" si="59"/>
        <v>#N/A</v>
      </c>
      <c r="N1861" t="e">
        <f>VLOOKUP(H1861,Sheet1!G:H,2,FALSE)</f>
        <v>#N/A</v>
      </c>
      <c r="R1861" t="s">
        <v>3785</v>
      </c>
      <c r="S1861">
        <v>821780</v>
      </c>
    </row>
    <row r="1862" spans="1:19" x14ac:dyDescent="0.3">
      <c r="A1862" t="s">
        <v>41</v>
      </c>
      <c r="B1862">
        <f>VLOOKUP(A1862,Sheet2!B:F,5,FALSE)</f>
        <v>926</v>
      </c>
      <c r="C1862" t="s">
        <v>56</v>
      </c>
      <c r="D1862">
        <f>VLOOKUP(C1862,Sheet2!C:G,5,FALSE)</f>
        <v>1207</v>
      </c>
      <c r="E1862" t="s">
        <v>64</v>
      </c>
      <c r="F1862">
        <f>VLOOKUP(E1862,Sheet2!D:E,2,FALSE)</f>
        <v>201011</v>
      </c>
      <c r="G1862" t="s">
        <v>1824</v>
      </c>
      <c r="H1862" t="str">
        <f t="shared" si="58"/>
        <v>KAKAO306158</v>
      </c>
      <c r="I1862" t="str">
        <f>"306158"</f>
        <v>306158</v>
      </c>
      <c r="J1862">
        <v>272090</v>
      </c>
      <c r="K1862" s="1">
        <v>44866</v>
      </c>
      <c r="L1862" t="s">
        <v>1835</v>
      </c>
      <c r="M1862" t="e">
        <f t="shared" si="59"/>
        <v>#N/A</v>
      </c>
      <c r="N1862" t="e">
        <f>VLOOKUP(H1862,Sheet1!G:H,2,FALSE)</f>
        <v>#N/A</v>
      </c>
      <c r="R1862" t="s">
        <v>3786</v>
      </c>
      <c r="S1862">
        <v>5890</v>
      </c>
    </row>
    <row r="1863" spans="1:19" x14ac:dyDescent="0.3">
      <c r="A1863" t="s">
        <v>41</v>
      </c>
      <c r="B1863">
        <f>VLOOKUP(A1863,Sheet2!B:F,5,FALSE)</f>
        <v>926</v>
      </c>
      <c r="C1863" t="s">
        <v>56</v>
      </c>
      <c r="D1863">
        <f>VLOOKUP(C1863,Sheet2!C:G,5,FALSE)</f>
        <v>1207</v>
      </c>
      <c r="E1863" t="s">
        <v>57</v>
      </c>
      <c r="F1863">
        <f>VLOOKUP(E1863,Sheet2!D:E,2,FALSE)</f>
        <v>200982</v>
      </c>
      <c r="G1863" t="s">
        <v>1824</v>
      </c>
      <c r="H1863" t="str">
        <f t="shared" si="58"/>
        <v>KAKAO306240</v>
      </c>
      <c r="I1863" t="str">
        <f>"306240"</f>
        <v>306240</v>
      </c>
      <c r="J1863">
        <v>62770</v>
      </c>
      <c r="K1863" s="1">
        <v>44866</v>
      </c>
      <c r="L1863" t="s">
        <v>1836</v>
      </c>
      <c r="M1863" t="e">
        <f t="shared" si="59"/>
        <v>#N/A</v>
      </c>
      <c r="N1863" t="e">
        <f>VLOOKUP(H1863,Sheet1!G:H,2,FALSE)</f>
        <v>#N/A</v>
      </c>
      <c r="R1863" t="s">
        <v>3787</v>
      </c>
      <c r="S1863">
        <v>72170</v>
      </c>
    </row>
    <row r="1864" spans="1:19" x14ac:dyDescent="0.3">
      <c r="A1864" t="s">
        <v>8</v>
      </c>
      <c r="B1864">
        <f>VLOOKUP(A1864,Sheet2!B:F,5,FALSE)</f>
        <v>928</v>
      </c>
      <c r="C1864" t="s">
        <v>13</v>
      </c>
      <c r="D1864">
        <f>VLOOKUP(C1864,Sheet2!C:G,5,FALSE)</f>
        <v>1184</v>
      </c>
      <c r="E1864" t="s">
        <v>115</v>
      </c>
      <c r="F1864">
        <f>VLOOKUP(E1864,Sheet2!D:E,2,FALSE)</f>
        <v>1548</v>
      </c>
      <c r="G1864" t="s">
        <v>1824</v>
      </c>
      <c r="H1864" t="str">
        <f t="shared" si="58"/>
        <v>KAKAO306284</v>
      </c>
      <c r="I1864" t="str">
        <f>"306284"</f>
        <v>306284</v>
      </c>
      <c r="J1864">
        <v>30690</v>
      </c>
      <c r="K1864" s="1">
        <v>44866</v>
      </c>
      <c r="L1864" t="s">
        <v>1164</v>
      </c>
      <c r="M1864" t="e">
        <f t="shared" si="59"/>
        <v>#N/A</v>
      </c>
      <c r="N1864" t="e">
        <f>VLOOKUP(H1864,Sheet1!G:H,2,FALSE)</f>
        <v>#N/A</v>
      </c>
      <c r="R1864" t="s">
        <v>3788</v>
      </c>
      <c r="S1864">
        <v>548420</v>
      </c>
    </row>
    <row r="1865" spans="1:19" x14ac:dyDescent="0.3">
      <c r="A1865" t="s">
        <v>8</v>
      </c>
      <c r="B1865">
        <f>VLOOKUP(A1865,Sheet2!B:F,5,FALSE)</f>
        <v>928</v>
      </c>
      <c r="C1865" t="s">
        <v>13</v>
      </c>
      <c r="D1865">
        <f>VLOOKUP(C1865,Sheet2!C:G,5,FALSE)</f>
        <v>1184</v>
      </c>
      <c r="E1865" t="s">
        <v>115</v>
      </c>
      <c r="F1865">
        <f>VLOOKUP(E1865,Sheet2!D:E,2,FALSE)</f>
        <v>1548</v>
      </c>
      <c r="G1865" t="s">
        <v>1824</v>
      </c>
      <c r="H1865" t="str">
        <f t="shared" si="58"/>
        <v>KAKAO306535</v>
      </c>
      <c r="I1865" t="str">
        <f>"306535"</f>
        <v>306535</v>
      </c>
      <c r="J1865">
        <v>253580</v>
      </c>
      <c r="K1865" s="1">
        <v>44866</v>
      </c>
      <c r="L1865" t="s">
        <v>1413</v>
      </c>
      <c r="M1865" t="e">
        <f t="shared" si="59"/>
        <v>#N/A</v>
      </c>
      <c r="N1865" t="e">
        <f>VLOOKUP(H1865,Sheet1!G:H,2,FALSE)</f>
        <v>#N/A</v>
      </c>
      <c r="R1865" t="s">
        <v>3789</v>
      </c>
      <c r="S1865">
        <v>61130</v>
      </c>
    </row>
    <row r="1866" spans="1:19" x14ac:dyDescent="0.3">
      <c r="A1866" t="s">
        <v>41</v>
      </c>
      <c r="B1866">
        <f>VLOOKUP(A1866,Sheet2!B:F,5,FALSE)</f>
        <v>926</v>
      </c>
      <c r="C1866" t="s">
        <v>42</v>
      </c>
      <c r="D1866">
        <f>VLOOKUP(C1866,Sheet2!C:G,5,FALSE)</f>
        <v>964</v>
      </c>
      <c r="E1866" t="s">
        <v>43</v>
      </c>
      <c r="F1866">
        <f>VLOOKUP(E1866,Sheet2!D:E,2,FALSE)</f>
        <v>200998</v>
      </c>
      <c r="G1866" t="s">
        <v>1824</v>
      </c>
      <c r="H1866" t="str">
        <f t="shared" si="58"/>
        <v>KAKAO306969</v>
      </c>
      <c r="I1866" t="str">
        <f>"306969"</f>
        <v>306969</v>
      </c>
      <c r="J1866">
        <v>29460</v>
      </c>
      <c r="K1866" s="1">
        <v>44866</v>
      </c>
      <c r="L1866" t="s">
        <v>1837</v>
      </c>
      <c r="M1866" t="e">
        <f t="shared" si="59"/>
        <v>#N/A</v>
      </c>
      <c r="N1866" t="e">
        <f>VLOOKUP(H1866,Sheet1!G:H,2,FALSE)</f>
        <v>#N/A</v>
      </c>
      <c r="R1866" t="s">
        <v>3790</v>
      </c>
      <c r="S1866">
        <v>214580</v>
      </c>
    </row>
    <row r="1867" spans="1:19" x14ac:dyDescent="0.3">
      <c r="A1867" t="s">
        <v>16</v>
      </c>
      <c r="B1867">
        <f>VLOOKUP(A1867,Sheet2!B:F,5,FALSE)</f>
        <v>927</v>
      </c>
      <c r="C1867" t="s">
        <v>17</v>
      </c>
      <c r="D1867">
        <f>VLOOKUP(C1867,Sheet2!C:G,5,FALSE)</f>
        <v>1200</v>
      </c>
      <c r="E1867" t="s">
        <v>66</v>
      </c>
      <c r="F1867">
        <f>VLOOKUP(E1867,Sheet2!D:E,2,FALSE)</f>
        <v>33</v>
      </c>
      <c r="G1867" t="s">
        <v>1824</v>
      </c>
      <c r="H1867" t="str">
        <f t="shared" si="58"/>
        <v>KAKAO307041</v>
      </c>
      <c r="I1867" t="str">
        <f>"307041"</f>
        <v>307041</v>
      </c>
      <c r="J1867">
        <v>31820</v>
      </c>
      <c r="K1867" s="1">
        <v>44866</v>
      </c>
      <c r="L1867" t="s">
        <v>953</v>
      </c>
      <c r="M1867">
        <f t="shared" si="59"/>
        <v>31820</v>
      </c>
      <c r="N1867" t="e">
        <f>VLOOKUP(H1867,Sheet1!G:H,2,FALSE)</f>
        <v>#N/A</v>
      </c>
      <c r="R1867" t="s">
        <v>3791</v>
      </c>
      <c r="S1867">
        <v>1969030</v>
      </c>
    </row>
    <row r="1868" spans="1:19" x14ac:dyDescent="0.3">
      <c r="A1868" t="s">
        <v>8</v>
      </c>
      <c r="B1868">
        <f>VLOOKUP(A1868,Sheet2!B:F,5,FALSE)</f>
        <v>928</v>
      </c>
      <c r="C1868" t="s">
        <v>9</v>
      </c>
      <c r="D1868">
        <f>VLOOKUP(C1868,Sheet2!C:G,5,FALSE)</f>
        <v>1202</v>
      </c>
      <c r="E1868" t="s">
        <v>47</v>
      </c>
      <c r="F1868">
        <f>VLOOKUP(E1868,Sheet2!D:E,2,FALSE)</f>
        <v>898</v>
      </c>
      <c r="G1868" t="s">
        <v>1824</v>
      </c>
      <c r="H1868" t="str">
        <f t="shared" si="58"/>
        <v>KAKAO307089</v>
      </c>
      <c r="I1868" t="str">
        <f>"307089"</f>
        <v>307089</v>
      </c>
      <c r="J1868">
        <v>562850</v>
      </c>
      <c r="K1868" s="1">
        <v>44866</v>
      </c>
      <c r="L1868" t="s">
        <v>1009</v>
      </c>
      <c r="M1868">
        <f t="shared" si="59"/>
        <v>562850</v>
      </c>
      <c r="N1868" t="e">
        <f>VLOOKUP(H1868,Sheet1!G:H,2,FALSE)</f>
        <v>#N/A</v>
      </c>
      <c r="R1868" t="s">
        <v>3792</v>
      </c>
      <c r="S1868">
        <v>4160600</v>
      </c>
    </row>
    <row r="1869" spans="1:19" x14ac:dyDescent="0.3">
      <c r="A1869" t="s">
        <v>41</v>
      </c>
      <c r="B1869">
        <f>VLOOKUP(A1869,Sheet2!B:F,5,FALSE)</f>
        <v>926</v>
      </c>
      <c r="C1869" t="s">
        <v>42</v>
      </c>
      <c r="D1869">
        <f>VLOOKUP(C1869,Sheet2!C:G,5,FALSE)</f>
        <v>964</v>
      </c>
      <c r="E1869" t="s">
        <v>43</v>
      </c>
      <c r="F1869">
        <f>VLOOKUP(E1869,Sheet2!D:E,2,FALSE)</f>
        <v>200998</v>
      </c>
      <c r="G1869" t="s">
        <v>1824</v>
      </c>
      <c r="H1869" t="str">
        <f t="shared" si="58"/>
        <v>KAKAO307093</v>
      </c>
      <c r="I1869" t="str">
        <f>"307093"</f>
        <v>307093</v>
      </c>
      <c r="J1869">
        <v>70</v>
      </c>
      <c r="K1869" s="1">
        <v>44866</v>
      </c>
      <c r="L1869" t="s">
        <v>1838</v>
      </c>
      <c r="M1869">
        <f t="shared" si="59"/>
        <v>70</v>
      </c>
      <c r="N1869" t="e">
        <f>VLOOKUP(H1869,Sheet1!G:H,2,FALSE)</f>
        <v>#N/A</v>
      </c>
      <c r="R1869" t="s">
        <v>3793</v>
      </c>
      <c r="S1869">
        <v>1213800</v>
      </c>
    </row>
    <row r="1870" spans="1:19" x14ac:dyDescent="0.3">
      <c r="A1870" t="s">
        <v>8</v>
      </c>
      <c r="B1870">
        <f>VLOOKUP(A1870,Sheet2!B:F,5,FALSE)</f>
        <v>928</v>
      </c>
      <c r="C1870" t="s">
        <v>9</v>
      </c>
      <c r="D1870">
        <f>VLOOKUP(C1870,Sheet2!C:G,5,FALSE)</f>
        <v>1202</v>
      </c>
      <c r="E1870" t="s">
        <v>47</v>
      </c>
      <c r="F1870">
        <f>VLOOKUP(E1870,Sheet2!D:E,2,FALSE)</f>
        <v>898</v>
      </c>
      <c r="G1870" t="s">
        <v>1824</v>
      </c>
      <c r="H1870" t="str">
        <f t="shared" si="58"/>
        <v>KAKAO307097</v>
      </c>
      <c r="I1870" t="str">
        <f>"307097"</f>
        <v>307097</v>
      </c>
      <c r="J1870">
        <v>251280</v>
      </c>
      <c r="K1870" s="1">
        <v>44866</v>
      </c>
      <c r="L1870" t="s">
        <v>196</v>
      </c>
      <c r="M1870">
        <f t="shared" si="59"/>
        <v>251280</v>
      </c>
      <c r="N1870" t="e">
        <f>VLOOKUP(H1870,Sheet1!G:H,2,FALSE)</f>
        <v>#N/A</v>
      </c>
      <c r="R1870" t="s">
        <v>3794</v>
      </c>
      <c r="S1870">
        <v>373170</v>
      </c>
    </row>
    <row r="1871" spans="1:19" x14ac:dyDescent="0.3">
      <c r="A1871" t="s">
        <v>8</v>
      </c>
      <c r="B1871">
        <f>VLOOKUP(A1871,Sheet2!B:F,5,FALSE)</f>
        <v>928</v>
      </c>
      <c r="C1871" t="s">
        <v>13</v>
      </c>
      <c r="D1871">
        <f>VLOOKUP(C1871,Sheet2!C:G,5,FALSE)</f>
        <v>1184</v>
      </c>
      <c r="E1871" t="s">
        <v>118</v>
      </c>
      <c r="F1871">
        <f>VLOOKUP(E1871,Sheet2!D:E,2,FALSE)</f>
        <v>201004</v>
      </c>
      <c r="G1871" t="s">
        <v>1824</v>
      </c>
      <c r="H1871" t="str">
        <f t="shared" si="58"/>
        <v>KAKAO307333</v>
      </c>
      <c r="I1871" t="str">
        <f>"307333"</f>
        <v>307333</v>
      </c>
      <c r="J1871">
        <v>43530</v>
      </c>
      <c r="K1871" s="1">
        <v>44866</v>
      </c>
      <c r="L1871" t="s">
        <v>1839</v>
      </c>
      <c r="M1871" t="e">
        <f t="shared" si="59"/>
        <v>#N/A</v>
      </c>
      <c r="N1871" t="e">
        <f>VLOOKUP(H1871,Sheet1!G:H,2,FALSE)</f>
        <v>#N/A</v>
      </c>
      <c r="R1871" t="s">
        <v>3795</v>
      </c>
      <c r="S1871">
        <v>3340</v>
      </c>
    </row>
    <row r="1872" spans="1:19" x14ac:dyDescent="0.3">
      <c r="A1872" t="s">
        <v>8</v>
      </c>
      <c r="B1872">
        <f>VLOOKUP(A1872,Sheet2!B:F,5,FALSE)</f>
        <v>928</v>
      </c>
      <c r="C1872" t="s">
        <v>13</v>
      </c>
      <c r="D1872">
        <f>VLOOKUP(C1872,Sheet2!C:G,5,FALSE)</f>
        <v>1184</v>
      </c>
      <c r="E1872" t="s">
        <v>217</v>
      </c>
      <c r="F1872">
        <f>VLOOKUP(E1872,Sheet2!D:E,2,FALSE)</f>
        <v>201027</v>
      </c>
      <c r="G1872" t="s">
        <v>1824</v>
      </c>
      <c r="H1872" t="str">
        <f t="shared" si="58"/>
        <v>KAKAO307391</v>
      </c>
      <c r="I1872" t="str">
        <f>"307391"</f>
        <v>307391</v>
      </c>
      <c r="J1872">
        <v>9980</v>
      </c>
      <c r="K1872" s="1">
        <v>44866</v>
      </c>
      <c r="L1872" t="s">
        <v>1840</v>
      </c>
      <c r="M1872">
        <f t="shared" si="59"/>
        <v>9980</v>
      </c>
      <c r="N1872" t="e">
        <f>VLOOKUP(H1872,Sheet1!G:H,2,FALSE)</f>
        <v>#N/A</v>
      </c>
      <c r="R1872" t="s">
        <v>3796</v>
      </c>
      <c r="S1872">
        <v>267040</v>
      </c>
    </row>
    <row r="1873" spans="1:19" x14ac:dyDescent="0.3">
      <c r="A1873" t="s">
        <v>16</v>
      </c>
      <c r="B1873">
        <f>VLOOKUP(A1873,Sheet2!B:F,5,FALSE)</f>
        <v>927</v>
      </c>
      <c r="C1873" t="s">
        <v>17</v>
      </c>
      <c r="D1873">
        <f>VLOOKUP(C1873,Sheet2!C:G,5,FALSE)</f>
        <v>1200</v>
      </c>
      <c r="E1873" t="s">
        <v>446</v>
      </c>
      <c r="F1873">
        <f>VLOOKUP(E1873,Sheet2!D:E,2,FALSE)</f>
        <v>566</v>
      </c>
      <c r="G1873" t="s">
        <v>1824</v>
      </c>
      <c r="H1873" t="str">
        <f t="shared" si="58"/>
        <v>KAKAO307417</v>
      </c>
      <c r="I1873" t="str">
        <f>"307417"</f>
        <v>307417</v>
      </c>
      <c r="J1873">
        <v>24380</v>
      </c>
      <c r="K1873" s="1">
        <v>44866</v>
      </c>
      <c r="L1873" t="s">
        <v>1718</v>
      </c>
      <c r="M1873">
        <f t="shared" si="59"/>
        <v>24380</v>
      </c>
      <c r="N1873" t="e">
        <f>VLOOKUP(H1873,Sheet1!G:H,2,FALSE)</f>
        <v>#N/A</v>
      </c>
      <c r="R1873" t="s">
        <v>3797</v>
      </c>
      <c r="S1873">
        <v>4120</v>
      </c>
    </row>
    <row r="1874" spans="1:19" x14ac:dyDescent="0.3">
      <c r="A1874" t="s">
        <v>8</v>
      </c>
      <c r="B1874">
        <f>VLOOKUP(A1874,Sheet2!B:F,5,FALSE)</f>
        <v>928</v>
      </c>
      <c r="C1874" t="s">
        <v>13</v>
      </c>
      <c r="D1874">
        <f>VLOOKUP(C1874,Sheet2!C:G,5,FALSE)</f>
        <v>1184</v>
      </c>
      <c r="E1874" t="s">
        <v>118</v>
      </c>
      <c r="F1874">
        <f>VLOOKUP(E1874,Sheet2!D:E,2,FALSE)</f>
        <v>201004</v>
      </c>
      <c r="G1874" t="s">
        <v>1824</v>
      </c>
      <c r="H1874" t="str">
        <f t="shared" si="58"/>
        <v>KAKAO307573</v>
      </c>
      <c r="I1874" t="str">
        <f>"307573"</f>
        <v>307573</v>
      </c>
      <c r="J1874">
        <v>90480</v>
      </c>
      <c r="K1874" s="1">
        <v>44866</v>
      </c>
      <c r="L1874" t="s">
        <v>478</v>
      </c>
      <c r="M1874" t="e">
        <f t="shared" si="59"/>
        <v>#N/A</v>
      </c>
      <c r="N1874" t="e">
        <f>VLOOKUP(H1874,Sheet1!G:H,2,FALSE)</f>
        <v>#N/A</v>
      </c>
      <c r="R1874" t="s">
        <v>3798</v>
      </c>
      <c r="S1874">
        <v>909720</v>
      </c>
    </row>
    <row r="1875" spans="1:19" x14ac:dyDescent="0.3">
      <c r="A1875" t="s">
        <v>8</v>
      </c>
      <c r="B1875">
        <f>VLOOKUP(A1875,Sheet2!B:F,5,FALSE)</f>
        <v>928</v>
      </c>
      <c r="C1875" t="s">
        <v>9</v>
      </c>
      <c r="D1875">
        <f>VLOOKUP(C1875,Sheet2!C:G,5,FALSE)</f>
        <v>1202</v>
      </c>
      <c r="E1875" t="s">
        <v>45</v>
      </c>
      <c r="F1875">
        <f>VLOOKUP(E1875,Sheet2!D:E,2,FALSE)</f>
        <v>26</v>
      </c>
      <c r="G1875" t="s">
        <v>1824</v>
      </c>
      <c r="H1875" t="str">
        <f t="shared" si="58"/>
        <v>KAKAO307575</v>
      </c>
      <c r="I1875" t="str">
        <f>"307575"</f>
        <v>307575</v>
      </c>
      <c r="J1875">
        <v>28230</v>
      </c>
      <c r="K1875" s="1">
        <v>44866</v>
      </c>
      <c r="L1875" t="s">
        <v>1024</v>
      </c>
      <c r="M1875">
        <f t="shared" si="59"/>
        <v>28230</v>
      </c>
      <c r="N1875" t="e">
        <f>VLOOKUP(H1875,Sheet1!G:H,2,FALSE)</f>
        <v>#N/A</v>
      </c>
      <c r="R1875" t="s">
        <v>3799</v>
      </c>
      <c r="S1875">
        <v>23570</v>
      </c>
    </row>
    <row r="1876" spans="1:19" x14ac:dyDescent="0.3">
      <c r="A1876" t="s">
        <v>8</v>
      </c>
      <c r="B1876">
        <f>VLOOKUP(A1876,Sheet2!B:F,5,FALSE)</f>
        <v>928</v>
      </c>
      <c r="C1876" t="s">
        <v>9</v>
      </c>
      <c r="D1876">
        <f>VLOOKUP(C1876,Sheet2!C:G,5,FALSE)</f>
        <v>1202</v>
      </c>
      <c r="E1876" t="s">
        <v>47</v>
      </c>
      <c r="F1876">
        <f>VLOOKUP(E1876,Sheet2!D:E,2,FALSE)</f>
        <v>898</v>
      </c>
      <c r="G1876" t="s">
        <v>1824</v>
      </c>
      <c r="H1876" t="str">
        <f t="shared" si="58"/>
        <v>KAKAO307601</v>
      </c>
      <c r="I1876" t="str">
        <f>"307601"</f>
        <v>307601</v>
      </c>
      <c r="J1876">
        <v>2450850</v>
      </c>
      <c r="K1876" s="1">
        <v>44866</v>
      </c>
      <c r="L1876" t="s">
        <v>945</v>
      </c>
      <c r="M1876">
        <f t="shared" si="59"/>
        <v>2450850</v>
      </c>
      <c r="N1876" t="e">
        <f>VLOOKUP(H1876,Sheet1!G:H,2,FALSE)</f>
        <v>#N/A</v>
      </c>
      <c r="R1876" t="s">
        <v>3800</v>
      </c>
      <c r="S1876">
        <v>565310</v>
      </c>
    </row>
    <row r="1877" spans="1:19" x14ac:dyDescent="0.3">
      <c r="A1877" t="s">
        <v>8</v>
      </c>
      <c r="B1877">
        <f>VLOOKUP(A1877,Sheet2!B:F,5,FALSE)</f>
        <v>928</v>
      </c>
      <c r="C1877" t="s">
        <v>13</v>
      </c>
      <c r="D1877">
        <f>VLOOKUP(C1877,Sheet2!C:G,5,FALSE)</f>
        <v>1184</v>
      </c>
      <c r="E1877" t="s">
        <v>102</v>
      </c>
      <c r="F1877">
        <f>VLOOKUP(E1877,Sheet2!D:E,2,FALSE)</f>
        <v>917</v>
      </c>
      <c r="G1877" t="s">
        <v>1824</v>
      </c>
      <c r="H1877" t="str">
        <f t="shared" si="58"/>
        <v>KAKAO307756</v>
      </c>
      <c r="I1877" t="str">
        <f>"307756"</f>
        <v>307756</v>
      </c>
      <c r="J1877">
        <v>16570</v>
      </c>
      <c r="K1877" s="1">
        <v>44866</v>
      </c>
      <c r="L1877" t="s">
        <v>1841</v>
      </c>
      <c r="M1877">
        <f t="shared" si="59"/>
        <v>16570</v>
      </c>
      <c r="N1877" t="e">
        <f>VLOOKUP(H1877,Sheet1!G:H,2,FALSE)</f>
        <v>#N/A</v>
      </c>
      <c r="R1877" t="s">
        <v>3801</v>
      </c>
      <c r="S1877">
        <v>0</v>
      </c>
    </row>
    <row r="1878" spans="1:19" x14ac:dyDescent="0.3">
      <c r="A1878" t="s">
        <v>8</v>
      </c>
      <c r="B1878">
        <f>VLOOKUP(A1878,Sheet2!B:F,5,FALSE)</f>
        <v>928</v>
      </c>
      <c r="C1878" t="s">
        <v>9</v>
      </c>
      <c r="D1878">
        <f>VLOOKUP(C1878,Sheet2!C:G,5,FALSE)</f>
        <v>1202</v>
      </c>
      <c r="E1878" t="s">
        <v>39</v>
      </c>
      <c r="F1878">
        <f>VLOOKUP(E1878,Sheet2!D:E,2,FALSE)</f>
        <v>25</v>
      </c>
      <c r="G1878" t="s">
        <v>1824</v>
      </c>
      <c r="H1878" t="str">
        <f t="shared" si="58"/>
        <v>KAKAO307856</v>
      </c>
      <c r="I1878" t="str">
        <f>"307856"</f>
        <v>307856</v>
      </c>
      <c r="J1878">
        <v>3920</v>
      </c>
      <c r="K1878" s="1">
        <v>44866</v>
      </c>
      <c r="L1878" t="s">
        <v>1310</v>
      </c>
      <c r="M1878" t="e">
        <f t="shared" si="59"/>
        <v>#N/A</v>
      </c>
      <c r="N1878" t="e">
        <f>VLOOKUP(H1878,Sheet1!G:H,2,FALSE)</f>
        <v>#N/A</v>
      </c>
      <c r="R1878" t="s">
        <v>3802</v>
      </c>
      <c r="S1878">
        <v>226060</v>
      </c>
    </row>
    <row r="1879" spans="1:19" x14ac:dyDescent="0.3">
      <c r="A1879" t="s">
        <v>41</v>
      </c>
      <c r="B1879">
        <f>VLOOKUP(A1879,Sheet2!B:F,5,FALSE)</f>
        <v>926</v>
      </c>
      <c r="C1879" t="s">
        <v>56</v>
      </c>
      <c r="D1879">
        <f>VLOOKUP(C1879,Sheet2!C:G,5,FALSE)</f>
        <v>1207</v>
      </c>
      <c r="E1879" t="s">
        <v>57</v>
      </c>
      <c r="F1879">
        <f>VLOOKUP(E1879,Sheet2!D:E,2,FALSE)</f>
        <v>200982</v>
      </c>
      <c r="G1879" t="s">
        <v>1824</v>
      </c>
      <c r="H1879" t="str">
        <f t="shared" si="58"/>
        <v>KAKAO308082</v>
      </c>
      <c r="I1879" t="str">
        <f>"308082"</f>
        <v>308082</v>
      </c>
      <c r="J1879">
        <v>180680</v>
      </c>
      <c r="K1879" s="1">
        <v>44866</v>
      </c>
      <c r="L1879" t="s">
        <v>995</v>
      </c>
      <c r="M1879">
        <f t="shared" si="59"/>
        <v>180680</v>
      </c>
      <c r="N1879" t="e">
        <f>VLOOKUP(H1879,Sheet1!G:H,2,FALSE)</f>
        <v>#N/A</v>
      </c>
      <c r="R1879" t="s">
        <v>3803</v>
      </c>
      <c r="S1879">
        <v>31450</v>
      </c>
    </row>
    <row r="1880" spans="1:19" x14ac:dyDescent="0.3">
      <c r="A1880" t="s">
        <v>41</v>
      </c>
      <c r="B1880">
        <f>VLOOKUP(A1880,Sheet2!B:F,5,FALSE)</f>
        <v>926</v>
      </c>
      <c r="C1880" t="s">
        <v>56</v>
      </c>
      <c r="D1880">
        <f>VLOOKUP(C1880,Sheet2!C:G,5,FALSE)</f>
        <v>1207</v>
      </c>
      <c r="E1880" t="s">
        <v>57</v>
      </c>
      <c r="F1880">
        <f>VLOOKUP(E1880,Sheet2!D:E,2,FALSE)</f>
        <v>200982</v>
      </c>
      <c r="G1880" t="s">
        <v>1824</v>
      </c>
      <c r="H1880" t="str">
        <f t="shared" si="58"/>
        <v>KAKAO308083</v>
      </c>
      <c r="I1880" t="str">
        <f>"308083"</f>
        <v>308083</v>
      </c>
      <c r="J1880">
        <v>45050</v>
      </c>
      <c r="K1880" s="1">
        <v>44866</v>
      </c>
      <c r="L1880" t="s">
        <v>1359</v>
      </c>
      <c r="M1880">
        <f t="shared" si="59"/>
        <v>45050</v>
      </c>
      <c r="N1880" t="e">
        <f>VLOOKUP(H1880,Sheet1!G:H,2,FALSE)</f>
        <v>#N/A</v>
      </c>
      <c r="R1880" t="s">
        <v>3804</v>
      </c>
      <c r="S1880">
        <v>127700</v>
      </c>
    </row>
    <row r="1881" spans="1:19" x14ac:dyDescent="0.3">
      <c r="A1881" t="s">
        <v>8</v>
      </c>
      <c r="B1881">
        <f>VLOOKUP(A1881,Sheet2!B:F,5,FALSE)</f>
        <v>928</v>
      </c>
      <c r="C1881" t="s">
        <v>13</v>
      </c>
      <c r="D1881">
        <f>VLOOKUP(C1881,Sheet2!C:G,5,FALSE)</f>
        <v>1184</v>
      </c>
      <c r="E1881" t="s">
        <v>51</v>
      </c>
      <c r="F1881">
        <f>VLOOKUP(E1881,Sheet2!D:E,2,FALSE)</f>
        <v>1274</v>
      </c>
      <c r="G1881" t="s">
        <v>1824</v>
      </c>
      <c r="H1881" t="str">
        <f t="shared" si="58"/>
        <v>KAKAO308258</v>
      </c>
      <c r="I1881" t="str">
        <f>"308258"</f>
        <v>308258</v>
      </c>
      <c r="J1881">
        <v>6130</v>
      </c>
      <c r="K1881" s="1">
        <v>44866</v>
      </c>
      <c r="L1881" t="s">
        <v>1212</v>
      </c>
      <c r="M1881">
        <f t="shared" si="59"/>
        <v>6130</v>
      </c>
      <c r="N1881" t="e">
        <f>VLOOKUP(H1881,Sheet1!G:H,2,FALSE)</f>
        <v>#N/A</v>
      </c>
      <c r="R1881" t="s">
        <v>3805</v>
      </c>
      <c r="S1881">
        <v>117110</v>
      </c>
    </row>
    <row r="1882" spans="1:19" x14ac:dyDescent="0.3">
      <c r="A1882" t="s">
        <v>8</v>
      </c>
      <c r="B1882">
        <f>VLOOKUP(A1882,Sheet2!B:F,5,FALSE)</f>
        <v>928</v>
      </c>
      <c r="C1882" t="s">
        <v>13</v>
      </c>
      <c r="D1882">
        <f>VLOOKUP(C1882,Sheet2!C:G,5,FALSE)</f>
        <v>1184</v>
      </c>
      <c r="E1882" t="s">
        <v>335</v>
      </c>
      <c r="F1882">
        <f>VLOOKUP(E1882,Sheet2!D:E,2,FALSE)</f>
        <v>201090</v>
      </c>
      <c r="G1882" t="s">
        <v>1824</v>
      </c>
      <c r="H1882" t="str">
        <f t="shared" si="58"/>
        <v>KAKAO308299</v>
      </c>
      <c r="I1882" t="str">
        <f>"308299"</f>
        <v>308299</v>
      </c>
      <c r="J1882">
        <v>14100</v>
      </c>
      <c r="K1882" s="1">
        <v>44866</v>
      </c>
      <c r="L1882" t="s">
        <v>716</v>
      </c>
      <c r="M1882">
        <f t="shared" si="59"/>
        <v>14100</v>
      </c>
      <c r="N1882" t="e">
        <f>VLOOKUP(H1882,Sheet1!G:H,2,FALSE)</f>
        <v>#N/A</v>
      </c>
      <c r="R1882" t="s">
        <v>3806</v>
      </c>
      <c r="S1882">
        <v>514540</v>
      </c>
    </row>
    <row r="1883" spans="1:19" x14ac:dyDescent="0.3">
      <c r="A1883" t="s">
        <v>16</v>
      </c>
      <c r="B1883">
        <f>VLOOKUP(A1883,Sheet2!B:F,5,FALSE)</f>
        <v>927</v>
      </c>
      <c r="C1883" t="s">
        <v>17</v>
      </c>
      <c r="D1883">
        <f>VLOOKUP(C1883,Sheet2!C:G,5,FALSE)</f>
        <v>1200</v>
      </c>
      <c r="E1883" t="s">
        <v>66</v>
      </c>
      <c r="F1883">
        <f>VLOOKUP(E1883,Sheet2!D:E,2,FALSE)</f>
        <v>33</v>
      </c>
      <c r="G1883" t="s">
        <v>1824</v>
      </c>
      <c r="H1883" t="str">
        <f t="shared" si="58"/>
        <v>KAKAO308332</v>
      </c>
      <c r="I1883" t="str">
        <f>"308332"</f>
        <v>308332</v>
      </c>
      <c r="J1883">
        <v>5660</v>
      </c>
      <c r="K1883" s="1">
        <v>44866</v>
      </c>
      <c r="L1883" t="s">
        <v>388</v>
      </c>
      <c r="M1883">
        <f t="shared" si="59"/>
        <v>5660</v>
      </c>
      <c r="N1883" t="e">
        <f>VLOOKUP(H1883,Sheet1!G:H,2,FALSE)</f>
        <v>#N/A</v>
      </c>
      <c r="R1883" t="s">
        <v>3807</v>
      </c>
      <c r="S1883">
        <v>0</v>
      </c>
    </row>
    <row r="1884" spans="1:19" x14ac:dyDescent="0.3">
      <c r="A1884" t="s">
        <v>41</v>
      </c>
      <c r="B1884">
        <f>VLOOKUP(A1884,Sheet2!B:F,5,FALSE)</f>
        <v>926</v>
      </c>
      <c r="C1884" t="s">
        <v>56</v>
      </c>
      <c r="D1884">
        <f>VLOOKUP(C1884,Sheet2!C:G,5,FALSE)</f>
        <v>1207</v>
      </c>
      <c r="E1884" t="s">
        <v>57</v>
      </c>
      <c r="F1884">
        <f>VLOOKUP(E1884,Sheet2!D:E,2,FALSE)</f>
        <v>200982</v>
      </c>
      <c r="G1884" t="s">
        <v>1824</v>
      </c>
      <c r="H1884" t="str">
        <f t="shared" si="58"/>
        <v>KAKAO308443</v>
      </c>
      <c r="I1884" t="str">
        <f>"308443"</f>
        <v>308443</v>
      </c>
      <c r="J1884">
        <v>8040</v>
      </c>
      <c r="K1884" s="1">
        <v>44866</v>
      </c>
      <c r="L1884" t="s">
        <v>1842</v>
      </c>
      <c r="M1884">
        <f t="shared" si="59"/>
        <v>8040</v>
      </c>
      <c r="N1884" t="e">
        <f>VLOOKUP(H1884,Sheet1!G:H,2,FALSE)</f>
        <v>#N/A</v>
      </c>
      <c r="R1884" t="s">
        <v>3808</v>
      </c>
      <c r="S1884">
        <v>592850</v>
      </c>
    </row>
    <row r="1885" spans="1:19" x14ac:dyDescent="0.3">
      <c r="A1885" t="s">
        <v>8</v>
      </c>
      <c r="B1885">
        <f>VLOOKUP(A1885,Sheet2!B:F,5,FALSE)</f>
        <v>928</v>
      </c>
      <c r="C1885" t="s">
        <v>13</v>
      </c>
      <c r="D1885">
        <f>VLOOKUP(C1885,Sheet2!C:G,5,FALSE)</f>
        <v>1184</v>
      </c>
      <c r="E1885" t="s">
        <v>102</v>
      </c>
      <c r="F1885">
        <f>VLOOKUP(E1885,Sheet2!D:E,2,FALSE)</f>
        <v>917</v>
      </c>
      <c r="G1885" t="s">
        <v>1824</v>
      </c>
      <c r="H1885" t="str">
        <f t="shared" si="58"/>
        <v>KAKAO308488</v>
      </c>
      <c r="I1885" t="str">
        <f>"308488"</f>
        <v>308488</v>
      </c>
      <c r="J1885">
        <v>90330</v>
      </c>
      <c r="K1885" s="1">
        <v>44866</v>
      </c>
      <c r="L1885" t="s">
        <v>1077</v>
      </c>
      <c r="M1885">
        <f t="shared" si="59"/>
        <v>90330</v>
      </c>
      <c r="N1885" t="e">
        <f>VLOOKUP(H1885,Sheet1!G:H,2,FALSE)</f>
        <v>#N/A</v>
      </c>
      <c r="R1885" t="s">
        <v>3809</v>
      </c>
      <c r="S1885">
        <v>700</v>
      </c>
    </row>
    <row r="1886" spans="1:19" x14ac:dyDescent="0.3">
      <c r="A1886" t="s">
        <v>41</v>
      </c>
      <c r="B1886">
        <f>VLOOKUP(A1886,Sheet2!B:F,5,FALSE)</f>
        <v>926</v>
      </c>
      <c r="C1886" t="s">
        <v>56</v>
      </c>
      <c r="D1886">
        <f>VLOOKUP(C1886,Sheet2!C:G,5,FALSE)</f>
        <v>1207</v>
      </c>
      <c r="E1886" t="s">
        <v>253</v>
      </c>
      <c r="F1886">
        <f>VLOOKUP(E1886,Sheet2!D:E,2,FALSE)</f>
        <v>1328</v>
      </c>
      <c r="G1886" t="s">
        <v>1824</v>
      </c>
      <c r="H1886" t="str">
        <f t="shared" si="58"/>
        <v>KAKAO308548</v>
      </c>
      <c r="I1886" t="str">
        <f>"308548"</f>
        <v>308548</v>
      </c>
      <c r="J1886">
        <v>1045090</v>
      </c>
      <c r="K1886" s="1">
        <v>44866</v>
      </c>
      <c r="L1886" t="s">
        <v>1696</v>
      </c>
      <c r="M1886">
        <f t="shared" si="59"/>
        <v>1045090</v>
      </c>
      <c r="N1886" t="e">
        <f>VLOOKUP(H1886,Sheet1!G:H,2,FALSE)</f>
        <v>#N/A</v>
      </c>
      <c r="R1886" t="s">
        <v>3810</v>
      </c>
      <c r="S1886">
        <v>809930</v>
      </c>
    </row>
    <row r="1887" spans="1:19" x14ac:dyDescent="0.3">
      <c r="A1887" t="s">
        <v>8</v>
      </c>
      <c r="B1887">
        <f>VLOOKUP(A1887,Sheet2!B:F,5,FALSE)</f>
        <v>928</v>
      </c>
      <c r="C1887" t="s">
        <v>13</v>
      </c>
      <c r="D1887">
        <f>VLOOKUP(C1887,Sheet2!C:G,5,FALSE)</f>
        <v>1184</v>
      </c>
      <c r="E1887" t="s">
        <v>51</v>
      </c>
      <c r="F1887">
        <f>VLOOKUP(E1887,Sheet2!D:E,2,FALSE)</f>
        <v>1274</v>
      </c>
      <c r="G1887" t="s">
        <v>1824</v>
      </c>
      <c r="H1887" t="str">
        <f t="shared" si="58"/>
        <v>KAKAO308714</v>
      </c>
      <c r="I1887" t="str">
        <f>"308714"</f>
        <v>308714</v>
      </c>
      <c r="J1887">
        <v>7290</v>
      </c>
      <c r="K1887" s="1">
        <v>44866</v>
      </c>
      <c r="L1887" t="s">
        <v>1843</v>
      </c>
      <c r="M1887">
        <f t="shared" si="59"/>
        <v>7290</v>
      </c>
      <c r="N1887" t="e">
        <f>VLOOKUP(H1887,Sheet1!G:H,2,FALSE)</f>
        <v>#N/A</v>
      </c>
      <c r="R1887" t="s">
        <v>3811</v>
      </c>
      <c r="S1887">
        <v>1920160</v>
      </c>
    </row>
    <row r="1888" spans="1:19" x14ac:dyDescent="0.3">
      <c r="A1888" t="s">
        <v>8</v>
      </c>
      <c r="B1888">
        <f>VLOOKUP(A1888,Sheet2!B:F,5,FALSE)</f>
        <v>928</v>
      </c>
      <c r="C1888" t="s">
        <v>13</v>
      </c>
      <c r="D1888">
        <f>VLOOKUP(C1888,Sheet2!C:G,5,FALSE)</f>
        <v>1184</v>
      </c>
      <c r="E1888" t="s">
        <v>335</v>
      </c>
      <c r="F1888">
        <f>VLOOKUP(E1888,Sheet2!D:E,2,FALSE)</f>
        <v>201090</v>
      </c>
      <c r="G1888" t="s">
        <v>1824</v>
      </c>
      <c r="H1888" t="str">
        <f t="shared" si="58"/>
        <v>KAKAO308731</v>
      </c>
      <c r="I1888" t="str">
        <f>"308731"</f>
        <v>308731</v>
      </c>
      <c r="J1888">
        <v>9710</v>
      </c>
      <c r="K1888" s="1">
        <v>44866</v>
      </c>
      <c r="L1888" t="s">
        <v>1844</v>
      </c>
      <c r="M1888">
        <f t="shared" si="59"/>
        <v>9710</v>
      </c>
      <c r="N1888" t="e">
        <f>VLOOKUP(H1888,Sheet1!G:H,2,FALSE)</f>
        <v>#N/A</v>
      </c>
      <c r="R1888" t="s">
        <v>3812</v>
      </c>
      <c r="S1888">
        <v>12110</v>
      </c>
    </row>
    <row r="1889" spans="1:19" x14ac:dyDescent="0.3">
      <c r="A1889" t="s">
        <v>41</v>
      </c>
      <c r="B1889">
        <f>VLOOKUP(A1889,Sheet2!B:F,5,FALSE)</f>
        <v>926</v>
      </c>
      <c r="C1889" t="s">
        <v>56</v>
      </c>
      <c r="D1889">
        <f>VLOOKUP(C1889,Sheet2!C:G,5,FALSE)</f>
        <v>1207</v>
      </c>
      <c r="E1889" t="s">
        <v>253</v>
      </c>
      <c r="F1889">
        <f>VLOOKUP(E1889,Sheet2!D:E,2,FALSE)</f>
        <v>1328</v>
      </c>
      <c r="G1889" t="s">
        <v>1824</v>
      </c>
      <c r="H1889" t="str">
        <f t="shared" si="58"/>
        <v>KAKAO308765</v>
      </c>
      <c r="I1889" t="str">
        <f>"308765"</f>
        <v>308765</v>
      </c>
      <c r="J1889">
        <v>333920</v>
      </c>
      <c r="K1889" s="1">
        <v>44866</v>
      </c>
      <c r="L1889" t="s">
        <v>1727</v>
      </c>
      <c r="M1889">
        <f t="shared" si="59"/>
        <v>333920</v>
      </c>
      <c r="N1889" t="e">
        <f>VLOOKUP(H1889,Sheet1!G:H,2,FALSE)</f>
        <v>#N/A</v>
      </c>
      <c r="R1889" t="s">
        <v>3813</v>
      </c>
      <c r="S1889">
        <v>167510</v>
      </c>
    </row>
    <row r="1890" spans="1:19" x14ac:dyDescent="0.3">
      <c r="A1890" t="s">
        <v>8</v>
      </c>
      <c r="B1890">
        <f>VLOOKUP(A1890,Sheet2!B:F,5,FALSE)</f>
        <v>928</v>
      </c>
      <c r="C1890" t="s">
        <v>9</v>
      </c>
      <c r="D1890">
        <f>VLOOKUP(C1890,Sheet2!C:G,5,FALSE)</f>
        <v>1202</v>
      </c>
      <c r="E1890" t="s">
        <v>31</v>
      </c>
      <c r="F1890">
        <f>VLOOKUP(E1890,Sheet2!D:E,2,FALSE)</f>
        <v>1040</v>
      </c>
      <c r="G1890" t="s">
        <v>1824</v>
      </c>
      <c r="H1890" t="str">
        <f t="shared" si="58"/>
        <v>KAKAO308894</v>
      </c>
      <c r="I1890" t="str">
        <f>"308894"</f>
        <v>308894</v>
      </c>
      <c r="J1890">
        <v>190970</v>
      </c>
      <c r="K1890" s="1">
        <v>44866</v>
      </c>
      <c r="L1890" t="s">
        <v>967</v>
      </c>
      <c r="M1890">
        <f t="shared" si="59"/>
        <v>190970</v>
      </c>
      <c r="N1890" t="e">
        <f>VLOOKUP(H1890,Sheet1!G:H,2,FALSE)</f>
        <v>#N/A</v>
      </c>
      <c r="R1890" t="s">
        <v>3814</v>
      </c>
      <c r="S1890">
        <v>2265550</v>
      </c>
    </row>
    <row r="1891" spans="1:19" x14ac:dyDescent="0.3">
      <c r="A1891" t="s">
        <v>41</v>
      </c>
      <c r="B1891">
        <f>VLOOKUP(A1891,Sheet2!B:F,5,FALSE)</f>
        <v>926</v>
      </c>
      <c r="C1891" t="s">
        <v>42</v>
      </c>
      <c r="D1891">
        <f>VLOOKUP(C1891,Sheet2!C:G,5,FALSE)</f>
        <v>964</v>
      </c>
      <c r="E1891" t="s">
        <v>43</v>
      </c>
      <c r="F1891">
        <f>VLOOKUP(E1891,Sheet2!D:E,2,FALSE)</f>
        <v>200998</v>
      </c>
      <c r="G1891" t="s">
        <v>1824</v>
      </c>
      <c r="H1891" t="str">
        <f t="shared" si="58"/>
        <v>KAKAO308955</v>
      </c>
      <c r="I1891" t="str">
        <f>"308955"</f>
        <v>308955</v>
      </c>
      <c r="J1891">
        <v>2100</v>
      </c>
      <c r="K1891" s="1">
        <v>44866</v>
      </c>
      <c r="L1891" t="s">
        <v>1845</v>
      </c>
      <c r="M1891" t="e">
        <f t="shared" si="59"/>
        <v>#N/A</v>
      </c>
      <c r="N1891" t="e">
        <f>VLOOKUP(H1891,Sheet1!G:H,2,FALSE)</f>
        <v>#N/A</v>
      </c>
      <c r="R1891" t="s">
        <v>3815</v>
      </c>
      <c r="S1891">
        <v>695870</v>
      </c>
    </row>
    <row r="1892" spans="1:19" x14ac:dyDescent="0.3">
      <c r="A1892" t="s">
        <v>8</v>
      </c>
      <c r="B1892">
        <f>VLOOKUP(A1892,Sheet2!B:F,5,FALSE)</f>
        <v>928</v>
      </c>
      <c r="C1892" t="s">
        <v>13</v>
      </c>
      <c r="D1892">
        <f>VLOOKUP(C1892,Sheet2!C:G,5,FALSE)</f>
        <v>1184</v>
      </c>
      <c r="E1892" t="s">
        <v>102</v>
      </c>
      <c r="F1892">
        <f>VLOOKUP(E1892,Sheet2!D:E,2,FALSE)</f>
        <v>917</v>
      </c>
      <c r="G1892" t="s">
        <v>1824</v>
      </c>
      <c r="H1892" t="str">
        <f t="shared" si="58"/>
        <v>KAKAO308982</v>
      </c>
      <c r="I1892" t="str">
        <f>"308982"</f>
        <v>308982</v>
      </c>
      <c r="J1892">
        <v>212440</v>
      </c>
      <c r="K1892" s="1">
        <v>44866</v>
      </c>
      <c r="L1892" t="s">
        <v>820</v>
      </c>
      <c r="M1892">
        <f t="shared" si="59"/>
        <v>212440</v>
      </c>
      <c r="N1892" t="e">
        <f>VLOOKUP(H1892,Sheet1!G:H,2,FALSE)</f>
        <v>#N/A</v>
      </c>
      <c r="R1892" t="s">
        <v>3816</v>
      </c>
      <c r="S1892">
        <v>293480</v>
      </c>
    </row>
    <row r="1893" spans="1:19" x14ac:dyDescent="0.3">
      <c r="A1893" t="s">
        <v>16</v>
      </c>
      <c r="B1893">
        <f>VLOOKUP(A1893,Sheet2!B:F,5,FALSE)</f>
        <v>927</v>
      </c>
      <c r="C1893" t="s">
        <v>17</v>
      </c>
      <c r="D1893">
        <f>VLOOKUP(C1893,Sheet2!C:G,5,FALSE)</f>
        <v>1200</v>
      </c>
      <c r="E1893" t="s">
        <v>66</v>
      </c>
      <c r="F1893">
        <f>VLOOKUP(E1893,Sheet2!D:E,2,FALSE)</f>
        <v>33</v>
      </c>
      <c r="G1893" t="s">
        <v>1824</v>
      </c>
      <c r="H1893" t="str">
        <f t="shared" si="58"/>
        <v>KAKAO309017</v>
      </c>
      <c r="I1893" t="str">
        <f>"309017"</f>
        <v>309017</v>
      </c>
      <c r="J1893">
        <v>592350</v>
      </c>
      <c r="K1893" s="1">
        <v>44866</v>
      </c>
      <c r="L1893" t="s">
        <v>521</v>
      </c>
      <c r="M1893">
        <f t="shared" si="59"/>
        <v>592350</v>
      </c>
      <c r="N1893" t="e">
        <f>VLOOKUP(H1893,Sheet1!G:H,2,FALSE)</f>
        <v>#N/A</v>
      </c>
      <c r="R1893" t="s">
        <v>3817</v>
      </c>
      <c r="S1893">
        <v>6449540</v>
      </c>
    </row>
    <row r="1894" spans="1:19" x14ac:dyDescent="0.3">
      <c r="A1894" t="s">
        <v>16</v>
      </c>
      <c r="B1894">
        <f>VLOOKUP(A1894,Sheet2!B:F,5,FALSE)</f>
        <v>927</v>
      </c>
      <c r="C1894" t="s">
        <v>17</v>
      </c>
      <c r="D1894">
        <f>VLOOKUP(C1894,Sheet2!C:G,5,FALSE)</f>
        <v>1200</v>
      </c>
      <c r="E1894" t="s">
        <v>66</v>
      </c>
      <c r="F1894">
        <f>VLOOKUP(E1894,Sheet2!D:E,2,FALSE)</f>
        <v>33</v>
      </c>
      <c r="G1894" t="s">
        <v>1824</v>
      </c>
      <c r="H1894" t="str">
        <f t="shared" si="58"/>
        <v>KAKAO309027</v>
      </c>
      <c r="I1894" t="str">
        <f>"309027"</f>
        <v>309027</v>
      </c>
      <c r="J1894">
        <v>86960</v>
      </c>
      <c r="K1894" s="1">
        <v>44866</v>
      </c>
      <c r="L1894" t="s">
        <v>970</v>
      </c>
      <c r="M1894">
        <f t="shared" si="59"/>
        <v>86960</v>
      </c>
      <c r="N1894" t="e">
        <f>VLOOKUP(H1894,Sheet1!G:H,2,FALSE)</f>
        <v>#N/A</v>
      </c>
      <c r="R1894" t="s">
        <v>3818</v>
      </c>
      <c r="S1894">
        <v>706180</v>
      </c>
    </row>
    <row r="1895" spans="1:19" x14ac:dyDescent="0.3">
      <c r="A1895" t="s">
        <v>8</v>
      </c>
      <c r="B1895">
        <f>VLOOKUP(A1895,Sheet2!B:F,5,FALSE)</f>
        <v>928</v>
      </c>
      <c r="C1895" t="s">
        <v>13</v>
      </c>
      <c r="D1895">
        <f>VLOOKUP(C1895,Sheet2!C:G,5,FALSE)</f>
        <v>1184</v>
      </c>
      <c r="E1895" t="s">
        <v>115</v>
      </c>
      <c r="F1895">
        <f>VLOOKUP(E1895,Sheet2!D:E,2,FALSE)</f>
        <v>1548</v>
      </c>
      <c r="G1895" t="s">
        <v>1824</v>
      </c>
      <c r="H1895" t="str">
        <f t="shared" si="58"/>
        <v>KAKAO309213</v>
      </c>
      <c r="I1895" t="str">
        <f>"309213"</f>
        <v>309213</v>
      </c>
      <c r="J1895">
        <v>8320</v>
      </c>
      <c r="K1895" s="1">
        <v>44866</v>
      </c>
      <c r="L1895" t="s">
        <v>871</v>
      </c>
      <c r="M1895" t="e">
        <f t="shared" si="59"/>
        <v>#N/A</v>
      </c>
      <c r="N1895" t="e">
        <f>VLOOKUP(H1895,Sheet1!G:H,2,FALSE)</f>
        <v>#N/A</v>
      </c>
      <c r="R1895" t="s">
        <v>3819</v>
      </c>
      <c r="S1895">
        <v>245680</v>
      </c>
    </row>
    <row r="1896" spans="1:19" x14ac:dyDescent="0.3">
      <c r="A1896" t="s">
        <v>8</v>
      </c>
      <c r="B1896">
        <f>VLOOKUP(A1896,Sheet2!B:F,5,FALSE)</f>
        <v>928</v>
      </c>
      <c r="C1896" t="s">
        <v>13</v>
      </c>
      <c r="D1896">
        <f>VLOOKUP(C1896,Sheet2!C:G,5,FALSE)</f>
        <v>1184</v>
      </c>
      <c r="E1896" t="s">
        <v>115</v>
      </c>
      <c r="F1896">
        <f>VLOOKUP(E1896,Sheet2!D:E,2,FALSE)</f>
        <v>1548</v>
      </c>
      <c r="G1896" t="s">
        <v>1824</v>
      </c>
      <c r="H1896" t="str">
        <f t="shared" si="58"/>
        <v>KAKAO309288</v>
      </c>
      <c r="I1896" t="str">
        <f>"309288"</f>
        <v>309288</v>
      </c>
      <c r="J1896">
        <v>180</v>
      </c>
      <c r="K1896" s="1">
        <v>44866</v>
      </c>
      <c r="L1896" t="s">
        <v>1846</v>
      </c>
      <c r="M1896" t="e">
        <f t="shared" si="59"/>
        <v>#N/A</v>
      </c>
      <c r="N1896" t="e">
        <f>VLOOKUP(H1896,Sheet1!G:H,2,FALSE)</f>
        <v>#N/A</v>
      </c>
      <c r="R1896" t="s">
        <v>3820</v>
      </c>
      <c r="S1896">
        <v>7490</v>
      </c>
    </row>
    <row r="1897" spans="1:19" x14ac:dyDescent="0.3">
      <c r="A1897" t="s">
        <v>41</v>
      </c>
      <c r="B1897">
        <f>VLOOKUP(A1897,Sheet2!B:F,5,FALSE)</f>
        <v>926</v>
      </c>
      <c r="C1897" t="s">
        <v>56</v>
      </c>
      <c r="D1897">
        <f>VLOOKUP(C1897,Sheet2!C:G,5,FALSE)</f>
        <v>1207</v>
      </c>
      <c r="E1897" t="s">
        <v>64</v>
      </c>
      <c r="F1897">
        <f>VLOOKUP(E1897,Sheet2!D:E,2,FALSE)</f>
        <v>201011</v>
      </c>
      <c r="G1897" t="s">
        <v>1824</v>
      </c>
      <c r="H1897" t="str">
        <f t="shared" si="58"/>
        <v>KAKAO309529</v>
      </c>
      <c r="I1897" t="str">
        <f>"309529"</f>
        <v>309529</v>
      </c>
      <c r="J1897">
        <v>6300</v>
      </c>
      <c r="K1897" s="1">
        <v>44866</v>
      </c>
      <c r="L1897" t="s">
        <v>1374</v>
      </c>
      <c r="M1897" t="e">
        <f t="shared" si="59"/>
        <v>#N/A</v>
      </c>
      <c r="N1897" t="e">
        <f>VLOOKUP(H1897,Sheet1!G:H,2,FALSE)</f>
        <v>#N/A</v>
      </c>
      <c r="R1897" t="s">
        <v>3821</v>
      </c>
      <c r="S1897">
        <v>8659280</v>
      </c>
    </row>
    <row r="1898" spans="1:19" x14ac:dyDescent="0.3">
      <c r="A1898" t="s">
        <v>8</v>
      </c>
      <c r="B1898">
        <f>VLOOKUP(A1898,Sheet2!B:F,5,FALSE)</f>
        <v>928</v>
      </c>
      <c r="C1898" t="s">
        <v>13</v>
      </c>
      <c r="D1898">
        <f>VLOOKUP(C1898,Sheet2!C:G,5,FALSE)</f>
        <v>1184</v>
      </c>
      <c r="E1898" t="s">
        <v>51</v>
      </c>
      <c r="F1898">
        <f>VLOOKUP(E1898,Sheet2!D:E,2,FALSE)</f>
        <v>1274</v>
      </c>
      <c r="G1898" t="s">
        <v>1824</v>
      </c>
      <c r="H1898" t="str">
        <f t="shared" si="58"/>
        <v>KAKAO309621</v>
      </c>
      <c r="I1898" t="str">
        <f>"309621"</f>
        <v>309621</v>
      </c>
      <c r="J1898">
        <v>42880</v>
      </c>
      <c r="K1898" s="1">
        <v>44866</v>
      </c>
      <c r="L1898" t="s">
        <v>1847</v>
      </c>
      <c r="M1898">
        <f t="shared" si="59"/>
        <v>42880</v>
      </c>
      <c r="N1898" t="e">
        <f>VLOOKUP(H1898,Sheet1!G:H,2,FALSE)</f>
        <v>#N/A</v>
      </c>
      <c r="R1898" t="s">
        <v>3822</v>
      </c>
      <c r="S1898">
        <v>70</v>
      </c>
    </row>
    <row r="1899" spans="1:19" x14ac:dyDescent="0.3">
      <c r="A1899" t="s">
        <v>16</v>
      </c>
      <c r="B1899">
        <f>VLOOKUP(A1899,Sheet2!B:F,5,FALSE)</f>
        <v>927</v>
      </c>
      <c r="C1899" t="s">
        <v>17</v>
      </c>
      <c r="D1899">
        <f>VLOOKUP(C1899,Sheet2!C:G,5,FALSE)</f>
        <v>1200</v>
      </c>
      <c r="E1899" t="s">
        <v>66</v>
      </c>
      <c r="F1899">
        <f>VLOOKUP(E1899,Sheet2!D:E,2,FALSE)</f>
        <v>33</v>
      </c>
      <c r="G1899" t="s">
        <v>1824</v>
      </c>
      <c r="H1899" t="str">
        <f t="shared" si="58"/>
        <v>KAKAO309745</v>
      </c>
      <c r="I1899" t="str">
        <f>"309745"</f>
        <v>309745</v>
      </c>
      <c r="J1899">
        <v>24320</v>
      </c>
      <c r="K1899" s="1">
        <v>44866</v>
      </c>
      <c r="L1899" t="s">
        <v>1848</v>
      </c>
      <c r="M1899">
        <f t="shared" si="59"/>
        <v>24320</v>
      </c>
      <c r="N1899" t="e">
        <f>VLOOKUP(H1899,Sheet1!G:H,2,FALSE)</f>
        <v>#N/A</v>
      </c>
      <c r="R1899" t="s">
        <v>3823</v>
      </c>
      <c r="S1899">
        <v>282270</v>
      </c>
    </row>
    <row r="1900" spans="1:19" x14ac:dyDescent="0.3">
      <c r="A1900" t="s">
        <v>41</v>
      </c>
      <c r="B1900">
        <f>VLOOKUP(A1900,Sheet2!B:F,5,FALSE)</f>
        <v>926</v>
      </c>
      <c r="C1900" t="s">
        <v>56</v>
      </c>
      <c r="D1900">
        <f>VLOOKUP(C1900,Sheet2!C:G,5,FALSE)</f>
        <v>1207</v>
      </c>
      <c r="E1900" t="s">
        <v>64</v>
      </c>
      <c r="F1900">
        <f>VLOOKUP(E1900,Sheet2!D:E,2,FALSE)</f>
        <v>201011</v>
      </c>
      <c r="G1900" t="s">
        <v>1824</v>
      </c>
      <c r="H1900" t="str">
        <f t="shared" si="58"/>
        <v>KAKAO309756</v>
      </c>
      <c r="I1900" t="str">
        <f>"309756"</f>
        <v>309756</v>
      </c>
      <c r="J1900">
        <v>21010</v>
      </c>
      <c r="K1900" s="1">
        <v>44866</v>
      </c>
      <c r="L1900" t="s">
        <v>1738</v>
      </c>
      <c r="M1900">
        <f t="shared" si="59"/>
        <v>21010</v>
      </c>
      <c r="N1900" t="str">
        <f>VLOOKUP(H1900,Sheet1!G:H,2,FALSE)</f>
        <v>퇴사자계정 내부이관후 권한요청하였으나 광고주 연락두절로 진행X</v>
      </c>
      <c r="R1900" t="s">
        <v>3824</v>
      </c>
      <c r="S1900">
        <v>8802310</v>
      </c>
    </row>
    <row r="1901" spans="1:19" x14ac:dyDescent="0.3">
      <c r="A1901" t="s">
        <v>8</v>
      </c>
      <c r="B1901">
        <f>VLOOKUP(A1901,Sheet2!B:F,5,FALSE)</f>
        <v>928</v>
      </c>
      <c r="C1901" t="s">
        <v>9</v>
      </c>
      <c r="D1901">
        <f>VLOOKUP(C1901,Sheet2!C:G,5,FALSE)</f>
        <v>1202</v>
      </c>
      <c r="E1901" t="s">
        <v>10</v>
      </c>
      <c r="F1901">
        <f>VLOOKUP(E1901,Sheet2!D:E,2,FALSE)</f>
        <v>939</v>
      </c>
      <c r="G1901" t="s">
        <v>1824</v>
      </c>
      <c r="H1901" t="str">
        <f t="shared" si="58"/>
        <v>KAKAO309899</v>
      </c>
      <c r="I1901" t="str">
        <f>"309899"</f>
        <v>309899</v>
      </c>
      <c r="J1901">
        <v>203620</v>
      </c>
      <c r="K1901" s="1">
        <v>44866</v>
      </c>
      <c r="L1901" t="s">
        <v>731</v>
      </c>
      <c r="M1901" t="e">
        <f t="shared" si="59"/>
        <v>#N/A</v>
      </c>
      <c r="N1901" t="e">
        <f>VLOOKUP(H1901,Sheet1!G:H,2,FALSE)</f>
        <v>#N/A</v>
      </c>
      <c r="R1901" t="s">
        <v>3825</v>
      </c>
      <c r="S1901">
        <v>7870</v>
      </c>
    </row>
    <row r="1902" spans="1:19" x14ac:dyDescent="0.3">
      <c r="A1902" t="s">
        <v>16</v>
      </c>
      <c r="B1902">
        <f>VLOOKUP(A1902,Sheet2!B:F,5,FALSE)</f>
        <v>927</v>
      </c>
      <c r="C1902" t="s">
        <v>17</v>
      </c>
      <c r="D1902">
        <f>VLOOKUP(C1902,Sheet2!C:G,5,FALSE)</f>
        <v>1200</v>
      </c>
      <c r="E1902" t="s">
        <v>66</v>
      </c>
      <c r="F1902">
        <f>VLOOKUP(E1902,Sheet2!D:E,2,FALSE)</f>
        <v>33</v>
      </c>
      <c r="G1902" t="s">
        <v>1824</v>
      </c>
      <c r="H1902" t="str">
        <f t="shared" si="58"/>
        <v>KAKAO309932</v>
      </c>
      <c r="I1902" t="str">
        <f>"309932"</f>
        <v>309932</v>
      </c>
      <c r="J1902">
        <v>22430</v>
      </c>
      <c r="K1902" s="1">
        <v>44866</v>
      </c>
      <c r="L1902" t="s">
        <v>501</v>
      </c>
      <c r="M1902">
        <f t="shared" si="59"/>
        <v>22430</v>
      </c>
      <c r="N1902" t="e">
        <f>VLOOKUP(H1902,Sheet1!G:H,2,FALSE)</f>
        <v>#N/A</v>
      </c>
      <c r="R1902" t="s">
        <v>3826</v>
      </c>
      <c r="S1902">
        <v>385120</v>
      </c>
    </row>
    <row r="1903" spans="1:19" x14ac:dyDescent="0.3">
      <c r="A1903" t="s">
        <v>8</v>
      </c>
      <c r="B1903">
        <f>VLOOKUP(A1903,Sheet2!B:F,5,FALSE)</f>
        <v>928</v>
      </c>
      <c r="C1903" t="s">
        <v>9</v>
      </c>
      <c r="D1903">
        <f>VLOOKUP(C1903,Sheet2!C:G,5,FALSE)</f>
        <v>1202</v>
      </c>
      <c r="E1903" t="s">
        <v>73</v>
      </c>
      <c r="F1903">
        <f>VLOOKUP(E1903,Sheet2!D:E,2,FALSE)</f>
        <v>895</v>
      </c>
      <c r="G1903" t="s">
        <v>1824</v>
      </c>
      <c r="H1903" t="str">
        <f t="shared" si="58"/>
        <v>KAKAO309939</v>
      </c>
      <c r="I1903" t="str">
        <f>"309939"</f>
        <v>309939</v>
      </c>
      <c r="J1903">
        <v>277390</v>
      </c>
      <c r="K1903" s="1">
        <v>44866</v>
      </c>
      <c r="L1903" t="s">
        <v>1631</v>
      </c>
      <c r="M1903">
        <f t="shared" si="59"/>
        <v>277390</v>
      </c>
      <c r="N1903" t="e">
        <f>VLOOKUP(H1903,Sheet1!G:H,2,FALSE)</f>
        <v>#N/A</v>
      </c>
      <c r="R1903" t="s">
        <v>3827</v>
      </c>
      <c r="S1903">
        <v>1797620</v>
      </c>
    </row>
    <row r="1904" spans="1:19" x14ac:dyDescent="0.3">
      <c r="A1904" t="s">
        <v>8</v>
      </c>
      <c r="B1904">
        <f>VLOOKUP(A1904,Sheet2!B:F,5,FALSE)</f>
        <v>928</v>
      </c>
      <c r="C1904" t="s">
        <v>223</v>
      </c>
      <c r="D1904">
        <f>VLOOKUP(C1904,Sheet2!C:G,5,FALSE)</f>
        <v>966</v>
      </c>
      <c r="E1904" t="s">
        <v>224</v>
      </c>
      <c r="F1904">
        <f>VLOOKUP(E1904,Sheet2!D:E,2,FALSE)</f>
        <v>201008</v>
      </c>
      <c r="G1904" t="s">
        <v>1824</v>
      </c>
      <c r="H1904" t="str">
        <f t="shared" si="58"/>
        <v>KAKAO310005</v>
      </c>
      <c r="I1904" t="str">
        <f>"310005"</f>
        <v>310005</v>
      </c>
      <c r="J1904">
        <v>69400</v>
      </c>
      <c r="K1904" s="1">
        <v>44866</v>
      </c>
      <c r="L1904" t="s">
        <v>572</v>
      </c>
      <c r="M1904">
        <f t="shared" si="59"/>
        <v>69400</v>
      </c>
      <c r="N1904" t="e">
        <f>VLOOKUP(H1904,Sheet1!G:H,2,FALSE)</f>
        <v>#N/A</v>
      </c>
      <c r="R1904" t="s">
        <v>3828</v>
      </c>
      <c r="S1904">
        <v>95460</v>
      </c>
    </row>
    <row r="1905" spans="1:19" x14ac:dyDescent="0.3">
      <c r="A1905" t="s">
        <v>8</v>
      </c>
      <c r="B1905">
        <f>VLOOKUP(A1905,Sheet2!B:F,5,FALSE)</f>
        <v>928</v>
      </c>
      <c r="C1905" t="s">
        <v>13</v>
      </c>
      <c r="D1905">
        <f>VLOOKUP(C1905,Sheet2!C:G,5,FALSE)</f>
        <v>1184</v>
      </c>
      <c r="E1905" t="s">
        <v>335</v>
      </c>
      <c r="F1905">
        <f>VLOOKUP(E1905,Sheet2!D:E,2,FALSE)</f>
        <v>201090</v>
      </c>
      <c r="G1905" t="s">
        <v>1824</v>
      </c>
      <c r="H1905" t="str">
        <f t="shared" si="58"/>
        <v>KAKAO310071</v>
      </c>
      <c r="I1905" t="str">
        <f>"310071"</f>
        <v>310071</v>
      </c>
      <c r="J1905">
        <v>119660</v>
      </c>
      <c r="K1905" s="1">
        <v>44866</v>
      </c>
      <c r="L1905" t="s">
        <v>1508</v>
      </c>
      <c r="M1905">
        <f t="shared" si="59"/>
        <v>119660</v>
      </c>
      <c r="N1905" t="e">
        <f>VLOOKUP(H1905,Sheet1!G:H,2,FALSE)</f>
        <v>#N/A</v>
      </c>
      <c r="R1905" t="s">
        <v>3829</v>
      </c>
      <c r="S1905">
        <v>7780</v>
      </c>
    </row>
    <row r="1906" spans="1:19" x14ac:dyDescent="0.3">
      <c r="A1906" t="s">
        <v>176</v>
      </c>
      <c r="B1906">
        <f>VLOOKUP(A1906,Sheet2!B:F,5,FALSE)</f>
        <v>1204</v>
      </c>
      <c r="C1906" t="s">
        <v>177</v>
      </c>
      <c r="D1906">
        <f>VLOOKUP(C1906,Sheet2!C:G,5,FALSE)</f>
        <v>1205</v>
      </c>
      <c r="E1906" t="s">
        <v>178</v>
      </c>
      <c r="F1906">
        <f>VLOOKUP(E1906,Sheet2!D:E,2,FALSE)</f>
        <v>201073</v>
      </c>
      <c r="G1906" t="s">
        <v>1824</v>
      </c>
      <c r="H1906" t="str">
        <f t="shared" si="58"/>
        <v>KAKAO310262</v>
      </c>
      <c r="I1906" t="str">
        <f>"310262"</f>
        <v>310262</v>
      </c>
      <c r="J1906">
        <v>44410</v>
      </c>
      <c r="K1906" s="1">
        <v>44866</v>
      </c>
      <c r="L1906" t="s">
        <v>777</v>
      </c>
      <c r="M1906">
        <f t="shared" si="59"/>
        <v>44410</v>
      </c>
      <c r="N1906" t="e">
        <f>VLOOKUP(H1906,Sheet1!G:H,2,FALSE)</f>
        <v>#N/A</v>
      </c>
      <c r="R1906" t="s">
        <v>3830</v>
      </c>
      <c r="S1906">
        <v>10430</v>
      </c>
    </row>
    <row r="1907" spans="1:19" x14ac:dyDescent="0.3">
      <c r="A1907" t="s">
        <v>8</v>
      </c>
      <c r="B1907">
        <f>VLOOKUP(A1907,Sheet2!B:F,5,FALSE)</f>
        <v>928</v>
      </c>
      <c r="C1907" t="s">
        <v>13</v>
      </c>
      <c r="D1907">
        <f>VLOOKUP(C1907,Sheet2!C:G,5,FALSE)</f>
        <v>1184</v>
      </c>
      <c r="E1907" t="s">
        <v>127</v>
      </c>
      <c r="F1907">
        <f>VLOOKUP(E1907,Sheet2!D:E,2,FALSE)</f>
        <v>201029</v>
      </c>
      <c r="G1907" t="s">
        <v>1824</v>
      </c>
      <c r="H1907" t="str">
        <f t="shared" si="58"/>
        <v>KAKAO310325</v>
      </c>
      <c r="I1907" t="str">
        <f>"310325"</f>
        <v>310325</v>
      </c>
      <c r="J1907">
        <v>23670</v>
      </c>
      <c r="K1907" s="1">
        <v>44866</v>
      </c>
      <c r="L1907" t="s">
        <v>449</v>
      </c>
      <c r="M1907">
        <f t="shared" si="59"/>
        <v>23670</v>
      </c>
      <c r="N1907" t="e">
        <f>VLOOKUP(H1907,Sheet1!G:H,2,FALSE)</f>
        <v>#N/A</v>
      </c>
      <c r="R1907" t="s">
        <v>3831</v>
      </c>
      <c r="S1907">
        <v>0</v>
      </c>
    </row>
    <row r="1908" spans="1:19" x14ac:dyDescent="0.3">
      <c r="A1908" t="s">
        <v>8</v>
      </c>
      <c r="B1908">
        <f>VLOOKUP(A1908,Sheet2!B:F,5,FALSE)</f>
        <v>928</v>
      </c>
      <c r="C1908" t="s">
        <v>13</v>
      </c>
      <c r="D1908">
        <f>VLOOKUP(C1908,Sheet2!C:G,5,FALSE)</f>
        <v>1184</v>
      </c>
      <c r="E1908" t="s">
        <v>127</v>
      </c>
      <c r="F1908">
        <f>VLOOKUP(E1908,Sheet2!D:E,2,FALSE)</f>
        <v>201029</v>
      </c>
      <c r="G1908" t="s">
        <v>1824</v>
      </c>
      <c r="H1908" t="str">
        <f t="shared" si="58"/>
        <v>KAKAO310326</v>
      </c>
      <c r="I1908" t="str">
        <f>"310326"</f>
        <v>310326</v>
      </c>
      <c r="J1908">
        <v>5370</v>
      </c>
      <c r="K1908" s="1">
        <v>44866</v>
      </c>
      <c r="L1908" t="s">
        <v>449</v>
      </c>
      <c r="M1908">
        <f t="shared" si="59"/>
        <v>5370</v>
      </c>
      <c r="N1908" t="e">
        <f>VLOOKUP(H1908,Sheet1!G:H,2,FALSE)</f>
        <v>#N/A</v>
      </c>
      <c r="R1908" t="s">
        <v>3832</v>
      </c>
      <c r="S1908">
        <v>2018300</v>
      </c>
    </row>
    <row r="1909" spans="1:19" x14ac:dyDescent="0.3">
      <c r="A1909" t="s">
        <v>8</v>
      </c>
      <c r="B1909">
        <f>VLOOKUP(A1909,Sheet2!B:F,5,FALSE)</f>
        <v>928</v>
      </c>
      <c r="C1909" t="s">
        <v>13</v>
      </c>
      <c r="D1909">
        <f>VLOOKUP(C1909,Sheet2!C:G,5,FALSE)</f>
        <v>1184</v>
      </c>
      <c r="E1909" t="s">
        <v>217</v>
      </c>
      <c r="F1909">
        <f>VLOOKUP(E1909,Sheet2!D:E,2,FALSE)</f>
        <v>201027</v>
      </c>
      <c r="G1909" t="s">
        <v>1824</v>
      </c>
      <c r="H1909" t="str">
        <f t="shared" si="58"/>
        <v>KAKAO310423</v>
      </c>
      <c r="I1909" t="str">
        <f>"310423"</f>
        <v>310423</v>
      </c>
      <c r="J1909">
        <v>4700</v>
      </c>
      <c r="K1909" s="1">
        <v>44866</v>
      </c>
      <c r="L1909" t="s">
        <v>1592</v>
      </c>
      <c r="M1909">
        <f t="shared" si="59"/>
        <v>4700</v>
      </c>
      <c r="N1909" t="e">
        <f>VLOOKUP(H1909,Sheet1!G:H,2,FALSE)</f>
        <v>#N/A</v>
      </c>
      <c r="R1909" t="s">
        <v>3833</v>
      </c>
      <c r="S1909">
        <v>8270</v>
      </c>
    </row>
    <row r="1910" spans="1:19" x14ac:dyDescent="0.3">
      <c r="A1910" t="s">
        <v>16</v>
      </c>
      <c r="B1910">
        <f>VLOOKUP(A1910,Sheet2!B:F,5,FALSE)</f>
        <v>927</v>
      </c>
      <c r="C1910" t="s">
        <v>17</v>
      </c>
      <c r="D1910">
        <f>VLOOKUP(C1910,Sheet2!C:G,5,FALSE)</f>
        <v>1200</v>
      </c>
      <c r="E1910" t="s">
        <v>66</v>
      </c>
      <c r="F1910">
        <f>VLOOKUP(E1910,Sheet2!D:E,2,FALSE)</f>
        <v>33</v>
      </c>
      <c r="G1910" t="s">
        <v>1824</v>
      </c>
      <c r="H1910" t="str">
        <f t="shared" si="58"/>
        <v>KAKAO310440</v>
      </c>
      <c r="I1910" t="str">
        <f>"310440"</f>
        <v>310440</v>
      </c>
      <c r="J1910">
        <v>1090</v>
      </c>
      <c r="K1910" s="1">
        <v>44866</v>
      </c>
      <c r="L1910" t="s">
        <v>1677</v>
      </c>
      <c r="M1910">
        <f t="shared" si="59"/>
        <v>1090</v>
      </c>
      <c r="N1910" t="e">
        <f>VLOOKUP(H1910,Sheet1!G:H,2,FALSE)</f>
        <v>#N/A</v>
      </c>
      <c r="R1910" t="s">
        <v>3834</v>
      </c>
      <c r="S1910">
        <v>144510</v>
      </c>
    </row>
    <row r="1911" spans="1:19" x14ac:dyDescent="0.3">
      <c r="A1911" t="s">
        <v>8</v>
      </c>
      <c r="B1911">
        <f>VLOOKUP(A1911,Sheet2!B:F,5,FALSE)</f>
        <v>928</v>
      </c>
      <c r="C1911" t="s">
        <v>9</v>
      </c>
      <c r="D1911">
        <f>VLOOKUP(C1911,Sheet2!C:G,5,FALSE)</f>
        <v>1202</v>
      </c>
      <c r="E1911" t="s">
        <v>20</v>
      </c>
      <c r="F1911">
        <f>VLOOKUP(E1911,Sheet2!D:E,2,FALSE)</f>
        <v>938</v>
      </c>
      <c r="G1911" t="s">
        <v>1824</v>
      </c>
      <c r="H1911" t="str">
        <f t="shared" si="58"/>
        <v>KAKAO310619</v>
      </c>
      <c r="I1911" t="str">
        <f>"310619"</f>
        <v>310619</v>
      </c>
      <c r="J1911">
        <v>274400</v>
      </c>
      <c r="K1911" s="1">
        <v>44866</v>
      </c>
      <c r="L1911" t="s">
        <v>1039</v>
      </c>
      <c r="M1911">
        <f t="shared" si="59"/>
        <v>274400</v>
      </c>
      <c r="N1911" t="e">
        <f>VLOOKUP(H1911,Sheet1!G:H,2,FALSE)</f>
        <v>#N/A</v>
      </c>
      <c r="R1911" t="s">
        <v>3835</v>
      </c>
      <c r="S1911">
        <v>94140</v>
      </c>
    </row>
    <row r="1912" spans="1:19" x14ac:dyDescent="0.3">
      <c r="A1912" t="s">
        <v>8</v>
      </c>
      <c r="B1912">
        <f>VLOOKUP(A1912,Sheet2!B:F,5,FALSE)</f>
        <v>928</v>
      </c>
      <c r="C1912" t="s">
        <v>9</v>
      </c>
      <c r="D1912">
        <f>VLOOKUP(C1912,Sheet2!C:G,5,FALSE)</f>
        <v>1202</v>
      </c>
      <c r="E1912" t="s">
        <v>20</v>
      </c>
      <c r="F1912">
        <f>VLOOKUP(E1912,Sheet2!D:E,2,FALSE)</f>
        <v>938</v>
      </c>
      <c r="G1912" t="s">
        <v>1824</v>
      </c>
      <c r="H1912" t="str">
        <f t="shared" si="58"/>
        <v>KAKAO310649</v>
      </c>
      <c r="I1912" t="str">
        <f>"310649"</f>
        <v>310649</v>
      </c>
      <c r="J1912">
        <v>42320</v>
      </c>
      <c r="K1912" s="1">
        <v>44866</v>
      </c>
      <c r="L1912" t="s">
        <v>393</v>
      </c>
      <c r="M1912">
        <f t="shared" si="59"/>
        <v>42320</v>
      </c>
      <c r="N1912" t="e">
        <f>VLOOKUP(H1912,Sheet1!G:H,2,FALSE)</f>
        <v>#N/A</v>
      </c>
      <c r="R1912" t="s">
        <v>3836</v>
      </c>
      <c r="S1912">
        <v>86520</v>
      </c>
    </row>
    <row r="1913" spans="1:19" x14ac:dyDescent="0.3">
      <c r="A1913" t="s">
        <v>8</v>
      </c>
      <c r="B1913">
        <f>VLOOKUP(A1913,Sheet2!B:F,5,FALSE)</f>
        <v>928</v>
      </c>
      <c r="C1913" t="s">
        <v>13</v>
      </c>
      <c r="D1913">
        <f>VLOOKUP(C1913,Sheet2!C:G,5,FALSE)</f>
        <v>1184</v>
      </c>
      <c r="E1913" t="s">
        <v>102</v>
      </c>
      <c r="F1913">
        <f>VLOOKUP(E1913,Sheet2!D:E,2,FALSE)</f>
        <v>917</v>
      </c>
      <c r="G1913" t="s">
        <v>1824</v>
      </c>
      <c r="H1913" t="str">
        <f t="shared" si="58"/>
        <v>KAKAO310698</v>
      </c>
      <c r="I1913" t="str">
        <f>"310698"</f>
        <v>310698</v>
      </c>
      <c r="J1913">
        <v>371560</v>
      </c>
      <c r="K1913" s="1">
        <v>44866</v>
      </c>
      <c r="L1913" t="s">
        <v>377</v>
      </c>
      <c r="M1913">
        <f t="shared" si="59"/>
        <v>371560</v>
      </c>
      <c r="N1913" t="e">
        <f>VLOOKUP(H1913,Sheet1!G:H,2,FALSE)</f>
        <v>#N/A</v>
      </c>
      <c r="R1913" t="s">
        <v>3837</v>
      </c>
      <c r="S1913">
        <v>70</v>
      </c>
    </row>
    <row r="1914" spans="1:19" x14ac:dyDescent="0.3">
      <c r="A1914" t="s">
        <v>8</v>
      </c>
      <c r="B1914">
        <f>VLOOKUP(A1914,Sheet2!B:F,5,FALSE)</f>
        <v>928</v>
      </c>
      <c r="C1914" t="s">
        <v>13</v>
      </c>
      <c r="D1914">
        <f>VLOOKUP(C1914,Sheet2!C:G,5,FALSE)</f>
        <v>1184</v>
      </c>
      <c r="E1914" t="s">
        <v>102</v>
      </c>
      <c r="F1914">
        <f>VLOOKUP(E1914,Sheet2!D:E,2,FALSE)</f>
        <v>917</v>
      </c>
      <c r="G1914" t="s">
        <v>1824</v>
      </c>
      <c r="H1914" t="str">
        <f t="shared" si="58"/>
        <v>KAKAO310758</v>
      </c>
      <c r="I1914" t="str">
        <f>"310758"</f>
        <v>310758</v>
      </c>
      <c r="J1914">
        <v>59360</v>
      </c>
      <c r="K1914" s="1">
        <v>44866</v>
      </c>
      <c r="L1914" t="s">
        <v>807</v>
      </c>
      <c r="M1914">
        <f t="shared" si="59"/>
        <v>59360</v>
      </c>
      <c r="N1914" t="e">
        <f>VLOOKUP(H1914,Sheet1!G:H,2,FALSE)</f>
        <v>#N/A</v>
      </c>
      <c r="R1914" t="s">
        <v>3838</v>
      </c>
      <c r="S1914">
        <v>3200</v>
      </c>
    </row>
    <row r="1915" spans="1:19" x14ac:dyDescent="0.3">
      <c r="A1915" t="s">
        <v>8</v>
      </c>
      <c r="B1915">
        <f>VLOOKUP(A1915,Sheet2!B:F,5,FALSE)</f>
        <v>928</v>
      </c>
      <c r="C1915" t="s">
        <v>13</v>
      </c>
      <c r="D1915">
        <f>VLOOKUP(C1915,Sheet2!C:G,5,FALSE)</f>
        <v>1184</v>
      </c>
      <c r="E1915" t="s">
        <v>102</v>
      </c>
      <c r="F1915">
        <f>VLOOKUP(E1915,Sheet2!D:E,2,FALSE)</f>
        <v>917</v>
      </c>
      <c r="G1915" t="s">
        <v>1824</v>
      </c>
      <c r="H1915" t="str">
        <f t="shared" si="58"/>
        <v>KAKAO311164</v>
      </c>
      <c r="I1915" t="str">
        <f>"311164"</f>
        <v>311164</v>
      </c>
      <c r="J1915">
        <v>66290</v>
      </c>
      <c r="K1915" s="1">
        <v>44866</v>
      </c>
      <c r="L1915" t="s">
        <v>1849</v>
      </c>
      <c r="M1915" t="e">
        <f t="shared" si="59"/>
        <v>#N/A</v>
      </c>
      <c r="N1915" t="e">
        <f>VLOOKUP(H1915,Sheet1!G:H,2,FALSE)</f>
        <v>#N/A</v>
      </c>
      <c r="R1915" t="s">
        <v>3839</v>
      </c>
      <c r="S1915">
        <v>65070</v>
      </c>
    </row>
    <row r="1916" spans="1:19" x14ac:dyDescent="0.3">
      <c r="A1916" t="s">
        <v>8</v>
      </c>
      <c r="B1916">
        <f>VLOOKUP(A1916,Sheet2!B:F,5,FALSE)</f>
        <v>928</v>
      </c>
      <c r="C1916" t="s">
        <v>13</v>
      </c>
      <c r="D1916">
        <f>VLOOKUP(C1916,Sheet2!C:G,5,FALSE)</f>
        <v>1184</v>
      </c>
      <c r="E1916" t="s">
        <v>102</v>
      </c>
      <c r="F1916">
        <f>VLOOKUP(E1916,Sheet2!D:E,2,FALSE)</f>
        <v>917</v>
      </c>
      <c r="G1916" t="s">
        <v>1824</v>
      </c>
      <c r="H1916" t="str">
        <f t="shared" si="58"/>
        <v>KAKAO311204</v>
      </c>
      <c r="I1916" t="str">
        <f>"311204"</f>
        <v>311204</v>
      </c>
      <c r="J1916">
        <v>280840</v>
      </c>
      <c r="K1916" s="1">
        <v>44866</v>
      </c>
      <c r="L1916" t="s">
        <v>808</v>
      </c>
      <c r="M1916">
        <f t="shared" si="59"/>
        <v>280840</v>
      </c>
      <c r="N1916" t="e">
        <f>VLOOKUP(H1916,Sheet1!G:H,2,FALSE)</f>
        <v>#N/A</v>
      </c>
      <c r="R1916" t="s">
        <v>3840</v>
      </c>
      <c r="S1916">
        <v>148640</v>
      </c>
    </row>
    <row r="1917" spans="1:19" x14ac:dyDescent="0.3">
      <c r="A1917" t="s">
        <v>8</v>
      </c>
      <c r="B1917">
        <f>VLOOKUP(A1917,Sheet2!B:F,5,FALSE)</f>
        <v>928</v>
      </c>
      <c r="C1917" t="s">
        <v>13</v>
      </c>
      <c r="D1917">
        <f>VLOOKUP(C1917,Sheet2!C:G,5,FALSE)</f>
        <v>1184</v>
      </c>
      <c r="E1917" t="s">
        <v>102</v>
      </c>
      <c r="F1917">
        <f>VLOOKUP(E1917,Sheet2!D:E,2,FALSE)</f>
        <v>917</v>
      </c>
      <c r="G1917" t="s">
        <v>1824</v>
      </c>
      <c r="H1917" t="str">
        <f t="shared" si="58"/>
        <v>KAKAO311299</v>
      </c>
      <c r="I1917" t="str">
        <f>"311299"</f>
        <v>311299</v>
      </c>
      <c r="J1917">
        <v>17800</v>
      </c>
      <c r="K1917" s="1">
        <v>44866</v>
      </c>
      <c r="L1917" t="s">
        <v>1850</v>
      </c>
      <c r="M1917" t="e">
        <f t="shared" si="59"/>
        <v>#N/A</v>
      </c>
      <c r="N1917" t="e">
        <f>VLOOKUP(H1917,Sheet1!G:H,2,FALSE)</f>
        <v>#N/A</v>
      </c>
      <c r="R1917" t="s">
        <v>3841</v>
      </c>
      <c r="S1917">
        <v>5540</v>
      </c>
    </row>
    <row r="1918" spans="1:19" x14ac:dyDescent="0.3">
      <c r="A1918" t="s">
        <v>41</v>
      </c>
      <c r="B1918">
        <f>VLOOKUP(A1918,Sheet2!B:F,5,FALSE)</f>
        <v>926</v>
      </c>
      <c r="C1918" t="s">
        <v>56</v>
      </c>
      <c r="D1918">
        <f>VLOOKUP(C1918,Sheet2!C:G,5,FALSE)</f>
        <v>1207</v>
      </c>
      <c r="E1918" t="s">
        <v>253</v>
      </c>
      <c r="F1918">
        <f>VLOOKUP(E1918,Sheet2!D:E,2,FALSE)</f>
        <v>1328</v>
      </c>
      <c r="G1918" t="s">
        <v>1824</v>
      </c>
      <c r="H1918" t="str">
        <f t="shared" si="58"/>
        <v>KAKAO311350</v>
      </c>
      <c r="I1918" t="str">
        <f>"311350"</f>
        <v>311350</v>
      </c>
      <c r="J1918">
        <v>14030</v>
      </c>
      <c r="K1918" s="1">
        <v>44866</v>
      </c>
      <c r="L1918" t="s">
        <v>1389</v>
      </c>
      <c r="M1918">
        <f t="shared" si="59"/>
        <v>14030</v>
      </c>
      <c r="N1918" t="e">
        <f>VLOOKUP(H1918,Sheet1!G:H,2,FALSE)</f>
        <v>#N/A</v>
      </c>
      <c r="R1918" t="s">
        <v>3842</v>
      </c>
      <c r="S1918">
        <v>521590</v>
      </c>
    </row>
    <row r="1919" spans="1:19" x14ac:dyDescent="0.3">
      <c r="A1919" t="s">
        <v>41</v>
      </c>
      <c r="B1919">
        <f>VLOOKUP(A1919,Sheet2!B:F,5,FALSE)</f>
        <v>926</v>
      </c>
      <c r="C1919" t="s">
        <v>56</v>
      </c>
      <c r="D1919">
        <f>VLOOKUP(C1919,Sheet2!C:G,5,FALSE)</f>
        <v>1207</v>
      </c>
      <c r="E1919" t="s">
        <v>253</v>
      </c>
      <c r="F1919">
        <f>VLOOKUP(E1919,Sheet2!D:E,2,FALSE)</f>
        <v>1328</v>
      </c>
      <c r="G1919" t="s">
        <v>1824</v>
      </c>
      <c r="H1919" t="str">
        <f t="shared" si="58"/>
        <v>KAKAO311378</v>
      </c>
      <c r="I1919" t="str">
        <f>"311378"</f>
        <v>311378</v>
      </c>
      <c r="J1919">
        <v>5850</v>
      </c>
      <c r="K1919" s="1">
        <v>44866</v>
      </c>
      <c r="L1919" t="s">
        <v>861</v>
      </c>
      <c r="M1919">
        <f t="shared" si="59"/>
        <v>5850</v>
      </c>
      <c r="N1919" t="e">
        <f>VLOOKUP(H1919,Sheet1!G:H,2,FALSE)</f>
        <v>#N/A</v>
      </c>
      <c r="R1919" t="s">
        <v>3843</v>
      </c>
      <c r="S1919">
        <v>748270</v>
      </c>
    </row>
    <row r="1920" spans="1:19" x14ac:dyDescent="0.3">
      <c r="A1920" t="s">
        <v>8</v>
      </c>
      <c r="B1920">
        <f>VLOOKUP(A1920,Sheet2!B:F,5,FALSE)</f>
        <v>928</v>
      </c>
      <c r="C1920" t="s">
        <v>13</v>
      </c>
      <c r="D1920">
        <f>VLOOKUP(C1920,Sheet2!C:G,5,FALSE)</f>
        <v>1184</v>
      </c>
      <c r="E1920" t="s">
        <v>14</v>
      </c>
      <c r="F1920">
        <f>VLOOKUP(E1920,Sheet2!D:E,2,FALSE)</f>
        <v>914</v>
      </c>
      <c r="G1920" t="s">
        <v>1824</v>
      </c>
      <c r="H1920" t="str">
        <f t="shared" si="58"/>
        <v>KAKAO311430</v>
      </c>
      <c r="I1920" t="str">
        <f>"311430"</f>
        <v>311430</v>
      </c>
      <c r="J1920">
        <v>207390</v>
      </c>
      <c r="K1920" s="1">
        <v>44866</v>
      </c>
      <c r="L1920" t="s">
        <v>569</v>
      </c>
      <c r="M1920">
        <f t="shared" si="59"/>
        <v>207390</v>
      </c>
      <c r="N1920" t="e">
        <f>VLOOKUP(H1920,Sheet1!G:H,2,FALSE)</f>
        <v>#N/A</v>
      </c>
      <c r="R1920" t="s">
        <v>3844</v>
      </c>
      <c r="S1920">
        <v>2720</v>
      </c>
    </row>
    <row r="1921" spans="1:19" x14ac:dyDescent="0.3">
      <c r="A1921" t="s">
        <v>8</v>
      </c>
      <c r="B1921">
        <f>VLOOKUP(A1921,Sheet2!B:F,5,FALSE)</f>
        <v>928</v>
      </c>
      <c r="C1921" t="s">
        <v>13</v>
      </c>
      <c r="D1921">
        <f>VLOOKUP(C1921,Sheet2!C:G,5,FALSE)</f>
        <v>1184</v>
      </c>
      <c r="E1921" t="s">
        <v>51</v>
      </c>
      <c r="F1921">
        <f>VLOOKUP(E1921,Sheet2!D:E,2,FALSE)</f>
        <v>1274</v>
      </c>
      <c r="G1921" t="s">
        <v>1824</v>
      </c>
      <c r="H1921" t="str">
        <f t="shared" si="58"/>
        <v>KAKAO311520</v>
      </c>
      <c r="I1921" t="str">
        <f>"311520"</f>
        <v>311520</v>
      </c>
      <c r="J1921">
        <v>219150</v>
      </c>
      <c r="K1921" s="1">
        <v>44866</v>
      </c>
      <c r="L1921" t="s">
        <v>658</v>
      </c>
      <c r="M1921">
        <f t="shared" si="59"/>
        <v>219150</v>
      </c>
      <c r="N1921" t="e">
        <f>VLOOKUP(H1921,Sheet1!G:H,2,FALSE)</f>
        <v>#N/A</v>
      </c>
      <c r="R1921" t="s">
        <v>3845</v>
      </c>
      <c r="S1921">
        <v>150</v>
      </c>
    </row>
    <row r="1922" spans="1:19" x14ac:dyDescent="0.3">
      <c r="A1922" t="s">
        <v>8</v>
      </c>
      <c r="B1922">
        <f>VLOOKUP(A1922,Sheet2!B:F,5,FALSE)</f>
        <v>928</v>
      </c>
      <c r="C1922" t="s">
        <v>13</v>
      </c>
      <c r="D1922">
        <f>VLOOKUP(C1922,Sheet2!C:G,5,FALSE)</f>
        <v>1184</v>
      </c>
      <c r="E1922" t="s">
        <v>51</v>
      </c>
      <c r="F1922">
        <f>VLOOKUP(E1922,Sheet2!D:E,2,FALSE)</f>
        <v>1274</v>
      </c>
      <c r="G1922" t="s">
        <v>1824</v>
      </c>
      <c r="H1922" t="str">
        <f t="shared" si="58"/>
        <v>KAKAO311526</v>
      </c>
      <c r="I1922" t="str">
        <f>"311526"</f>
        <v>311526</v>
      </c>
      <c r="J1922">
        <v>440</v>
      </c>
      <c r="K1922" s="1">
        <v>44866</v>
      </c>
      <c r="L1922" t="s">
        <v>1851</v>
      </c>
      <c r="M1922">
        <f t="shared" si="59"/>
        <v>440</v>
      </c>
      <c r="N1922" t="e">
        <f>VLOOKUP(H1922,Sheet1!G:H,2,FALSE)</f>
        <v>#N/A</v>
      </c>
      <c r="R1922" t="s">
        <v>3846</v>
      </c>
      <c r="S1922">
        <v>15600</v>
      </c>
    </row>
    <row r="1923" spans="1:19" x14ac:dyDescent="0.3">
      <c r="A1923" t="s">
        <v>8</v>
      </c>
      <c r="B1923">
        <f>VLOOKUP(A1923,Sheet2!B:F,5,FALSE)</f>
        <v>928</v>
      </c>
      <c r="C1923" t="s">
        <v>13</v>
      </c>
      <c r="D1923">
        <f>VLOOKUP(C1923,Sheet2!C:G,5,FALSE)</f>
        <v>1184</v>
      </c>
      <c r="E1923" t="s">
        <v>335</v>
      </c>
      <c r="F1923">
        <f>VLOOKUP(E1923,Sheet2!D:E,2,FALSE)</f>
        <v>201090</v>
      </c>
      <c r="G1923" t="s">
        <v>1824</v>
      </c>
      <c r="H1923" t="str">
        <f t="shared" ref="H1923:H1986" si="60">CONCATENATE(G1923,I1923)</f>
        <v>KAKAO311555</v>
      </c>
      <c r="I1923" t="str">
        <f>"311555"</f>
        <v>311555</v>
      </c>
      <c r="J1923">
        <v>22930</v>
      </c>
      <c r="K1923" s="1">
        <v>44866</v>
      </c>
      <c r="L1923" t="s">
        <v>474</v>
      </c>
      <c r="M1923">
        <f t="shared" ref="M1923:M1986" si="61">VLOOKUP(H1923,R:S,2,FALSE)</f>
        <v>22930</v>
      </c>
      <c r="N1923" t="e">
        <f>VLOOKUP(H1923,Sheet1!G:H,2,FALSE)</f>
        <v>#N/A</v>
      </c>
      <c r="R1923" t="s">
        <v>3847</v>
      </c>
      <c r="S1923">
        <v>2198580</v>
      </c>
    </row>
    <row r="1924" spans="1:19" x14ac:dyDescent="0.3">
      <c r="A1924" t="s">
        <v>8</v>
      </c>
      <c r="B1924">
        <f>VLOOKUP(A1924,Sheet2!B:F,5,FALSE)</f>
        <v>928</v>
      </c>
      <c r="C1924" t="s">
        <v>13</v>
      </c>
      <c r="D1924">
        <f>VLOOKUP(C1924,Sheet2!C:G,5,FALSE)</f>
        <v>1184</v>
      </c>
      <c r="E1924" t="s">
        <v>51</v>
      </c>
      <c r="F1924">
        <f>VLOOKUP(E1924,Sheet2!D:E,2,FALSE)</f>
        <v>1274</v>
      </c>
      <c r="G1924" t="s">
        <v>1824</v>
      </c>
      <c r="H1924" t="str">
        <f t="shared" si="60"/>
        <v>KAKAO311699</v>
      </c>
      <c r="I1924" t="str">
        <f>"311699"</f>
        <v>311699</v>
      </c>
      <c r="J1924">
        <v>630</v>
      </c>
      <c r="K1924" s="1">
        <v>44866</v>
      </c>
      <c r="L1924" t="s">
        <v>247</v>
      </c>
      <c r="M1924">
        <f t="shared" si="61"/>
        <v>630</v>
      </c>
      <c r="N1924" t="e">
        <f>VLOOKUP(H1924,Sheet1!G:H,2,FALSE)</f>
        <v>#N/A</v>
      </c>
      <c r="R1924" t="s">
        <v>3848</v>
      </c>
      <c r="S1924">
        <v>140</v>
      </c>
    </row>
    <row r="1925" spans="1:19" x14ac:dyDescent="0.3">
      <c r="A1925" t="s">
        <v>8</v>
      </c>
      <c r="B1925">
        <f>VLOOKUP(A1925,Sheet2!B:F,5,FALSE)</f>
        <v>928</v>
      </c>
      <c r="C1925" t="s">
        <v>13</v>
      </c>
      <c r="D1925">
        <f>VLOOKUP(C1925,Sheet2!C:G,5,FALSE)</f>
        <v>1184</v>
      </c>
      <c r="E1925" t="s">
        <v>51</v>
      </c>
      <c r="F1925">
        <f>VLOOKUP(E1925,Sheet2!D:E,2,FALSE)</f>
        <v>1274</v>
      </c>
      <c r="G1925" t="s">
        <v>1824</v>
      </c>
      <c r="H1925" t="str">
        <f t="shared" si="60"/>
        <v>KAKAO311913</v>
      </c>
      <c r="I1925" t="str">
        <f>"311913"</f>
        <v>311913</v>
      </c>
      <c r="J1925">
        <v>15490</v>
      </c>
      <c r="K1925" s="1">
        <v>44866</v>
      </c>
      <c r="L1925" t="s">
        <v>1852</v>
      </c>
      <c r="M1925">
        <f t="shared" si="61"/>
        <v>15490</v>
      </c>
      <c r="N1925" t="e">
        <f>VLOOKUP(H1925,Sheet1!G:H,2,FALSE)</f>
        <v>#N/A</v>
      </c>
      <c r="R1925" t="s">
        <v>3849</v>
      </c>
      <c r="S1925">
        <v>630610</v>
      </c>
    </row>
    <row r="1926" spans="1:19" x14ac:dyDescent="0.3">
      <c r="A1926" t="s">
        <v>8</v>
      </c>
      <c r="B1926">
        <f>VLOOKUP(A1926,Sheet2!B:F,5,FALSE)</f>
        <v>928</v>
      </c>
      <c r="C1926" t="s">
        <v>9</v>
      </c>
      <c r="D1926">
        <f>VLOOKUP(C1926,Sheet2!C:G,5,FALSE)</f>
        <v>1202</v>
      </c>
      <c r="E1926" t="s">
        <v>10</v>
      </c>
      <c r="F1926">
        <f>VLOOKUP(E1926,Sheet2!D:E,2,FALSE)</f>
        <v>939</v>
      </c>
      <c r="G1926" t="s">
        <v>1824</v>
      </c>
      <c r="H1926" t="str">
        <f t="shared" si="60"/>
        <v>KAKAO312032</v>
      </c>
      <c r="I1926" t="str">
        <f>"312032"</f>
        <v>312032</v>
      </c>
      <c r="J1926">
        <v>34190</v>
      </c>
      <c r="K1926" s="1">
        <v>44866</v>
      </c>
      <c r="L1926" t="s">
        <v>134</v>
      </c>
      <c r="M1926" t="e">
        <f t="shared" si="61"/>
        <v>#N/A</v>
      </c>
      <c r="N1926" t="e">
        <f>VLOOKUP(H1926,Sheet1!G:H,2,FALSE)</f>
        <v>#N/A</v>
      </c>
      <c r="R1926" t="s">
        <v>3850</v>
      </c>
      <c r="S1926">
        <v>240210</v>
      </c>
    </row>
    <row r="1927" spans="1:19" x14ac:dyDescent="0.3">
      <c r="A1927" t="s">
        <v>8</v>
      </c>
      <c r="B1927">
        <f>VLOOKUP(A1927,Sheet2!B:F,5,FALSE)</f>
        <v>928</v>
      </c>
      <c r="C1927" t="s">
        <v>9</v>
      </c>
      <c r="D1927">
        <f>VLOOKUP(C1927,Sheet2!C:G,5,FALSE)</f>
        <v>1202</v>
      </c>
      <c r="E1927" t="s">
        <v>39</v>
      </c>
      <c r="F1927">
        <f>VLOOKUP(E1927,Sheet2!D:E,2,FALSE)</f>
        <v>25</v>
      </c>
      <c r="G1927" t="s">
        <v>1824</v>
      </c>
      <c r="H1927" t="str">
        <f t="shared" si="60"/>
        <v>KAKAO312210</v>
      </c>
      <c r="I1927" t="str">
        <f>"312210"</f>
        <v>312210</v>
      </c>
      <c r="J1927">
        <v>29800</v>
      </c>
      <c r="K1927" s="1">
        <v>44866</v>
      </c>
      <c r="L1927" t="s">
        <v>773</v>
      </c>
      <c r="M1927" t="e">
        <f t="shared" si="61"/>
        <v>#N/A</v>
      </c>
      <c r="N1927" t="e">
        <f>VLOOKUP(H1927,Sheet1!G:H,2,FALSE)</f>
        <v>#N/A</v>
      </c>
      <c r="R1927" t="s">
        <v>3851</v>
      </c>
      <c r="S1927">
        <v>4948800</v>
      </c>
    </row>
    <row r="1928" spans="1:19" x14ac:dyDescent="0.3">
      <c r="A1928" t="s">
        <v>8</v>
      </c>
      <c r="B1928">
        <f>VLOOKUP(A1928,Sheet2!B:F,5,FALSE)</f>
        <v>928</v>
      </c>
      <c r="C1928" t="s">
        <v>9</v>
      </c>
      <c r="D1928">
        <f>VLOOKUP(C1928,Sheet2!C:G,5,FALSE)</f>
        <v>1202</v>
      </c>
      <c r="E1928" t="s">
        <v>39</v>
      </c>
      <c r="F1928">
        <f>VLOOKUP(E1928,Sheet2!D:E,2,FALSE)</f>
        <v>25</v>
      </c>
      <c r="G1928" t="s">
        <v>1824</v>
      </c>
      <c r="H1928" t="str">
        <f t="shared" si="60"/>
        <v>KAKAO312212</v>
      </c>
      <c r="I1928" t="str">
        <f>"312212"</f>
        <v>312212</v>
      </c>
      <c r="J1928">
        <v>18530</v>
      </c>
      <c r="K1928" s="1">
        <v>44866</v>
      </c>
      <c r="L1928" t="s">
        <v>790</v>
      </c>
      <c r="M1928" t="e">
        <f t="shared" si="61"/>
        <v>#N/A</v>
      </c>
      <c r="N1928" t="e">
        <f>VLOOKUP(H1928,Sheet1!G:H,2,FALSE)</f>
        <v>#N/A</v>
      </c>
      <c r="R1928" t="s">
        <v>3852</v>
      </c>
      <c r="S1928">
        <v>472140</v>
      </c>
    </row>
    <row r="1929" spans="1:19" x14ac:dyDescent="0.3">
      <c r="A1929" t="s">
        <v>41</v>
      </c>
      <c r="B1929">
        <f>VLOOKUP(A1929,Sheet2!B:F,5,FALSE)</f>
        <v>926</v>
      </c>
      <c r="C1929" t="s">
        <v>56</v>
      </c>
      <c r="D1929">
        <f>VLOOKUP(C1929,Sheet2!C:G,5,FALSE)</f>
        <v>1207</v>
      </c>
      <c r="E1929" t="s">
        <v>57</v>
      </c>
      <c r="F1929">
        <f>VLOOKUP(E1929,Sheet2!D:E,2,FALSE)</f>
        <v>200982</v>
      </c>
      <c r="G1929" t="s">
        <v>1824</v>
      </c>
      <c r="H1929" t="str">
        <f t="shared" si="60"/>
        <v>KAKAO312484</v>
      </c>
      <c r="I1929" t="str">
        <f>"312484"</f>
        <v>312484</v>
      </c>
      <c r="J1929">
        <v>35720</v>
      </c>
      <c r="K1929" s="1">
        <v>44866</v>
      </c>
      <c r="L1929" t="s">
        <v>1853</v>
      </c>
      <c r="M1929" t="e">
        <f t="shared" si="61"/>
        <v>#N/A</v>
      </c>
      <c r="N1929" t="e">
        <f>VLOOKUP(H1929,Sheet1!G:H,2,FALSE)</f>
        <v>#N/A</v>
      </c>
      <c r="R1929" t="s">
        <v>3853</v>
      </c>
      <c r="S1929">
        <v>70</v>
      </c>
    </row>
    <row r="1930" spans="1:19" x14ac:dyDescent="0.3">
      <c r="A1930" t="s">
        <v>8</v>
      </c>
      <c r="B1930">
        <f>VLOOKUP(A1930,Sheet2!B:F,5,FALSE)</f>
        <v>928</v>
      </c>
      <c r="C1930" t="s">
        <v>223</v>
      </c>
      <c r="D1930">
        <f>VLOOKUP(C1930,Sheet2!C:G,5,FALSE)</f>
        <v>966</v>
      </c>
      <c r="E1930" t="s">
        <v>224</v>
      </c>
      <c r="F1930">
        <f>VLOOKUP(E1930,Sheet2!D:E,2,FALSE)</f>
        <v>201008</v>
      </c>
      <c r="G1930" t="s">
        <v>1824</v>
      </c>
      <c r="H1930" t="str">
        <f t="shared" si="60"/>
        <v>KAKAO312763</v>
      </c>
      <c r="I1930" t="str">
        <f>"312763"</f>
        <v>312763</v>
      </c>
      <c r="J1930">
        <v>3940</v>
      </c>
      <c r="K1930" s="1">
        <v>44866</v>
      </c>
      <c r="L1930" t="s">
        <v>1223</v>
      </c>
      <c r="M1930">
        <f t="shared" si="61"/>
        <v>3940</v>
      </c>
      <c r="N1930" t="e">
        <f>VLOOKUP(H1930,Sheet1!G:H,2,FALSE)</f>
        <v>#N/A</v>
      </c>
      <c r="R1930" t="s">
        <v>3854</v>
      </c>
      <c r="S1930">
        <v>43520</v>
      </c>
    </row>
    <row r="1931" spans="1:19" x14ac:dyDescent="0.3">
      <c r="A1931" t="s">
        <v>176</v>
      </c>
      <c r="B1931">
        <f>VLOOKUP(A1931,Sheet2!B:F,5,FALSE)</f>
        <v>1204</v>
      </c>
      <c r="C1931" t="s">
        <v>177</v>
      </c>
      <c r="D1931">
        <f>VLOOKUP(C1931,Sheet2!C:G,5,FALSE)</f>
        <v>1205</v>
      </c>
      <c r="E1931" t="s">
        <v>178</v>
      </c>
      <c r="F1931">
        <f>VLOOKUP(E1931,Sheet2!D:E,2,FALSE)</f>
        <v>201073</v>
      </c>
      <c r="G1931" t="s">
        <v>1824</v>
      </c>
      <c r="H1931" t="str">
        <f t="shared" si="60"/>
        <v>KAKAO312846</v>
      </c>
      <c r="I1931" t="str">
        <f>"312846"</f>
        <v>312846</v>
      </c>
      <c r="J1931">
        <v>304530</v>
      </c>
      <c r="K1931" s="1">
        <v>44866</v>
      </c>
      <c r="L1931" t="s">
        <v>511</v>
      </c>
      <c r="M1931" t="e">
        <f t="shared" si="61"/>
        <v>#N/A</v>
      </c>
      <c r="N1931" t="e">
        <f>VLOOKUP(H1931,Sheet1!G:H,2,FALSE)</f>
        <v>#N/A</v>
      </c>
      <c r="R1931" t="s">
        <v>3855</v>
      </c>
      <c r="S1931">
        <v>36160</v>
      </c>
    </row>
    <row r="1932" spans="1:19" x14ac:dyDescent="0.3">
      <c r="A1932" t="s">
        <v>41</v>
      </c>
      <c r="B1932">
        <f>VLOOKUP(A1932,Sheet2!B:F,5,FALSE)</f>
        <v>926</v>
      </c>
      <c r="C1932" t="s">
        <v>56</v>
      </c>
      <c r="D1932">
        <f>VLOOKUP(C1932,Sheet2!C:G,5,FALSE)</f>
        <v>1207</v>
      </c>
      <c r="E1932" t="s">
        <v>57</v>
      </c>
      <c r="F1932">
        <f>VLOOKUP(E1932,Sheet2!D:E,2,FALSE)</f>
        <v>200982</v>
      </c>
      <c r="G1932" t="s">
        <v>1824</v>
      </c>
      <c r="H1932" t="str">
        <f t="shared" si="60"/>
        <v>KAKAO313061</v>
      </c>
      <c r="I1932" t="str">
        <f>"313061"</f>
        <v>313061</v>
      </c>
      <c r="J1932">
        <v>138810</v>
      </c>
      <c r="K1932" s="1">
        <v>44866</v>
      </c>
      <c r="L1932" t="s">
        <v>1137</v>
      </c>
      <c r="M1932">
        <f t="shared" si="61"/>
        <v>138810</v>
      </c>
      <c r="N1932" t="e">
        <f>VLOOKUP(H1932,Sheet1!G:H,2,FALSE)</f>
        <v>#N/A</v>
      </c>
      <c r="R1932" t="s">
        <v>3856</v>
      </c>
      <c r="S1932">
        <v>201120</v>
      </c>
    </row>
    <row r="1933" spans="1:19" x14ac:dyDescent="0.3">
      <c r="A1933" t="s">
        <v>41</v>
      </c>
      <c r="B1933">
        <f>VLOOKUP(A1933,Sheet2!B:F,5,FALSE)</f>
        <v>926</v>
      </c>
      <c r="C1933" t="s">
        <v>56</v>
      </c>
      <c r="D1933">
        <f>VLOOKUP(C1933,Sheet2!C:G,5,FALSE)</f>
        <v>1207</v>
      </c>
      <c r="E1933" t="s">
        <v>64</v>
      </c>
      <c r="F1933">
        <f>VLOOKUP(E1933,Sheet2!D:E,2,FALSE)</f>
        <v>201011</v>
      </c>
      <c r="G1933" t="s">
        <v>1824</v>
      </c>
      <c r="H1933" t="str">
        <f t="shared" si="60"/>
        <v>KAKAO313738</v>
      </c>
      <c r="I1933" t="str">
        <f>"313738"</f>
        <v>313738</v>
      </c>
      <c r="J1933">
        <v>154450</v>
      </c>
      <c r="K1933" s="1">
        <v>44866</v>
      </c>
      <c r="L1933" t="s">
        <v>1854</v>
      </c>
      <c r="M1933" t="e">
        <f t="shared" si="61"/>
        <v>#N/A</v>
      </c>
      <c r="N1933" t="e">
        <f>VLOOKUP(H1933,Sheet1!G:H,2,FALSE)</f>
        <v>#N/A</v>
      </c>
      <c r="R1933" t="s">
        <v>3857</v>
      </c>
      <c r="S1933">
        <v>284280</v>
      </c>
    </row>
    <row r="1934" spans="1:19" x14ac:dyDescent="0.3">
      <c r="A1934" t="s">
        <v>8</v>
      </c>
      <c r="B1934">
        <f>VLOOKUP(A1934,Sheet2!B:F,5,FALSE)</f>
        <v>928</v>
      </c>
      <c r="C1934" t="s">
        <v>13</v>
      </c>
      <c r="D1934">
        <f>VLOOKUP(C1934,Sheet2!C:G,5,FALSE)</f>
        <v>1184</v>
      </c>
      <c r="E1934" t="s">
        <v>217</v>
      </c>
      <c r="F1934">
        <f>VLOOKUP(E1934,Sheet2!D:E,2,FALSE)</f>
        <v>201027</v>
      </c>
      <c r="G1934" t="s">
        <v>1824</v>
      </c>
      <c r="H1934" t="str">
        <f t="shared" si="60"/>
        <v>KAKAO313805</v>
      </c>
      <c r="I1934" t="str">
        <f>"313805"</f>
        <v>313805</v>
      </c>
      <c r="J1934">
        <v>2790</v>
      </c>
      <c r="K1934" s="1">
        <v>44866</v>
      </c>
      <c r="L1934" t="s">
        <v>1855</v>
      </c>
      <c r="M1934">
        <f t="shared" si="61"/>
        <v>2790</v>
      </c>
      <c r="N1934" t="e">
        <f>VLOOKUP(H1934,Sheet1!G:H,2,FALSE)</f>
        <v>#N/A</v>
      </c>
      <c r="R1934" t="s">
        <v>3858</v>
      </c>
      <c r="S1934">
        <v>8130</v>
      </c>
    </row>
    <row r="1935" spans="1:19" x14ac:dyDescent="0.3">
      <c r="A1935" t="s">
        <v>16</v>
      </c>
      <c r="B1935">
        <f>VLOOKUP(A1935,Sheet2!B:F,5,FALSE)</f>
        <v>927</v>
      </c>
      <c r="C1935" t="s">
        <v>17</v>
      </c>
      <c r="D1935">
        <f>VLOOKUP(C1935,Sheet2!C:G,5,FALSE)</f>
        <v>1200</v>
      </c>
      <c r="E1935" t="s">
        <v>96</v>
      </c>
      <c r="F1935">
        <f>VLOOKUP(E1935,Sheet2!D:E,2,FALSE)</f>
        <v>1271</v>
      </c>
      <c r="G1935" t="s">
        <v>1824</v>
      </c>
      <c r="H1935" t="str">
        <f t="shared" si="60"/>
        <v>KAKAO313983</v>
      </c>
      <c r="I1935" t="str">
        <f>"313983"</f>
        <v>313983</v>
      </c>
      <c r="J1935">
        <v>49630</v>
      </c>
      <c r="K1935" s="1">
        <v>44866</v>
      </c>
      <c r="L1935" t="s">
        <v>776</v>
      </c>
      <c r="M1935" t="e">
        <f t="shared" si="61"/>
        <v>#N/A</v>
      </c>
      <c r="N1935" t="e">
        <f>VLOOKUP(H1935,Sheet1!G:H,2,FALSE)</f>
        <v>#N/A</v>
      </c>
      <c r="R1935" t="s">
        <v>3859</v>
      </c>
      <c r="S1935">
        <v>48870</v>
      </c>
    </row>
    <row r="1936" spans="1:19" x14ac:dyDescent="0.3">
      <c r="A1936" t="s">
        <v>8</v>
      </c>
      <c r="B1936">
        <f>VLOOKUP(A1936,Sheet2!B:F,5,FALSE)</f>
        <v>928</v>
      </c>
      <c r="C1936" t="s">
        <v>13</v>
      </c>
      <c r="D1936">
        <f>VLOOKUP(C1936,Sheet2!C:G,5,FALSE)</f>
        <v>1184</v>
      </c>
      <c r="E1936" t="s">
        <v>118</v>
      </c>
      <c r="F1936">
        <f>VLOOKUP(E1936,Sheet2!D:E,2,FALSE)</f>
        <v>201004</v>
      </c>
      <c r="G1936" t="s">
        <v>1824</v>
      </c>
      <c r="H1936" t="str">
        <f t="shared" si="60"/>
        <v>KAKAO314157</v>
      </c>
      <c r="I1936" t="str">
        <f>"314157"</f>
        <v>314157</v>
      </c>
      <c r="J1936">
        <v>99090</v>
      </c>
      <c r="K1936" s="1">
        <v>44866</v>
      </c>
      <c r="L1936" t="s">
        <v>1176</v>
      </c>
      <c r="M1936" t="e">
        <f t="shared" si="61"/>
        <v>#N/A</v>
      </c>
      <c r="N1936" t="e">
        <f>VLOOKUP(H1936,Sheet1!G:H,2,FALSE)</f>
        <v>#N/A</v>
      </c>
      <c r="R1936" t="s">
        <v>3860</v>
      </c>
      <c r="S1936">
        <v>2948930</v>
      </c>
    </row>
    <row r="1937" spans="1:19" x14ac:dyDescent="0.3">
      <c r="A1937" t="s">
        <v>8</v>
      </c>
      <c r="B1937">
        <f>VLOOKUP(A1937,Sheet2!B:F,5,FALSE)</f>
        <v>928</v>
      </c>
      <c r="C1937" t="s">
        <v>13</v>
      </c>
      <c r="D1937">
        <f>VLOOKUP(C1937,Sheet2!C:G,5,FALSE)</f>
        <v>1184</v>
      </c>
      <c r="E1937" t="s">
        <v>102</v>
      </c>
      <c r="F1937">
        <f>VLOOKUP(E1937,Sheet2!D:E,2,FALSE)</f>
        <v>917</v>
      </c>
      <c r="G1937" t="s">
        <v>1824</v>
      </c>
      <c r="H1937" t="str">
        <f t="shared" si="60"/>
        <v>KAKAO314464</v>
      </c>
      <c r="I1937" t="str">
        <f>"314464"</f>
        <v>314464</v>
      </c>
      <c r="J1937">
        <v>101460</v>
      </c>
      <c r="K1937" s="1">
        <v>44866</v>
      </c>
      <c r="L1937" t="s">
        <v>1785</v>
      </c>
      <c r="M1937">
        <f t="shared" si="61"/>
        <v>101460</v>
      </c>
      <c r="N1937" t="e">
        <f>VLOOKUP(H1937,Sheet1!G:H,2,FALSE)</f>
        <v>#N/A</v>
      </c>
      <c r="R1937" t="s">
        <v>3861</v>
      </c>
      <c r="S1937">
        <v>2417480</v>
      </c>
    </row>
    <row r="1938" spans="1:19" x14ac:dyDescent="0.3">
      <c r="A1938" t="s">
        <v>41</v>
      </c>
      <c r="B1938">
        <f>VLOOKUP(A1938,Sheet2!B:F,5,FALSE)</f>
        <v>926</v>
      </c>
      <c r="C1938" t="s">
        <v>56</v>
      </c>
      <c r="D1938">
        <f>VLOOKUP(C1938,Sheet2!C:G,5,FALSE)</f>
        <v>1207</v>
      </c>
      <c r="E1938" t="s">
        <v>62</v>
      </c>
      <c r="F1938">
        <f>VLOOKUP(E1938,Sheet2!D:E,2,FALSE)</f>
        <v>201037</v>
      </c>
      <c r="G1938" t="s">
        <v>1824</v>
      </c>
      <c r="H1938" t="str">
        <f t="shared" si="60"/>
        <v>KAKAO314748</v>
      </c>
      <c r="I1938" t="str">
        <f>"314748"</f>
        <v>314748</v>
      </c>
      <c r="J1938">
        <v>48810</v>
      </c>
      <c r="K1938" s="1">
        <v>44866</v>
      </c>
      <c r="L1938" t="s">
        <v>1856</v>
      </c>
      <c r="M1938">
        <f t="shared" si="61"/>
        <v>48810</v>
      </c>
      <c r="N1938" t="e">
        <f>VLOOKUP(H1938,Sheet1!G:H,2,FALSE)</f>
        <v>#N/A</v>
      </c>
      <c r="R1938" t="s">
        <v>3862</v>
      </c>
      <c r="S1938">
        <v>1048570</v>
      </c>
    </row>
    <row r="1939" spans="1:19" x14ac:dyDescent="0.3">
      <c r="A1939" t="s">
        <v>8</v>
      </c>
      <c r="B1939">
        <f>VLOOKUP(A1939,Sheet2!B:F,5,FALSE)</f>
        <v>928</v>
      </c>
      <c r="C1939" t="s">
        <v>13</v>
      </c>
      <c r="D1939">
        <f>VLOOKUP(C1939,Sheet2!C:G,5,FALSE)</f>
        <v>1184</v>
      </c>
      <c r="E1939" t="s">
        <v>102</v>
      </c>
      <c r="F1939">
        <f>VLOOKUP(E1939,Sheet2!D:E,2,FALSE)</f>
        <v>917</v>
      </c>
      <c r="G1939" t="s">
        <v>1824</v>
      </c>
      <c r="H1939" t="str">
        <f t="shared" si="60"/>
        <v>KAKAO314869</v>
      </c>
      <c r="I1939" t="str">
        <f>"314869"</f>
        <v>314869</v>
      </c>
      <c r="J1939">
        <v>98540</v>
      </c>
      <c r="K1939" s="1">
        <v>44866</v>
      </c>
      <c r="L1939" t="s">
        <v>1857</v>
      </c>
      <c r="M1939">
        <f t="shared" si="61"/>
        <v>98540</v>
      </c>
      <c r="N1939" t="e">
        <f>VLOOKUP(H1939,Sheet1!G:H,2,FALSE)</f>
        <v>#N/A</v>
      </c>
      <c r="R1939" t="s">
        <v>3863</v>
      </c>
      <c r="S1939">
        <v>453100</v>
      </c>
    </row>
    <row r="1940" spans="1:19" x14ac:dyDescent="0.3">
      <c r="A1940" t="s">
        <v>8</v>
      </c>
      <c r="B1940">
        <f>VLOOKUP(A1940,Sheet2!B:F,5,FALSE)</f>
        <v>928</v>
      </c>
      <c r="C1940" t="s">
        <v>9</v>
      </c>
      <c r="D1940">
        <f>VLOOKUP(C1940,Sheet2!C:G,5,FALSE)</f>
        <v>1202</v>
      </c>
      <c r="E1940" t="s">
        <v>39</v>
      </c>
      <c r="F1940">
        <f>VLOOKUP(E1940,Sheet2!D:E,2,FALSE)</f>
        <v>25</v>
      </c>
      <c r="G1940" t="s">
        <v>1824</v>
      </c>
      <c r="H1940" t="str">
        <f t="shared" si="60"/>
        <v>KAKAO314893</v>
      </c>
      <c r="I1940" t="str">
        <f>"314893"</f>
        <v>314893</v>
      </c>
      <c r="J1940">
        <v>441450</v>
      </c>
      <c r="K1940" s="1">
        <v>44866</v>
      </c>
      <c r="L1940" t="s">
        <v>1599</v>
      </c>
      <c r="M1940" t="e">
        <f t="shared" si="61"/>
        <v>#N/A</v>
      </c>
      <c r="N1940" t="e">
        <f>VLOOKUP(H1940,Sheet1!G:H,2,FALSE)</f>
        <v>#N/A</v>
      </c>
      <c r="R1940" t="s">
        <v>3864</v>
      </c>
      <c r="S1940">
        <v>3235590</v>
      </c>
    </row>
    <row r="1941" spans="1:19" x14ac:dyDescent="0.3">
      <c r="A1941" t="s">
        <v>8</v>
      </c>
      <c r="B1941">
        <f>VLOOKUP(A1941,Sheet2!B:F,5,FALSE)</f>
        <v>928</v>
      </c>
      <c r="C1941" t="s">
        <v>9</v>
      </c>
      <c r="D1941">
        <f>VLOOKUP(C1941,Sheet2!C:G,5,FALSE)</f>
        <v>1202</v>
      </c>
      <c r="E1941" t="s">
        <v>31</v>
      </c>
      <c r="F1941">
        <f>VLOOKUP(E1941,Sheet2!D:E,2,FALSE)</f>
        <v>1040</v>
      </c>
      <c r="G1941" t="s">
        <v>1824</v>
      </c>
      <c r="H1941" t="str">
        <f t="shared" si="60"/>
        <v>KAKAO314896</v>
      </c>
      <c r="I1941" t="str">
        <f>"314896"</f>
        <v>314896</v>
      </c>
      <c r="J1941">
        <v>105700</v>
      </c>
      <c r="K1941" s="1">
        <v>44866</v>
      </c>
      <c r="L1941" t="s">
        <v>878</v>
      </c>
      <c r="M1941">
        <f t="shared" si="61"/>
        <v>105700</v>
      </c>
      <c r="N1941" t="e">
        <f>VLOOKUP(H1941,Sheet1!G:H,2,FALSE)</f>
        <v>#N/A</v>
      </c>
      <c r="R1941" t="s">
        <v>3865</v>
      </c>
      <c r="S1941">
        <v>13020</v>
      </c>
    </row>
    <row r="1942" spans="1:19" x14ac:dyDescent="0.3">
      <c r="A1942" t="s">
        <v>41</v>
      </c>
      <c r="B1942">
        <f>VLOOKUP(A1942,Sheet2!B:F,5,FALSE)</f>
        <v>926</v>
      </c>
      <c r="C1942" t="s">
        <v>56</v>
      </c>
      <c r="D1942">
        <f>VLOOKUP(C1942,Sheet2!C:G,5,FALSE)</f>
        <v>1207</v>
      </c>
      <c r="E1942" t="s">
        <v>57</v>
      </c>
      <c r="F1942">
        <f>VLOOKUP(E1942,Sheet2!D:E,2,FALSE)</f>
        <v>200982</v>
      </c>
      <c r="G1942" t="s">
        <v>1824</v>
      </c>
      <c r="H1942" t="str">
        <f t="shared" si="60"/>
        <v>KAKAO315289</v>
      </c>
      <c r="I1942" t="str">
        <f>"315289"</f>
        <v>315289</v>
      </c>
      <c r="J1942">
        <v>390840</v>
      </c>
      <c r="K1942" s="1">
        <v>44866</v>
      </c>
      <c r="L1942" t="s">
        <v>1805</v>
      </c>
      <c r="M1942">
        <f t="shared" si="61"/>
        <v>390840</v>
      </c>
      <c r="N1942" t="e">
        <f>VLOOKUP(H1942,Sheet1!G:H,2,FALSE)</f>
        <v>#N/A</v>
      </c>
      <c r="R1942" t="s">
        <v>3866</v>
      </c>
      <c r="S1942">
        <v>757500</v>
      </c>
    </row>
    <row r="1943" spans="1:19" x14ac:dyDescent="0.3">
      <c r="A1943" t="s">
        <v>8</v>
      </c>
      <c r="B1943">
        <f>VLOOKUP(A1943,Sheet2!B:F,5,FALSE)</f>
        <v>928</v>
      </c>
      <c r="C1943" t="s">
        <v>9</v>
      </c>
      <c r="D1943">
        <f>VLOOKUP(C1943,Sheet2!C:G,5,FALSE)</f>
        <v>1202</v>
      </c>
      <c r="E1943" t="s">
        <v>45</v>
      </c>
      <c r="F1943">
        <f>VLOOKUP(E1943,Sheet2!D:E,2,FALSE)</f>
        <v>26</v>
      </c>
      <c r="G1943" t="s">
        <v>1824</v>
      </c>
      <c r="H1943" t="str">
        <f t="shared" si="60"/>
        <v>KAKAO315604</v>
      </c>
      <c r="I1943" t="str">
        <f>"315604"</f>
        <v>315604</v>
      </c>
      <c r="J1943">
        <v>115990</v>
      </c>
      <c r="K1943" s="1">
        <v>44866</v>
      </c>
      <c r="L1943" t="s">
        <v>1858</v>
      </c>
      <c r="M1943">
        <f t="shared" si="61"/>
        <v>115990</v>
      </c>
      <c r="N1943" t="e">
        <f>VLOOKUP(H1943,Sheet1!G:H,2,FALSE)</f>
        <v>#N/A</v>
      </c>
      <c r="R1943" t="s">
        <v>3867</v>
      </c>
      <c r="S1943">
        <v>0</v>
      </c>
    </row>
    <row r="1944" spans="1:19" x14ac:dyDescent="0.3">
      <c r="A1944" t="s">
        <v>8</v>
      </c>
      <c r="B1944">
        <f>VLOOKUP(A1944,Sheet2!B:F,5,FALSE)</f>
        <v>928</v>
      </c>
      <c r="C1944" t="s">
        <v>13</v>
      </c>
      <c r="D1944">
        <f>VLOOKUP(C1944,Sheet2!C:G,5,FALSE)</f>
        <v>1184</v>
      </c>
      <c r="E1944" t="s">
        <v>59</v>
      </c>
      <c r="F1944">
        <f>VLOOKUP(E1944,Sheet2!D:E,2,FALSE)</f>
        <v>9</v>
      </c>
      <c r="G1944" t="s">
        <v>1824</v>
      </c>
      <c r="H1944" t="str">
        <f t="shared" si="60"/>
        <v>KAKAO315889</v>
      </c>
      <c r="I1944" t="str">
        <f>"315889"</f>
        <v>315889</v>
      </c>
      <c r="J1944">
        <v>241280</v>
      </c>
      <c r="K1944" s="1">
        <v>44866</v>
      </c>
      <c r="L1944" t="s">
        <v>1382</v>
      </c>
      <c r="M1944">
        <f t="shared" si="61"/>
        <v>241280</v>
      </c>
      <c r="N1944" t="e">
        <f>VLOOKUP(H1944,Sheet1!G:H,2,FALSE)</f>
        <v>#N/A</v>
      </c>
      <c r="R1944" t="s">
        <v>3868</v>
      </c>
      <c r="S1944">
        <v>7850</v>
      </c>
    </row>
    <row r="1945" spans="1:19" x14ac:dyDescent="0.3">
      <c r="A1945" t="s">
        <v>8</v>
      </c>
      <c r="B1945">
        <f>VLOOKUP(A1945,Sheet2!B:F,5,FALSE)</f>
        <v>928</v>
      </c>
      <c r="C1945" t="s">
        <v>9</v>
      </c>
      <c r="D1945">
        <f>VLOOKUP(C1945,Sheet2!C:G,5,FALSE)</f>
        <v>1202</v>
      </c>
      <c r="E1945" t="s">
        <v>20</v>
      </c>
      <c r="F1945">
        <f>VLOOKUP(E1945,Sheet2!D:E,2,FALSE)</f>
        <v>938</v>
      </c>
      <c r="G1945" t="s">
        <v>1824</v>
      </c>
      <c r="H1945" t="str">
        <f t="shared" si="60"/>
        <v>KAKAO316118</v>
      </c>
      <c r="I1945" t="str">
        <f>"316118"</f>
        <v>316118</v>
      </c>
      <c r="J1945">
        <v>100900</v>
      </c>
      <c r="K1945" s="1">
        <v>44866</v>
      </c>
      <c r="L1945" t="s">
        <v>1748</v>
      </c>
      <c r="M1945">
        <f t="shared" si="61"/>
        <v>100900</v>
      </c>
      <c r="N1945" t="e">
        <f>VLOOKUP(H1945,Sheet1!G:H,2,FALSE)</f>
        <v>#N/A</v>
      </c>
      <c r="R1945" t="s">
        <v>3869</v>
      </c>
      <c r="S1945">
        <v>31730</v>
      </c>
    </row>
    <row r="1946" spans="1:19" x14ac:dyDescent="0.3">
      <c r="A1946" t="s">
        <v>8</v>
      </c>
      <c r="B1946">
        <f>VLOOKUP(A1946,Sheet2!B:F,5,FALSE)</f>
        <v>928</v>
      </c>
      <c r="C1946" t="s">
        <v>9</v>
      </c>
      <c r="D1946">
        <f>VLOOKUP(C1946,Sheet2!C:G,5,FALSE)</f>
        <v>1202</v>
      </c>
      <c r="E1946" t="s">
        <v>47</v>
      </c>
      <c r="F1946">
        <f>VLOOKUP(E1946,Sheet2!D:E,2,FALSE)</f>
        <v>898</v>
      </c>
      <c r="G1946" t="s">
        <v>1824</v>
      </c>
      <c r="H1946" t="str">
        <f t="shared" si="60"/>
        <v>KAKAO316146</v>
      </c>
      <c r="I1946" t="str">
        <f>"316146"</f>
        <v>316146</v>
      </c>
      <c r="J1946">
        <v>327010</v>
      </c>
      <c r="K1946" s="1">
        <v>44866</v>
      </c>
      <c r="L1946" t="s">
        <v>432</v>
      </c>
      <c r="M1946">
        <f t="shared" si="61"/>
        <v>327010</v>
      </c>
      <c r="N1946" t="e">
        <f>VLOOKUP(H1946,Sheet1!G:H,2,FALSE)</f>
        <v>#N/A</v>
      </c>
      <c r="R1946" t="s">
        <v>3870</v>
      </c>
      <c r="S1946">
        <v>40820</v>
      </c>
    </row>
    <row r="1947" spans="1:19" x14ac:dyDescent="0.3">
      <c r="A1947" t="s">
        <v>41</v>
      </c>
      <c r="B1947">
        <f>VLOOKUP(A1947,Sheet2!B:F,5,FALSE)</f>
        <v>926</v>
      </c>
      <c r="C1947" t="s">
        <v>56</v>
      </c>
      <c r="D1947">
        <f>VLOOKUP(C1947,Sheet2!C:G,5,FALSE)</f>
        <v>1207</v>
      </c>
      <c r="E1947" t="s">
        <v>64</v>
      </c>
      <c r="F1947">
        <f>VLOOKUP(E1947,Sheet2!D:E,2,FALSE)</f>
        <v>201011</v>
      </c>
      <c r="G1947" t="s">
        <v>1824</v>
      </c>
      <c r="H1947" t="str">
        <f t="shared" si="60"/>
        <v>KAKAO316257</v>
      </c>
      <c r="I1947" t="str">
        <f>"316257"</f>
        <v>316257</v>
      </c>
      <c r="J1947">
        <v>1060</v>
      </c>
      <c r="K1947" s="1">
        <v>44866</v>
      </c>
      <c r="L1947" t="s">
        <v>1859</v>
      </c>
      <c r="M1947">
        <f t="shared" si="61"/>
        <v>1060</v>
      </c>
      <c r="N1947" t="e">
        <f>VLOOKUP(H1947,Sheet1!G:H,2,FALSE)</f>
        <v>#N/A</v>
      </c>
      <c r="R1947" t="s">
        <v>3871</v>
      </c>
      <c r="S1947">
        <v>920280</v>
      </c>
    </row>
    <row r="1948" spans="1:19" x14ac:dyDescent="0.3">
      <c r="A1948" t="s">
        <v>41</v>
      </c>
      <c r="B1948">
        <f>VLOOKUP(A1948,Sheet2!B:F,5,FALSE)</f>
        <v>926</v>
      </c>
      <c r="C1948" t="s">
        <v>56</v>
      </c>
      <c r="D1948">
        <f>VLOOKUP(C1948,Sheet2!C:G,5,FALSE)</f>
        <v>1207</v>
      </c>
      <c r="E1948" t="s">
        <v>62</v>
      </c>
      <c r="F1948">
        <f>VLOOKUP(E1948,Sheet2!D:E,2,FALSE)</f>
        <v>201037</v>
      </c>
      <c r="G1948" t="s">
        <v>1824</v>
      </c>
      <c r="H1948" t="str">
        <f t="shared" si="60"/>
        <v>KAKAO316298</v>
      </c>
      <c r="I1948" t="str">
        <f>"316298"</f>
        <v>316298</v>
      </c>
      <c r="J1948">
        <v>701630</v>
      </c>
      <c r="K1948" s="1">
        <v>44866</v>
      </c>
      <c r="L1948" t="s">
        <v>1126</v>
      </c>
      <c r="M1948">
        <f t="shared" si="61"/>
        <v>701630</v>
      </c>
      <c r="N1948" t="e">
        <f>VLOOKUP(H1948,Sheet1!G:H,2,FALSE)</f>
        <v>#N/A</v>
      </c>
      <c r="R1948" t="s">
        <v>3872</v>
      </c>
      <c r="S1948">
        <v>397070</v>
      </c>
    </row>
    <row r="1949" spans="1:19" x14ac:dyDescent="0.3">
      <c r="A1949" t="s">
        <v>8</v>
      </c>
      <c r="B1949">
        <f>VLOOKUP(A1949,Sheet2!B:F,5,FALSE)</f>
        <v>928</v>
      </c>
      <c r="C1949" t="s">
        <v>9</v>
      </c>
      <c r="D1949">
        <f>VLOOKUP(C1949,Sheet2!C:G,5,FALSE)</f>
        <v>1202</v>
      </c>
      <c r="E1949" t="s">
        <v>35</v>
      </c>
      <c r="F1949">
        <f>VLOOKUP(E1949,Sheet2!D:E,2,FALSE)</f>
        <v>51</v>
      </c>
      <c r="G1949" t="s">
        <v>1824</v>
      </c>
      <c r="H1949" t="str">
        <f t="shared" si="60"/>
        <v>KAKAO317277</v>
      </c>
      <c r="I1949" t="str">
        <f>"317277"</f>
        <v>317277</v>
      </c>
      <c r="J1949">
        <v>3764660</v>
      </c>
      <c r="K1949" s="1">
        <v>44866</v>
      </c>
      <c r="L1949" t="s">
        <v>1215</v>
      </c>
      <c r="M1949">
        <f t="shared" si="61"/>
        <v>3764660</v>
      </c>
      <c r="N1949" t="e">
        <f>VLOOKUP(H1949,Sheet1!G:H,2,FALSE)</f>
        <v>#N/A</v>
      </c>
      <c r="R1949" t="s">
        <v>3873</v>
      </c>
      <c r="S1949">
        <v>84630</v>
      </c>
    </row>
    <row r="1950" spans="1:19" x14ac:dyDescent="0.3">
      <c r="A1950" t="s">
        <v>41</v>
      </c>
      <c r="B1950">
        <f>VLOOKUP(A1950,Sheet2!B:F,5,FALSE)</f>
        <v>926</v>
      </c>
      <c r="C1950" t="s">
        <v>56</v>
      </c>
      <c r="D1950">
        <f>VLOOKUP(C1950,Sheet2!C:G,5,FALSE)</f>
        <v>1207</v>
      </c>
      <c r="E1950" t="s">
        <v>253</v>
      </c>
      <c r="F1950">
        <f>VLOOKUP(E1950,Sheet2!D:E,2,FALSE)</f>
        <v>1328</v>
      </c>
      <c r="G1950" t="s">
        <v>1824</v>
      </c>
      <c r="H1950" t="str">
        <f t="shared" si="60"/>
        <v>KAKAO317288</v>
      </c>
      <c r="I1950" t="str">
        <f>"317288"</f>
        <v>317288</v>
      </c>
      <c r="J1950">
        <v>314600</v>
      </c>
      <c r="K1950" s="1">
        <v>44866</v>
      </c>
      <c r="L1950" t="s">
        <v>683</v>
      </c>
      <c r="M1950">
        <f t="shared" si="61"/>
        <v>314600</v>
      </c>
      <c r="N1950" t="e">
        <f>VLOOKUP(H1950,Sheet1!G:H,2,FALSE)</f>
        <v>#N/A</v>
      </c>
      <c r="R1950" t="s">
        <v>3874</v>
      </c>
      <c r="S1950">
        <v>2435530</v>
      </c>
    </row>
    <row r="1951" spans="1:19" x14ac:dyDescent="0.3">
      <c r="A1951" t="s">
        <v>176</v>
      </c>
      <c r="B1951">
        <f>VLOOKUP(A1951,Sheet2!B:F,5,FALSE)</f>
        <v>1204</v>
      </c>
      <c r="C1951" t="s">
        <v>177</v>
      </c>
      <c r="D1951">
        <f>VLOOKUP(C1951,Sheet2!C:G,5,FALSE)</f>
        <v>1205</v>
      </c>
      <c r="E1951" t="s">
        <v>178</v>
      </c>
      <c r="F1951">
        <f>VLOOKUP(E1951,Sheet2!D:E,2,FALSE)</f>
        <v>201073</v>
      </c>
      <c r="G1951" t="s">
        <v>1824</v>
      </c>
      <c r="H1951" t="str">
        <f t="shared" si="60"/>
        <v>KAKAO317325</v>
      </c>
      <c r="I1951" t="str">
        <f>"317325"</f>
        <v>317325</v>
      </c>
      <c r="J1951">
        <v>1179070</v>
      </c>
      <c r="K1951" s="1">
        <v>44866</v>
      </c>
      <c r="L1951" t="s">
        <v>366</v>
      </c>
      <c r="M1951" t="e">
        <f t="shared" si="61"/>
        <v>#N/A</v>
      </c>
      <c r="N1951" t="e">
        <f>VLOOKUP(H1951,Sheet1!G:H,2,FALSE)</f>
        <v>#N/A</v>
      </c>
      <c r="R1951" t="s">
        <v>3875</v>
      </c>
      <c r="S1951">
        <v>11317650</v>
      </c>
    </row>
    <row r="1952" spans="1:19" x14ac:dyDescent="0.3">
      <c r="A1952" t="s">
        <v>41</v>
      </c>
      <c r="B1952">
        <f>VLOOKUP(A1952,Sheet2!B:F,5,FALSE)</f>
        <v>926</v>
      </c>
      <c r="C1952" t="s">
        <v>42</v>
      </c>
      <c r="D1952">
        <f>VLOOKUP(C1952,Sheet2!C:G,5,FALSE)</f>
        <v>964</v>
      </c>
      <c r="E1952" t="s">
        <v>704</v>
      </c>
      <c r="F1952">
        <f>VLOOKUP(E1952,Sheet2!D:E,2,FALSE)</f>
        <v>1616</v>
      </c>
      <c r="G1952" t="s">
        <v>1824</v>
      </c>
      <c r="H1952" t="str">
        <f t="shared" si="60"/>
        <v>KAKAO317478</v>
      </c>
      <c r="I1952" t="str">
        <f>"317478"</f>
        <v>317478</v>
      </c>
      <c r="J1952">
        <v>350</v>
      </c>
      <c r="K1952" s="1">
        <v>44866</v>
      </c>
      <c r="L1952" t="s">
        <v>1011</v>
      </c>
      <c r="M1952" t="e">
        <f t="shared" si="61"/>
        <v>#N/A</v>
      </c>
      <c r="N1952" t="e">
        <f>VLOOKUP(H1952,Sheet1!G:H,2,FALSE)</f>
        <v>#N/A</v>
      </c>
      <c r="R1952" t="s">
        <v>3876</v>
      </c>
      <c r="S1952">
        <v>182770</v>
      </c>
    </row>
    <row r="1953" spans="1:19" x14ac:dyDescent="0.3">
      <c r="A1953" t="s">
        <v>8</v>
      </c>
      <c r="B1953">
        <f>VLOOKUP(A1953,Sheet2!B:F,5,FALSE)</f>
        <v>928</v>
      </c>
      <c r="C1953" t="s">
        <v>9</v>
      </c>
      <c r="D1953">
        <f>VLOOKUP(C1953,Sheet2!C:G,5,FALSE)</f>
        <v>1202</v>
      </c>
      <c r="E1953" t="s">
        <v>33</v>
      </c>
      <c r="F1953">
        <f>VLOOKUP(E1953,Sheet2!D:E,2,FALSE)</f>
        <v>933</v>
      </c>
      <c r="G1953" t="s">
        <v>1824</v>
      </c>
      <c r="H1953" t="str">
        <f t="shared" si="60"/>
        <v>KAKAO317480</v>
      </c>
      <c r="I1953" t="str">
        <f>"317480"</f>
        <v>317480</v>
      </c>
      <c r="J1953">
        <v>132630</v>
      </c>
      <c r="K1953" s="1">
        <v>44866</v>
      </c>
      <c r="L1953" t="s">
        <v>1717</v>
      </c>
      <c r="M1953">
        <f t="shared" si="61"/>
        <v>132630</v>
      </c>
      <c r="N1953" t="e">
        <f>VLOOKUP(H1953,Sheet1!G:H,2,FALSE)</f>
        <v>#N/A</v>
      </c>
      <c r="R1953" t="s">
        <v>3877</v>
      </c>
      <c r="S1953">
        <v>199020</v>
      </c>
    </row>
    <row r="1954" spans="1:19" x14ac:dyDescent="0.3">
      <c r="A1954" t="s">
        <v>8</v>
      </c>
      <c r="B1954">
        <f>VLOOKUP(A1954,Sheet2!B:F,5,FALSE)</f>
        <v>928</v>
      </c>
      <c r="C1954" t="s">
        <v>9</v>
      </c>
      <c r="D1954">
        <f>VLOOKUP(C1954,Sheet2!C:G,5,FALSE)</f>
        <v>1202</v>
      </c>
      <c r="E1954" t="s">
        <v>33</v>
      </c>
      <c r="F1954">
        <f>VLOOKUP(E1954,Sheet2!D:E,2,FALSE)</f>
        <v>933</v>
      </c>
      <c r="G1954" t="s">
        <v>1824</v>
      </c>
      <c r="H1954" t="str">
        <f t="shared" si="60"/>
        <v>KAKAO317483</v>
      </c>
      <c r="I1954" t="str">
        <f>"317483"</f>
        <v>317483</v>
      </c>
      <c r="J1954">
        <v>109790</v>
      </c>
      <c r="K1954" s="1">
        <v>44866</v>
      </c>
      <c r="L1954" t="s">
        <v>332</v>
      </c>
      <c r="M1954">
        <f t="shared" si="61"/>
        <v>109790</v>
      </c>
      <c r="N1954" t="e">
        <f>VLOOKUP(H1954,Sheet1!G:H,2,FALSE)</f>
        <v>#N/A</v>
      </c>
      <c r="R1954" t="s">
        <v>3878</v>
      </c>
      <c r="S1954">
        <v>336940</v>
      </c>
    </row>
    <row r="1955" spans="1:19" x14ac:dyDescent="0.3">
      <c r="A1955" t="s">
        <v>8</v>
      </c>
      <c r="B1955">
        <f>VLOOKUP(A1955,Sheet2!B:F,5,FALSE)</f>
        <v>928</v>
      </c>
      <c r="C1955" t="s">
        <v>9</v>
      </c>
      <c r="D1955">
        <f>VLOOKUP(C1955,Sheet2!C:G,5,FALSE)</f>
        <v>1202</v>
      </c>
      <c r="E1955" t="s">
        <v>33</v>
      </c>
      <c r="F1955">
        <f>VLOOKUP(E1955,Sheet2!D:E,2,FALSE)</f>
        <v>933</v>
      </c>
      <c r="G1955" t="s">
        <v>1824</v>
      </c>
      <c r="H1955" t="str">
        <f t="shared" si="60"/>
        <v>KAKAO317484</v>
      </c>
      <c r="I1955" t="str">
        <f>"317484"</f>
        <v>317484</v>
      </c>
      <c r="J1955">
        <v>121280</v>
      </c>
      <c r="K1955" s="1">
        <v>44866</v>
      </c>
      <c r="L1955" t="s">
        <v>149</v>
      </c>
      <c r="M1955">
        <f t="shared" si="61"/>
        <v>121280</v>
      </c>
      <c r="N1955" t="e">
        <f>VLOOKUP(H1955,Sheet1!G:H,2,FALSE)</f>
        <v>#N/A</v>
      </c>
      <c r="R1955" t="s">
        <v>3879</v>
      </c>
      <c r="S1955">
        <v>140</v>
      </c>
    </row>
    <row r="1956" spans="1:19" x14ac:dyDescent="0.3">
      <c r="A1956" t="s">
        <v>8</v>
      </c>
      <c r="B1956">
        <f>VLOOKUP(A1956,Sheet2!B:F,5,FALSE)</f>
        <v>928</v>
      </c>
      <c r="C1956" t="s">
        <v>9</v>
      </c>
      <c r="D1956">
        <f>VLOOKUP(C1956,Sheet2!C:G,5,FALSE)</f>
        <v>1202</v>
      </c>
      <c r="E1956" t="s">
        <v>27</v>
      </c>
      <c r="F1956">
        <f>VLOOKUP(E1956,Sheet2!D:E,2,FALSE)</f>
        <v>806</v>
      </c>
      <c r="G1956" t="s">
        <v>1824</v>
      </c>
      <c r="H1956" t="str">
        <f t="shared" si="60"/>
        <v>KAKAO317501</v>
      </c>
      <c r="I1956" t="str">
        <f>"317501"</f>
        <v>317501</v>
      </c>
      <c r="J1956">
        <v>249480</v>
      </c>
      <c r="K1956" s="1">
        <v>44866</v>
      </c>
      <c r="L1956" t="s">
        <v>1033</v>
      </c>
      <c r="M1956">
        <f t="shared" si="61"/>
        <v>249480</v>
      </c>
      <c r="N1956" t="e">
        <f>VLOOKUP(H1956,Sheet1!G:H,2,FALSE)</f>
        <v>#N/A</v>
      </c>
      <c r="R1956" t="s">
        <v>3880</v>
      </c>
      <c r="S1956">
        <v>74470</v>
      </c>
    </row>
    <row r="1957" spans="1:19" x14ac:dyDescent="0.3">
      <c r="A1957" t="s">
        <v>8</v>
      </c>
      <c r="B1957">
        <f>VLOOKUP(A1957,Sheet2!B:F,5,FALSE)</f>
        <v>928</v>
      </c>
      <c r="C1957" t="s">
        <v>9</v>
      </c>
      <c r="D1957">
        <f>VLOOKUP(C1957,Sheet2!C:G,5,FALSE)</f>
        <v>1202</v>
      </c>
      <c r="E1957" t="s">
        <v>27</v>
      </c>
      <c r="F1957">
        <f>VLOOKUP(E1957,Sheet2!D:E,2,FALSE)</f>
        <v>806</v>
      </c>
      <c r="G1957" t="s">
        <v>1824</v>
      </c>
      <c r="H1957" t="str">
        <f t="shared" si="60"/>
        <v>KAKAO317513</v>
      </c>
      <c r="I1957" t="str">
        <f>"317513"</f>
        <v>317513</v>
      </c>
      <c r="J1957">
        <v>36610</v>
      </c>
      <c r="K1957" s="1">
        <v>44866</v>
      </c>
      <c r="L1957" t="s">
        <v>696</v>
      </c>
      <c r="M1957">
        <f t="shared" si="61"/>
        <v>36610</v>
      </c>
      <c r="N1957" t="e">
        <f>VLOOKUP(H1957,Sheet1!G:H,2,FALSE)</f>
        <v>#N/A</v>
      </c>
      <c r="R1957" t="s">
        <v>3881</v>
      </c>
      <c r="S1957">
        <v>1595570</v>
      </c>
    </row>
    <row r="1958" spans="1:19" x14ac:dyDescent="0.3">
      <c r="A1958" t="s">
        <v>8</v>
      </c>
      <c r="B1958">
        <f>VLOOKUP(A1958,Sheet2!B:F,5,FALSE)</f>
        <v>928</v>
      </c>
      <c r="C1958" t="s">
        <v>13</v>
      </c>
      <c r="D1958">
        <f>VLOOKUP(C1958,Sheet2!C:G,5,FALSE)</f>
        <v>1184</v>
      </c>
      <c r="E1958" t="s">
        <v>102</v>
      </c>
      <c r="F1958">
        <f>VLOOKUP(E1958,Sheet2!D:E,2,FALSE)</f>
        <v>917</v>
      </c>
      <c r="G1958" t="s">
        <v>1824</v>
      </c>
      <c r="H1958" t="str">
        <f t="shared" si="60"/>
        <v>KAKAO317653</v>
      </c>
      <c r="I1958" t="str">
        <f>"317653"</f>
        <v>317653</v>
      </c>
      <c r="J1958">
        <v>244980</v>
      </c>
      <c r="K1958" s="1">
        <v>44866</v>
      </c>
      <c r="L1958" t="s">
        <v>1532</v>
      </c>
      <c r="M1958">
        <f t="shared" si="61"/>
        <v>244980</v>
      </c>
      <c r="N1958" t="e">
        <f>VLOOKUP(H1958,Sheet1!G:H,2,FALSE)</f>
        <v>#N/A</v>
      </c>
      <c r="R1958" t="s">
        <v>3882</v>
      </c>
      <c r="S1958">
        <v>571380</v>
      </c>
    </row>
    <row r="1959" spans="1:19" x14ac:dyDescent="0.3">
      <c r="A1959" t="s">
        <v>8</v>
      </c>
      <c r="B1959">
        <f>VLOOKUP(A1959,Sheet2!B:F,5,FALSE)</f>
        <v>928</v>
      </c>
      <c r="C1959" t="s">
        <v>13</v>
      </c>
      <c r="D1959">
        <f>VLOOKUP(C1959,Sheet2!C:G,5,FALSE)</f>
        <v>1184</v>
      </c>
      <c r="E1959" t="s">
        <v>51</v>
      </c>
      <c r="F1959">
        <f>VLOOKUP(E1959,Sheet2!D:E,2,FALSE)</f>
        <v>1274</v>
      </c>
      <c r="G1959" t="s">
        <v>1824</v>
      </c>
      <c r="H1959" t="str">
        <f t="shared" si="60"/>
        <v>KAKAO317708</v>
      </c>
      <c r="I1959" t="str">
        <f>"317708"</f>
        <v>317708</v>
      </c>
      <c r="J1959">
        <v>8410</v>
      </c>
      <c r="K1959" s="1">
        <v>44866</v>
      </c>
      <c r="L1959" t="s">
        <v>1860</v>
      </c>
      <c r="M1959">
        <f t="shared" si="61"/>
        <v>8410</v>
      </c>
      <c r="N1959" t="e">
        <f>VLOOKUP(H1959,Sheet1!G:H,2,FALSE)</f>
        <v>#N/A</v>
      </c>
      <c r="R1959" t="s">
        <v>3883</v>
      </c>
      <c r="S1959">
        <v>7660</v>
      </c>
    </row>
    <row r="1960" spans="1:19" x14ac:dyDescent="0.3">
      <c r="A1960" t="s">
        <v>41</v>
      </c>
      <c r="B1960">
        <f>VLOOKUP(A1960,Sheet2!B:F,5,FALSE)</f>
        <v>926</v>
      </c>
      <c r="C1960" t="s">
        <v>56</v>
      </c>
      <c r="D1960">
        <f>VLOOKUP(C1960,Sheet2!C:G,5,FALSE)</f>
        <v>1207</v>
      </c>
      <c r="E1960" t="s">
        <v>57</v>
      </c>
      <c r="F1960">
        <f>VLOOKUP(E1960,Sheet2!D:E,2,FALSE)</f>
        <v>200982</v>
      </c>
      <c r="G1960" t="s">
        <v>1824</v>
      </c>
      <c r="H1960" t="str">
        <f t="shared" si="60"/>
        <v>KAKAO317868</v>
      </c>
      <c r="I1960" t="str">
        <f>"317868"</f>
        <v>317868</v>
      </c>
      <c r="J1960">
        <v>252340</v>
      </c>
      <c r="K1960" s="1">
        <v>44866</v>
      </c>
      <c r="L1960" t="s">
        <v>999</v>
      </c>
      <c r="M1960">
        <f t="shared" si="61"/>
        <v>252340</v>
      </c>
      <c r="N1960" t="e">
        <f>VLOOKUP(H1960,Sheet1!G:H,2,FALSE)</f>
        <v>#N/A</v>
      </c>
      <c r="R1960" t="s">
        <v>3884</v>
      </c>
      <c r="S1960">
        <v>395540</v>
      </c>
    </row>
    <row r="1961" spans="1:19" x14ac:dyDescent="0.3">
      <c r="A1961" t="s">
        <v>8</v>
      </c>
      <c r="B1961">
        <f>VLOOKUP(A1961,Sheet2!B:F,5,FALSE)</f>
        <v>928</v>
      </c>
      <c r="C1961" t="s">
        <v>13</v>
      </c>
      <c r="D1961">
        <f>VLOOKUP(C1961,Sheet2!C:G,5,FALSE)</f>
        <v>1184</v>
      </c>
      <c r="E1961" t="s">
        <v>102</v>
      </c>
      <c r="F1961">
        <f>VLOOKUP(E1961,Sheet2!D:E,2,FALSE)</f>
        <v>917</v>
      </c>
      <c r="G1961" t="s">
        <v>1824</v>
      </c>
      <c r="H1961" t="str">
        <f t="shared" si="60"/>
        <v>KAKAO318218</v>
      </c>
      <c r="I1961" t="str">
        <f>"318218"</f>
        <v>318218</v>
      </c>
      <c r="J1961">
        <v>102640</v>
      </c>
      <c r="K1961" s="1">
        <v>44866</v>
      </c>
      <c r="L1961" t="s">
        <v>1861</v>
      </c>
      <c r="M1961">
        <f t="shared" si="61"/>
        <v>102640</v>
      </c>
      <c r="N1961" t="e">
        <f>VLOOKUP(H1961,Sheet1!G:H,2,FALSE)</f>
        <v>#N/A</v>
      </c>
      <c r="R1961" t="s">
        <v>3885</v>
      </c>
      <c r="S1961">
        <v>1250</v>
      </c>
    </row>
    <row r="1962" spans="1:19" x14ac:dyDescent="0.3">
      <c r="A1962" t="s">
        <v>8</v>
      </c>
      <c r="B1962">
        <f>VLOOKUP(A1962,Sheet2!B:F,5,FALSE)</f>
        <v>928</v>
      </c>
      <c r="C1962" t="s">
        <v>9</v>
      </c>
      <c r="D1962">
        <f>VLOOKUP(C1962,Sheet2!C:G,5,FALSE)</f>
        <v>1202</v>
      </c>
      <c r="E1962" t="s">
        <v>31</v>
      </c>
      <c r="F1962">
        <f>VLOOKUP(E1962,Sheet2!D:E,2,FALSE)</f>
        <v>1040</v>
      </c>
      <c r="G1962" t="s">
        <v>1824</v>
      </c>
      <c r="H1962" t="str">
        <f t="shared" si="60"/>
        <v>KAKAO318299</v>
      </c>
      <c r="I1962" t="str">
        <f>"318299"</f>
        <v>318299</v>
      </c>
      <c r="J1962">
        <v>51220</v>
      </c>
      <c r="K1962" s="1">
        <v>44866</v>
      </c>
      <c r="L1962" t="s">
        <v>962</v>
      </c>
      <c r="M1962">
        <f t="shared" si="61"/>
        <v>51220</v>
      </c>
      <c r="N1962" t="e">
        <f>VLOOKUP(H1962,Sheet1!G:H,2,FALSE)</f>
        <v>#N/A</v>
      </c>
      <c r="R1962" t="s">
        <v>3886</v>
      </c>
      <c r="S1962">
        <v>105060</v>
      </c>
    </row>
    <row r="1963" spans="1:19" x14ac:dyDescent="0.3">
      <c r="A1963" t="s">
        <v>41</v>
      </c>
      <c r="B1963">
        <f>VLOOKUP(A1963,Sheet2!B:F,5,FALSE)</f>
        <v>926</v>
      </c>
      <c r="C1963" t="s">
        <v>56</v>
      </c>
      <c r="D1963">
        <f>VLOOKUP(C1963,Sheet2!C:G,5,FALSE)</f>
        <v>1207</v>
      </c>
      <c r="E1963" t="s">
        <v>57</v>
      </c>
      <c r="F1963">
        <f>VLOOKUP(E1963,Sheet2!D:E,2,FALSE)</f>
        <v>200982</v>
      </c>
      <c r="G1963" t="s">
        <v>1824</v>
      </c>
      <c r="H1963" t="str">
        <f t="shared" si="60"/>
        <v>KAKAO318523</v>
      </c>
      <c r="I1963" t="str">
        <f>"318523"</f>
        <v>318523</v>
      </c>
      <c r="J1963">
        <v>11700</v>
      </c>
      <c r="K1963" s="1">
        <v>44866</v>
      </c>
      <c r="L1963" t="s">
        <v>1193</v>
      </c>
      <c r="M1963" t="e">
        <f t="shared" si="61"/>
        <v>#N/A</v>
      </c>
      <c r="N1963" t="str">
        <f>VLOOKUP(H1963,Sheet1!G:H,2,FALSE)</f>
        <v>퇴사자</v>
      </c>
      <c r="R1963" t="s">
        <v>3887</v>
      </c>
      <c r="S1963">
        <v>46270</v>
      </c>
    </row>
    <row r="1964" spans="1:19" x14ac:dyDescent="0.3">
      <c r="A1964" t="s">
        <v>8</v>
      </c>
      <c r="B1964">
        <f>VLOOKUP(A1964,Sheet2!B:F,5,FALSE)</f>
        <v>928</v>
      </c>
      <c r="C1964" t="s">
        <v>9</v>
      </c>
      <c r="D1964">
        <f>VLOOKUP(C1964,Sheet2!C:G,5,FALSE)</f>
        <v>1202</v>
      </c>
      <c r="E1964" t="s">
        <v>27</v>
      </c>
      <c r="F1964">
        <f>VLOOKUP(E1964,Sheet2!D:E,2,FALSE)</f>
        <v>806</v>
      </c>
      <c r="G1964" t="s">
        <v>1824</v>
      </c>
      <c r="H1964" t="str">
        <f t="shared" si="60"/>
        <v>KAKAO318570</v>
      </c>
      <c r="I1964" t="str">
        <f>"318570"</f>
        <v>318570</v>
      </c>
      <c r="J1964">
        <v>287790</v>
      </c>
      <c r="K1964" s="1">
        <v>44866</v>
      </c>
      <c r="L1964" t="s">
        <v>732</v>
      </c>
      <c r="M1964">
        <f t="shared" si="61"/>
        <v>287790</v>
      </c>
      <c r="N1964" t="e">
        <f>VLOOKUP(H1964,Sheet1!G:H,2,FALSE)</f>
        <v>#N/A</v>
      </c>
      <c r="R1964" t="s">
        <v>3888</v>
      </c>
      <c r="S1964">
        <v>2390410</v>
      </c>
    </row>
    <row r="1965" spans="1:19" x14ac:dyDescent="0.3">
      <c r="A1965" t="s">
        <v>8</v>
      </c>
      <c r="B1965">
        <f>VLOOKUP(A1965,Sheet2!B:F,5,FALSE)</f>
        <v>928</v>
      </c>
      <c r="C1965" t="s">
        <v>9</v>
      </c>
      <c r="D1965">
        <f>VLOOKUP(C1965,Sheet2!C:G,5,FALSE)</f>
        <v>1202</v>
      </c>
      <c r="E1965" t="s">
        <v>27</v>
      </c>
      <c r="F1965">
        <f>VLOOKUP(E1965,Sheet2!D:E,2,FALSE)</f>
        <v>806</v>
      </c>
      <c r="G1965" t="s">
        <v>1824</v>
      </c>
      <c r="H1965" t="str">
        <f t="shared" si="60"/>
        <v>KAKAO318590</v>
      </c>
      <c r="I1965" t="str">
        <f>"318590"</f>
        <v>318590</v>
      </c>
      <c r="J1965">
        <v>196900</v>
      </c>
      <c r="K1965" s="1">
        <v>44866</v>
      </c>
      <c r="L1965" t="s">
        <v>1045</v>
      </c>
      <c r="M1965">
        <f t="shared" si="61"/>
        <v>196900</v>
      </c>
      <c r="N1965" t="e">
        <f>VLOOKUP(H1965,Sheet1!G:H,2,FALSE)</f>
        <v>#N/A</v>
      </c>
      <c r="R1965" t="s">
        <v>3889</v>
      </c>
      <c r="S1965">
        <v>259260</v>
      </c>
    </row>
    <row r="1966" spans="1:19" x14ac:dyDescent="0.3">
      <c r="A1966" t="s">
        <v>8</v>
      </c>
      <c r="B1966">
        <f>VLOOKUP(A1966,Sheet2!B:F,5,FALSE)</f>
        <v>928</v>
      </c>
      <c r="C1966" t="s">
        <v>9</v>
      </c>
      <c r="D1966">
        <f>VLOOKUP(C1966,Sheet2!C:G,5,FALSE)</f>
        <v>1202</v>
      </c>
      <c r="E1966" t="s">
        <v>27</v>
      </c>
      <c r="F1966">
        <f>VLOOKUP(E1966,Sheet2!D:E,2,FALSE)</f>
        <v>806</v>
      </c>
      <c r="G1966" t="s">
        <v>1824</v>
      </c>
      <c r="H1966" t="str">
        <f t="shared" si="60"/>
        <v>KAKAO319438</v>
      </c>
      <c r="I1966" t="str">
        <f>"319438"</f>
        <v>319438</v>
      </c>
      <c r="J1966">
        <v>144880</v>
      </c>
      <c r="K1966" s="1">
        <v>44866</v>
      </c>
      <c r="L1966" t="s">
        <v>1558</v>
      </c>
      <c r="M1966">
        <f t="shared" si="61"/>
        <v>144880</v>
      </c>
      <c r="N1966" t="e">
        <f>VLOOKUP(H1966,Sheet1!G:H,2,FALSE)</f>
        <v>#N/A</v>
      </c>
      <c r="R1966" t="s">
        <v>3890</v>
      </c>
      <c r="S1966">
        <v>65600</v>
      </c>
    </row>
    <row r="1967" spans="1:19" x14ac:dyDescent="0.3">
      <c r="A1967" t="s">
        <v>8</v>
      </c>
      <c r="B1967">
        <f>VLOOKUP(A1967,Sheet2!B:F,5,FALSE)</f>
        <v>928</v>
      </c>
      <c r="C1967" t="s">
        <v>9</v>
      </c>
      <c r="D1967">
        <f>VLOOKUP(C1967,Sheet2!C:G,5,FALSE)</f>
        <v>1202</v>
      </c>
      <c r="E1967" t="s">
        <v>27</v>
      </c>
      <c r="F1967">
        <f>VLOOKUP(E1967,Sheet2!D:E,2,FALSE)</f>
        <v>806</v>
      </c>
      <c r="G1967" t="s">
        <v>1824</v>
      </c>
      <c r="H1967" t="str">
        <f t="shared" si="60"/>
        <v>KAKAO319837</v>
      </c>
      <c r="I1967" t="str">
        <f>"319837"</f>
        <v>319837</v>
      </c>
      <c r="J1967">
        <v>10190</v>
      </c>
      <c r="K1967" s="1">
        <v>44866</v>
      </c>
      <c r="L1967" t="s">
        <v>1604</v>
      </c>
      <c r="M1967">
        <f t="shared" si="61"/>
        <v>10190</v>
      </c>
      <c r="N1967" t="e">
        <f>VLOOKUP(H1967,Sheet1!G:H,2,FALSE)</f>
        <v>#N/A</v>
      </c>
      <c r="R1967" t="s">
        <v>3891</v>
      </c>
      <c r="S1967">
        <v>150680</v>
      </c>
    </row>
    <row r="1968" spans="1:19" x14ac:dyDescent="0.3">
      <c r="A1968" t="s">
        <v>8</v>
      </c>
      <c r="B1968">
        <f>VLOOKUP(A1968,Sheet2!B:F,5,FALSE)</f>
        <v>928</v>
      </c>
      <c r="C1968" t="s">
        <v>9</v>
      </c>
      <c r="D1968">
        <f>VLOOKUP(C1968,Sheet2!C:G,5,FALSE)</f>
        <v>1202</v>
      </c>
      <c r="E1968" t="s">
        <v>27</v>
      </c>
      <c r="F1968">
        <f>VLOOKUP(E1968,Sheet2!D:E,2,FALSE)</f>
        <v>806</v>
      </c>
      <c r="G1968" t="s">
        <v>1824</v>
      </c>
      <c r="H1968" t="str">
        <f t="shared" si="60"/>
        <v>KAKAO319876</v>
      </c>
      <c r="I1968" t="str">
        <f>"319876"</f>
        <v>319876</v>
      </c>
      <c r="J1968">
        <v>419400</v>
      </c>
      <c r="K1968" s="1">
        <v>44866</v>
      </c>
      <c r="L1968" t="s">
        <v>482</v>
      </c>
      <c r="M1968">
        <f t="shared" si="61"/>
        <v>419400</v>
      </c>
      <c r="N1968" t="e">
        <f>VLOOKUP(H1968,Sheet1!G:H,2,FALSE)</f>
        <v>#N/A</v>
      </c>
      <c r="R1968" t="s">
        <v>3892</v>
      </c>
      <c r="S1968">
        <v>5650</v>
      </c>
    </row>
    <row r="1969" spans="1:19" x14ac:dyDescent="0.3">
      <c r="A1969" t="s">
        <v>8</v>
      </c>
      <c r="B1969">
        <f>VLOOKUP(A1969,Sheet2!B:F,5,FALSE)</f>
        <v>928</v>
      </c>
      <c r="C1969" t="s">
        <v>9</v>
      </c>
      <c r="D1969">
        <f>VLOOKUP(C1969,Sheet2!C:G,5,FALSE)</f>
        <v>1202</v>
      </c>
      <c r="E1969" t="s">
        <v>27</v>
      </c>
      <c r="F1969">
        <f>VLOOKUP(E1969,Sheet2!D:E,2,FALSE)</f>
        <v>806</v>
      </c>
      <c r="G1969" t="s">
        <v>1824</v>
      </c>
      <c r="H1969" t="str">
        <f t="shared" si="60"/>
        <v>KAKAO319898</v>
      </c>
      <c r="I1969" t="str">
        <f>"319898"</f>
        <v>319898</v>
      </c>
      <c r="J1969">
        <v>97030</v>
      </c>
      <c r="K1969" s="1">
        <v>44866</v>
      </c>
      <c r="L1969" t="s">
        <v>297</v>
      </c>
      <c r="M1969">
        <f t="shared" si="61"/>
        <v>97030</v>
      </c>
      <c r="N1969" t="e">
        <f>VLOOKUP(H1969,Sheet1!G:H,2,FALSE)</f>
        <v>#N/A</v>
      </c>
      <c r="R1969" t="s">
        <v>3893</v>
      </c>
      <c r="S1969">
        <v>646890</v>
      </c>
    </row>
    <row r="1970" spans="1:19" x14ac:dyDescent="0.3">
      <c r="A1970" t="s">
        <v>8</v>
      </c>
      <c r="B1970">
        <f>VLOOKUP(A1970,Sheet2!B:F,5,FALSE)</f>
        <v>928</v>
      </c>
      <c r="C1970" t="s">
        <v>9</v>
      </c>
      <c r="D1970">
        <f>VLOOKUP(C1970,Sheet2!C:G,5,FALSE)</f>
        <v>1202</v>
      </c>
      <c r="E1970" t="s">
        <v>37</v>
      </c>
      <c r="F1970">
        <f>VLOOKUP(E1970,Sheet2!D:E,2,FALSE)</f>
        <v>81</v>
      </c>
      <c r="G1970" t="s">
        <v>1824</v>
      </c>
      <c r="H1970" t="str">
        <f t="shared" si="60"/>
        <v>KAKAO319908</v>
      </c>
      <c r="I1970" t="str">
        <f>"319908"</f>
        <v>319908</v>
      </c>
      <c r="J1970">
        <v>173040</v>
      </c>
      <c r="K1970" s="1">
        <v>44866</v>
      </c>
      <c r="L1970" t="s">
        <v>1143</v>
      </c>
      <c r="M1970">
        <f t="shared" si="61"/>
        <v>173040</v>
      </c>
      <c r="N1970" t="e">
        <f>VLOOKUP(H1970,Sheet1!G:H,2,FALSE)</f>
        <v>#N/A</v>
      </c>
      <c r="R1970" t="s">
        <v>3894</v>
      </c>
      <c r="S1970">
        <v>613690</v>
      </c>
    </row>
    <row r="1971" spans="1:19" x14ac:dyDescent="0.3">
      <c r="A1971" t="s">
        <v>8</v>
      </c>
      <c r="B1971">
        <f>VLOOKUP(A1971,Sheet2!B:F,5,FALSE)</f>
        <v>928</v>
      </c>
      <c r="C1971" t="s">
        <v>9</v>
      </c>
      <c r="D1971">
        <f>VLOOKUP(C1971,Sheet2!C:G,5,FALSE)</f>
        <v>1202</v>
      </c>
      <c r="E1971" t="s">
        <v>27</v>
      </c>
      <c r="F1971">
        <f>VLOOKUP(E1971,Sheet2!D:E,2,FALSE)</f>
        <v>806</v>
      </c>
      <c r="G1971" t="s">
        <v>1824</v>
      </c>
      <c r="H1971" t="str">
        <f t="shared" si="60"/>
        <v>KAKAO319933</v>
      </c>
      <c r="I1971" t="str">
        <f>"319933"</f>
        <v>319933</v>
      </c>
      <c r="J1971">
        <v>11630</v>
      </c>
      <c r="K1971" s="1">
        <v>44866</v>
      </c>
      <c r="L1971" t="s">
        <v>109</v>
      </c>
      <c r="M1971">
        <f t="shared" si="61"/>
        <v>11630</v>
      </c>
      <c r="N1971" t="e">
        <f>VLOOKUP(H1971,Sheet1!G:H,2,FALSE)</f>
        <v>#N/A</v>
      </c>
      <c r="R1971" t="s">
        <v>3895</v>
      </c>
      <c r="S1971">
        <v>56300</v>
      </c>
    </row>
    <row r="1972" spans="1:19" x14ac:dyDescent="0.3">
      <c r="A1972" t="s">
        <v>8</v>
      </c>
      <c r="B1972">
        <f>VLOOKUP(A1972,Sheet2!B:F,5,FALSE)</f>
        <v>928</v>
      </c>
      <c r="C1972" t="s">
        <v>9</v>
      </c>
      <c r="D1972">
        <f>VLOOKUP(C1972,Sheet2!C:G,5,FALSE)</f>
        <v>1202</v>
      </c>
      <c r="E1972" t="s">
        <v>39</v>
      </c>
      <c r="F1972">
        <f>VLOOKUP(E1972,Sheet2!D:E,2,FALSE)</f>
        <v>25</v>
      </c>
      <c r="G1972" t="s">
        <v>1824</v>
      </c>
      <c r="H1972" t="str">
        <f t="shared" si="60"/>
        <v>KAKAO319934</v>
      </c>
      <c r="I1972" t="str">
        <f>"319934"</f>
        <v>319934</v>
      </c>
      <c r="J1972">
        <v>6860</v>
      </c>
      <c r="K1972" s="1">
        <v>44866</v>
      </c>
      <c r="L1972" t="s">
        <v>914</v>
      </c>
      <c r="M1972" t="e">
        <f t="shared" si="61"/>
        <v>#N/A</v>
      </c>
      <c r="N1972" t="e">
        <f>VLOOKUP(H1972,Sheet1!G:H,2,FALSE)</f>
        <v>#N/A</v>
      </c>
      <c r="R1972" t="s">
        <v>3896</v>
      </c>
      <c r="S1972">
        <v>280970</v>
      </c>
    </row>
    <row r="1973" spans="1:19" x14ac:dyDescent="0.3">
      <c r="A1973" t="s">
        <v>8</v>
      </c>
      <c r="B1973">
        <f>VLOOKUP(A1973,Sheet2!B:F,5,FALSE)</f>
        <v>928</v>
      </c>
      <c r="C1973" t="s">
        <v>9</v>
      </c>
      <c r="D1973">
        <f>VLOOKUP(C1973,Sheet2!C:G,5,FALSE)</f>
        <v>1202</v>
      </c>
      <c r="E1973" t="s">
        <v>39</v>
      </c>
      <c r="F1973">
        <f>VLOOKUP(E1973,Sheet2!D:E,2,FALSE)</f>
        <v>25</v>
      </c>
      <c r="G1973" t="s">
        <v>1824</v>
      </c>
      <c r="H1973" t="str">
        <f t="shared" si="60"/>
        <v>KAKAO319960</v>
      </c>
      <c r="I1973" t="str">
        <f>"319960"</f>
        <v>319960</v>
      </c>
      <c r="J1973">
        <v>233790</v>
      </c>
      <c r="K1973" s="1">
        <v>44866</v>
      </c>
      <c r="L1973" t="s">
        <v>1063</v>
      </c>
      <c r="M1973" t="e">
        <f t="shared" si="61"/>
        <v>#N/A</v>
      </c>
      <c r="N1973" t="e">
        <f>VLOOKUP(H1973,Sheet1!G:H,2,FALSE)</f>
        <v>#N/A</v>
      </c>
      <c r="R1973" t="s">
        <v>3897</v>
      </c>
      <c r="S1973">
        <v>4568000</v>
      </c>
    </row>
    <row r="1974" spans="1:19" x14ac:dyDescent="0.3">
      <c r="A1974" t="s">
        <v>8</v>
      </c>
      <c r="B1974">
        <f>VLOOKUP(A1974,Sheet2!B:F,5,FALSE)</f>
        <v>928</v>
      </c>
      <c r="C1974" t="s">
        <v>9</v>
      </c>
      <c r="D1974">
        <f>VLOOKUP(C1974,Sheet2!C:G,5,FALSE)</f>
        <v>1202</v>
      </c>
      <c r="E1974" t="s">
        <v>39</v>
      </c>
      <c r="F1974">
        <f>VLOOKUP(E1974,Sheet2!D:E,2,FALSE)</f>
        <v>25</v>
      </c>
      <c r="G1974" t="s">
        <v>1824</v>
      </c>
      <c r="H1974" t="str">
        <f t="shared" si="60"/>
        <v>KAKAO319975</v>
      </c>
      <c r="I1974" t="str">
        <f>"319975"</f>
        <v>319975</v>
      </c>
      <c r="J1974">
        <v>26710</v>
      </c>
      <c r="K1974" s="1">
        <v>44866</v>
      </c>
      <c r="L1974" t="s">
        <v>1289</v>
      </c>
      <c r="M1974" t="e">
        <f t="shared" si="61"/>
        <v>#N/A</v>
      </c>
      <c r="N1974" t="e">
        <f>VLOOKUP(H1974,Sheet1!G:H,2,FALSE)</f>
        <v>#N/A</v>
      </c>
      <c r="R1974" t="s">
        <v>3898</v>
      </c>
      <c r="S1974">
        <v>118340</v>
      </c>
    </row>
    <row r="1975" spans="1:19" x14ac:dyDescent="0.3">
      <c r="A1975" t="s">
        <v>8</v>
      </c>
      <c r="B1975">
        <f>VLOOKUP(A1975,Sheet2!B:F,5,FALSE)</f>
        <v>928</v>
      </c>
      <c r="C1975" t="s">
        <v>9</v>
      </c>
      <c r="D1975">
        <f>VLOOKUP(C1975,Sheet2!C:G,5,FALSE)</f>
        <v>1202</v>
      </c>
      <c r="E1975" t="s">
        <v>39</v>
      </c>
      <c r="F1975">
        <f>VLOOKUP(E1975,Sheet2!D:E,2,FALSE)</f>
        <v>25</v>
      </c>
      <c r="G1975" t="s">
        <v>1824</v>
      </c>
      <c r="H1975" t="str">
        <f t="shared" si="60"/>
        <v>KAKAO319990</v>
      </c>
      <c r="I1975" t="str">
        <f>"319990"</f>
        <v>319990</v>
      </c>
      <c r="J1975">
        <v>35030</v>
      </c>
      <c r="K1975" s="1">
        <v>44866</v>
      </c>
      <c r="L1975" t="s">
        <v>1862</v>
      </c>
      <c r="M1975" t="e">
        <f t="shared" si="61"/>
        <v>#N/A</v>
      </c>
      <c r="N1975" t="e">
        <f>VLOOKUP(H1975,Sheet1!G:H,2,FALSE)</f>
        <v>#N/A</v>
      </c>
      <c r="R1975" t="s">
        <v>3899</v>
      </c>
      <c r="S1975">
        <v>152830</v>
      </c>
    </row>
    <row r="1976" spans="1:19" x14ac:dyDescent="0.3">
      <c r="A1976" t="s">
        <v>8</v>
      </c>
      <c r="B1976">
        <f>VLOOKUP(A1976,Sheet2!B:F,5,FALSE)</f>
        <v>928</v>
      </c>
      <c r="C1976" t="s">
        <v>9</v>
      </c>
      <c r="D1976">
        <f>VLOOKUP(C1976,Sheet2!C:G,5,FALSE)</f>
        <v>1202</v>
      </c>
      <c r="E1976" t="s">
        <v>37</v>
      </c>
      <c r="F1976">
        <f>VLOOKUP(E1976,Sheet2!D:E,2,FALSE)</f>
        <v>81</v>
      </c>
      <c r="G1976" t="s">
        <v>1824</v>
      </c>
      <c r="H1976" t="str">
        <f t="shared" si="60"/>
        <v>KAKAO319993</v>
      </c>
      <c r="I1976" t="str">
        <f>"319993"</f>
        <v>319993</v>
      </c>
      <c r="J1976">
        <v>276230</v>
      </c>
      <c r="K1976" s="1">
        <v>44866</v>
      </c>
      <c r="L1976" t="s">
        <v>1863</v>
      </c>
      <c r="M1976">
        <f t="shared" si="61"/>
        <v>276230</v>
      </c>
      <c r="N1976" t="e">
        <f>VLOOKUP(H1976,Sheet1!G:H,2,FALSE)</f>
        <v>#N/A</v>
      </c>
      <c r="R1976" t="s">
        <v>3900</v>
      </c>
      <c r="S1976">
        <v>385080</v>
      </c>
    </row>
    <row r="1977" spans="1:19" x14ac:dyDescent="0.3">
      <c r="A1977" t="s">
        <v>41</v>
      </c>
      <c r="B1977">
        <f>VLOOKUP(A1977,Sheet2!B:F,5,FALSE)</f>
        <v>926</v>
      </c>
      <c r="C1977" t="s">
        <v>56</v>
      </c>
      <c r="D1977">
        <f>VLOOKUP(C1977,Sheet2!C:G,5,FALSE)</f>
        <v>1207</v>
      </c>
      <c r="E1977" t="s">
        <v>62</v>
      </c>
      <c r="F1977">
        <f>VLOOKUP(E1977,Sheet2!D:E,2,FALSE)</f>
        <v>201037</v>
      </c>
      <c r="G1977" t="s">
        <v>1824</v>
      </c>
      <c r="H1977" t="str">
        <f t="shared" si="60"/>
        <v>KAKAO320091</v>
      </c>
      <c r="I1977" t="str">
        <f>"320091"</f>
        <v>320091</v>
      </c>
      <c r="J1977">
        <v>60740</v>
      </c>
      <c r="K1977" s="1">
        <v>44866</v>
      </c>
      <c r="L1977" t="s">
        <v>848</v>
      </c>
      <c r="M1977">
        <f t="shared" si="61"/>
        <v>60740</v>
      </c>
      <c r="N1977" t="e">
        <f>VLOOKUP(H1977,Sheet1!G:H,2,FALSE)</f>
        <v>#N/A</v>
      </c>
      <c r="R1977" t="s">
        <v>3901</v>
      </c>
      <c r="S1977">
        <v>1250</v>
      </c>
    </row>
    <row r="1978" spans="1:19" x14ac:dyDescent="0.3">
      <c r="A1978" t="s">
        <v>8</v>
      </c>
      <c r="B1978">
        <f>VLOOKUP(A1978,Sheet2!B:F,5,FALSE)</f>
        <v>928</v>
      </c>
      <c r="C1978" t="s">
        <v>9</v>
      </c>
      <c r="D1978">
        <f>VLOOKUP(C1978,Sheet2!C:G,5,FALSE)</f>
        <v>1202</v>
      </c>
      <c r="E1978" t="s">
        <v>10</v>
      </c>
      <c r="F1978">
        <f>VLOOKUP(E1978,Sheet2!D:E,2,FALSE)</f>
        <v>939</v>
      </c>
      <c r="G1978" t="s">
        <v>1824</v>
      </c>
      <c r="H1978" t="str">
        <f t="shared" si="60"/>
        <v>KAKAO320178</v>
      </c>
      <c r="I1978" t="str">
        <f>"320178"</f>
        <v>320178</v>
      </c>
      <c r="J1978">
        <v>443410</v>
      </c>
      <c r="K1978" s="1">
        <v>44866</v>
      </c>
      <c r="L1978" t="s">
        <v>717</v>
      </c>
      <c r="M1978" t="e">
        <f t="shared" si="61"/>
        <v>#N/A</v>
      </c>
      <c r="N1978" t="e">
        <f>VLOOKUP(H1978,Sheet1!G:H,2,FALSE)</f>
        <v>#N/A</v>
      </c>
      <c r="R1978" t="s">
        <v>3902</v>
      </c>
      <c r="S1978">
        <v>16400</v>
      </c>
    </row>
    <row r="1979" spans="1:19" x14ac:dyDescent="0.3">
      <c r="A1979" t="s">
        <v>8</v>
      </c>
      <c r="B1979">
        <f>VLOOKUP(A1979,Sheet2!B:F,5,FALSE)</f>
        <v>928</v>
      </c>
      <c r="C1979" t="s">
        <v>9</v>
      </c>
      <c r="D1979">
        <f>VLOOKUP(C1979,Sheet2!C:G,5,FALSE)</f>
        <v>1202</v>
      </c>
      <c r="E1979" t="s">
        <v>37</v>
      </c>
      <c r="F1979">
        <f>VLOOKUP(E1979,Sheet2!D:E,2,FALSE)</f>
        <v>81</v>
      </c>
      <c r="G1979" t="s">
        <v>1824</v>
      </c>
      <c r="H1979" t="str">
        <f t="shared" si="60"/>
        <v>KAKAO320282</v>
      </c>
      <c r="I1979" t="str">
        <f>"320282"</f>
        <v>320282</v>
      </c>
      <c r="J1979">
        <v>25580</v>
      </c>
      <c r="K1979" s="1">
        <v>44866</v>
      </c>
      <c r="L1979" t="s">
        <v>854</v>
      </c>
      <c r="M1979">
        <f t="shared" si="61"/>
        <v>25580</v>
      </c>
      <c r="N1979" t="e">
        <f>VLOOKUP(H1979,Sheet1!G:H,2,FALSE)</f>
        <v>#N/A</v>
      </c>
      <c r="R1979" t="s">
        <v>3903</v>
      </c>
      <c r="S1979">
        <v>318790</v>
      </c>
    </row>
    <row r="1980" spans="1:19" x14ac:dyDescent="0.3">
      <c r="A1980" t="s">
        <v>8</v>
      </c>
      <c r="B1980">
        <f>VLOOKUP(A1980,Sheet2!B:F,5,FALSE)</f>
        <v>928</v>
      </c>
      <c r="C1980" t="s">
        <v>9</v>
      </c>
      <c r="D1980">
        <f>VLOOKUP(C1980,Sheet2!C:G,5,FALSE)</f>
        <v>1202</v>
      </c>
      <c r="E1980" t="s">
        <v>45</v>
      </c>
      <c r="F1980">
        <f>VLOOKUP(E1980,Sheet2!D:E,2,FALSE)</f>
        <v>26</v>
      </c>
      <c r="G1980" t="s">
        <v>1824</v>
      </c>
      <c r="H1980" t="str">
        <f t="shared" si="60"/>
        <v>KAKAO320512</v>
      </c>
      <c r="I1980" t="str">
        <f>"320512"</f>
        <v>320512</v>
      </c>
      <c r="J1980">
        <v>49350</v>
      </c>
      <c r="K1980" s="1">
        <v>44866</v>
      </c>
      <c r="L1980" t="s">
        <v>806</v>
      </c>
      <c r="M1980">
        <f t="shared" si="61"/>
        <v>49350</v>
      </c>
      <c r="N1980" t="e">
        <f>VLOOKUP(H1980,Sheet1!G:H,2,FALSE)</f>
        <v>#N/A</v>
      </c>
      <c r="R1980" t="s">
        <v>3904</v>
      </c>
      <c r="S1980">
        <v>109770</v>
      </c>
    </row>
    <row r="1981" spans="1:19" x14ac:dyDescent="0.3">
      <c r="A1981" t="s">
        <v>8</v>
      </c>
      <c r="B1981">
        <f>VLOOKUP(A1981,Sheet2!B:F,5,FALSE)</f>
        <v>928</v>
      </c>
      <c r="C1981" t="s">
        <v>9</v>
      </c>
      <c r="D1981">
        <f>VLOOKUP(C1981,Sheet2!C:G,5,FALSE)</f>
        <v>1202</v>
      </c>
      <c r="E1981" t="s">
        <v>10</v>
      </c>
      <c r="F1981">
        <f>VLOOKUP(E1981,Sheet2!D:E,2,FALSE)</f>
        <v>939</v>
      </c>
      <c r="G1981" t="s">
        <v>1824</v>
      </c>
      <c r="H1981" t="str">
        <f t="shared" si="60"/>
        <v>KAKAO320648</v>
      </c>
      <c r="I1981" t="str">
        <f>"320648"</f>
        <v>320648</v>
      </c>
      <c r="J1981">
        <v>420820</v>
      </c>
      <c r="K1981" s="1">
        <v>44866</v>
      </c>
      <c r="L1981" t="s">
        <v>1358</v>
      </c>
      <c r="M1981" t="e">
        <f t="shared" si="61"/>
        <v>#N/A</v>
      </c>
      <c r="N1981" t="e">
        <f>VLOOKUP(H1981,Sheet1!G:H,2,FALSE)</f>
        <v>#N/A</v>
      </c>
      <c r="R1981" t="s">
        <v>3905</v>
      </c>
      <c r="S1981">
        <v>20360</v>
      </c>
    </row>
    <row r="1982" spans="1:19" x14ac:dyDescent="0.3">
      <c r="A1982" t="s">
        <v>8</v>
      </c>
      <c r="B1982">
        <f>VLOOKUP(A1982,Sheet2!B:F,5,FALSE)</f>
        <v>928</v>
      </c>
      <c r="C1982" t="s">
        <v>9</v>
      </c>
      <c r="D1982">
        <f>VLOOKUP(C1982,Sheet2!C:G,5,FALSE)</f>
        <v>1202</v>
      </c>
      <c r="E1982" t="s">
        <v>10</v>
      </c>
      <c r="F1982">
        <f>VLOOKUP(E1982,Sheet2!D:E,2,FALSE)</f>
        <v>939</v>
      </c>
      <c r="G1982" t="s">
        <v>1824</v>
      </c>
      <c r="H1982" t="str">
        <f t="shared" si="60"/>
        <v>KAKAO320697</v>
      </c>
      <c r="I1982" t="str">
        <f>"320697"</f>
        <v>320697</v>
      </c>
      <c r="J1982">
        <v>119200</v>
      </c>
      <c r="K1982" s="1">
        <v>44866</v>
      </c>
      <c r="L1982" t="s">
        <v>1460</v>
      </c>
      <c r="M1982" t="e">
        <f t="shared" si="61"/>
        <v>#N/A</v>
      </c>
      <c r="N1982" t="e">
        <f>VLOOKUP(H1982,Sheet1!G:H,2,FALSE)</f>
        <v>#N/A</v>
      </c>
      <c r="R1982" t="s">
        <v>3906</v>
      </c>
      <c r="S1982">
        <v>1641729</v>
      </c>
    </row>
    <row r="1983" spans="1:19" x14ac:dyDescent="0.3">
      <c r="A1983" t="s">
        <v>8</v>
      </c>
      <c r="B1983">
        <f>VLOOKUP(A1983,Sheet2!B:F,5,FALSE)</f>
        <v>928</v>
      </c>
      <c r="C1983" t="s">
        <v>9</v>
      </c>
      <c r="D1983">
        <f>VLOOKUP(C1983,Sheet2!C:G,5,FALSE)</f>
        <v>1202</v>
      </c>
      <c r="E1983" t="s">
        <v>39</v>
      </c>
      <c r="F1983">
        <f>VLOOKUP(E1983,Sheet2!D:E,2,FALSE)</f>
        <v>25</v>
      </c>
      <c r="G1983" t="s">
        <v>1824</v>
      </c>
      <c r="H1983" t="str">
        <f t="shared" si="60"/>
        <v>KAKAO320710</v>
      </c>
      <c r="I1983" t="str">
        <f>"320710"</f>
        <v>320710</v>
      </c>
      <c r="J1983">
        <v>146930</v>
      </c>
      <c r="K1983" s="1">
        <v>44866</v>
      </c>
      <c r="L1983" t="s">
        <v>1864</v>
      </c>
      <c r="M1983" t="e">
        <f t="shared" si="61"/>
        <v>#N/A</v>
      </c>
      <c r="N1983" t="e">
        <f>VLOOKUP(H1983,Sheet1!G:H,2,FALSE)</f>
        <v>#N/A</v>
      </c>
      <c r="R1983" t="s">
        <v>3907</v>
      </c>
      <c r="S1983">
        <v>0</v>
      </c>
    </row>
    <row r="1984" spans="1:19" x14ac:dyDescent="0.3">
      <c r="A1984" t="s">
        <v>8</v>
      </c>
      <c r="B1984">
        <f>VLOOKUP(A1984,Sheet2!B:F,5,FALSE)</f>
        <v>928</v>
      </c>
      <c r="C1984" t="s">
        <v>9</v>
      </c>
      <c r="D1984">
        <f>VLOOKUP(C1984,Sheet2!C:G,5,FALSE)</f>
        <v>1202</v>
      </c>
      <c r="E1984" t="s">
        <v>35</v>
      </c>
      <c r="F1984">
        <f>VLOOKUP(E1984,Sheet2!D:E,2,FALSE)</f>
        <v>51</v>
      </c>
      <c r="G1984" t="s">
        <v>1824</v>
      </c>
      <c r="H1984" t="str">
        <f t="shared" si="60"/>
        <v>KAKAO320759</v>
      </c>
      <c r="I1984" t="str">
        <f>"320759"</f>
        <v>320759</v>
      </c>
      <c r="J1984">
        <v>23660</v>
      </c>
      <c r="K1984" s="1">
        <v>44866</v>
      </c>
      <c r="L1984" t="s">
        <v>1808</v>
      </c>
      <c r="M1984">
        <f t="shared" si="61"/>
        <v>23660</v>
      </c>
      <c r="N1984" t="e">
        <f>VLOOKUP(H1984,Sheet1!G:H,2,FALSE)</f>
        <v>#N/A</v>
      </c>
      <c r="R1984" t="s">
        <v>3908</v>
      </c>
      <c r="S1984">
        <v>46170</v>
      </c>
    </row>
    <row r="1985" spans="1:19" x14ac:dyDescent="0.3">
      <c r="A1985" t="s">
        <v>8</v>
      </c>
      <c r="B1985">
        <f>VLOOKUP(A1985,Sheet2!B:F,5,FALSE)</f>
        <v>928</v>
      </c>
      <c r="C1985" t="s">
        <v>13</v>
      </c>
      <c r="D1985">
        <f>VLOOKUP(C1985,Sheet2!C:G,5,FALSE)</f>
        <v>1184</v>
      </c>
      <c r="E1985" t="s">
        <v>51</v>
      </c>
      <c r="F1985">
        <f>VLOOKUP(E1985,Sheet2!D:E,2,FALSE)</f>
        <v>1274</v>
      </c>
      <c r="G1985" t="s">
        <v>1824</v>
      </c>
      <c r="H1985" t="str">
        <f t="shared" si="60"/>
        <v>KAKAO320951</v>
      </c>
      <c r="I1985" t="str">
        <f>"320951"</f>
        <v>320951</v>
      </c>
      <c r="J1985">
        <v>18450</v>
      </c>
      <c r="K1985" s="1">
        <v>44866</v>
      </c>
      <c r="L1985" t="s">
        <v>1865</v>
      </c>
      <c r="M1985">
        <f t="shared" si="61"/>
        <v>18450</v>
      </c>
      <c r="N1985" t="e">
        <f>VLOOKUP(H1985,Sheet1!G:H,2,FALSE)</f>
        <v>#N/A</v>
      </c>
      <c r="R1985" t="s">
        <v>3909</v>
      </c>
      <c r="S1985">
        <v>518880</v>
      </c>
    </row>
    <row r="1986" spans="1:19" x14ac:dyDescent="0.3">
      <c r="A1986" t="s">
        <v>8</v>
      </c>
      <c r="B1986">
        <f>VLOOKUP(A1986,Sheet2!B:F,5,FALSE)</f>
        <v>928</v>
      </c>
      <c r="C1986" t="s">
        <v>9</v>
      </c>
      <c r="D1986">
        <f>VLOOKUP(C1986,Sheet2!C:G,5,FALSE)</f>
        <v>1202</v>
      </c>
      <c r="E1986" t="s">
        <v>10</v>
      </c>
      <c r="F1986">
        <f>VLOOKUP(E1986,Sheet2!D:E,2,FALSE)</f>
        <v>939</v>
      </c>
      <c r="G1986" t="s">
        <v>1824</v>
      </c>
      <c r="H1986" t="str">
        <f t="shared" si="60"/>
        <v>KAKAO321025</v>
      </c>
      <c r="I1986" t="str">
        <f>"321025"</f>
        <v>321025</v>
      </c>
      <c r="J1986">
        <v>44200</v>
      </c>
      <c r="K1986" s="1">
        <v>44866</v>
      </c>
      <c r="L1986" t="s">
        <v>1027</v>
      </c>
      <c r="M1986" t="e">
        <f t="shared" si="61"/>
        <v>#N/A</v>
      </c>
      <c r="N1986" t="e">
        <f>VLOOKUP(H1986,Sheet1!G:H,2,FALSE)</f>
        <v>#N/A</v>
      </c>
      <c r="R1986" t="s">
        <v>3910</v>
      </c>
      <c r="S1986">
        <v>3852710</v>
      </c>
    </row>
    <row r="1987" spans="1:19" x14ac:dyDescent="0.3">
      <c r="A1987" t="s">
        <v>8</v>
      </c>
      <c r="B1987">
        <f>VLOOKUP(A1987,Sheet2!B:F,5,FALSE)</f>
        <v>928</v>
      </c>
      <c r="C1987" t="s">
        <v>9</v>
      </c>
      <c r="D1987">
        <f>VLOOKUP(C1987,Sheet2!C:G,5,FALSE)</f>
        <v>1202</v>
      </c>
      <c r="E1987" t="s">
        <v>27</v>
      </c>
      <c r="F1987">
        <f>VLOOKUP(E1987,Sheet2!D:E,2,FALSE)</f>
        <v>806</v>
      </c>
      <c r="G1987" t="s">
        <v>1824</v>
      </c>
      <c r="H1987" t="str">
        <f t="shared" ref="H1987:H2050" si="62">CONCATENATE(G1987,I1987)</f>
        <v>KAKAO321230</v>
      </c>
      <c r="I1987" t="str">
        <f>"321230"</f>
        <v>321230</v>
      </c>
      <c r="J1987">
        <v>4570</v>
      </c>
      <c r="K1987" s="1">
        <v>44866</v>
      </c>
      <c r="L1987" t="s">
        <v>303</v>
      </c>
      <c r="M1987">
        <f t="shared" ref="M1987:M2050" si="63">VLOOKUP(H1987,R:S,2,FALSE)</f>
        <v>4570</v>
      </c>
      <c r="N1987" t="e">
        <f>VLOOKUP(H1987,Sheet1!G:H,2,FALSE)</f>
        <v>#N/A</v>
      </c>
      <c r="R1987" t="s">
        <v>3911</v>
      </c>
      <c r="S1987">
        <v>678950</v>
      </c>
    </row>
    <row r="1988" spans="1:19" x14ac:dyDescent="0.3">
      <c r="A1988" t="s">
        <v>8</v>
      </c>
      <c r="B1988">
        <f>VLOOKUP(A1988,Sheet2!B:F,5,FALSE)</f>
        <v>928</v>
      </c>
      <c r="C1988" t="s">
        <v>9</v>
      </c>
      <c r="D1988">
        <f>VLOOKUP(C1988,Sheet2!C:G,5,FALSE)</f>
        <v>1202</v>
      </c>
      <c r="E1988" t="s">
        <v>47</v>
      </c>
      <c r="F1988">
        <f>VLOOKUP(E1988,Sheet2!D:E,2,FALSE)</f>
        <v>898</v>
      </c>
      <c r="G1988" t="s">
        <v>1824</v>
      </c>
      <c r="H1988" t="str">
        <f t="shared" si="62"/>
        <v>KAKAO321231</v>
      </c>
      <c r="I1988" t="str">
        <f>"321231"</f>
        <v>321231</v>
      </c>
      <c r="J1988">
        <v>5640</v>
      </c>
      <c r="K1988" s="1">
        <v>44866</v>
      </c>
      <c r="L1988" t="s">
        <v>1866</v>
      </c>
      <c r="M1988">
        <f t="shared" si="63"/>
        <v>5640</v>
      </c>
      <c r="N1988" t="e">
        <f>VLOOKUP(H1988,Sheet1!G:H,2,FALSE)</f>
        <v>#N/A</v>
      </c>
      <c r="R1988" t="s">
        <v>3912</v>
      </c>
      <c r="S1988">
        <v>348240</v>
      </c>
    </row>
    <row r="1989" spans="1:19" x14ac:dyDescent="0.3">
      <c r="A1989" t="s">
        <v>8</v>
      </c>
      <c r="B1989">
        <f>VLOOKUP(A1989,Sheet2!B:F,5,FALSE)</f>
        <v>928</v>
      </c>
      <c r="C1989" t="s">
        <v>9</v>
      </c>
      <c r="D1989">
        <f>VLOOKUP(C1989,Sheet2!C:G,5,FALSE)</f>
        <v>1202</v>
      </c>
      <c r="E1989" t="s">
        <v>35</v>
      </c>
      <c r="F1989">
        <f>VLOOKUP(E1989,Sheet2!D:E,2,FALSE)</f>
        <v>51</v>
      </c>
      <c r="G1989" t="s">
        <v>1824</v>
      </c>
      <c r="H1989" t="str">
        <f t="shared" si="62"/>
        <v>KAKAO321266</v>
      </c>
      <c r="I1989" t="str">
        <f>"321266"</f>
        <v>321266</v>
      </c>
      <c r="J1989">
        <v>6350</v>
      </c>
      <c r="K1989" s="1">
        <v>44866</v>
      </c>
      <c r="L1989" t="s">
        <v>1434</v>
      </c>
      <c r="M1989">
        <f t="shared" si="63"/>
        <v>6350</v>
      </c>
      <c r="N1989" t="e">
        <f>VLOOKUP(H1989,Sheet1!G:H,2,FALSE)</f>
        <v>#N/A</v>
      </c>
      <c r="R1989" t="s">
        <v>3913</v>
      </c>
      <c r="S1989">
        <v>44310</v>
      </c>
    </row>
    <row r="1990" spans="1:19" x14ac:dyDescent="0.3">
      <c r="A1990" t="s">
        <v>8</v>
      </c>
      <c r="B1990">
        <f>VLOOKUP(A1990,Sheet2!B:F,5,FALSE)</f>
        <v>928</v>
      </c>
      <c r="C1990" t="s">
        <v>9</v>
      </c>
      <c r="D1990">
        <f>VLOOKUP(C1990,Sheet2!C:G,5,FALSE)</f>
        <v>1202</v>
      </c>
      <c r="E1990" t="s">
        <v>110</v>
      </c>
      <c r="F1990">
        <f>VLOOKUP(E1990,Sheet2!D:E,2,FALSE)</f>
        <v>929</v>
      </c>
      <c r="G1990" t="s">
        <v>1824</v>
      </c>
      <c r="H1990" t="str">
        <f t="shared" si="62"/>
        <v>KAKAO321326</v>
      </c>
      <c r="I1990" t="str">
        <f>"321326"</f>
        <v>321326</v>
      </c>
      <c r="J1990">
        <v>77560</v>
      </c>
      <c r="K1990" s="1">
        <v>44866</v>
      </c>
      <c r="L1990" t="s">
        <v>1439</v>
      </c>
      <c r="M1990">
        <f t="shared" si="63"/>
        <v>77560</v>
      </c>
      <c r="N1990" t="e">
        <f>VLOOKUP(H1990,Sheet1!G:H,2,FALSE)</f>
        <v>#N/A</v>
      </c>
      <c r="R1990" t="s">
        <v>3914</v>
      </c>
      <c r="S1990">
        <v>940</v>
      </c>
    </row>
    <row r="1991" spans="1:19" x14ac:dyDescent="0.3">
      <c r="A1991" t="s">
        <v>8</v>
      </c>
      <c r="B1991">
        <f>VLOOKUP(A1991,Sheet2!B:F,5,FALSE)</f>
        <v>928</v>
      </c>
      <c r="C1991" t="s">
        <v>9</v>
      </c>
      <c r="D1991">
        <f>VLOOKUP(C1991,Sheet2!C:G,5,FALSE)</f>
        <v>1202</v>
      </c>
      <c r="E1991" t="s">
        <v>110</v>
      </c>
      <c r="F1991">
        <f>VLOOKUP(E1991,Sheet2!D:E,2,FALSE)</f>
        <v>929</v>
      </c>
      <c r="G1991" t="s">
        <v>1824</v>
      </c>
      <c r="H1991" t="str">
        <f t="shared" si="62"/>
        <v>KAKAO321473</v>
      </c>
      <c r="I1991" t="str">
        <f>"321473"</f>
        <v>321473</v>
      </c>
      <c r="J1991">
        <v>552410</v>
      </c>
      <c r="K1991" s="1">
        <v>44866</v>
      </c>
      <c r="L1991" t="s">
        <v>541</v>
      </c>
      <c r="M1991">
        <f t="shared" si="63"/>
        <v>552410</v>
      </c>
      <c r="N1991" t="e">
        <f>VLOOKUP(H1991,Sheet1!G:H,2,FALSE)</f>
        <v>#N/A</v>
      </c>
      <c r="R1991" t="s">
        <v>3915</v>
      </c>
      <c r="S1991">
        <v>4012380</v>
      </c>
    </row>
    <row r="1992" spans="1:19" x14ac:dyDescent="0.3">
      <c r="A1992" t="s">
        <v>8</v>
      </c>
      <c r="B1992">
        <f>VLOOKUP(A1992,Sheet2!B:F,5,FALSE)</f>
        <v>928</v>
      </c>
      <c r="C1992" t="s">
        <v>9</v>
      </c>
      <c r="D1992">
        <f>VLOOKUP(C1992,Sheet2!C:G,5,FALSE)</f>
        <v>1202</v>
      </c>
      <c r="E1992" t="s">
        <v>35</v>
      </c>
      <c r="F1992">
        <f>VLOOKUP(E1992,Sheet2!D:E,2,FALSE)</f>
        <v>51</v>
      </c>
      <c r="G1992" t="s">
        <v>1824</v>
      </c>
      <c r="H1992" t="str">
        <f t="shared" si="62"/>
        <v>KAKAO321616</v>
      </c>
      <c r="I1992" t="str">
        <f>"321616"</f>
        <v>321616</v>
      </c>
      <c r="J1992">
        <v>64290</v>
      </c>
      <c r="K1992" s="1">
        <v>44866</v>
      </c>
      <c r="L1992" t="s">
        <v>1251</v>
      </c>
      <c r="M1992">
        <f t="shared" si="63"/>
        <v>64290</v>
      </c>
      <c r="N1992" t="e">
        <f>VLOOKUP(H1992,Sheet1!G:H,2,FALSE)</f>
        <v>#N/A</v>
      </c>
      <c r="R1992" t="s">
        <v>3916</v>
      </c>
      <c r="S1992">
        <v>222550</v>
      </c>
    </row>
    <row r="1993" spans="1:19" x14ac:dyDescent="0.3">
      <c r="A1993" t="s">
        <v>8</v>
      </c>
      <c r="B1993">
        <f>VLOOKUP(A1993,Sheet2!B:F,5,FALSE)</f>
        <v>928</v>
      </c>
      <c r="C1993" t="s">
        <v>9</v>
      </c>
      <c r="D1993">
        <f>VLOOKUP(C1993,Sheet2!C:G,5,FALSE)</f>
        <v>1202</v>
      </c>
      <c r="E1993" t="s">
        <v>27</v>
      </c>
      <c r="F1993">
        <f>VLOOKUP(E1993,Sheet2!D:E,2,FALSE)</f>
        <v>806</v>
      </c>
      <c r="G1993" t="s">
        <v>1824</v>
      </c>
      <c r="H1993" t="str">
        <f t="shared" si="62"/>
        <v>KAKAO321803</v>
      </c>
      <c r="I1993" t="str">
        <f>"321803"</f>
        <v>321803</v>
      </c>
      <c r="J1993">
        <v>240</v>
      </c>
      <c r="K1993" s="1">
        <v>44866</v>
      </c>
      <c r="L1993" t="s">
        <v>1316</v>
      </c>
      <c r="M1993">
        <f t="shared" si="63"/>
        <v>240</v>
      </c>
      <c r="N1993" t="e">
        <f>VLOOKUP(H1993,Sheet1!G:H,2,FALSE)</f>
        <v>#N/A</v>
      </c>
      <c r="R1993" t="s">
        <v>3917</v>
      </c>
      <c r="S1993">
        <v>1261720</v>
      </c>
    </row>
    <row r="1994" spans="1:19" x14ac:dyDescent="0.3">
      <c r="A1994" t="s">
        <v>8</v>
      </c>
      <c r="B1994">
        <f>VLOOKUP(A1994,Sheet2!B:F,5,FALSE)</f>
        <v>928</v>
      </c>
      <c r="C1994" t="s">
        <v>9</v>
      </c>
      <c r="D1994">
        <f>VLOOKUP(C1994,Sheet2!C:G,5,FALSE)</f>
        <v>1202</v>
      </c>
      <c r="E1994" t="s">
        <v>37</v>
      </c>
      <c r="F1994">
        <f>VLOOKUP(E1994,Sheet2!D:E,2,FALSE)</f>
        <v>81</v>
      </c>
      <c r="G1994" t="s">
        <v>1824</v>
      </c>
      <c r="H1994" t="str">
        <f t="shared" si="62"/>
        <v>KAKAO321851</v>
      </c>
      <c r="I1994" t="str">
        <f>"321851"</f>
        <v>321851</v>
      </c>
      <c r="J1994">
        <v>53100</v>
      </c>
      <c r="K1994" s="1">
        <v>44866</v>
      </c>
      <c r="L1994" t="s">
        <v>55</v>
      </c>
      <c r="M1994">
        <f t="shared" si="63"/>
        <v>53100</v>
      </c>
      <c r="N1994" t="e">
        <f>VLOOKUP(H1994,Sheet1!G:H,2,FALSE)</f>
        <v>#N/A</v>
      </c>
      <c r="R1994" t="s">
        <v>3918</v>
      </c>
      <c r="S1994">
        <v>41350</v>
      </c>
    </row>
    <row r="1995" spans="1:19" x14ac:dyDescent="0.3">
      <c r="A1995" t="s">
        <v>8</v>
      </c>
      <c r="B1995">
        <f>VLOOKUP(A1995,Sheet2!B:F,5,FALSE)</f>
        <v>928</v>
      </c>
      <c r="C1995" t="s">
        <v>9</v>
      </c>
      <c r="D1995">
        <f>VLOOKUP(C1995,Sheet2!C:G,5,FALSE)</f>
        <v>1202</v>
      </c>
      <c r="E1995" t="s">
        <v>122</v>
      </c>
      <c r="F1995">
        <f>VLOOKUP(E1995,Sheet2!D:E,2,FALSE)</f>
        <v>251</v>
      </c>
      <c r="G1995" t="s">
        <v>1824</v>
      </c>
      <c r="H1995" t="str">
        <f t="shared" si="62"/>
        <v>KAKAO322037</v>
      </c>
      <c r="I1995" t="str">
        <f>"322037"</f>
        <v>322037</v>
      </c>
      <c r="J1995">
        <v>376060</v>
      </c>
      <c r="K1995" s="1">
        <v>44866</v>
      </c>
      <c r="L1995" t="s">
        <v>1410</v>
      </c>
      <c r="M1995" t="e">
        <f t="shared" si="63"/>
        <v>#N/A</v>
      </c>
      <c r="N1995" t="e">
        <f>VLOOKUP(H1995,Sheet1!G:H,2,FALSE)</f>
        <v>#N/A</v>
      </c>
      <c r="R1995" t="s">
        <v>3919</v>
      </c>
      <c r="S1995">
        <v>43580</v>
      </c>
    </row>
    <row r="1996" spans="1:19" x14ac:dyDescent="0.3">
      <c r="A1996" t="s">
        <v>8</v>
      </c>
      <c r="B1996">
        <f>VLOOKUP(A1996,Sheet2!B:F,5,FALSE)</f>
        <v>928</v>
      </c>
      <c r="C1996" t="s">
        <v>9</v>
      </c>
      <c r="D1996">
        <f>VLOOKUP(C1996,Sheet2!C:G,5,FALSE)</f>
        <v>1202</v>
      </c>
      <c r="E1996" t="s">
        <v>45</v>
      </c>
      <c r="F1996">
        <f>VLOOKUP(E1996,Sheet2!D:E,2,FALSE)</f>
        <v>26</v>
      </c>
      <c r="G1996" t="s">
        <v>1824</v>
      </c>
      <c r="H1996" t="str">
        <f t="shared" si="62"/>
        <v>KAKAO322208</v>
      </c>
      <c r="I1996" t="str">
        <f>"322208"</f>
        <v>322208</v>
      </c>
      <c r="J1996">
        <v>4634920</v>
      </c>
      <c r="K1996" s="1">
        <v>44866</v>
      </c>
      <c r="L1996" t="s">
        <v>748</v>
      </c>
      <c r="M1996">
        <f t="shared" si="63"/>
        <v>4634920</v>
      </c>
      <c r="N1996" t="e">
        <f>VLOOKUP(H1996,Sheet1!G:H,2,FALSE)</f>
        <v>#N/A</v>
      </c>
      <c r="R1996" t="s">
        <v>3920</v>
      </c>
      <c r="S1996">
        <v>386130</v>
      </c>
    </row>
    <row r="1997" spans="1:19" x14ac:dyDescent="0.3">
      <c r="A1997" t="s">
        <v>41</v>
      </c>
      <c r="B1997">
        <f>VLOOKUP(A1997,Sheet2!B:F,5,FALSE)</f>
        <v>926</v>
      </c>
      <c r="C1997" t="s">
        <v>56</v>
      </c>
      <c r="D1997">
        <f>VLOOKUP(C1997,Sheet2!C:G,5,FALSE)</f>
        <v>1207</v>
      </c>
      <c r="E1997" t="s">
        <v>64</v>
      </c>
      <c r="F1997">
        <f>VLOOKUP(E1997,Sheet2!D:E,2,FALSE)</f>
        <v>201011</v>
      </c>
      <c r="G1997" t="s">
        <v>1824</v>
      </c>
      <c r="H1997" t="str">
        <f t="shared" si="62"/>
        <v>KAKAO322568</v>
      </c>
      <c r="I1997" t="str">
        <f>"322568"</f>
        <v>322568</v>
      </c>
      <c r="J1997">
        <v>271610</v>
      </c>
      <c r="K1997" s="1">
        <v>44866</v>
      </c>
      <c r="L1997" t="s">
        <v>159</v>
      </c>
      <c r="M1997">
        <f t="shared" si="63"/>
        <v>271610</v>
      </c>
      <c r="N1997" t="e">
        <f>VLOOKUP(H1997,Sheet1!G:H,2,FALSE)</f>
        <v>#N/A</v>
      </c>
      <c r="R1997" t="s">
        <v>3921</v>
      </c>
      <c r="S1997">
        <v>4064080</v>
      </c>
    </row>
    <row r="1998" spans="1:19" x14ac:dyDescent="0.3">
      <c r="A1998" t="s">
        <v>8</v>
      </c>
      <c r="B1998">
        <f>VLOOKUP(A1998,Sheet2!B:F,5,FALSE)</f>
        <v>928</v>
      </c>
      <c r="C1998" t="s">
        <v>9</v>
      </c>
      <c r="D1998">
        <f>VLOOKUP(C1998,Sheet2!C:G,5,FALSE)</f>
        <v>1202</v>
      </c>
      <c r="E1998" t="s">
        <v>110</v>
      </c>
      <c r="F1998">
        <f>VLOOKUP(E1998,Sheet2!D:E,2,FALSE)</f>
        <v>929</v>
      </c>
      <c r="G1998" t="s">
        <v>1824</v>
      </c>
      <c r="H1998" t="str">
        <f t="shared" si="62"/>
        <v>KAKAO322620</v>
      </c>
      <c r="I1998" t="str">
        <f>"322620"</f>
        <v>322620</v>
      </c>
      <c r="J1998">
        <v>11110</v>
      </c>
      <c r="K1998" s="1">
        <v>44866</v>
      </c>
      <c r="L1998" t="s">
        <v>1867</v>
      </c>
      <c r="M1998">
        <f t="shared" si="63"/>
        <v>11110</v>
      </c>
      <c r="N1998" t="e">
        <f>VLOOKUP(H1998,Sheet1!G:H,2,FALSE)</f>
        <v>#N/A</v>
      </c>
      <c r="R1998" t="s">
        <v>3922</v>
      </c>
      <c r="S1998">
        <v>1477780</v>
      </c>
    </row>
    <row r="1999" spans="1:19" x14ac:dyDescent="0.3">
      <c r="A1999" t="s">
        <v>8</v>
      </c>
      <c r="B1999">
        <f>VLOOKUP(A1999,Sheet2!B:F,5,FALSE)</f>
        <v>928</v>
      </c>
      <c r="C1999" t="s">
        <v>9</v>
      </c>
      <c r="D1999">
        <f>VLOOKUP(C1999,Sheet2!C:G,5,FALSE)</f>
        <v>1202</v>
      </c>
      <c r="E1999" t="s">
        <v>75</v>
      </c>
      <c r="F1999">
        <f>VLOOKUP(E1999,Sheet2!D:E,2,FALSE)</f>
        <v>50</v>
      </c>
      <c r="G1999" t="s">
        <v>1824</v>
      </c>
      <c r="H1999" t="str">
        <f t="shared" si="62"/>
        <v>KAKAO322735</v>
      </c>
      <c r="I1999" t="str">
        <f>"322735"</f>
        <v>322735</v>
      </c>
      <c r="J1999">
        <v>580690</v>
      </c>
      <c r="K1999" s="1">
        <v>44866</v>
      </c>
      <c r="L1999" t="s">
        <v>917</v>
      </c>
      <c r="M1999">
        <f t="shared" si="63"/>
        <v>580690</v>
      </c>
      <c r="N1999" t="e">
        <f>VLOOKUP(H1999,Sheet1!G:H,2,FALSE)</f>
        <v>#N/A</v>
      </c>
      <c r="R1999" t="s">
        <v>3923</v>
      </c>
      <c r="S1999">
        <v>27600</v>
      </c>
    </row>
    <row r="2000" spans="1:19" x14ac:dyDescent="0.3">
      <c r="A2000" t="s">
        <v>8</v>
      </c>
      <c r="B2000">
        <f>VLOOKUP(A2000,Sheet2!B:F,5,FALSE)</f>
        <v>928</v>
      </c>
      <c r="C2000" t="s">
        <v>13</v>
      </c>
      <c r="D2000">
        <f>VLOOKUP(C2000,Sheet2!C:G,5,FALSE)</f>
        <v>1184</v>
      </c>
      <c r="E2000" t="s">
        <v>115</v>
      </c>
      <c r="F2000">
        <f>VLOOKUP(E2000,Sheet2!D:E,2,FALSE)</f>
        <v>1548</v>
      </c>
      <c r="G2000" t="s">
        <v>1824</v>
      </c>
      <c r="H2000" t="str">
        <f t="shared" si="62"/>
        <v>KAKAO323277</v>
      </c>
      <c r="I2000" t="str">
        <f>"323277"</f>
        <v>323277</v>
      </c>
      <c r="J2000">
        <v>13990</v>
      </c>
      <c r="K2000" s="1">
        <v>44866</v>
      </c>
      <c r="L2000" t="s">
        <v>1868</v>
      </c>
      <c r="M2000" t="e">
        <f t="shared" si="63"/>
        <v>#N/A</v>
      </c>
      <c r="N2000" t="e">
        <f>VLOOKUP(H2000,Sheet1!G:H,2,FALSE)</f>
        <v>#N/A</v>
      </c>
      <c r="R2000" t="s">
        <v>3924</v>
      </c>
      <c r="S2000">
        <v>68900</v>
      </c>
    </row>
    <row r="2001" spans="1:19" x14ac:dyDescent="0.3">
      <c r="A2001" t="s">
        <v>8</v>
      </c>
      <c r="B2001">
        <f>VLOOKUP(A2001,Sheet2!B:F,5,FALSE)</f>
        <v>928</v>
      </c>
      <c r="C2001" t="s">
        <v>9</v>
      </c>
      <c r="D2001">
        <f>VLOOKUP(C2001,Sheet2!C:G,5,FALSE)</f>
        <v>1202</v>
      </c>
      <c r="E2001" t="s">
        <v>39</v>
      </c>
      <c r="F2001">
        <f>VLOOKUP(E2001,Sheet2!D:E,2,FALSE)</f>
        <v>25</v>
      </c>
      <c r="G2001" t="s">
        <v>1824</v>
      </c>
      <c r="H2001" t="str">
        <f t="shared" si="62"/>
        <v>KAKAO323635</v>
      </c>
      <c r="I2001" t="str">
        <f>"323635"</f>
        <v>323635</v>
      </c>
      <c r="J2001">
        <v>182060</v>
      </c>
      <c r="K2001" s="1">
        <v>44866</v>
      </c>
      <c r="L2001" t="s">
        <v>82</v>
      </c>
      <c r="M2001" t="e">
        <f t="shared" si="63"/>
        <v>#N/A</v>
      </c>
      <c r="N2001" t="e">
        <f>VLOOKUP(H2001,Sheet1!G:H,2,FALSE)</f>
        <v>#N/A</v>
      </c>
      <c r="R2001" t="s">
        <v>3925</v>
      </c>
      <c r="S2001">
        <v>64040</v>
      </c>
    </row>
    <row r="2002" spans="1:19" x14ac:dyDescent="0.3">
      <c r="A2002" t="s">
        <v>8</v>
      </c>
      <c r="B2002">
        <f>VLOOKUP(A2002,Sheet2!B:F,5,FALSE)</f>
        <v>928</v>
      </c>
      <c r="C2002" t="s">
        <v>9</v>
      </c>
      <c r="D2002">
        <f>VLOOKUP(C2002,Sheet2!C:G,5,FALSE)</f>
        <v>1202</v>
      </c>
      <c r="E2002" t="s">
        <v>20</v>
      </c>
      <c r="F2002">
        <f>VLOOKUP(E2002,Sheet2!D:E,2,FALSE)</f>
        <v>938</v>
      </c>
      <c r="G2002" t="s">
        <v>1824</v>
      </c>
      <c r="H2002" t="str">
        <f t="shared" si="62"/>
        <v>KAKAO323751</v>
      </c>
      <c r="I2002" t="str">
        <f>"323751"</f>
        <v>323751</v>
      </c>
      <c r="J2002">
        <v>59380</v>
      </c>
      <c r="K2002" s="1">
        <v>44866</v>
      </c>
      <c r="L2002" t="s">
        <v>1018</v>
      </c>
      <c r="M2002">
        <f t="shared" si="63"/>
        <v>59380</v>
      </c>
      <c r="N2002" t="e">
        <f>VLOOKUP(H2002,Sheet1!G:H,2,FALSE)</f>
        <v>#N/A</v>
      </c>
      <c r="R2002" t="s">
        <v>3926</v>
      </c>
      <c r="S2002">
        <v>8250</v>
      </c>
    </row>
    <row r="2003" spans="1:19" x14ac:dyDescent="0.3">
      <c r="A2003" t="s">
        <v>41</v>
      </c>
      <c r="B2003">
        <f>VLOOKUP(A2003,Sheet2!B:F,5,FALSE)</f>
        <v>926</v>
      </c>
      <c r="C2003" t="s">
        <v>56</v>
      </c>
      <c r="D2003">
        <f>VLOOKUP(C2003,Sheet2!C:G,5,FALSE)</f>
        <v>1207</v>
      </c>
      <c r="E2003" t="s">
        <v>57</v>
      </c>
      <c r="F2003">
        <f>VLOOKUP(E2003,Sheet2!D:E,2,FALSE)</f>
        <v>200982</v>
      </c>
      <c r="G2003" t="s">
        <v>1824</v>
      </c>
      <c r="H2003" t="str">
        <f t="shared" si="62"/>
        <v>KAKAO323780</v>
      </c>
      <c r="I2003" t="str">
        <f>"323780"</f>
        <v>323780</v>
      </c>
      <c r="J2003">
        <v>189430</v>
      </c>
      <c r="K2003" s="1">
        <v>44866</v>
      </c>
      <c r="L2003" t="s">
        <v>1393</v>
      </c>
      <c r="M2003">
        <f t="shared" si="63"/>
        <v>189430</v>
      </c>
      <c r="N2003" t="e">
        <f>VLOOKUP(H2003,Sheet1!G:H,2,FALSE)</f>
        <v>#N/A</v>
      </c>
      <c r="R2003" t="s">
        <v>3927</v>
      </c>
      <c r="S2003">
        <v>28150</v>
      </c>
    </row>
    <row r="2004" spans="1:19" x14ac:dyDescent="0.3">
      <c r="A2004" t="s">
        <v>8</v>
      </c>
      <c r="B2004">
        <f>VLOOKUP(A2004,Sheet2!B:F,5,FALSE)</f>
        <v>928</v>
      </c>
      <c r="C2004" t="s">
        <v>13</v>
      </c>
      <c r="D2004">
        <f>VLOOKUP(C2004,Sheet2!C:G,5,FALSE)</f>
        <v>1184</v>
      </c>
      <c r="E2004" t="s">
        <v>102</v>
      </c>
      <c r="F2004">
        <f>VLOOKUP(E2004,Sheet2!D:E,2,FALSE)</f>
        <v>917</v>
      </c>
      <c r="G2004" t="s">
        <v>1824</v>
      </c>
      <c r="H2004" t="str">
        <f t="shared" si="62"/>
        <v>KAKAO323848</v>
      </c>
      <c r="I2004" t="str">
        <f>"323848"</f>
        <v>323848</v>
      </c>
      <c r="J2004">
        <v>820</v>
      </c>
      <c r="K2004" s="1">
        <v>44866</v>
      </c>
      <c r="L2004" t="s">
        <v>1869</v>
      </c>
      <c r="M2004" t="e">
        <f t="shared" si="63"/>
        <v>#N/A</v>
      </c>
      <c r="N2004" t="e">
        <f>VLOOKUP(H2004,Sheet1!G:H,2,FALSE)</f>
        <v>#N/A</v>
      </c>
      <c r="R2004" t="s">
        <v>3928</v>
      </c>
      <c r="S2004">
        <v>613750</v>
      </c>
    </row>
    <row r="2005" spans="1:19" x14ac:dyDescent="0.3">
      <c r="A2005" t="s">
        <v>8</v>
      </c>
      <c r="B2005">
        <f>VLOOKUP(A2005,Sheet2!B:F,5,FALSE)</f>
        <v>928</v>
      </c>
      <c r="C2005" t="s">
        <v>9</v>
      </c>
      <c r="D2005">
        <f>VLOOKUP(C2005,Sheet2!C:G,5,FALSE)</f>
        <v>1202</v>
      </c>
      <c r="E2005" t="s">
        <v>122</v>
      </c>
      <c r="F2005">
        <f>VLOOKUP(E2005,Sheet2!D:E,2,FALSE)</f>
        <v>251</v>
      </c>
      <c r="G2005" t="s">
        <v>1824</v>
      </c>
      <c r="H2005" t="str">
        <f t="shared" si="62"/>
        <v>KAKAO323876</v>
      </c>
      <c r="I2005" t="str">
        <f>"323876"</f>
        <v>323876</v>
      </c>
      <c r="J2005">
        <v>18180</v>
      </c>
      <c r="K2005" s="1">
        <v>44866</v>
      </c>
      <c r="L2005" t="s">
        <v>1303</v>
      </c>
      <c r="M2005" t="e">
        <f t="shared" si="63"/>
        <v>#N/A</v>
      </c>
      <c r="N2005" t="e">
        <f>VLOOKUP(H2005,Sheet1!G:H,2,FALSE)</f>
        <v>#N/A</v>
      </c>
      <c r="R2005" t="s">
        <v>3929</v>
      </c>
      <c r="S2005">
        <v>9770</v>
      </c>
    </row>
    <row r="2006" spans="1:19" x14ac:dyDescent="0.3">
      <c r="A2006" t="s">
        <v>8</v>
      </c>
      <c r="B2006">
        <f>VLOOKUP(A2006,Sheet2!B:F,5,FALSE)</f>
        <v>928</v>
      </c>
      <c r="C2006" t="s">
        <v>9</v>
      </c>
      <c r="D2006">
        <f>VLOOKUP(C2006,Sheet2!C:G,5,FALSE)</f>
        <v>1202</v>
      </c>
      <c r="E2006" t="s">
        <v>39</v>
      </c>
      <c r="F2006">
        <f>VLOOKUP(E2006,Sheet2!D:E,2,FALSE)</f>
        <v>25</v>
      </c>
      <c r="G2006" t="s">
        <v>1824</v>
      </c>
      <c r="H2006" t="str">
        <f t="shared" si="62"/>
        <v>KAKAO323922</v>
      </c>
      <c r="I2006" t="str">
        <f>"323922"</f>
        <v>323922</v>
      </c>
      <c r="J2006">
        <v>150390</v>
      </c>
      <c r="K2006" s="1">
        <v>44866</v>
      </c>
      <c r="L2006" t="s">
        <v>1470</v>
      </c>
      <c r="M2006" t="e">
        <f t="shared" si="63"/>
        <v>#N/A</v>
      </c>
      <c r="N2006" t="e">
        <f>VLOOKUP(H2006,Sheet1!G:H,2,FALSE)</f>
        <v>#N/A</v>
      </c>
      <c r="R2006" t="s">
        <v>3930</v>
      </c>
      <c r="S2006">
        <v>36340</v>
      </c>
    </row>
    <row r="2007" spans="1:19" x14ac:dyDescent="0.3">
      <c r="A2007" t="s">
        <v>41</v>
      </c>
      <c r="B2007">
        <f>VLOOKUP(A2007,Sheet2!B:F,5,FALSE)</f>
        <v>926</v>
      </c>
      <c r="C2007" t="s">
        <v>56</v>
      </c>
      <c r="D2007">
        <f>VLOOKUP(C2007,Sheet2!C:G,5,FALSE)</f>
        <v>1207</v>
      </c>
      <c r="E2007" t="s">
        <v>57</v>
      </c>
      <c r="F2007">
        <f>VLOOKUP(E2007,Sheet2!D:E,2,FALSE)</f>
        <v>200982</v>
      </c>
      <c r="G2007" t="s">
        <v>1824</v>
      </c>
      <c r="H2007" t="str">
        <f t="shared" si="62"/>
        <v>KAKAO323944</v>
      </c>
      <c r="I2007" t="str">
        <f>"323944"</f>
        <v>323944</v>
      </c>
      <c r="J2007">
        <v>103430</v>
      </c>
      <c r="K2007" s="1">
        <v>44866</v>
      </c>
      <c r="L2007" t="s">
        <v>1272</v>
      </c>
      <c r="M2007" t="e">
        <f t="shared" si="63"/>
        <v>#N/A</v>
      </c>
      <c r="N2007" t="str">
        <f>VLOOKUP(H2007,Sheet1!G:H,2,FALSE)</f>
        <v>퇴사자</v>
      </c>
      <c r="R2007" t="s">
        <v>3931</v>
      </c>
      <c r="S2007">
        <v>21530</v>
      </c>
    </row>
    <row r="2008" spans="1:19" x14ac:dyDescent="0.3">
      <c r="A2008" t="s">
        <v>41</v>
      </c>
      <c r="B2008">
        <f>VLOOKUP(A2008,Sheet2!B:F,5,FALSE)</f>
        <v>926</v>
      </c>
      <c r="C2008" t="s">
        <v>56</v>
      </c>
      <c r="D2008">
        <f>VLOOKUP(C2008,Sheet2!C:G,5,FALSE)</f>
        <v>1207</v>
      </c>
      <c r="E2008" t="s">
        <v>64</v>
      </c>
      <c r="F2008">
        <f>VLOOKUP(E2008,Sheet2!D:E,2,FALSE)</f>
        <v>201011</v>
      </c>
      <c r="G2008" t="s">
        <v>1824</v>
      </c>
      <c r="H2008" t="str">
        <f t="shared" si="62"/>
        <v>KAKAO324103</v>
      </c>
      <c r="I2008" t="str">
        <f>"324103"</f>
        <v>324103</v>
      </c>
      <c r="J2008">
        <v>106480</v>
      </c>
      <c r="K2008" s="1">
        <v>44866</v>
      </c>
      <c r="L2008" t="s">
        <v>497</v>
      </c>
      <c r="M2008">
        <f t="shared" si="63"/>
        <v>106480</v>
      </c>
      <c r="N2008" t="e">
        <f>VLOOKUP(H2008,Sheet1!G:H,2,FALSE)</f>
        <v>#N/A</v>
      </c>
      <c r="R2008" t="s">
        <v>3932</v>
      </c>
      <c r="S2008">
        <v>9000</v>
      </c>
    </row>
    <row r="2009" spans="1:19" x14ac:dyDescent="0.3">
      <c r="A2009" t="s">
        <v>41</v>
      </c>
      <c r="B2009">
        <f>VLOOKUP(A2009,Sheet2!B:F,5,FALSE)</f>
        <v>926</v>
      </c>
      <c r="C2009" t="s">
        <v>56</v>
      </c>
      <c r="D2009">
        <f>VLOOKUP(C2009,Sheet2!C:G,5,FALSE)</f>
        <v>1207</v>
      </c>
      <c r="E2009" t="s">
        <v>64</v>
      </c>
      <c r="F2009">
        <f>VLOOKUP(E2009,Sheet2!D:E,2,FALSE)</f>
        <v>201011</v>
      </c>
      <c r="G2009" t="s">
        <v>1824</v>
      </c>
      <c r="H2009" t="str">
        <f t="shared" si="62"/>
        <v>KAKAO324186</v>
      </c>
      <c r="I2009" t="str">
        <f>"324186"</f>
        <v>324186</v>
      </c>
      <c r="J2009">
        <v>71990</v>
      </c>
      <c r="K2009" s="1">
        <v>44866</v>
      </c>
      <c r="L2009" t="s">
        <v>1118</v>
      </c>
      <c r="M2009">
        <f t="shared" si="63"/>
        <v>71990</v>
      </c>
      <c r="N2009" t="e">
        <f>VLOOKUP(H2009,Sheet1!G:H,2,FALSE)</f>
        <v>#N/A</v>
      </c>
      <c r="R2009" t="s">
        <v>3933</v>
      </c>
      <c r="S2009">
        <v>66820</v>
      </c>
    </row>
    <row r="2010" spans="1:19" x14ac:dyDescent="0.3">
      <c r="A2010" t="s">
        <v>8</v>
      </c>
      <c r="B2010">
        <f>VLOOKUP(A2010,Sheet2!B:F,5,FALSE)</f>
        <v>928</v>
      </c>
      <c r="C2010" t="s">
        <v>9</v>
      </c>
      <c r="D2010">
        <f>VLOOKUP(C2010,Sheet2!C:G,5,FALSE)</f>
        <v>1202</v>
      </c>
      <c r="E2010" t="s">
        <v>110</v>
      </c>
      <c r="F2010">
        <f>VLOOKUP(E2010,Sheet2!D:E,2,FALSE)</f>
        <v>929</v>
      </c>
      <c r="G2010" t="s">
        <v>1824</v>
      </c>
      <c r="H2010" t="str">
        <f t="shared" si="62"/>
        <v>KAKAO324192</v>
      </c>
      <c r="I2010" t="str">
        <f>"324192"</f>
        <v>324192</v>
      </c>
      <c r="J2010">
        <v>55850</v>
      </c>
      <c r="K2010" s="1">
        <v>44866</v>
      </c>
      <c r="L2010" t="s">
        <v>781</v>
      </c>
      <c r="M2010">
        <f t="shared" si="63"/>
        <v>55850</v>
      </c>
      <c r="N2010" t="e">
        <f>VLOOKUP(H2010,Sheet1!G:H,2,FALSE)</f>
        <v>#N/A</v>
      </c>
      <c r="R2010" t="s">
        <v>3934</v>
      </c>
      <c r="S2010">
        <v>0</v>
      </c>
    </row>
    <row r="2011" spans="1:19" x14ac:dyDescent="0.3">
      <c r="A2011" t="s">
        <v>8</v>
      </c>
      <c r="B2011">
        <f>VLOOKUP(A2011,Sheet2!B:F,5,FALSE)</f>
        <v>928</v>
      </c>
      <c r="C2011" t="s">
        <v>9</v>
      </c>
      <c r="D2011">
        <f>VLOOKUP(C2011,Sheet2!C:G,5,FALSE)</f>
        <v>1202</v>
      </c>
      <c r="E2011" t="s">
        <v>122</v>
      </c>
      <c r="F2011">
        <f>VLOOKUP(E2011,Sheet2!D:E,2,FALSE)</f>
        <v>251</v>
      </c>
      <c r="G2011" t="s">
        <v>1824</v>
      </c>
      <c r="H2011" t="str">
        <f t="shared" si="62"/>
        <v>KAKAO324274</v>
      </c>
      <c r="I2011" t="str">
        <f>"324274"</f>
        <v>324274</v>
      </c>
      <c r="J2011">
        <v>36360</v>
      </c>
      <c r="K2011" s="1">
        <v>44866</v>
      </c>
      <c r="L2011" t="s">
        <v>819</v>
      </c>
      <c r="M2011">
        <f t="shared" si="63"/>
        <v>36360</v>
      </c>
      <c r="N2011" t="e">
        <f>VLOOKUP(H2011,Sheet1!G:H,2,FALSE)</f>
        <v>#N/A</v>
      </c>
      <c r="R2011" t="s">
        <v>3935</v>
      </c>
      <c r="S2011">
        <v>37700</v>
      </c>
    </row>
    <row r="2012" spans="1:19" x14ac:dyDescent="0.3">
      <c r="A2012" t="s">
        <v>16</v>
      </c>
      <c r="B2012">
        <f>VLOOKUP(A2012,Sheet2!B:F,5,FALSE)</f>
        <v>927</v>
      </c>
      <c r="C2012" t="s">
        <v>17</v>
      </c>
      <c r="D2012">
        <f>VLOOKUP(C2012,Sheet2!C:G,5,FALSE)</f>
        <v>1200</v>
      </c>
      <c r="E2012" t="s">
        <v>78</v>
      </c>
      <c r="F2012">
        <f>VLOOKUP(E2012,Sheet2!D:E,2,FALSE)</f>
        <v>57</v>
      </c>
      <c r="G2012" t="s">
        <v>1824</v>
      </c>
      <c r="H2012" t="str">
        <f t="shared" si="62"/>
        <v>KAKAO324367</v>
      </c>
      <c r="I2012" t="str">
        <f>"324367"</f>
        <v>324367</v>
      </c>
      <c r="J2012">
        <v>21100</v>
      </c>
      <c r="K2012" s="1">
        <v>44866</v>
      </c>
      <c r="L2012" t="s">
        <v>252</v>
      </c>
      <c r="M2012">
        <f t="shared" si="63"/>
        <v>21100</v>
      </c>
      <c r="N2012" t="e">
        <f>VLOOKUP(H2012,Sheet1!G:H,2,FALSE)</f>
        <v>#N/A</v>
      </c>
      <c r="R2012" t="s">
        <v>3936</v>
      </c>
      <c r="S2012">
        <v>188451</v>
      </c>
    </row>
    <row r="2013" spans="1:19" x14ac:dyDescent="0.3">
      <c r="A2013" t="s">
        <v>41</v>
      </c>
      <c r="B2013">
        <f>VLOOKUP(A2013,Sheet2!B:F,5,FALSE)</f>
        <v>926</v>
      </c>
      <c r="C2013" t="s">
        <v>56</v>
      </c>
      <c r="D2013">
        <f>VLOOKUP(C2013,Sheet2!C:G,5,FALSE)</f>
        <v>1207</v>
      </c>
      <c r="E2013" t="s">
        <v>57</v>
      </c>
      <c r="F2013">
        <f>VLOOKUP(E2013,Sheet2!D:E,2,FALSE)</f>
        <v>200982</v>
      </c>
      <c r="G2013" t="s">
        <v>1824</v>
      </c>
      <c r="H2013" t="str">
        <f t="shared" si="62"/>
        <v>KAKAO324919</v>
      </c>
      <c r="I2013" t="str">
        <f>"324919"</f>
        <v>324919</v>
      </c>
      <c r="J2013">
        <v>67010</v>
      </c>
      <c r="K2013" s="1">
        <v>44866</v>
      </c>
      <c r="L2013" t="s">
        <v>1870</v>
      </c>
      <c r="M2013">
        <f t="shared" si="63"/>
        <v>67010</v>
      </c>
      <c r="N2013" t="e">
        <f>VLOOKUP(H2013,Sheet1!G:H,2,FALSE)</f>
        <v>#N/A</v>
      </c>
      <c r="R2013" t="s">
        <v>3937</v>
      </c>
      <c r="S2013">
        <v>4000</v>
      </c>
    </row>
    <row r="2014" spans="1:19" x14ac:dyDescent="0.3">
      <c r="A2014" t="s">
        <v>8</v>
      </c>
      <c r="B2014">
        <f>VLOOKUP(A2014,Sheet2!B:F,5,FALSE)</f>
        <v>928</v>
      </c>
      <c r="C2014" t="s">
        <v>9</v>
      </c>
      <c r="D2014">
        <f>VLOOKUP(C2014,Sheet2!C:G,5,FALSE)</f>
        <v>1202</v>
      </c>
      <c r="E2014" t="s">
        <v>110</v>
      </c>
      <c r="F2014">
        <f>VLOOKUP(E2014,Sheet2!D:E,2,FALSE)</f>
        <v>929</v>
      </c>
      <c r="G2014" t="s">
        <v>1824</v>
      </c>
      <c r="H2014" t="str">
        <f t="shared" si="62"/>
        <v>KAKAO325020</v>
      </c>
      <c r="I2014" t="str">
        <f>"325020"</f>
        <v>325020</v>
      </c>
      <c r="J2014">
        <v>99050</v>
      </c>
      <c r="K2014" s="1">
        <v>44866</v>
      </c>
      <c r="L2014" t="s">
        <v>1566</v>
      </c>
      <c r="M2014">
        <f t="shared" si="63"/>
        <v>99050</v>
      </c>
      <c r="N2014" t="e">
        <f>VLOOKUP(H2014,Sheet1!G:H,2,FALSE)</f>
        <v>#N/A</v>
      </c>
      <c r="R2014" t="s">
        <v>3938</v>
      </c>
      <c r="S2014">
        <v>3129880</v>
      </c>
    </row>
    <row r="2015" spans="1:19" x14ac:dyDescent="0.3">
      <c r="A2015" t="s">
        <v>8</v>
      </c>
      <c r="B2015">
        <f>VLOOKUP(A2015,Sheet2!B:F,5,FALSE)</f>
        <v>928</v>
      </c>
      <c r="C2015" t="s">
        <v>9</v>
      </c>
      <c r="D2015">
        <f>VLOOKUP(C2015,Sheet2!C:G,5,FALSE)</f>
        <v>1202</v>
      </c>
      <c r="E2015" t="s">
        <v>75</v>
      </c>
      <c r="F2015">
        <f>VLOOKUP(E2015,Sheet2!D:E,2,FALSE)</f>
        <v>50</v>
      </c>
      <c r="G2015" t="s">
        <v>1824</v>
      </c>
      <c r="H2015" t="str">
        <f t="shared" si="62"/>
        <v>KAKAO325103</v>
      </c>
      <c r="I2015" t="str">
        <f>"325103"</f>
        <v>325103</v>
      </c>
      <c r="J2015">
        <v>67280</v>
      </c>
      <c r="K2015" s="1">
        <v>44866</v>
      </c>
      <c r="L2015" t="s">
        <v>583</v>
      </c>
      <c r="M2015">
        <f t="shared" si="63"/>
        <v>67280</v>
      </c>
      <c r="N2015" t="e">
        <f>VLOOKUP(H2015,Sheet1!G:H,2,FALSE)</f>
        <v>#N/A</v>
      </c>
      <c r="R2015" t="s">
        <v>3939</v>
      </c>
      <c r="S2015">
        <v>36240</v>
      </c>
    </row>
    <row r="2016" spans="1:19" x14ac:dyDescent="0.3">
      <c r="A2016" t="s">
        <v>8</v>
      </c>
      <c r="B2016">
        <f>VLOOKUP(A2016,Sheet2!B:F,5,FALSE)</f>
        <v>928</v>
      </c>
      <c r="C2016" t="s">
        <v>9</v>
      </c>
      <c r="D2016">
        <f>VLOOKUP(C2016,Sheet2!C:G,5,FALSE)</f>
        <v>1202</v>
      </c>
      <c r="E2016" t="s">
        <v>20</v>
      </c>
      <c r="F2016">
        <f>VLOOKUP(E2016,Sheet2!D:E,2,FALSE)</f>
        <v>938</v>
      </c>
      <c r="G2016" t="s">
        <v>1824</v>
      </c>
      <c r="H2016" t="str">
        <f t="shared" si="62"/>
        <v>KAKAO325191</v>
      </c>
      <c r="I2016" t="str">
        <f>"325191"</f>
        <v>325191</v>
      </c>
      <c r="J2016">
        <v>15160</v>
      </c>
      <c r="K2016" s="1">
        <v>44866</v>
      </c>
      <c r="L2016" t="s">
        <v>1209</v>
      </c>
      <c r="M2016">
        <f t="shared" si="63"/>
        <v>15160</v>
      </c>
      <c r="N2016" t="e">
        <f>VLOOKUP(H2016,Sheet1!G:H,2,FALSE)</f>
        <v>#N/A</v>
      </c>
      <c r="R2016" t="s">
        <v>3940</v>
      </c>
      <c r="S2016">
        <v>14260500</v>
      </c>
    </row>
    <row r="2017" spans="1:19" x14ac:dyDescent="0.3">
      <c r="A2017" t="s">
        <v>8</v>
      </c>
      <c r="B2017">
        <f>VLOOKUP(A2017,Sheet2!B:F,5,FALSE)</f>
        <v>928</v>
      </c>
      <c r="C2017" t="s">
        <v>9</v>
      </c>
      <c r="D2017">
        <f>VLOOKUP(C2017,Sheet2!C:G,5,FALSE)</f>
        <v>1202</v>
      </c>
      <c r="E2017" t="s">
        <v>110</v>
      </c>
      <c r="F2017">
        <f>VLOOKUP(E2017,Sheet2!D:E,2,FALSE)</f>
        <v>929</v>
      </c>
      <c r="G2017" t="s">
        <v>1824</v>
      </c>
      <c r="H2017" t="str">
        <f t="shared" si="62"/>
        <v>KAKAO325464</v>
      </c>
      <c r="I2017" t="str">
        <f>"325464"</f>
        <v>325464</v>
      </c>
      <c r="J2017">
        <v>118240</v>
      </c>
      <c r="K2017" s="1">
        <v>44866</v>
      </c>
      <c r="L2017" t="s">
        <v>691</v>
      </c>
      <c r="M2017">
        <f t="shared" si="63"/>
        <v>118240</v>
      </c>
      <c r="N2017" t="e">
        <f>VLOOKUP(H2017,Sheet1!G:H,2,FALSE)</f>
        <v>#N/A</v>
      </c>
      <c r="R2017" t="s">
        <v>3941</v>
      </c>
      <c r="S2017">
        <v>1134490</v>
      </c>
    </row>
    <row r="2018" spans="1:19" x14ac:dyDescent="0.3">
      <c r="A2018" t="s">
        <v>41</v>
      </c>
      <c r="B2018">
        <f>VLOOKUP(A2018,Sheet2!B:F,5,FALSE)</f>
        <v>926</v>
      </c>
      <c r="C2018" t="s">
        <v>56</v>
      </c>
      <c r="D2018">
        <f>VLOOKUP(C2018,Sheet2!C:G,5,FALSE)</f>
        <v>1207</v>
      </c>
      <c r="E2018" t="s">
        <v>253</v>
      </c>
      <c r="F2018">
        <f>VLOOKUP(E2018,Sheet2!D:E,2,FALSE)</f>
        <v>1328</v>
      </c>
      <c r="G2018" t="s">
        <v>1824</v>
      </c>
      <c r="H2018" t="str">
        <f t="shared" si="62"/>
        <v>KAKAO325487</v>
      </c>
      <c r="I2018" t="str">
        <f>"325487"</f>
        <v>325487</v>
      </c>
      <c r="J2018">
        <v>419740</v>
      </c>
      <c r="K2018" s="1">
        <v>44866</v>
      </c>
      <c r="L2018" t="s">
        <v>439</v>
      </c>
      <c r="M2018">
        <f t="shared" si="63"/>
        <v>419740</v>
      </c>
      <c r="N2018" t="e">
        <f>VLOOKUP(H2018,Sheet1!G:H,2,FALSE)</f>
        <v>#N/A</v>
      </c>
      <c r="R2018" t="s">
        <v>3942</v>
      </c>
      <c r="S2018">
        <v>1140</v>
      </c>
    </row>
    <row r="2019" spans="1:19" x14ac:dyDescent="0.3">
      <c r="A2019" t="s">
        <v>8</v>
      </c>
      <c r="B2019">
        <f>VLOOKUP(A2019,Sheet2!B:F,5,FALSE)</f>
        <v>928</v>
      </c>
      <c r="C2019" t="s">
        <v>13</v>
      </c>
      <c r="D2019">
        <f>VLOOKUP(C2019,Sheet2!C:G,5,FALSE)</f>
        <v>1184</v>
      </c>
      <c r="E2019" t="s">
        <v>51</v>
      </c>
      <c r="F2019">
        <f>VLOOKUP(E2019,Sheet2!D:E,2,FALSE)</f>
        <v>1274</v>
      </c>
      <c r="G2019" t="s">
        <v>1824</v>
      </c>
      <c r="H2019" t="str">
        <f t="shared" si="62"/>
        <v>KAKAO325567</v>
      </c>
      <c r="I2019" t="str">
        <f>"325567"</f>
        <v>325567</v>
      </c>
      <c r="J2019">
        <v>52620</v>
      </c>
      <c r="K2019" s="1">
        <v>44866</v>
      </c>
      <c r="L2019" t="s">
        <v>899</v>
      </c>
      <c r="M2019">
        <f t="shared" si="63"/>
        <v>52620</v>
      </c>
      <c r="N2019" t="e">
        <f>VLOOKUP(H2019,Sheet1!G:H,2,FALSE)</f>
        <v>#N/A</v>
      </c>
      <c r="R2019" t="s">
        <v>3943</v>
      </c>
      <c r="S2019">
        <v>171570</v>
      </c>
    </row>
    <row r="2020" spans="1:19" x14ac:dyDescent="0.3">
      <c r="A2020" t="s">
        <v>8</v>
      </c>
      <c r="B2020">
        <f>VLOOKUP(A2020,Sheet2!B:F,5,FALSE)</f>
        <v>928</v>
      </c>
      <c r="C2020" t="s">
        <v>9</v>
      </c>
      <c r="D2020">
        <f>VLOOKUP(C2020,Sheet2!C:G,5,FALSE)</f>
        <v>1202</v>
      </c>
      <c r="E2020" t="s">
        <v>10</v>
      </c>
      <c r="F2020">
        <f>VLOOKUP(E2020,Sheet2!D:E,2,FALSE)</f>
        <v>939</v>
      </c>
      <c r="G2020" t="s">
        <v>1824</v>
      </c>
      <c r="H2020" t="str">
        <f t="shared" si="62"/>
        <v>KAKAO326387</v>
      </c>
      <c r="I2020" t="str">
        <f>"326387"</f>
        <v>326387</v>
      </c>
      <c r="J2020">
        <v>17650</v>
      </c>
      <c r="K2020" s="1">
        <v>44866</v>
      </c>
      <c r="L2020" t="s">
        <v>457</v>
      </c>
      <c r="M2020" t="e">
        <f t="shared" si="63"/>
        <v>#N/A</v>
      </c>
      <c r="N2020" t="e">
        <f>VLOOKUP(H2020,Sheet1!G:H,2,FALSE)</f>
        <v>#N/A</v>
      </c>
      <c r="R2020" t="s">
        <v>3944</v>
      </c>
      <c r="S2020">
        <v>550</v>
      </c>
    </row>
    <row r="2021" spans="1:19" x14ac:dyDescent="0.3">
      <c r="A2021" t="s">
        <v>41</v>
      </c>
      <c r="B2021">
        <f>VLOOKUP(A2021,Sheet2!B:F,5,FALSE)</f>
        <v>926</v>
      </c>
      <c r="C2021" t="s">
        <v>56</v>
      </c>
      <c r="D2021">
        <f>VLOOKUP(C2021,Sheet2!C:G,5,FALSE)</f>
        <v>1207</v>
      </c>
      <c r="E2021" t="s">
        <v>64</v>
      </c>
      <c r="F2021">
        <f>VLOOKUP(E2021,Sheet2!D:E,2,FALSE)</f>
        <v>201011</v>
      </c>
      <c r="G2021" t="s">
        <v>1824</v>
      </c>
      <c r="H2021" t="str">
        <f t="shared" si="62"/>
        <v>KAKAO326493</v>
      </c>
      <c r="I2021" t="str">
        <f>"326493"</f>
        <v>326493</v>
      </c>
      <c r="J2021">
        <v>75180</v>
      </c>
      <c r="K2021" s="1">
        <v>44866</v>
      </c>
      <c r="L2021" t="s">
        <v>890</v>
      </c>
      <c r="M2021">
        <f t="shared" si="63"/>
        <v>75180</v>
      </c>
      <c r="N2021" t="e">
        <f>VLOOKUP(H2021,Sheet1!G:H,2,FALSE)</f>
        <v>#N/A</v>
      </c>
      <c r="R2021" t="s">
        <v>3945</v>
      </c>
      <c r="S2021">
        <v>7524010</v>
      </c>
    </row>
    <row r="2022" spans="1:19" x14ac:dyDescent="0.3">
      <c r="A2022" t="s">
        <v>8</v>
      </c>
      <c r="B2022">
        <f>VLOOKUP(A2022,Sheet2!B:F,5,FALSE)</f>
        <v>928</v>
      </c>
      <c r="C2022" t="s">
        <v>9</v>
      </c>
      <c r="D2022">
        <f>VLOOKUP(C2022,Sheet2!C:G,5,FALSE)</f>
        <v>1202</v>
      </c>
      <c r="E2022" t="s">
        <v>47</v>
      </c>
      <c r="F2022">
        <f>VLOOKUP(E2022,Sheet2!D:E,2,FALSE)</f>
        <v>898</v>
      </c>
      <c r="G2022" t="s">
        <v>1824</v>
      </c>
      <c r="H2022" t="str">
        <f t="shared" si="62"/>
        <v>KAKAO326605</v>
      </c>
      <c r="I2022" t="str">
        <f>"326605"</f>
        <v>326605</v>
      </c>
      <c r="J2022">
        <v>121880</v>
      </c>
      <c r="K2022" s="1">
        <v>44866</v>
      </c>
      <c r="L2022" t="s">
        <v>352</v>
      </c>
      <c r="M2022">
        <f t="shared" si="63"/>
        <v>121880</v>
      </c>
      <c r="N2022" t="e">
        <f>VLOOKUP(H2022,Sheet1!G:H,2,FALSE)</f>
        <v>#N/A</v>
      </c>
      <c r="R2022" t="s">
        <v>3946</v>
      </c>
      <c r="S2022">
        <v>25620</v>
      </c>
    </row>
    <row r="2023" spans="1:19" x14ac:dyDescent="0.3">
      <c r="A2023" t="s">
        <v>16</v>
      </c>
      <c r="B2023">
        <f>VLOOKUP(A2023,Sheet2!B:F,5,FALSE)</f>
        <v>927</v>
      </c>
      <c r="C2023" t="s">
        <v>17</v>
      </c>
      <c r="D2023">
        <f>VLOOKUP(C2023,Sheet2!C:G,5,FALSE)</f>
        <v>1200</v>
      </c>
      <c r="E2023" t="s">
        <v>137</v>
      </c>
      <c r="F2023">
        <f>VLOOKUP(E2023,Sheet2!D:E,2,FALSE)</f>
        <v>1012</v>
      </c>
      <c r="G2023" t="s">
        <v>1824</v>
      </c>
      <c r="H2023" t="str">
        <f t="shared" si="62"/>
        <v>KAKAO326629</v>
      </c>
      <c r="I2023" t="str">
        <f>"326629"</f>
        <v>326629</v>
      </c>
      <c r="J2023">
        <v>9150</v>
      </c>
      <c r="K2023" s="1">
        <v>44866</v>
      </c>
      <c r="L2023" t="s">
        <v>575</v>
      </c>
      <c r="M2023">
        <f t="shared" si="63"/>
        <v>9150</v>
      </c>
      <c r="N2023" t="e">
        <f>VLOOKUP(H2023,Sheet1!G:H,2,FALSE)</f>
        <v>#N/A</v>
      </c>
      <c r="R2023" t="s">
        <v>3947</v>
      </c>
      <c r="S2023">
        <v>1416400</v>
      </c>
    </row>
    <row r="2024" spans="1:19" x14ac:dyDescent="0.3">
      <c r="A2024" t="s">
        <v>8</v>
      </c>
      <c r="B2024">
        <f>VLOOKUP(A2024,Sheet2!B:F,5,FALSE)</f>
        <v>928</v>
      </c>
      <c r="C2024" t="s">
        <v>9</v>
      </c>
      <c r="D2024">
        <f>VLOOKUP(C2024,Sheet2!C:G,5,FALSE)</f>
        <v>1202</v>
      </c>
      <c r="E2024" t="s">
        <v>10</v>
      </c>
      <c r="F2024">
        <f>VLOOKUP(E2024,Sheet2!D:E,2,FALSE)</f>
        <v>939</v>
      </c>
      <c r="G2024" t="s">
        <v>1824</v>
      </c>
      <c r="H2024" t="str">
        <f t="shared" si="62"/>
        <v>KAKAO326652</v>
      </c>
      <c r="I2024" t="str">
        <f>"326652"</f>
        <v>326652</v>
      </c>
      <c r="J2024">
        <v>24670</v>
      </c>
      <c r="K2024" s="1">
        <v>44866</v>
      </c>
      <c r="L2024" t="s">
        <v>1871</v>
      </c>
      <c r="M2024" t="e">
        <f t="shared" si="63"/>
        <v>#N/A</v>
      </c>
      <c r="N2024" t="e">
        <f>VLOOKUP(H2024,Sheet1!G:H,2,FALSE)</f>
        <v>#N/A</v>
      </c>
      <c r="R2024" t="s">
        <v>3948</v>
      </c>
      <c r="S2024">
        <v>59100</v>
      </c>
    </row>
    <row r="2025" spans="1:19" x14ac:dyDescent="0.3">
      <c r="A2025" t="s">
        <v>8</v>
      </c>
      <c r="B2025">
        <f>VLOOKUP(A2025,Sheet2!B:F,5,FALSE)</f>
        <v>928</v>
      </c>
      <c r="C2025" t="s">
        <v>9</v>
      </c>
      <c r="D2025">
        <f>VLOOKUP(C2025,Sheet2!C:G,5,FALSE)</f>
        <v>1202</v>
      </c>
      <c r="E2025" t="s">
        <v>20</v>
      </c>
      <c r="F2025">
        <f>VLOOKUP(E2025,Sheet2!D:E,2,FALSE)</f>
        <v>938</v>
      </c>
      <c r="G2025" t="s">
        <v>1824</v>
      </c>
      <c r="H2025" t="str">
        <f t="shared" si="62"/>
        <v>KAKAO326895</v>
      </c>
      <c r="I2025" t="str">
        <f>"326895"</f>
        <v>326895</v>
      </c>
      <c r="J2025">
        <v>52260</v>
      </c>
      <c r="K2025" s="1">
        <v>44866</v>
      </c>
      <c r="L2025" t="s">
        <v>958</v>
      </c>
      <c r="M2025">
        <f t="shared" si="63"/>
        <v>52260</v>
      </c>
      <c r="N2025" t="e">
        <f>VLOOKUP(H2025,Sheet1!G:H,2,FALSE)</f>
        <v>#N/A</v>
      </c>
      <c r="R2025" t="s">
        <v>3949</v>
      </c>
      <c r="S2025">
        <v>6880</v>
      </c>
    </row>
    <row r="2026" spans="1:19" x14ac:dyDescent="0.3">
      <c r="A2026" t="s">
        <v>41</v>
      </c>
      <c r="B2026">
        <f>VLOOKUP(A2026,Sheet2!B:F,5,FALSE)</f>
        <v>926</v>
      </c>
      <c r="C2026" t="s">
        <v>42</v>
      </c>
      <c r="D2026">
        <f>VLOOKUP(C2026,Sheet2!C:G,5,FALSE)</f>
        <v>964</v>
      </c>
      <c r="E2026" t="s">
        <v>43</v>
      </c>
      <c r="F2026">
        <f>VLOOKUP(E2026,Sheet2!D:E,2,FALSE)</f>
        <v>200998</v>
      </c>
      <c r="G2026" t="s">
        <v>1824</v>
      </c>
      <c r="H2026" t="str">
        <f t="shared" si="62"/>
        <v>KAKAO326992</v>
      </c>
      <c r="I2026" t="str">
        <f>"326992"</f>
        <v>326992</v>
      </c>
      <c r="J2026">
        <v>740</v>
      </c>
      <c r="K2026" s="1">
        <v>44866</v>
      </c>
      <c r="L2026" t="s">
        <v>1872</v>
      </c>
      <c r="M2026" t="e">
        <f t="shared" si="63"/>
        <v>#N/A</v>
      </c>
      <c r="N2026" t="e">
        <f>VLOOKUP(H2026,Sheet1!G:H,2,FALSE)</f>
        <v>#N/A</v>
      </c>
      <c r="R2026" t="s">
        <v>3950</v>
      </c>
      <c r="S2026">
        <v>274150</v>
      </c>
    </row>
    <row r="2027" spans="1:19" x14ac:dyDescent="0.3">
      <c r="A2027" t="s">
        <v>8</v>
      </c>
      <c r="B2027">
        <f>VLOOKUP(A2027,Sheet2!B:F,5,FALSE)</f>
        <v>928</v>
      </c>
      <c r="C2027" t="s">
        <v>9</v>
      </c>
      <c r="D2027">
        <f>VLOOKUP(C2027,Sheet2!C:G,5,FALSE)</f>
        <v>1202</v>
      </c>
      <c r="E2027" t="s">
        <v>27</v>
      </c>
      <c r="F2027">
        <f>VLOOKUP(E2027,Sheet2!D:E,2,FALSE)</f>
        <v>806</v>
      </c>
      <c r="G2027" t="s">
        <v>1824</v>
      </c>
      <c r="H2027" t="str">
        <f t="shared" si="62"/>
        <v>KAKAO327036</v>
      </c>
      <c r="I2027" t="str">
        <f>"327036"</f>
        <v>327036</v>
      </c>
      <c r="J2027">
        <v>738500</v>
      </c>
      <c r="K2027" s="1">
        <v>44866</v>
      </c>
      <c r="L2027" t="s">
        <v>1873</v>
      </c>
      <c r="M2027">
        <f t="shared" si="63"/>
        <v>738500</v>
      </c>
      <c r="N2027" t="e">
        <f>VLOOKUP(H2027,Sheet1!G:H,2,FALSE)</f>
        <v>#N/A</v>
      </c>
      <c r="R2027" t="s">
        <v>3951</v>
      </c>
      <c r="S2027">
        <v>1521680</v>
      </c>
    </row>
    <row r="2028" spans="1:19" x14ac:dyDescent="0.3">
      <c r="A2028" t="s">
        <v>41</v>
      </c>
      <c r="B2028">
        <f>VLOOKUP(A2028,Sheet2!B:F,5,FALSE)</f>
        <v>926</v>
      </c>
      <c r="C2028" t="s">
        <v>56</v>
      </c>
      <c r="D2028">
        <f>VLOOKUP(C2028,Sheet2!C:G,5,FALSE)</f>
        <v>1207</v>
      </c>
      <c r="E2028" t="s">
        <v>57</v>
      </c>
      <c r="F2028">
        <f>VLOOKUP(E2028,Sheet2!D:E,2,FALSE)</f>
        <v>200982</v>
      </c>
      <c r="G2028" t="s">
        <v>1824</v>
      </c>
      <c r="H2028" t="str">
        <f t="shared" si="62"/>
        <v>KAKAO327123</v>
      </c>
      <c r="I2028" t="str">
        <f>"327123"</f>
        <v>327123</v>
      </c>
      <c r="J2028">
        <v>910</v>
      </c>
      <c r="K2028" s="1">
        <v>44866</v>
      </c>
      <c r="L2028" t="s">
        <v>603</v>
      </c>
      <c r="M2028" t="e">
        <f t="shared" si="63"/>
        <v>#N/A</v>
      </c>
      <c r="N2028" t="str">
        <f>VLOOKUP(H2028,Sheet1!G:H,2,FALSE)</f>
        <v>퇴사자</v>
      </c>
      <c r="R2028" t="s">
        <v>3952</v>
      </c>
      <c r="S2028">
        <v>859280</v>
      </c>
    </row>
    <row r="2029" spans="1:19" x14ac:dyDescent="0.3">
      <c r="A2029" t="s">
        <v>8</v>
      </c>
      <c r="B2029">
        <f>VLOOKUP(A2029,Sheet2!B:F,5,FALSE)</f>
        <v>928</v>
      </c>
      <c r="C2029" t="s">
        <v>9</v>
      </c>
      <c r="D2029">
        <f>VLOOKUP(C2029,Sheet2!C:G,5,FALSE)</f>
        <v>1202</v>
      </c>
      <c r="E2029" t="s">
        <v>47</v>
      </c>
      <c r="F2029">
        <f>VLOOKUP(E2029,Sheet2!D:E,2,FALSE)</f>
        <v>898</v>
      </c>
      <c r="G2029" t="s">
        <v>1824</v>
      </c>
      <c r="H2029" t="str">
        <f t="shared" si="62"/>
        <v>KAKAO327204</v>
      </c>
      <c r="I2029" t="str">
        <f>"327204"</f>
        <v>327204</v>
      </c>
      <c r="J2029">
        <v>3180</v>
      </c>
      <c r="K2029" s="1">
        <v>44866</v>
      </c>
      <c r="L2029" t="s">
        <v>1874</v>
      </c>
      <c r="M2029">
        <f t="shared" si="63"/>
        <v>3180</v>
      </c>
      <c r="N2029" t="e">
        <f>VLOOKUP(H2029,Sheet1!G:H,2,FALSE)</f>
        <v>#N/A</v>
      </c>
      <c r="R2029" t="s">
        <v>3953</v>
      </c>
      <c r="S2029">
        <v>273650</v>
      </c>
    </row>
    <row r="2030" spans="1:19" x14ac:dyDescent="0.3">
      <c r="A2030" t="s">
        <v>8</v>
      </c>
      <c r="B2030">
        <f>VLOOKUP(A2030,Sheet2!B:F,5,FALSE)</f>
        <v>928</v>
      </c>
      <c r="C2030" t="s">
        <v>9</v>
      </c>
      <c r="D2030">
        <f>VLOOKUP(C2030,Sheet2!C:G,5,FALSE)</f>
        <v>1202</v>
      </c>
      <c r="E2030" t="s">
        <v>39</v>
      </c>
      <c r="F2030">
        <f>VLOOKUP(E2030,Sheet2!D:E,2,FALSE)</f>
        <v>25</v>
      </c>
      <c r="G2030" t="s">
        <v>1824</v>
      </c>
      <c r="H2030" t="str">
        <f t="shared" si="62"/>
        <v>KAKAO327222</v>
      </c>
      <c r="I2030" t="str">
        <f>"327222"</f>
        <v>327222</v>
      </c>
      <c r="J2030">
        <v>3460</v>
      </c>
      <c r="K2030" s="1">
        <v>44866</v>
      </c>
      <c r="L2030" t="s">
        <v>1787</v>
      </c>
      <c r="M2030" t="e">
        <f t="shared" si="63"/>
        <v>#N/A</v>
      </c>
      <c r="N2030" t="e">
        <f>VLOOKUP(H2030,Sheet1!G:H,2,FALSE)</f>
        <v>#N/A</v>
      </c>
      <c r="R2030" t="s">
        <v>3954</v>
      </c>
      <c r="S2030">
        <v>190900</v>
      </c>
    </row>
    <row r="2031" spans="1:19" x14ac:dyDescent="0.3">
      <c r="A2031" t="s">
        <v>8</v>
      </c>
      <c r="B2031">
        <f>VLOOKUP(A2031,Sheet2!B:F,5,FALSE)</f>
        <v>928</v>
      </c>
      <c r="C2031" t="s">
        <v>9</v>
      </c>
      <c r="D2031">
        <f>VLOOKUP(C2031,Sheet2!C:G,5,FALSE)</f>
        <v>1202</v>
      </c>
      <c r="E2031" t="s">
        <v>10</v>
      </c>
      <c r="F2031">
        <f>VLOOKUP(E2031,Sheet2!D:E,2,FALSE)</f>
        <v>939</v>
      </c>
      <c r="G2031" t="s">
        <v>1824</v>
      </c>
      <c r="H2031" t="str">
        <f t="shared" si="62"/>
        <v>KAKAO327261</v>
      </c>
      <c r="I2031" t="str">
        <f>"327261"</f>
        <v>327261</v>
      </c>
      <c r="J2031">
        <v>24020</v>
      </c>
      <c r="K2031" s="1">
        <v>44866</v>
      </c>
      <c r="L2031" t="s">
        <v>1296</v>
      </c>
      <c r="M2031" t="e">
        <f t="shared" si="63"/>
        <v>#N/A</v>
      </c>
      <c r="N2031" t="e">
        <f>VLOOKUP(H2031,Sheet1!G:H,2,FALSE)</f>
        <v>#N/A</v>
      </c>
      <c r="R2031" t="s">
        <v>3955</v>
      </c>
      <c r="S2031">
        <v>307670</v>
      </c>
    </row>
    <row r="2032" spans="1:19" x14ac:dyDescent="0.3">
      <c r="A2032" t="s">
        <v>16</v>
      </c>
      <c r="B2032">
        <f>VLOOKUP(A2032,Sheet2!B:F,5,FALSE)</f>
        <v>927</v>
      </c>
      <c r="C2032" t="s">
        <v>17</v>
      </c>
      <c r="D2032">
        <f>VLOOKUP(C2032,Sheet2!C:G,5,FALSE)</f>
        <v>1200</v>
      </c>
      <c r="E2032" t="s">
        <v>137</v>
      </c>
      <c r="F2032">
        <f>VLOOKUP(E2032,Sheet2!D:E,2,FALSE)</f>
        <v>1012</v>
      </c>
      <c r="G2032" t="s">
        <v>1824</v>
      </c>
      <c r="H2032" t="str">
        <f t="shared" si="62"/>
        <v>KAKAO327366</v>
      </c>
      <c r="I2032" t="str">
        <f>"327366"</f>
        <v>327366</v>
      </c>
      <c r="J2032">
        <v>5790</v>
      </c>
      <c r="K2032" s="1">
        <v>44866</v>
      </c>
      <c r="L2032" t="s">
        <v>911</v>
      </c>
      <c r="M2032" t="e">
        <f t="shared" si="63"/>
        <v>#N/A</v>
      </c>
      <c r="N2032" t="e">
        <f>VLOOKUP(H2032,Sheet1!G:H,2,FALSE)</f>
        <v>#N/A</v>
      </c>
      <c r="R2032" t="s">
        <v>3956</v>
      </c>
      <c r="S2032">
        <v>2561640</v>
      </c>
    </row>
    <row r="2033" spans="1:19" x14ac:dyDescent="0.3">
      <c r="A2033" t="s">
        <v>16</v>
      </c>
      <c r="B2033">
        <f>VLOOKUP(A2033,Sheet2!B:F,5,FALSE)</f>
        <v>927</v>
      </c>
      <c r="C2033" t="s">
        <v>17</v>
      </c>
      <c r="D2033">
        <f>VLOOKUP(C2033,Sheet2!C:G,5,FALSE)</f>
        <v>1200</v>
      </c>
      <c r="E2033" t="s">
        <v>137</v>
      </c>
      <c r="F2033">
        <f>VLOOKUP(E2033,Sheet2!D:E,2,FALSE)</f>
        <v>1012</v>
      </c>
      <c r="G2033" t="s">
        <v>1824</v>
      </c>
      <c r="H2033" t="str">
        <f t="shared" si="62"/>
        <v>KAKAO327409</v>
      </c>
      <c r="I2033" t="str">
        <f>"327409"</f>
        <v>327409</v>
      </c>
      <c r="J2033">
        <v>4860</v>
      </c>
      <c r="K2033" s="1">
        <v>44866</v>
      </c>
      <c r="L2033" t="s">
        <v>1124</v>
      </c>
      <c r="M2033">
        <f t="shared" si="63"/>
        <v>4860</v>
      </c>
      <c r="N2033" t="e">
        <f>VLOOKUP(H2033,Sheet1!G:H,2,FALSE)</f>
        <v>#N/A</v>
      </c>
      <c r="R2033" t="s">
        <v>3957</v>
      </c>
      <c r="S2033">
        <v>125050</v>
      </c>
    </row>
    <row r="2034" spans="1:19" x14ac:dyDescent="0.3">
      <c r="A2034" t="s">
        <v>8</v>
      </c>
      <c r="B2034">
        <f>VLOOKUP(A2034,Sheet2!B:F,5,FALSE)</f>
        <v>928</v>
      </c>
      <c r="C2034" t="s">
        <v>9</v>
      </c>
      <c r="D2034">
        <f>VLOOKUP(C2034,Sheet2!C:G,5,FALSE)</f>
        <v>1202</v>
      </c>
      <c r="E2034" t="s">
        <v>10</v>
      </c>
      <c r="F2034">
        <f>VLOOKUP(E2034,Sheet2!D:E,2,FALSE)</f>
        <v>939</v>
      </c>
      <c r="G2034" t="s">
        <v>1824</v>
      </c>
      <c r="H2034" t="str">
        <f t="shared" si="62"/>
        <v>KAKAO327497</v>
      </c>
      <c r="I2034" t="str">
        <f>"327497"</f>
        <v>327497</v>
      </c>
      <c r="J2034">
        <v>4090</v>
      </c>
      <c r="K2034" s="1">
        <v>44866</v>
      </c>
      <c r="L2034" t="s">
        <v>595</v>
      </c>
      <c r="M2034" t="e">
        <f t="shared" si="63"/>
        <v>#N/A</v>
      </c>
      <c r="N2034" t="e">
        <f>VLOOKUP(H2034,Sheet1!G:H,2,FALSE)</f>
        <v>#N/A</v>
      </c>
      <c r="R2034" t="s">
        <v>3958</v>
      </c>
      <c r="S2034">
        <v>2143620</v>
      </c>
    </row>
    <row r="2035" spans="1:19" x14ac:dyDescent="0.3">
      <c r="A2035" t="s">
        <v>8</v>
      </c>
      <c r="B2035">
        <f>VLOOKUP(A2035,Sheet2!B:F,5,FALSE)</f>
        <v>928</v>
      </c>
      <c r="C2035" t="s">
        <v>9</v>
      </c>
      <c r="D2035">
        <f>VLOOKUP(C2035,Sheet2!C:G,5,FALSE)</f>
        <v>1202</v>
      </c>
      <c r="E2035" t="s">
        <v>37</v>
      </c>
      <c r="F2035">
        <f>VLOOKUP(E2035,Sheet2!D:E,2,FALSE)</f>
        <v>81</v>
      </c>
      <c r="G2035" t="s">
        <v>1824</v>
      </c>
      <c r="H2035" t="str">
        <f t="shared" si="62"/>
        <v>KAKAO327651</v>
      </c>
      <c r="I2035" t="str">
        <f>"327651"</f>
        <v>327651</v>
      </c>
      <c r="J2035">
        <v>602240</v>
      </c>
      <c r="K2035" s="1">
        <v>44866</v>
      </c>
      <c r="L2035" t="s">
        <v>364</v>
      </c>
      <c r="M2035">
        <f t="shared" si="63"/>
        <v>602240</v>
      </c>
      <c r="N2035" t="e">
        <f>VLOOKUP(H2035,Sheet1!G:H,2,FALSE)</f>
        <v>#N/A</v>
      </c>
      <c r="R2035" t="s">
        <v>3959</v>
      </c>
      <c r="S2035">
        <v>1197220</v>
      </c>
    </row>
    <row r="2036" spans="1:19" x14ac:dyDescent="0.3">
      <c r="A2036" t="s">
        <v>8</v>
      </c>
      <c r="B2036">
        <f>VLOOKUP(A2036,Sheet2!B:F,5,FALSE)</f>
        <v>928</v>
      </c>
      <c r="C2036" t="s">
        <v>9</v>
      </c>
      <c r="D2036">
        <f>VLOOKUP(C2036,Sheet2!C:G,5,FALSE)</f>
        <v>1202</v>
      </c>
      <c r="E2036" t="s">
        <v>47</v>
      </c>
      <c r="F2036">
        <f>VLOOKUP(E2036,Sheet2!D:E,2,FALSE)</f>
        <v>898</v>
      </c>
      <c r="G2036" t="s">
        <v>1824</v>
      </c>
      <c r="H2036" t="str">
        <f t="shared" si="62"/>
        <v>KAKAO327759</v>
      </c>
      <c r="I2036" t="str">
        <f>"327759"</f>
        <v>327759</v>
      </c>
      <c r="J2036">
        <v>44180</v>
      </c>
      <c r="K2036" s="1">
        <v>44866</v>
      </c>
      <c r="L2036" t="s">
        <v>1160</v>
      </c>
      <c r="M2036">
        <f t="shared" si="63"/>
        <v>44180</v>
      </c>
      <c r="N2036" t="e">
        <f>VLOOKUP(H2036,Sheet1!G:H,2,FALSE)</f>
        <v>#N/A</v>
      </c>
      <c r="R2036" t="s">
        <v>3960</v>
      </c>
      <c r="S2036">
        <v>90260</v>
      </c>
    </row>
    <row r="2037" spans="1:19" x14ac:dyDescent="0.3">
      <c r="A2037" t="s">
        <v>8</v>
      </c>
      <c r="B2037">
        <f>VLOOKUP(A2037,Sheet2!B:F,5,FALSE)</f>
        <v>928</v>
      </c>
      <c r="C2037" t="s">
        <v>13</v>
      </c>
      <c r="D2037">
        <f>VLOOKUP(C2037,Sheet2!C:G,5,FALSE)</f>
        <v>1184</v>
      </c>
      <c r="E2037" t="s">
        <v>51</v>
      </c>
      <c r="F2037">
        <f>VLOOKUP(E2037,Sheet2!D:E,2,FALSE)</f>
        <v>1274</v>
      </c>
      <c r="G2037" t="s">
        <v>1824</v>
      </c>
      <c r="H2037" t="str">
        <f t="shared" si="62"/>
        <v>KAKAO328036</v>
      </c>
      <c r="I2037" t="str">
        <f>"328036"</f>
        <v>328036</v>
      </c>
      <c r="J2037">
        <v>480</v>
      </c>
      <c r="K2037" s="1">
        <v>44866</v>
      </c>
      <c r="L2037" t="s">
        <v>1875</v>
      </c>
      <c r="M2037" t="e">
        <f t="shared" si="63"/>
        <v>#N/A</v>
      </c>
      <c r="N2037" t="str">
        <f>VLOOKUP(H2037,Sheet1!G:H,2,FALSE)</f>
        <v>광고주 멤버요청 하였으나 아직 미승인, 광고주 직접운영</v>
      </c>
      <c r="R2037" t="s">
        <v>3961</v>
      </c>
      <c r="S2037">
        <v>51590</v>
      </c>
    </row>
    <row r="2038" spans="1:19" x14ac:dyDescent="0.3">
      <c r="A2038" t="s">
        <v>41</v>
      </c>
      <c r="B2038">
        <f>VLOOKUP(A2038,Sheet2!B:F,5,FALSE)</f>
        <v>926</v>
      </c>
      <c r="C2038" t="s">
        <v>56</v>
      </c>
      <c r="D2038">
        <f>VLOOKUP(C2038,Sheet2!C:G,5,FALSE)</f>
        <v>1207</v>
      </c>
      <c r="E2038" t="s">
        <v>57</v>
      </c>
      <c r="F2038">
        <f>VLOOKUP(E2038,Sheet2!D:E,2,FALSE)</f>
        <v>200982</v>
      </c>
      <c r="G2038" t="s">
        <v>1824</v>
      </c>
      <c r="H2038" t="str">
        <f t="shared" si="62"/>
        <v>KAKAO328328</v>
      </c>
      <c r="I2038" t="str">
        <f>"328328"</f>
        <v>328328</v>
      </c>
      <c r="J2038">
        <v>8500</v>
      </c>
      <c r="K2038" s="1">
        <v>44866</v>
      </c>
      <c r="L2038" t="s">
        <v>633</v>
      </c>
      <c r="M2038">
        <f t="shared" si="63"/>
        <v>8500</v>
      </c>
      <c r="N2038" t="e">
        <f>VLOOKUP(H2038,Sheet1!G:H,2,FALSE)</f>
        <v>#N/A</v>
      </c>
      <c r="R2038" t="s">
        <v>3962</v>
      </c>
      <c r="S2038">
        <v>23940</v>
      </c>
    </row>
    <row r="2039" spans="1:19" x14ac:dyDescent="0.3">
      <c r="A2039" t="s">
        <v>8</v>
      </c>
      <c r="B2039">
        <f>VLOOKUP(A2039,Sheet2!B:F,5,FALSE)</f>
        <v>928</v>
      </c>
      <c r="C2039" t="s">
        <v>9</v>
      </c>
      <c r="D2039">
        <f>VLOOKUP(C2039,Sheet2!C:G,5,FALSE)</f>
        <v>1202</v>
      </c>
      <c r="E2039" t="s">
        <v>73</v>
      </c>
      <c r="F2039">
        <f>VLOOKUP(E2039,Sheet2!D:E,2,FALSE)</f>
        <v>895</v>
      </c>
      <c r="G2039" t="s">
        <v>1824</v>
      </c>
      <c r="H2039" t="str">
        <f t="shared" si="62"/>
        <v>KAKAO328427</v>
      </c>
      <c r="I2039" t="str">
        <f>"328427"</f>
        <v>328427</v>
      </c>
      <c r="J2039">
        <v>61690</v>
      </c>
      <c r="K2039" s="1">
        <v>44866</v>
      </c>
      <c r="L2039" t="s">
        <v>498</v>
      </c>
      <c r="M2039">
        <f t="shared" si="63"/>
        <v>61690</v>
      </c>
      <c r="N2039" t="e">
        <f>VLOOKUP(H2039,Sheet1!G:H,2,FALSE)</f>
        <v>#N/A</v>
      </c>
      <c r="R2039" t="s">
        <v>3963</v>
      </c>
      <c r="S2039">
        <v>435370</v>
      </c>
    </row>
    <row r="2040" spans="1:19" x14ac:dyDescent="0.3">
      <c r="A2040" t="s">
        <v>8</v>
      </c>
      <c r="B2040">
        <f>VLOOKUP(A2040,Sheet2!B:F,5,FALSE)</f>
        <v>928</v>
      </c>
      <c r="C2040" t="s">
        <v>9</v>
      </c>
      <c r="D2040">
        <f>VLOOKUP(C2040,Sheet2!C:G,5,FALSE)</f>
        <v>1202</v>
      </c>
      <c r="E2040" t="s">
        <v>73</v>
      </c>
      <c r="F2040">
        <f>VLOOKUP(E2040,Sheet2!D:E,2,FALSE)</f>
        <v>895</v>
      </c>
      <c r="G2040" t="s">
        <v>1824</v>
      </c>
      <c r="H2040" t="str">
        <f t="shared" si="62"/>
        <v>KAKAO328475</v>
      </c>
      <c r="I2040" t="str">
        <f>"328475"</f>
        <v>328475</v>
      </c>
      <c r="J2040">
        <v>195850</v>
      </c>
      <c r="K2040" s="1">
        <v>44866</v>
      </c>
      <c r="L2040" t="s">
        <v>1035</v>
      </c>
      <c r="M2040">
        <f t="shared" si="63"/>
        <v>195850</v>
      </c>
      <c r="N2040" t="e">
        <f>VLOOKUP(H2040,Sheet1!G:H,2,FALSE)</f>
        <v>#N/A</v>
      </c>
      <c r="R2040" t="s">
        <v>3964</v>
      </c>
      <c r="S2040">
        <v>95090</v>
      </c>
    </row>
    <row r="2041" spans="1:19" x14ac:dyDescent="0.3">
      <c r="A2041" t="s">
        <v>8</v>
      </c>
      <c r="B2041">
        <f>VLOOKUP(A2041,Sheet2!B:F,5,FALSE)</f>
        <v>928</v>
      </c>
      <c r="C2041" t="s">
        <v>9</v>
      </c>
      <c r="D2041">
        <f>VLOOKUP(C2041,Sheet2!C:G,5,FALSE)</f>
        <v>1202</v>
      </c>
      <c r="E2041" t="s">
        <v>37</v>
      </c>
      <c r="F2041">
        <f>VLOOKUP(E2041,Sheet2!D:E,2,FALSE)</f>
        <v>81</v>
      </c>
      <c r="G2041" t="s">
        <v>1824</v>
      </c>
      <c r="H2041" t="str">
        <f t="shared" si="62"/>
        <v>KAKAO328766</v>
      </c>
      <c r="I2041" t="str">
        <f>"328766"</f>
        <v>328766</v>
      </c>
      <c r="J2041">
        <v>438700</v>
      </c>
      <c r="K2041" s="1">
        <v>44866</v>
      </c>
      <c r="L2041" t="s">
        <v>1658</v>
      </c>
      <c r="M2041">
        <f t="shared" si="63"/>
        <v>438700</v>
      </c>
      <c r="N2041" t="e">
        <f>VLOOKUP(H2041,Sheet1!G:H,2,FALSE)</f>
        <v>#N/A</v>
      </c>
      <c r="R2041" t="s">
        <v>3965</v>
      </c>
      <c r="S2041">
        <v>280</v>
      </c>
    </row>
    <row r="2042" spans="1:19" x14ac:dyDescent="0.3">
      <c r="A2042" t="s">
        <v>8</v>
      </c>
      <c r="B2042">
        <f>VLOOKUP(A2042,Sheet2!B:F,5,FALSE)</f>
        <v>928</v>
      </c>
      <c r="C2042" t="s">
        <v>9</v>
      </c>
      <c r="D2042">
        <f>VLOOKUP(C2042,Sheet2!C:G,5,FALSE)</f>
        <v>1202</v>
      </c>
      <c r="E2042" t="s">
        <v>47</v>
      </c>
      <c r="F2042">
        <f>VLOOKUP(E2042,Sheet2!D:E,2,FALSE)</f>
        <v>898</v>
      </c>
      <c r="G2042" t="s">
        <v>1824</v>
      </c>
      <c r="H2042" t="str">
        <f t="shared" si="62"/>
        <v>KAKAO328876</v>
      </c>
      <c r="I2042" t="str">
        <f>"328876"</f>
        <v>328876</v>
      </c>
      <c r="J2042">
        <v>34110</v>
      </c>
      <c r="K2042" s="1">
        <v>44866</v>
      </c>
      <c r="L2042" t="s">
        <v>639</v>
      </c>
      <c r="M2042">
        <f t="shared" si="63"/>
        <v>34110</v>
      </c>
      <c r="N2042" t="e">
        <f>VLOOKUP(H2042,Sheet1!G:H,2,FALSE)</f>
        <v>#N/A</v>
      </c>
      <c r="R2042" t="s">
        <v>3966</v>
      </c>
      <c r="S2042">
        <v>5150440</v>
      </c>
    </row>
    <row r="2043" spans="1:19" x14ac:dyDescent="0.3">
      <c r="A2043" t="s">
        <v>8</v>
      </c>
      <c r="B2043">
        <f>VLOOKUP(A2043,Sheet2!B:F,5,FALSE)</f>
        <v>928</v>
      </c>
      <c r="C2043" t="s">
        <v>9</v>
      </c>
      <c r="D2043">
        <f>VLOOKUP(C2043,Sheet2!C:G,5,FALSE)</f>
        <v>1202</v>
      </c>
      <c r="E2043" t="s">
        <v>47</v>
      </c>
      <c r="F2043">
        <f>VLOOKUP(E2043,Sheet2!D:E,2,FALSE)</f>
        <v>898</v>
      </c>
      <c r="G2043" t="s">
        <v>1824</v>
      </c>
      <c r="H2043" t="str">
        <f t="shared" si="62"/>
        <v>KAKAO328967</v>
      </c>
      <c r="I2043" t="str">
        <f>"328967"</f>
        <v>328967</v>
      </c>
      <c r="J2043">
        <v>5110</v>
      </c>
      <c r="K2043" s="1">
        <v>44866</v>
      </c>
      <c r="L2043" t="s">
        <v>1876</v>
      </c>
      <c r="M2043">
        <f t="shared" si="63"/>
        <v>5110</v>
      </c>
      <c r="N2043" t="e">
        <f>VLOOKUP(H2043,Sheet1!G:H,2,FALSE)</f>
        <v>#N/A</v>
      </c>
      <c r="R2043" t="s">
        <v>3967</v>
      </c>
      <c r="S2043">
        <v>1121120</v>
      </c>
    </row>
    <row r="2044" spans="1:19" x14ac:dyDescent="0.3">
      <c r="A2044" t="s">
        <v>8</v>
      </c>
      <c r="B2044">
        <f>VLOOKUP(A2044,Sheet2!B:F,5,FALSE)</f>
        <v>928</v>
      </c>
      <c r="C2044" t="s">
        <v>9</v>
      </c>
      <c r="D2044">
        <f>VLOOKUP(C2044,Sheet2!C:G,5,FALSE)</f>
        <v>1202</v>
      </c>
      <c r="E2044" t="s">
        <v>47</v>
      </c>
      <c r="F2044">
        <f>VLOOKUP(E2044,Sheet2!D:E,2,FALSE)</f>
        <v>898</v>
      </c>
      <c r="G2044" t="s">
        <v>1824</v>
      </c>
      <c r="H2044" t="str">
        <f t="shared" si="62"/>
        <v>KAKAO329040</v>
      </c>
      <c r="I2044" t="str">
        <f>"329040"</f>
        <v>329040</v>
      </c>
      <c r="J2044">
        <v>31990</v>
      </c>
      <c r="K2044" s="1">
        <v>44866</v>
      </c>
      <c r="L2044" t="s">
        <v>504</v>
      </c>
      <c r="M2044">
        <f t="shared" si="63"/>
        <v>31990</v>
      </c>
      <c r="N2044" t="e">
        <f>VLOOKUP(H2044,Sheet1!G:H,2,FALSE)</f>
        <v>#N/A</v>
      </c>
      <c r="R2044" t="s">
        <v>3968</v>
      </c>
      <c r="S2044">
        <v>2270</v>
      </c>
    </row>
    <row r="2045" spans="1:19" x14ac:dyDescent="0.3">
      <c r="A2045" t="s">
        <v>8</v>
      </c>
      <c r="B2045">
        <f>VLOOKUP(A2045,Sheet2!B:F,5,FALSE)</f>
        <v>928</v>
      </c>
      <c r="C2045" t="s">
        <v>9</v>
      </c>
      <c r="D2045">
        <f>VLOOKUP(C2045,Sheet2!C:G,5,FALSE)</f>
        <v>1202</v>
      </c>
      <c r="E2045" t="s">
        <v>122</v>
      </c>
      <c r="F2045">
        <f>VLOOKUP(E2045,Sheet2!D:E,2,FALSE)</f>
        <v>251</v>
      </c>
      <c r="G2045" t="s">
        <v>1824</v>
      </c>
      <c r="H2045" t="str">
        <f t="shared" si="62"/>
        <v>KAKAO329254</v>
      </c>
      <c r="I2045" t="str">
        <f>"329254"</f>
        <v>329254</v>
      </c>
      <c r="J2045">
        <v>33390</v>
      </c>
      <c r="K2045" s="1">
        <v>44866</v>
      </c>
      <c r="L2045" t="s">
        <v>413</v>
      </c>
      <c r="M2045" t="e">
        <f t="shared" si="63"/>
        <v>#N/A</v>
      </c>
      <c r="N2045" t="e">
        <f>VLOOKUP(H2045,Sheet1!G:H,2,FALSE)</f>
        <v>#N/A</v>
      </c>
      <c r="R2045" t="s">
        <v>3969</v>
      </c>
      <c r="S2045">
        <v>348780</v>
      </c>
    </row>
    <row r="2046" spans="1:19" x14ac:dyDescent="0.3">
      <c r="A2046" t="s">
        <v>8</v>
      </c>
      <c r="B2046">
        <f>VLOOKUP(A2046,Sheet2!B:F,5,FALSE)</f>
        <v>928</v>
      </c>
      <c r="C2046" t="s">
        <v>9</v>
      </c>
      <c r="D2046">
        <f>VLOOKUP(C2046,Sheet2!C:G,5,FALSE)</f>
        <v>1202</v>
      </c>
      <c r="E2046" t="s">
        <v>75</v>
      </c>
      <c r="F2046">
        <f>VLOOKUP(E2046,Sheet2!D:E,2,FALSE)</f>
        <v>50</v>
      </c>
      <c r="G2046" t="s">
        <v>1824</v>
      </c>
      <c r="H2046" t="str">
        <f t="shared" si="62"/>
        <v>KAKAO329258</v>
      </c>
      <c r="I2046" t="str">
        <f>"329258"</f>
        <v>329258</v>
      </c>
      <c r="J2046">
        <v>73100</v>
      </c>
      <c r="K2046" s="1">
        <v>44866</v>
      </c>
      <c r="L2046" t="s">
        <v>1877</v>
      </c>
      <c r="M2046">
        <f t="shared" si="63"/>
        <v>73100</v>
      </c>
      <c r="N2046" t="e">
        <f>VLOOKUP(H2046,Sheet1!G:H,2,FALSE)</f>
        <v>#N/A</v>
      </c>
      <c r="R2046" t="s">
        <v>3970</v>
      </c>
      <c r="S2046">
        <v>1662750</v>
      </c>
    </row>
    <row r="2047" spans="1:19" x14ac:dyDescent="0.3">
      <c r="A2047" t="s">
        <v>8</v>
      </c>
      <c r="B2047">
        <f>VLOOKUP(A2047,Sheet2!B:F,5,FALSE)</f>
        <v>928</v>
      </c>
      <c r="C2047" t="s">
        <v>9</v>
      </c>
      <c r="D2047">
        <f>VLOOKUP(C2047,Sheet2!C:G,5,FALSE)</f>
        <v>1202</v>
      </c>
      <c r="E2047" t="s">
        <v>75</v>
      </c>
      <c r="F2047">
        <f>VLOOKUP(E2047,Sheet2!D:E,2,FALSE)</f>
        <v>50</v>
      </c>
      <c r="G2047" t="s">
        <v>1824</v>
      </c>
      <c r="H2047" t="str">
        <f t="shared" si="62"/>
        <v>KAKAO329285</v>
      </c>
      <c r="I2047" t="str">
        <f>"329285"</f>
        <v>329285</v>
      </c>
      <c r="J2047">
        <v>11800</v>
      </c>
      <c r="K2047" s="1">
        <v>44866</v>
      </c>
      <c r="L2047" t="s">
        <v>1877</v>
      </c>
      <c r="M2047">
        <f t="shared" si="63"/>
        <v>11800</v>
      </c>
      <c r="N2047" t="e">
        <f>VLOOKUP(H2047,Sheet1!G:H,2,FALSE)</f>
        <v>#N/A</v>
      </c>
      <c r="R2047" t="s">
        <v>3971</v>
      </c>
      <c r="S2047">
        <v>3500</v>
      </c>
    </row>
    <row r="2048" spans="1:19" x14ac:dyDescent="0.3">
      <c r="A2048" t="s">
        <v>16</v>
      </c>
      <c r="B2048">
        <f>VLOOKUP(A2048,Sheet2!B:F,5,FALSE)</f>
        <v>927</v>
      </c>
      <c r="C2048" t="s">
        <v>17</v>
      </c>
      <c r="D2048">
        <f>VLOOKUP(C2048,Sheet2!C:G,5,FALSE)</f>
        <v>1200</v>
      </c>
      <c r="E2048" t="s">
        <v>66</v>
      </c>
      <c r="F2048">
        <f>VLOOKUP(E2048,Sheet2!D:E,2,FALSE)</f>
        <v>33</v>
      </c>
      <c r="G2048" t="s">
        <v>1824</v>
      </c>
      <c r="H2048" t="str">
        <f t="shared" si="62"/>
        <v>KAKAO329360</v>
      </c>
      <c r="I2048" t="str">
        <f>"329360"</f>
        <v>329360</v>
      </c>
      <c r="J2048">
        <v>425600</v>
      </c>
      <c r="K2048" s="1">
        <v>44866</v>
      </c>
      <c r="L2048" t="s">
        <v>1878</v>
      </c>
      <c r="M2048">
        <f t="shared" si="63"/>
        <v>425600</v>
      </c>
      <c r="N2048" t="e">
        <f>VLOOKUP(H2048,Sheet1!G:H,2,FALSE)</f>
        <v>#N/A</v>
      </c>
      <c r="R2048" t="s">
        <v>3972</v>
      </c>
      <c r="S2048">
        <v>0</v>
      </c>
    </row>
    <row r="2049" spans="1:19" x14ac:dyDescent="0.3">
      <c r="A2049" t="s">
        <v>8</v>
      </c>
      <c r="B2049">
        <f>VLOOKUP(A2049,Sheet2!B:F,5,FALSE)</f>
        <v>928</v>
      </c>
      <c r="C2049" t="s">
        <v>9</v>
      </c>
      <c r="D2049">
        <f>VLOOKUP(C2049,Sheet2!C:G,5,FALSE)</f>
        <v>1202</v>
      </c>
      <c r="E2049" t="s">
        <v>73</v>
      </c>
      <c r="F2049">
        <f>VLOOKUP(E2049,Sheet2!D:E,2,FALSE)</f>
        <v>895</v>
      </c>
      <c r="G2049" t="s">
        <v>1824</v>
      </c>
      <c r="H2049" t="str">
        <f t="shared" si="62"/>
        <v>KAKAO329833</v>
      </c>
      <c r="I2049" t="str">
        <f>"329833"</f>
        <v>329833</v>
      </c>
      <c r="J2049">
        <v>5180</v>
      </c>
      <c r="K2049" s="1">
        <v>44866</v>
      </c>
      <c r="L2049" t="s">
        <v>180</v>
      </c>
      <c r="M2049">
        <f t="shared" si="63"/>
        <v>5180</v>
      </c>
      <c r="N2049" t="e">
        <f>VLOOKUP(H2049,Sheet1!G:H,2,FALSE)</f>
        <v>#N/A</v>
      </c>
      <c r="R2049" t="s">
        <v>3973</v>
      </c>
      <c r="S2049">
        <v>440</v>
      </c>
    </row>
    <row r="2050" spans="1:19" x14ac:dyDescent="0.3">
      <c r="A2050" t="s">
        <v>8</v>
      </c>
      <c r="B2050">
        <f>VLOOKUP(A2050,Sheet2!B:F,5,FALSE)</f>
        <v>928</v>
      </c>
      <c r="C2050" t="s">
        <v>9</v>
      </c>
      <c r="D2050">
        <f>VLOOKUP(C2050,Sheet2!C:G,5,FALSE)</f>
        <v>1202</v>
      </c>
      <c r="E2050" t="s">
        <v>39</v>
      </c>
      <c r="F2050">
        <f>VLOOKUP(E2050,Sheet2!D:E,2,FALSE)</f>
        <v>25</v>
      </c>
      <c r="G2050" t="s">
        <v>1824</v>
      </c>
      <c r="H2050" t="str">
        <f t="shared" si="62"/>
        <v>KAKAO329859</v>
      </c>
      <c r="I2050" t="str">
        <f>"329859"</f>
        <v>329859</v>
      </c>
      <c r="J2050">
        <v>12670</v>
      </c>
      <c r="K2050" s="1">
        <v>44866</v>
      </c>
      <c r="L2050" t="s">
        <v>1879</v>
      </c>
      <c r="M2050" t="e">
        <f t="shared" si="63"/>
        <v>#N/A</v>
      </c>
      <c r="N2050" t="str">
        <f>VLOOKUP(H2050,Sheet1!G:H,2,FALSE)</f>
        <v>광고주 연락불가</v>
      </c>
      <c r="R2050" t="s">
        <v>3974</v>
      </c>
      <c r="S2050">
        <v>239720</v>
      </c>
    </row>
    <row r="2051" spans="1:19" x14ac:dyDescent="0.3">
      <c r="A2051" t="s">
        <v>41</v>
      </c>
      <c r="B2051">
        <f>VLOOKUP(A2051,Sheet2!B:F,5,FALSE)</f>
        <v>926</v>
      </c>
      <c r="C2051" t="s">
        <v>56</v>
      </c>
      <c r="D2051">
        <f>VLOOKUP(C2051,Sheet2!C:G,5,FALSE)</f>
        <v>1207</v>
      </c>
      <c r="E2051" t="s">
        <v>64</v>
      </c>
      <c r="F2051">
        <f>VLOOKUP(E2051,Sheet2!D:E,2,FALSE)</f>
        <v>201011</v>
      </c>
      <c r="G2051" t="s">
        <v>1824</v>
      </c>
      <c r="H2051" t="str">
        <f t="shared" ref="H2051:H2114" si="64">CONCATENATE(G2051,I2051)</f>
        <v>KAKAO329876</v>
      </c>
      <c r="I2051" t="str">
        <f>"329876"</f>
        <v>329876</v>
      </c>
      <c r="J2051">
        <v>693720</v>
      </c>
      <c r="K2051" s="1">
        <v>44866</v>
      </c>
      <c r="L2051" t="s">
        <v>1880</v>
      </c>
      <c r="M2051" t="e">
        <f t="shared" ref="M2051:M2114" si="65">VLOOKUP(H2051,R:S,2,FALSE)</f>
        <v>#N/A</v>
      </c>
      <c r="N2051" t="e">
        <f>VLOOKUP(H2051,Sheet1!G:H,2,FALSE)</f>
        <v>#N/A</v>
      </c>
      <c r="R2051" t="s">
        <v>3975</v>
      </c>
      <c r="S2051">
        <v>3481500</v>
      </c>
    </row>
    <row r="2052" spans="1:19" x14ac:dyDescent="0.3">
      <c r="A2052" t="s">
        <v>8</v>
      </c>
      <c r="B2052">
        <f>VLOOKUP(A2052,Sheet2!B:F,5,FALSE)</f>
        <v>928</v>
      </c>
      <c r="C2052" t="s">
        <v>13</v>
      </c>
      <c r="D2052">
        <f>VLOOKUP(C2052,Sheet2!C:G,5,FALSE)</f>
        <v>1184</v>
      </c>
      <c r="E2052" t="s">
        <v>59</v>
      </c>
      <c r="F2052">
        <f>VLOOKUP(E2052,Sheet2!D:E,2,FALSE)</f>
        <v>9</v>
      </c>
      <c r="G2052" t="s">
        <v>1824</v>
      </c>
      <c r="H2052" t="str">
        <f t="shared" si="64"/>
        <v>KAKAO330026</v>
      </c>
      <c r="I2052" t="str">
        <f>"330026"</f>
        <v>330026</v>
      </c>
      <c r="J2052">
        <v>452190</v>
      </c>
      <c r="K2052" s="1">
        <v>44866</v>
      </c>
      <c r="L2052" t="s">
        <v>313</v>
      </c>
      <c r="M2052">
        <f t="shared" si="65"/>
        <v>452190</v>
      </c>
      <c r="N2052" t="e">
        <f>VLOOKUP(H2052,Sheet1!G:H,2,FALSE)</f>
        <v>#N/A</v>
      </c>
      <c r="R2052" t="s">
        <v>3976</v>
      </c>
      <c r="S2052">
        <v>400</v>
      </c>
    </row>
    <row r="2053" spans="1:19" x14ac:dyDescent="0.3">
      <c r="A2053" t="s">
        <v>8</v>
      </c>
      <c r="B2053">
        <f>VLOOKUP(A2053,Sheet2!B:F,5,FALSE)</f>
        <v>928</v>
      </c>
      <c r="C2053" t="s">
        <v>9</v>
      </c>
      <c r="D2053">
        <f>VLOOKUP(C2053,Sheet2!C:G,5,FALSE)</f>
        <v>1202</v>
      </c>
      <c r="E2053" t="s">
        <v>37</v>
      </c>
      <c r="F2053">
        <f>VLOOKUP(E2053,Sheet2!D:E,2,FALSE)</f>
        <v>81</v>
      </c>
      <c r="G2053" t="s">
        <v>1824</v>
      </c>
      <c r="H2053" t="str">
        <f t="shared" si="64"/>
        <v>KAKAO330176</v>
      </c>
      <c r="I2053" t="str">
        <f>"330176"</f>
        <v>330176</v>
      </c>
      <c r="J2053">
        <v>2640</v>
      </c>
      <c r="K2053" s="1">
        <v>44866</v>
      </c>
      <c r="L2053" t="s">
        <v>1650</v>
      </c>
      <c r="M2053">
        <f t="shared" si="65"/>
        <v>2640</v>
      </c>
      <c r="N2053" t="e">
        <f>VLOOKUP(H2053,Sheet1!G:H,2,FALSE)</f>
        <v>#N/A</v>
      </c>
      <c r="R2053" t="s">
        <v>3977</v>
      </c>
      <c r="S2053">
        <v>485530</v>
      </c>
    </row>
    <row r="2054" spans="1:19" x14ac:dyDescent="0.3">
      <c r="A2054" t="s">
        <v>8</v>
      </c>
      <c r="B2054">
        <f>VLOOKUP(A2054,Sheet2!B:F,5,FALSE)</f>
        <v>928</v>
      </c>
      <c r="C2054" t="s">
        <v>9</v>
      </c>
      <c r="D2054">
        <f>VLOOKUP(C2054,Sheet2!C:G,5,FALSE)</f>
        <v>1202</v>
      </c>
      <c r="E2054" t="s">
        <v>10</v>
      </c>
      <c r="F2054">
        <f>VLOOKUP(E2054,Sheet2!D:E,2,FALSE)</f>
        <v>939</v>
      </c>
      <c r="G2054" t="s">
        <v>1824</v>
      </c>
      <c r="H2054" t="str">
        <f t="shared" si="64"/>
        <v>KAKAO330212</v>
      </c>
      <c r="I2054" t="str">
        <f>"330212"</f>
        <v>330212</v>
      </c>
      <c r="J2054">
        <v>93100</v>
      </c>
      <c r="K2054" s="1">
        <v>44866</v>
      </c>
      <c r="L2054" t="s">
        <v>1473</v>
      </c>
      <c r="M2054" t="e">
        <f t="shared" si="65"/>
        <v>#N/A</v>
      </c>
      <c r="N2054" t="e">
        <f>VLOOKUP(H2054,Sheet1!G:H,2,FALSE)</f>
        <v>#N/A</v>
      </c>
      <c r="R2054" t="s">
        <v>3978</v>
      </c>
      <c r="S2054">
        <v>20470</v>
      </c>
    </row>
    <row r="2055" spans="1:19" x14ac:dyDescent="0.3">
      <c r="A2055" t="s">
        <v>41</v>
      </c>
      <c r="B2055">
        <f>VLOOKUP(A2055,Sheet2!B:F,5,FALSE)</f>
        <v>926</v>
      </c>
      <c r="C2055" t="s">
        <v>42</v>
      </c>
      <c r="D2055">
        <f>VLOOKUP(C2055,Sheet2!C:G,5,FALSE)</f>
        <v>964</v>
      </c>
      <c r="E2055" t="s">
        <v>704</v>
      </c>
      <c r="F2055">
        <f>VLOOKUP(E2055,Sheet2!D:E,2,FALSE)</f>
        <v>1616</v>
      </c>
      <c r="G2055" t="s">
        <v>1824</v>
      </c>
      <c r="H2055" t="str">
        <f t="shared" si="64"/>
        <v>KAKAO330569</v>
      </c>
      <c r="I2055" t="str">
        <f>"330569"</f>
        <v>330569</v>
      </c>
      <c r="J2055">
        <v>10760</v>
      </c>
      <c r="K2055" s="1">
        <v>44866</v>
      </c>
      <c r="L2055" t="s">
        <v>1881</v>
      </c>
      <c r="M2055" t="e">
        <f t="shared" si="65"/>
        <v>#N/A</v>
      </c>
      <c r="N2055" t="e">
        <f>VLOOKUP(H2055,Sheet1!G:H,2,FALSE)</f>
        <v>#N/A</v>
      </c>
      <c r="R2055" t="s">
        <v>3979</v>
      </c>
      <c r="S2055">
        <v>69480</v>
      </c>
    </row>
    <row r="2056" spans="1:19" x14ac:dyDescent="0.3">
      <c r="A2056" t="s">
        <v>8</v>
      </c>
      <c r="B2056">
        <f>VLOOKUP(A2056,Sheet2!B:F,5,FALSE)</f>
        <v>928</v>
      </c>
      <c r="C2056" t="s">
        <v>9</v>
      </c>
      <c r="D2056">
        <f>VLOOKUP(C2056,Sheet2!C:G,5,FALSE)</f>
        <v>1202</v>
      </c>
      <c r="E2056" t="s">
        <v>122</v>
      </c>
      <c r="F2056">
        <f>VLOOKUP(E2056,Sheet2!D:E,2,FALSE)</f>
        <v>251</v>
      </c>
      <c r="G2056" t="s">
        <v>1824</v>
      </c>
      <c r="H2056" t="str">
        <f t="shared" si="64"/>
        <v>KAKAO330684</v>
      </c>
      <c r="I2056" t="str">
        <f>"330684"</f>
        <v>330684</v>
      </c>
      <c r="J2056">
        <v>92100</v>
      </c>
      <c r="K2056" s="1">
        <v>44866</v>
      </c>
      <c r="L2056" t="s">
        <v>1670</v>
      </c>
      <c r="M2056" t="e">
        <f t="shared" si="65"/>
        <v>#N/A</v>
      </c>
      <c r="N2056" t="e">
        <f>VLOOKUP(H2056,Sheet1!G:H,2,FALSE)</f>
        <v>#N/A</v>
      </c>
      <c r="R2056" t="s">
        <v>3980</v>
      </c>
      <c r="S2056">
        <v>494350</v>
      </c>
    </row>
    <row r="2057" spans="1:19" x14ac:dyDescent="0.3">
      <c r="A2057" t="s">
        <v>8</v>
      </c>
      <c r="B2057">
        <f>VLOOKUP(A2057,Sheet2!B:F,5,FALSE)</f>
        <v>928</v>
      </c>
      <c r="C2057" t="s">
        <v>9</v>
      </c>
      <c r="D2057">
        <f>VLOOKUP(C2057,Sheet2!C:G,5,FALSE)</f>
        <v>1202</v>
      </c>
      <c r="E2057" t="s">
        <v>73</v>
      </c>
      <c r="F2057">
        <f>VLOOKUP(E2057,Sheet2!D:E,2,FALSE)</f>
        <v>895</v>
      </c>
      <c r="G2057" t="s">
        <v>1824</v>
      </c>
      <c r="H2057" t="str">
        <f t="shared" si="64"/>
        <v>KAKAO330801</v>
      </c>
      <c r="I2057" t="str">
        <f>"330801"</f>
        <v>330801</v>
      </c>
      <c r="J2057">
        <v>1780</v>
      </c>
      <c r="K2057" s="1">
        <v>44866</v>
      </c>
      <c r="L2057" t="s">
        <v>1882</v>
      </c>
      <c r="M2057">
        <f t="shared" si="65"/>
        <v>1780</v>
      </c>
      <c r="N2057" t="e">
        <f>VLOOKUP(H2057,Sheet1!G:H,2,FALSE)</f>
        <v>#N/A</v>
      </c>
      <c r="R2057" t="s">
        <v>3981</v>
      </c>
      <c r="S2057">
        <v>206840</v>
      </c>
    </row>
    <row r="2058" spans="1:19" x14ac:dyDescent="0.3">
      <c r="A2058" t="s">
        <v>41</v>
      </c>
      <c r="B2058">
        <f>VLOOKUP(A2058,Sheet2!B:F,5,FALSE)</f>
        <v>926</v>
      </c>
      <c r="C2058" t="s">
        <v>56</v>
      </c>
      <c r="D2058">
        <f>VLOOKUP(C2058,Sheet2!C:G,5,FALSE)</f>
        <v>1207</v>
      </c>
      <c r="E2058" t="s">
        <v>91</v>
      </c>
      <c r="F2058">
        <f>VLOOKUP(E2058,Sheet2!D:E,2,FALSE)</f>
        <v>201104</v>
      </c>
      <c r="G2058" t="s">
        <v>1824</v>
      </c>
      <c r="H2058" t="str">
        <f t="shared" si="64"/>
        <v>KAKAO330842</v>
      </c>
      <c r="I2058" t="str">
        <f>"330842"</f>
        <v>330842</v>
      </c>
      <c r="J2058">
        <v>38900</v>
      </c>
      <c r="K2058" s="1">
        <v>44866</v>
      </c>
      <c r="L2058" t="s">
        <v>113</v>
      </c>
      <c r="M2058">
        <f t="shared" si="65"/>
        <v>38900</v>
      </c>
      <c r="N2058" t="e">
        <f>VLOOKUP(H2058,Sheet1!G:H,2,FALSE)</f>
        <v>#N/A</v>
      </c>
      <c r="R2058" t="s">
        <v>3982</v>
      </c>
      <c r="S2058">
        <v>879000</v>
      </c>
    </row>
    <row r="2059" spans="1:19" x14ac:dyDescent="0.3">
      <c r="A2059" t="s">
        <v>41</v>
      </c>
      <c r="B2059">
        <f>VLOOKUP(A2059,Sheet2!B:F,5,FALSE)</f>
        <v>926</v>
      </c>
      <c r="C2059" t="s">
        <v>56</v>
      </c>
      <c r="D2059">
        <f>VLOOKUP(C2059,Sheet2!C:G,5,FALSE)</f>
        <v>1207</v>
      </c>
      <c r="E2059" t="s">
        <v>91</v>
      </c>
      <c r="F2059">
        <f>VLOOKUP(E2059,Sheet2!D:E,2,FALSE)</f>
        <v>201104</v>
      </c>
      <c r="G2059" t="s">
        <v>1824</v>
      </c>
      <c r="H2059" t="str">
        <f t="shared" si="64"/>
        <v>KAKAO330918</v>
      </c>
      <c r="I2059" t="str">
        <f>"330918"</f>
        <v>330918</v>
      </c>
      <c r="J2059">
        <v>14500</v>
      </c>
      <c r="K2059" s="1">
        <v>44866</v>
      </c>
      <c r="L2059" t="s">
        <v>154</v>
      </c>
      <c r="M2059">
        <f t="shared" si="65"/>
        <v>14500</v>
      </c>
      <c r="N2059" t="e">
        <f>VLOOKUP(H2059,Sheet1!G:H,2,FALSE)</f>
        <v>#N/A</v>
      </c>
      <c r="R2059" t="s">
        <v>3983</v>
      </c>
      <c r="S2059">
        <v>200</v>
      </c>
    </row>
    <row r="2060" spans="1:19" x14ac:dyDescent="0.3">
      <c r="A2060" t="s">
        <v>8</v>
      </c>
      <c r="B2060">
        <f>VLOOKUP(A2060,Sheet2!B:F,5,FALSE)</f>
        <v>928</v>
      </c>
      <c r="C2060" t="s">
        <v>9</v>
      </c>
      <c r="D2060">
        <f>VLOOKUP(C2060,Sheet2!C:G,5,FALSE)</f>
        <v>1202</v>
      </c>
      <c r="E2060" t="s">
        <v>37</v>
      </c>
      <c r="F2060">
        <f>VLOOKUP(E2060,Sheet2!D:E,2,FALSE)</f>
        <v>81</v>
      </c>
      <c r="G2060" t="s">
        <v>1824</v>
      </c>
      <c r="H2060" t="str">
        <f t="shared" si="64"/>
        <v>KAKAO331075</v>
      </c>
      <c r="I2060" t="str">
        <f>"331075"</f>
        <v>331075</v>
      </c>
      <c r="J2060">
        <v>118570</v>
      </c>
      <c r="K2060" s="1">
        <v>44866</v>
      </c>
      <c r="L2060" t="s">
        <v>144</v>
      </c>
      <c r="M2060">
        <f t="shared" si="65"/>
        <v>118570</v>
      </c>
      <c r="N2060" t="e">
        <f>VLOOKUP(H2060,Sheet1!G:H,2,FALSE)</f>
        <v>#N/A</v>
      </c>
      <c r="R2060" t="s">
        <v>3984</v>
      </c>
      <c r="S2060">
        <v>204930</v>
      </c>
    </row>
    <row r="2061" spans="1:19" x14ac:dyDescent="0.3">
      <c r="A2061" t="s">
        <v>41</v>
      </c>
      <c r="B2061">
        <f>VLOOKUP(A2061,Sheet2!B:F,5,FALSE)</f>
        <v>926</v>
      </c>
      <c r="C2061" t="s">
        <v>56</v>
      </c>
      <c r="D2061">
        <f>VLOOKUP(C2061,Sheet2!C:G,5,FALSE)</f>
        <v>1207</v>
      </c>
      <c r="E2061" t="s">
        <v>91</v>
      </c>
      <c r="F2061">
        <f>VLOOKUP(E2061,Sheet2!D:E,2,FALSE)</f>
        <v>201104</v>
      </c>
      <c r="G2061" t="s">
        <v>1824</v>
      </c>
      <c r="H2061" t="str">
        <f t="shared" si="64"/>
        <v>KAKAO331316</v>
      </c>
      <c r="I2061" t="str">
        <f>"331316"</f>
        <v>331316</v>
      </c>
      <c r="J2061">
        <v>193510</v>
      </c>
      <c r="K2061" s="1">
        <v>44866</v>
      </c>
      <c r="L2061" t="s">
        <v>338</v>
      </c>
      <c r="M2061">
        <f t="shared" si="65"/>
        <v>193510</v>
      </c>
      <c r="N2061" t="e">
        <f>VLOOKUP(H2061,Sheet1!G:H,2,FALSE)</f>
        <v>#N/A</v>
      </c>
      <c r="R2061" t="s">
        <v>3985</v>
      </c>
      <c r="S2061">
        <v>12210</v>
      </c>
    </row>
    <row r="2062" spans="1:19" x14ac:dyDescent="0.3">
      <c r="A2062" t="s">
        <v>8</v>
      </c>
      <c r="B2062">
        <f>VLOOKUP(A2062,Sheet2!B:F,5,FALSE)</f>
        <v>928</v>
      </c>
      <c r="C2062" t="s">
        <v>9</v>
      </c>
      <c r="D2062">
        <f>VLOOKUP(C2062,Sheet2!C:G,5,FALSE)</f>
        <v>1202</v>
      </c>
      <c r="E2062" t="s">
        <v>73</v>
      </c>
      <c r="F2062">
        <f>VLOOKUP(E2062,Sheet2!D:E,2,FALSE)</f>
        <v>895</v>
      </c>
      <c r="G2062" t="s">
        <v>1824</v>
      </c>
      <c r="H2062" t="str">
        <f t="shared" si="64"/>
        <v>KAKAO331321</v>
      </c>
      <c r="I2062" t="str">
        <f>"331321"</f>
        <v>331321</v>
      </c>
      <c r="J2062">
        <v>191810</v>
      </c>
      <c r="K2062" s="1">
        <v>44866</v>
      </c>
      <c r="L2062" t="s">
        <v>402</v>
      </c>
      <c r="M2062">
        <f t="shared" si="65"/>
        <v>191810</v>
      </c>
      <c r="N2062" t="e">
        <f>VLOOKUP(H2062,Sheet1!G:H,2,FALSE)</f>
        <v>#N/A</v>
      </c>
      <c r="R2062" t="s">
        <v>3986</v>
      </c>
      <c r="S2062">
        <v>814550</v>
      </c>
    </row>
    <row r="2063" spans="1:19" x14ac:dyDescent="0.3">
      <c r="A2063" t="s">
        <v>8</v>
      </c>
      <c r="B2063">
        <f>VLOOKUP(A2063,Sheet2!B:F,5,FALSE)</f>
        <v>928</v>
      </c>
      <c r="C2063" t="s">
        <v>9</v>
      </c>
      <c r="D2063">
        <f>VLOOKUP(C2063,Sheet2!C:G,5,FALSE)</f>
        <v>1202</v>
      </c>
      <c r="E2063" t="s">
        <v>104</v>
      </c>
      <c r="F2063">
        <f>VLOOKUP(E2063,Sheet2!D:E,2,FALSE)</f>
        <v>201009</v>
      </c>
      <c r="G2063" t="s">
        <v>1824</v>
      </c>
      <c r="H2063" t="str">
        <f t="shared" si="64"/>
        <v>KAKAO331354</v>
      </c>
      <c r="I2063" t="str">
        <f>"331354"</f>
        <v>331354</v>
      </c>
      <c r="J2063">
        <v>52460</v>
      </c>
      <c r="K2063" s="1">
        <v>44866</v>
      </c>
      <c r="L2063" t="s">
        <v>1617</v>
      </c>
      <c r="M2063">
        <f t="shared" si="65"/>
        <v>52460</v>
      </c>
      <c r="N2063" t="e">
        <f>VLOOKUP(H2063,Sheet1!G:H,2,FALSE)</f>
        <v>#N/A</v>
      </c>
      <c r="R2063" t="s">
        <v>3987</v>
      </c>
      <c r="S2063">
        <v>2760</v>
      </c>
    </row>
    <row r="2064" spans="1:19" x14ac:dyDescent="0.3">
      <c r="A2064" t="s">
        <v>41</v>
      </c>
      <c r="B2064">
        <f>VLOOKUP(A2064,Sheet2!B:F,5,FALSE)</f>
        <v>926</v>
      </c>
      <c r="C2064" t="s">
        <v>56</v>
      </c>
      <c r="D2064">
        <f>VLOOKUP(C2064,Sheet2!C:G,5,FALSE)</f>
        <v>1207</v>
      </c>
      <c r="E2064" t="s">
        <v>253</v>
      </c>
      <c r="F2064">
        <f>VLOOKUP(E2064,Sheet2!D:E,2,FALSE)</f>
        <v>1328</v>
      </c>
      <c r="G2064" t="s">
        <v>1824</v>
      </c>
      <c r="H2064" t="str">
        <f t="shared" si="64"/>
        <v>KAKAO331712</v>
      </c>
      <c r="I2064" t="str">
        <f>"331712"</f>
        <v>331712</v>
      </c>
      <c r="J2064">
        <v>1460</v>
      </c>
      <c r="K2064" s="1">
        <v>44866</v>
      </c>
      <c r="L2064" t="s">
        <v>1480</v>
      </c>
      <c r="M2064">
        <f t="shared" si="65"/>
        <v>1460</v>
      </c>
      <c r="N2064" t="str">
        <f>VLOOKUP(H2064,Sheet1!G:H,2,FALSE)</f>
        <v>퇴사자계정 내부이관후 권한요청하였으나 광고주 연락두절로 진행X</v>
      </c>
      <c r="R2064" t="s">
        <v>3988</v>
      </c>
      <c r="S2064">
        <v>8777520</v>
      </c>
    </row>
    <row r="2065" spans="1:19" x14ac:dyDescent="0.3">
      <c r="A2065" t="s">
        <v>8</v>
      </c>
      <c r="B2065">
        <f>VLOOKUP(A2065,Sheet2!B:F,5,FALSE)</f>
        <v>928</v>
      </c>
      <c r="C2065" t="s">
        <v>9</v>
      </c>
      <c r="D2065">
        <f>VLOOKUP(C2065,Sheet2!C:G,5,FALSE)</f>
        <v>1202</v>
      </c>
      <c r="E2065" t="s">
        <v>122</v>
      </c>
      <c r="F2065">
        <f>VLOOKUP(E2065,Sheet2!D:E,2,FALSE)</f>
        <v>251</v>
      </c>
      <c r="G2065" t="s">
        <v>1824</v>
      </c>
      <c r="H2065" t="str">
        <f t="shared" si="64"/>
        <v>KAKAO333182</v>
      </c>
      <c r="I2065" t="str">
        <f>"333182"</f>
        <v>333182</v>
      </c>
      <c r="J2065">
        <v>280</v>
      </c>
      <c r="K2065" s="1">
        <v>44866</v>
      </c>
      <c r="L2065" t="s">
        <v>1883</v>
      </c>
      <c r="M2065" t="e">
        <f t="shared" si="65"/>
        <v>#N/A</v>
      </c>
      <c r="N2065" t="e">
        <f>VLOOKUP(H2065,Sheet1!G:H,2,FALSE)</f>
        <v>#N/A</v>
      </c>
      <c r="R2065" t="s">
        <v>3989</v>
      </c>
      <c r="S2065">
        <v>2131290</v>
      </c>
    </row>
    <row r="2066" spans="1:19" x14ac:dyDescent="0.3">
      <c r="A2066" t="s">
        <v>8</v>
      </c>
      <c r="B2066">
        <f>VLOOKUP(A2066,Sheet2!B:F,5,FALSE)</f>
        <v>928</v>
      </c>
      <c r="C2066" t="s">
        <v>9</v>
      </c>
      <c r="D2066">
        <f>VLOOKUP(C2066,Sheet2!C:G,5,FALSE)</f>
        <v>1202</v>
      </c>
      <c r="E2066" t="s">
        <v>39</v>
      </c>
      <c r="F2066">
        <f>VLOOKUP(E2066,Sheet2!D:E,2,FALSE)</f>
        <v>25</v>
      </c>
      <c r="G2066" t="s">
        <v>1824</v>
      </c>
      <c r="H2066" t="str">
        <f t="shared" si="64"/>
        <v>KAKAO333700</v>
      </c>
      <c r="I2066" t="str">
        <f>"333700"</f>
        <v>333700</v>
      </c>
      <c r="J2066">
        <v>20150</v>
      </c>
      <c r="K2066" s="1">
        <v>44866</v>
      </c>
      <c r="L2066" t="s">
        <v>1507</v>
      </c>
      <c r="M2066" t="e">
        <f t="shared" si="65"/>
        <v>#N/A</v>
      </c>
      <c r="N2066" t="e">
        <f>VLOOKUP(H2066,Sheet1!G:H,2,FALSE)</f>
        <v>#N/A</v>
      </c>
      <c r="R2066" t="s">
        <v>3990</v>
      </c>
      <c r="S2066">
        <v>1991670</v>
      </c>
    </row>
    <row r="2067" spans="1:19" x14ac:dyDescent="0.3">
      <c r="A2067" t="s">
        <v>16</v>
      </c>
      <c r="B2067">
        <f>VLOOKUP(A2067,Sheet2!B:F,5,FALSE)</f>
        <v>927</v>
      </c>
      <c r="C2067" t="s">
        <v>17</v>
      </c>
      <c r="D2067">
        <f>VLOOKUP(C2067,Sheet2!C:G,5,FALSE)</f>
        <v>1200</v>
      </c>
      <c r="E2067" t="s">
        <v>371</v>
      </c>
      <c r="F2067">
        <f>VLOOKUP(E2067,Sheet2!D:E,2,FALSE)</f>
        <v>551</v>
      </c>
      <c r="G2067" t="s">
        <v>1824</v>
      </c>
      <c r="H2067" t="str">
        <f t="shared" si="64"/>
        <v>KAKAO333726</v>
      </c>
      <c r="I2067" t="str">
        <f>"333726"</f>
        <v>333726</v>
      </c>
      <c r="J2067">
        <v>12660</v>
      </c>
      <c r="K2067" s="1">
        <v>44866</v>
      </c>
      <c r="L2067" t="s">
        <v>994</v>
      </c>
      <c r="M2067" t="e">
        <f t="shared" si="65"/>
        <v>#N/A</v>
      </c>
      <c r="N2067" t="e">
        <f>VLOOKUP(H2067,Sheet1!G:H,2,FALSE)</f>
        <v>#N/A</v>
      </c>
      <c r="R2067" t="s">
        <v>3991</v>
      </c>
      <c r="S2067">
        <v>431965</v>
      </c>
    </row>
    <row r="2068" spans="1:19" x14ac:dyDescent="0.3">
      <c r="A2068" t="s">
        <v>8</v>
      </c>
      <c r="B2068">
        <f>VLOOKUP(A2068,Sheet2!B:F,5,FALSE)</f>
        <v>928</v>
      </c>
      <c r="C2068" t="s">
        <v>9</v>
      </c>
      <c r="D2068">
        <f>VLOOKUP(C2068,Sheet2!C:G,5,FALSE)</f>
        <v>1202</v>
      </c>
      <c r="E2068" t="s">
        <v>47</v>
      </c>
      <c r="F2068">
        <f>VLOOKUP(E2068,Sheet2!D:E,2,FALSE)</f>
        <v>898</v>
      </c>
      <c r="G2068" t="s">
        <v>1824</v>
      </c>
      <c r="H2068" t="str">
        <f t="shared" si="64"/>
        <v>KAKAO334688</v>
      </c>
      <c r="I2068" t="str">
        <f>"334688"</f>
        <v>334688</v>
      </c>
      <c r="J2068">
        <v>95510</v>
      </c>
      <c r="K2068" s="1">
        <v>44866</v>
      </c>
      <c r="L2068" t="s">
        <v>779</v>
      </c>
      <c r="M2068">
        <f t="shared" si="65"/>
        <v>95510</v>
      </c>
      <c r="N2068" t="e">
        <f>VLOOKUP(H2068,Sheet1!G:H,2,FALSE)</f>
        <v>#N/A</v>
      </c>
      <c r="R2068" t="s">
        <v>3992</v>
      </c>
      <c r="S2068">
        <v>4601690</v>
      </c>
    </row>
    <row r="2069" spans="1:19" x14ac:dyDescent="0.3">
      <c r="A2069" t="s">
        <v>41</v>
      </c>
      <c r="B2069">
        <f>VLOOKUP(A2069,Sheet2!B:F,5,FALSE)</f>
        <v>926</v>
      </c>
      <c r="C2069" t="s">
        <v>42</v>
      </c>
      <c r="D2069">
        <f>VLOOKUP(C2069,Sheet2!C:G,5,FALSE)</f>
        <v>964</v>
      </c>
      <c r="E2069" t="s">
        <v>43</v>
      </c>
      <c r="F2069">
        <f>VLOOKUP(E2069,Sheet2!D:E,2,FALSE)</f>
        <v>200998</v>
      </c>
      <c r="G2069" t="s">
        <v>1824</v>
      </c>
      <c r="H2069" t="str">
        <f t="shared" si="64"/>
        <v>KAKAO335787</v>
      </c>
      <c r="I2069" t="str">
        <f>"335787"</f>
        <v>335787</v>
      </c>
      <c r="J2069">
        <v>2610</v>
      </c>
      <c r="K2069" s="1">
        <v>44866</v>
      </c>
      <c r="L2069" t="s">
        <v>345</v>
      </c>
      <c r="M2069">
        <f t="shared" si="65"/>
        <v>2610</v>
      </c>
      <c r="N2069" t="e">
        <f>VLOOKUP(H2069,Sheet1!G:H,2,FALSE)</f>
        <v>#N/A</v>
      </c>
      <c r="R2069" t="s">
        <v>3993</v>
      </c>
      <c r="S2069">
        <v>8299000</v>
      </c>
    </row>
    <row r="2070" spans="1:19" x14ac:dyDescent="0.3">
      <c r="A2070" t="s">
        <v>8</v>
      </c>
      <c r="B2070">
        <f>VLOOKUP(A2070,Sheet2!B:F,5,FALSE)</f>
        <v>928</v>
      </c>
      <c r="C2070" t="s">
        <v>9</v>
      </c>
      <c r="D2070">
        <f>VLOOKUP(C2070,Sheet2!C:G,5,FALSE)</f>
        <v>1202</v>
      </c>
      <c r="E2070" t="s">
        <v>31</v>
      </c>
      <c r="F2070">
        <f>VLOOKUP(E2070,Sheet2!D:E,2,FALSE)</f>
        <v>1040</v>
      </c>
      <c r="G2070" t="s">
        <v>1824</v>
      </c>
      <c r="H2070" t="str">
        <f t="shared" si="64"/>
        <v>KAKAO335866</v>
      </c>
      <c r="I2070" t="str">
        <f>"335866"</f>
        <v>335866</v>
      </c>
      <c r="J2070">
        <v>13660</v>
      </c>
      <c r="K2070" s="1">
        <v>44866</v>
      </c>
      <c r="L2070" t="s">
        <v>1721</v>
      </c>
      <c r="M2070">
        <f t="shared" si="65"/>
        <v>13660</v>
      </c>
      <c r="N2070" t="e">
        <f>VLOOKUP(H2070,Sheet1!G:H,2,FALSE)</f>
        <v>#N/A</v>
      </c>
      <c r="R2070" t="s">
        <v>3994</v>
      </c>
      <c r="S2070">
        <v>79954</v>
      </c>
    </row>
    <row r="2071" spans="1:19" x14ac:dyDescent="0.3">
      <c r="A2071" t="s">
        <v>41</v>
      </c>
      <c r="B2071">
        <f>VLOOKUP(A2071,Sheet2!B:F,5,FALSE)</f>
        <v>926</v>
      </c>
      <c r="C2071" t="s">
        <v>56</v>
      </c>
      <c r="D2071">
        <f>VLOOKUP(C2071,Sheet2!C:G,5,FALSE)</f>
        <v>1207</v>
      </c>
      <c r="E2071" t="s">
        <v>64</v>
      </c>
      <c r="F2071">
        <f>VLOOKUP(E2071,Sheet2!D:E,2,FALSE)</f>
        <v>201011</v>
      </c>
      <c r="G2071" t="s">
        <v>1824</v>
      </c>
      <c r="H2071" t="str">
        <f t="shared" si="64"/>
        <v>KAKAO335867</v>
      </c>
      <c r="I2071" t="str">
        <f>"335867"</f>
        <v>335867</v>
      </c>
      <c r="J2071">
        <v>3350</v>
      </c>
      <c r="K2071" s="1">
        <v>44866</v>
      </c>
      <c r="L2071" t="s">
        <v>1812</v>
      </c>
      <c r="M2071" t="e">
        <f t="shared" si="65"/>
        <v>#N/A</v>
      </c>
      <c r="N2071" t="e">
        <f>VLOOKUP(H2071,Sheet1!G:H,2,FALSE)</f>
        <v>#N/A</v>
      </c>
      <c r="R2071" t="s">
        <v>3995</v>
      </c>
      <c r="S2071">
        <v>223550</v>
      </c>
    </row>
    <row r="2072" spans="1:19" x14ac:dyDescent="0.3">
      <c r="A2072" t="s">
        <v>8</v>
      </c>
      <c r="B2072">
        <f>VLOOKUP(A2072,Sheet2!B:F,5,FALSE)</f>
        <v>928</v>
      </c>
      <c r="C2072" t="s">
        <v>9</v>
      </c>
      <c r="D2072">
        <f>VLOOKUP(C2072,Sheet2!C:G,5,FALSE)</f>
        <v>1202</v>
      </c>
      <c r="E2072" t="s">
        <v>122</v>
      </c>
      <c r="F2072">
        <f>VLOOKUP(E2072,Sheet2!D:E,2,FALSE)</f>
        <v>251</v>
      </c>
      <c r="G2072" t="s">
        <v>1824</v>
      </c>
      <c r="H2072" t="str">
        <f t="shared" si="64"/>
        <v>KAKAO336515</v>
      </c>
      <c r="I2072" t="str">
        <f>"336515"</f>
        <v>336515</v>
      </c>
      <c r="J2072">
        <v>184640</v>
      </c>
      <c r="K2072" s="1">
        <v>44866</v>
      </c>
      <c r="L2072" t="s">
        <v>1884</v>
      </c>
      <c r="M2072" t="e">
        <f t="shared" si="65"/>
        <v>#N/A</v>
      </c>
      <c r="N2072" t="e">
        <f>VLOOKUP(H2072,Sheet1!G:H,2,FALSE)</f>
        <v>#N/A</v>
      </c>
      <c r="R2072" t="s">
        <v>3996</v>
      </c>
      <c r="S2072">
        <v>37820</v>
      </c>
    </row>
    <row r="2073" spans="1:19" x14ac:dyDescent="0.3">
      <c r="A2073" t="s">
        <v>8</v>
      </c>
      <c r="B2073">
        <f>VLOOKUP(A2073,Sheet2!B:F,5,FALSE)</f>
        <v>928</v>
      </c>
      <c r="C2073" t="s">
        <v>13</v>
      </c>
      <c r="D2073">
        <f>VLOOKUP(C2073,Sheet2!C:G,5,FALSE)</f>
        <v>1184</v>
      </c>
      <c r="E2073" t="s">
        <v>51</v>
      </c>
      <c r="F2073">
        <f>VLOOKUP(E2073,Sheet2!D:E,2,FALSE)</f>
        <v>1274</v>
      </c>
      <c r="G2073" t="s">
        <v>1824</v>
      </c>
      <c r="H2073" t="str">
        <f t="shared" si="64"/>
        <v>KAKAO337149</v>
      </c>
      <c r="I2073" t="str">
        <f>"337149"</f>
        <v>337149</v>
      </c>
      <c r="J2073">
        <v>168130</v>
      </c>
      <c r="K2073" s="1">
        <v>44866</v>
      </c>
      <c r="L2073" t="s">
        <v>1885</v>
      </c>
      <c r="M2073">
        <f t="shared" si="65"/>
        <v>168130</v>
      </c>
      <c r="N2073" t="e">
        <f>VLOOKUP(H2073,Sheet1!G:H,2,FALSE)</f>
        <v>#N/A</v>
      </c>
      <c r="R2073" t="s">
        <v>3997</v>
      </c>
      <c r="S2073">
        <v>36275</v>
      </c>
    </row>
    <row r="2074" spans="1:19" x14ac:dyDescent="0.3">
      <c r="A2074" t="s">
        <v>8</v>
      </c>
      <c r="B2074">
        <f>VLOOKUP(A2074,Sheet2!B:F,5,FALSE)</f>
        <v>928</v>
      </c>
      <c r="C2074" t="s">
        <v>13</v>
      </c>
      <c r="D2074">
        <f>VLOOKUP(C2074,Sheet2!C:G,5,FALSE)</f>
        <v>1184</v>
      </c>
      <c r="E2074" t="s">
        <v>118</v>
      </c>
      <c r="F2074">
        <f>VLOOKUP(E2074,Sheet2!D:E,2,FALSE)</f>
        <v>201004</v>
      </c>
      <c r="G2074" t="s">
        <v>1824</v>
      </c>
      <c r="H2074" t="str">
        <f t="shared" si="64"/>
        <v>KAKAO337362</v>
      </c>
      <c r="I2074" t="str">
        <f>"337362"</f>
        <v>337362</v>
      </c>
      <c r="J2074">
        <v>27540</v>
      </c>
      <c r="K2074" s="1">
        <v>44866</v>
      </c>
      <c r="L2074" t="s">
        <v>1886</v>
      </c>
      <c r="M2074" t="e">
        <f t="shared" si="65"/>
        <v>#N/A</v>
      </c>
      <c r="N2074" t="e">
        <f>VLOOKUP(H2074,Sheet1!G:H,2,FALSE)</f>
        <v>#N/A</v>
      </c>
      <c r="R2074" t="s">
        <v>3998</v>
      </c>
      <c r="S2074">
        <v>369740</v>
      </c>
    </row>
    <row r="2075" spans="1:19" x14ac:dyDescent="0.3">
      <c r="A2075" t="s">
        <v>8</v>
      </c>
      <c r="B2075">
        <f>VLOOKUP(A2075,Sheet2!B:F,5,FALSE)</f>
        <v>928</v>
      </c>
      <c r="C2075" t="s">
        <v>9</v>
      </c>
      <c r="D2075">
        <f>VLOOKUP(C2075,Sheet2!C:G,5,FALSE)</f>
        <v>1202</v>
      </c>
      <c r="E2075" t="s">
        <v>27</v>
      </c>
      <c r="F2075">
        <f>VLOOKUP(E2075,Sheet2!D:E,2,FALSE)</f>
        <v>806</v>
      </c>
      <c r="G2075" t="s">
        <v>1824</v>
      </c>
      <c r="H2075" t="str">
        <f t="shared" si="64"/>
        <v>KAKAO337530</v>
      </c>
      <c r="I2075" t="str">
        <f>"337530"</f>
        <v>337530</v>
      </c>
      <c r="J2075">
        <v>16520</v>
      </c>
      <c r="K2075" s="1">
        <v>44866</v>
      </c>
      <c r="L2075" t="s">
        <v>695</v>
      </c>
      <c r="M2075">
        <f t="shared" si="65"/>
        <v>16520</v>
      </c>
      <c r="N2075" t="e">
        <f>VLOOKUP(H2075,Sheet1!G:H,2,FALSE)</f>
        <v>#N/A</v>
      </c>
      <c r="R2075" t="s">
        <v>3999</v>
      </c>
      <c r="S2075">
        <v>192230</v>
      </c>
    </row>
    <row r="2076" spans="1:19" x14ac:dyDescent="0.3">
      <c r="A2076" t="s">
        <v>8</v>
      </c>
      <c r="B2076">
        <f>VLOOKUP(A2076,Sheet2!B:F,5,FALSE)</f>
        <v>928</v>
      </c>
      <c r="C2076" t="s">
        <v>9</v>
      </c>
      <c r="D2076">
        <f>VLOOKUP(C2076,Sheet2!C:G,5,FALSE)</f>
        <v>1202</v>
      </c>
      <c r="E2076" t="s">
        <v>73</v>
      </c>
      <c r="F2076">
        <f>VLOOKUP(E2076,Sheet2!D:E,2,FALSE)</f>
        <v>895</v>
      </c>
      <c r="G2076" t="s">
        <v>1824</v>
      </c>
      <c r="H2076" t="str">
        <f t="shared" si="64"/>
        <v>KAKAO337843</v>
      </c>
      <c r="I2076" t="str">
        <f>"337843"</f>
        <v>337843</v>
      </c>
      <c r="J2076">
        <v>310050</v>
      </c>
      <c r="K2076" s="1">
        <v>44866</v>
      </c>
      <c r="L2076" t="s">
        <v>1390</v>
      </c>
      <c r="M2076">
        <f t="shared" si="65"/>
        <v>310050</v>
      </c>
      <c r="N2076" t="e">
        <f>VLOOKUP(H2076,Sheet1!G:H,2,FALSE)</f>
        <v>#N/A</v>
      </c>
      <c r="R2076" t="s">
        <v>4000</v>
      </c>
      <c r="S2076">
        <v>90</v>
      </c>
    </row>
    <row r="2077" spans="1:19" x14ac:dyDescent="0.3">
      <c r="A2077" t="s">
        <v>41</v>
      </c>
      <c r="B2077">
        <f>VLOOKUP(A2077,Sheet2!B:F,5,FALSE)</f>
        <v>926</v>
      </c>
      <c r="C2077" t="s">
        <v>56</v>
      </c>
      <c r="D2077">
        <f>VLOOKUP(C2077,Sheet2!C:G,5,FALSE)</f>
        <v>1207</v>
      </c>
      <c r="E2077" t="s">
        <v>57</v>
      </c>
      <c r="F2077">
        <f>VLOOKUP(E2077,Sheet2!D:E,2,FALSE)</f>
        <v>200982</v>
      </c>
      <c r="G2077" t="s">
        <v>1824</v>
      </c>
      <c r="H2077" t="str">
        <f t="shared" si="64"/>
        <v>KAKAO338513</v>
      </c>
      <c r="I2077" t="str">
        <f>"338513"</f>
        <v>338513</v>
      </c>
      <c r="J2077">
        <v>174070</v>
      </c>
      <c r="K2077" s="1">
        <v>44866</v>
      </c>
      <c r="L2077" t="s">
        <v>1887</v>
      </c>
      <c r="M2077">
        <f t="shared" si="65"/>
        <v>174070</v>
      </c>
      <c r="N2077" t="e">
        <f>VLOOKUP(H2077,Sheet1!G:H,2,FALSE)</f>
        <v>#N/A</v>
      </c>
      <c r="R2077" t="s">
        <v>4001</v>
      </c>
      <c r="S2077">
        <v>16800</v>
      </c>
    </row>
    <row r="2078" spans="1:19" x14ac:dyDescent="0.3">
      <c r="A2078" t="s">
        <v>8</v>
      </c>
      <c r="B2078">
        <f>VLOOKUP(A2078,Sheet2!B:F,5,FALSE)</f>
        <v>928</v>
      </c>
      <c r="C2078" t="s">
        <v>9</v>
      </c>
      <c r="D2078">
        <f>VLOOKUP(C2078,Sheet2!C:G,5,FALSE)</f>
        <v>1202</v>
      </c>
      <c r="E2078" t="s">
        <v>33</v>
      </c>
      <c r="F2078">
        <f>VLOOKUP(E2078,Sheet2!D:E,2,FALSE)</f>
        <v>933</v>
      </c>
      <c r="G2078" t="s">
        <v>1824</v>
      </c>
      <c r="H2078" t="str">
        <f t="shared" si="64"/>
        <v>KAKAO338844</v>
      </c>
      <c r="I2078" t="str">
        <f>"338844"</f>
        <v>338844</v>
      </c>
      <c r="J2078">
        <v>17860</v>
      </c>
      <c r="K2078" s="1">
        <v>44866</v>
      </c>
      <c r="L2078" t="s">
        <v>226</v>
      </c>
      <c r="M2078">
        <f t="shared" si="65"/>
        <v>17860</v>
      </c>
      <c r="N2078" t="e">
        <f>VLOOKUP(H2078,Sheet1!G:H,2,FALSE)</f>
        <v>#N/A</v>
      </c>
      <c r="R2078" t="s">
        <v>4002</v>
      </c>
      <c r="S2078">
        <v>2893460</v>
      </c>
    </row>
    <row r="2079" spans="1:19" x14ac:dyDescent="0.3">
      <c r="A2079" t="s">
        <v>8</v>
      </c>
      <c r="B2079">
        <f>VLOOKUP(A2079,Sheet2!B:F,5,FALSE)</f>
        <v>928</v>
      </c>
      <c r="C2079" t="s">
        <v>13</v>
      </c>
      <c r="D2079">
        <f>VLOOKUP(C2079,Sheet2!C:G,5,FALSE)</f>
        <v>1184</v>
      </c>
      <c r="E2079" t="s">
        <v>217</v>
      </c>
      <c r="F2079">
        <f>VLOOKUP(E2079,Sheet2!D:E,2,FALSE)</f>
        <v>201027</v>
      </c>
      <c r="G2079" t="s">
        <v>1824</v>
      </c>
      <c r="H2079" t="str">
        <f t="shared" si="64"/>
        <v>KAKAO338909</v>
      </c>
      <c r="I2079" t="str">
        <f>"338909"</f>
        <v>338909</v>
      </c>
      <c r="J2079">
        <v>3420</v>
      </c>
      <c r="K2079" s="1">
        <v>44866</v>
      </c>
      <c r="L2079" t="s">
        <v>1888</v>
      </c>
      <c r="M2079">
        <f t="shared" si="65"/>
        <v>3420</v>
      </c>
      <c r="N2079" t="e">
        <f>VLOOKUP(H2079,Sheet1!G:H,2,FALSE)</f>
        <v>#N/A</v>
      </c>
      <c r="R2079" t="s">
        <v>4003</v>
      </c>
      <c r="S2079">
        <v>0</v>
      </c>
    </row>
    <row r="2080" spans="1:19" x14ac:dyDescent="0.3">
      <c r="A2080" t="s">
        <v>8</v>
      </c>
      <c r="B2080">
        <f>VLOOKUP(A2080,Sheet2!B:F,5,FALSE)</f>
        <v>928</v>
      </c>
      <c r="C2080" t="s">
        <v>9</v>
      </c>
      <c r="D2080">
        <f>VLOOKUP(C2080,Sheet2!C:G,5,FALSE)</f>
        <v>1202</v>
      </c>
      <c r="E2080" t="s">
        <v>122</v>
      </c>
      <c r="F2080">
        <f>VLOOKUP(E2080,Sheet2!D:E,2,FALSE)</f>
        <v>251</v>
      </c>
      <c r="G2080" t="s">
        <v>1824</v>
      </c>
      <c r="H2080" t="str">
        <f t="shared" si="64"/>
        <v>KAKAO338922</v>
      </c>
      <c r="I2080" t="str">
        <f>"338922"</f>
        <v>338922</v>
      </c>
      <c r="J2080">
        <v>133880</v>
      </c>
      <c r="K2080" s="1">
        <v>44866</v>
      </c>
      <c r="L2080" t="s">
        <v>1095</v>
      </c>
      <c r="M2080" t="e">
        <f t="shared" si="65"/>
        <v>#N/A</v>
      </c>
      <c r="N2080" t="e">
        <f>VLOOKUP(H2080,Sheet1!G:H,2,FALSE)</f>
        <v>#N/A</v>
      </c>
      <c r="R2080" t="s">
        <v>4004</v>
      </c>
      <c r="S2080">
        <v>14048740</v>
      </c>
    </row>
    <row r="2081" spans="1:19" x14ac:dyDescent="0.3">
      <c r="A2081" t="s">
        <v>8</v>
      </c>
      <c r="B2081">
        <f>VLOOKUP(A2081,Sheet2!B:F,5,FALSE)</f>
        <v>928</v>
      </c>
      <c r="C2081" t="s">
        <v>9</v>
      </c>
      <c r="D2081">
        <f>VLOOKUP(C2081,Sheet2!C:G,5,FALSE)</f>
        <v>1202</v>
      </c>
      <c r="E2081" t="s">
        <v>37</v>
      </c>
      <c r="F2081">
        <f>VLOOKUP(E2081,Sheet2!D:E,2,FALSE)</f>
        <v>81</v>
      </c>
      <c r="G2081" t="s">
        <v>1824</v>
      </c>
      <c r="H2081" t="str">
        <f t="shared" si="64"/>
        <v>KAKAO340747</v>
      </c>
      <c r="I2081" t="str">
        <f>"340747"</f>
        <v>340747</v>
      </c>
      <c r="J2081">
        <v>41620</v>
      </c>
      <c r="K2081" s="1">
        <v>44866</v>
      </c>
      <c r="L2081" t="s">
        <v>1433</v>
      </c>
      <c r="M2081">
        <f t="shared" si="65"/>
        <v>41620</v>
      </c>
      <c r="N2081" t="e">
        <f>VLOOKUP(H2081,Sheet1!G:H,2,FALSE)</f>
        <v>#N/A</v>
      </c>
      <c r="R2081" t="s">
        <v>4005</v>
      </c>
      <c r="S2081">
        <v>215240</v>
      </c>
    </row>
    <row r="2082" spans="1:19" x14ac:dyDescent="0.3">
      <c r="A2082" t="s">
        <v>8</v>
      </c>
      <c r="B2082">
        <f>VLOOKUP(A2082,Sheet2!B:F,5,FALSE)</f>
        <v>928</v>
      </c>
      <c r="C2082" t="s">
        <v>9</v>
      </c>
      <c r="D2082">
        <f>VLOOKUP(C2082,Sheet2!C:G,5,FALSE)</f>
        <v>1202</v>
      </c>
      <c r="E2082" t="s">
        <v>75</v>
      </c>
      <c r="F2082">
        <f>VLOOKUP(E2082,Sheet2!D:E,2,FALSE)</f>
        <v>50</v>
      </c>
      <c r="G2082" t="s">
        <v>1824</v>
      </c>
      <c r="H2082" t="str">
        <f t="shared" si="64"/>
        <v>KAKAO341555</v>
      </c>
      <c r="I2082" t="str">
        <f>"341555"</f>
        <v>341555</v>
      </c>
      <c r="J2082">
        <v>1150</v>
      </c>
      <c r="K2082" s="1">
        <v>44866</v>
      </c>
      <c r="L2082" t="s">
        <v>1889</v>
      </c>
      <c r="M2082">
        <f t="shared" si="65"/>
        <v>1150</v>
      </c>
      <c r="N2082" t="e">
        <f>VLOOKUP(H2082,Sheet1!G:H,2,FALSE)</f>
        <v>#N/A</v>
      </c>
      <c r="R2082" t="s">
        <v>4006</v>
      </c>
      <c r="S2082">
        <v>870840</v>
      </c>
    </row>
    <row r="2083" spans="1:19" x14ac:dyDescent="0.3">
      <c r="A2083" t="s">
        <v>8</v>
      </c>
      <c r="B2083">
        <f>VLOOKUP(A2083,Sheet2!B:F,5,FALSE)</f>
        <v>928</v>
      </c>
      <c r="C2083" t="s">
        <v>9</v>
      </c>
      <c r="D2083">
        <f>VLOOKUP(C2083,Sheet2!C:G,5,FALSE)</f>
        <v>1202</v>
      </c>
      <c r="E2083" t="s">
        <v>75</v>
      </c>
      <c r="F2083">
        <f>VLOOKUP(E2083,Sheet2!D:E,2,FALSE)</f>
        <v>50</v>
      </c>
      <c r="G2083" t="s">
        <v>1824</v>
      </c>
      <c r="H2083" t="str">
        <f t="shared" si="64"/>
        <v>KAKAO341573</v>
      </c>
      <c r="I2083" t="str">
        <f>"341573"</f>
        <v>341573</v>
      </c>
      <c r="J2083">
        <v>2820</v>
      </c>
      <c r="K2083" s="1">
        <v>44866</v>
      </c>
      <c r="L2083" t="s">
        <v>1889</v>
      </c>
      <c r="M2083">
        <f t="shared" si="65"/>
        <v>2820</v>
      </c>
      <c r="N2083" t="e">
        <f>VLOOKUP(H2083,Sheet1!G:H,2,FALSE)</f>
        <v>#N/A</v>
      </c>
      <c r="R2083" t="s">
        <v>4007</v>
      </c>
      <c r="S2083">
        <v>416540</v>
      </c>
    </row>
    <row r="2084" spans="1:19" x14ac:dyDescent="0.3">
      <c r="A2084" t="s">
        <v>41</v>
      </c>
      <c r="B2084">
        <f>VLOOKUP(A2084,Sheet2!B:F,5,FALSE)</f>
        <v>926</v>
      </c>
      <c r="C2084" t="s">
        <v>56</v>
      </c>
      <c r="D2084">
        <f>VLOOKUP(C2084,Sheet2!C:G,5,FALSE)</f>
        <v>1207</v>
      </c>
      <c r="E2084" t="s">
        <v>156</v>
      </c>
      <c r="F2084">
        <f>VLOOKUP(E2084,Sheet2!D:E,2,FALSE)</f>
        <v>201103</v>
      </c>
      <c r="G2084" t="s">
        <v>1824</v>
      </c>
      <c r="H2084" t="str">
        <f t="shared" si="64"/>
        <v>KAKAO341865</v>
      </c>
      <c r="I2084" t="str">
        <f>"341865"</f>
        <v>341865</v>
      </c>
      <c r="J2084">
        <v>95760</v>
      </c>
      <c r="K2084" s="1">
        <v>44866</v>
      </c>
      <c r="L2084" t="s">
        <v>1890</v>
      </c>
      <c r="M2084">
        <f t="shared" si="65"/>
        <v>95760</v>
      </c>
      <c r="N2084" t="e">
        <f>VLOOKUP(H2084,Sheet1!G:H,2,FALSE)</f>
        <v>#N/A</v>
      </c>
      <c r="R2084" t="s">
        <v>4008</v>
      </c>
      <c r="S2084">
        <v>8690</v>
      </c>
    </row>
    <row r="2085" spans="1:19" x14ac:dyDescent="0.3">
      <c r="A2085" t="s">
        <v>41</v>
      </c>
      <c r="B2085">
        <f>VLOOKUP(A2085,Sheet2!B:F,5,FALSE)</f>
        <v>926</v>
      </c>
      <c r="C2085" t="s">
        <v>56</v>
      </c>
      <c r="D2085">
        <f>VLOOKUP(C2085,Sheet2!C:G,5,FALSE)</f>
        <v>1207</v>
      </c>
      <c r="E2085" t="s">
        <v>253</v>
      </c>
      <c r="F2085">
        <f>VLOOKUP(E2085,Sheet2!D:E,2,FALSE)</f>
        <v>1328</v>
      </c>
      <c r="G2085" t="s">
        <v>1824</v>
      </c>
      <c r="H2085" t="str">
        <f t="shared" si="64"/>
        <v>KAKAO342015</v>
      </c>
      <c r="I2085" t="str">
        <f>"342015"</f>
        <v>342015</v>
      </c>
      <c r="J2085">
        <v>134030</v>
      </c>
      <c r="K2085" s="1">
        <v>44866</v>
      </c>
      <c r="L2085" t="s">
        <v>1585</v>
      </c>
      <c r="M2085">
        <f t="shared" si="65"/>
        <v>134030</v>
      </c>
      <c r="N2085" t="e">
        <f>VLOOKUP(H2085,Sheet1!G:H,2,FALSE)</f>
        <v>#N/A</v>
      </c>
      <c r="R2085" t="s">
        <v>4009</v>
      </c>
      <c r="S2085">
        <v>0</v>
      </c>
    </row>
    <row r="2086" spans="1:19" x14ac:dyDescent="0.3">
      <c r="A2086" t="s">
        <v>16</v>
      </c>
      <c r="B2086">
        <f>VLOOKUP(A2086,Sheet2!B:F,5,FALSE)</f>
        <v>927</v>
      </c>
      <c r="C2086" t="s">
        <v>17</v>
      </c>
      <c r="D2086">
        <f>VLOOKUP(C2086,Sheet2!C:G,5,FALSE)</f>
        <v>1200</v>
      </c>
      <c r="E2086" t="s">
        <v>137</v>
      </c>
      <c r="F2086">
        <f>VLOOKUP(E2086,Sheet2!D:E,2,FALSE)</f>
        <v>1012</v>
      </c>
      <c r="G2086" t="s">
        <v>1824</v>
      </c>
      <c r="H2086" t="str">
        <f t="shared" si="64"/>
        <v>KAKAO342043</v>
      </c>
      <c r="I2086" t="str">
        <f>"342043"</f>
        <v>342043</v>
      </c>
      <c r="J2086">
        <v>21880</v>
      </c>
      <c r="K2086" s="1">
        <v>44866</v>
      </c>
      <c r="L2086" t="s">
        <v>376</v>
      </c>
      <c r="M2086">
        <f t="shared" si="65"/>
        <v>21880</v>
      </c>
      <c r="N2086" t="e">
        <f>VLOOKUP(H2086,Sheet1!G:H,2,FALSE)</f>
        <v>#N/A</v>
      </c>
      <c r="R2086" t="s">
        <v>4010</v>
      </c>
      <c r="S2086">
        <v>307610</v>
      </c>
    </row>
    <row r="2087" spans="1:19" x14ac:dyDescent="0.3">
      <c r="A2087" t="s">
        <v>8</v>
      </c>
      <c r="B2087">
        <f>VLOOKUP(A2087,Sheet2!B:F,5,FALSE)</f>
        <v>928</v>
      </c>
      <c r="C2087" t="s">
        <v>9</v>
      </c>
      <c r="D2087">
        <f>VLOOKUP(C2087,Sheet2!C:G,5,FALSE)</f>
        <v>1202</v>
      </c>
      <c r="E2087" t="s">
        <v>35</v>
      </c>
      <c r="F2087">
        <f>VLOOKUP(E2087,Sheet2!D:E,2,FALSE)</f>
        <v>51</v>
      </c>
      <c r="G2087" t="s">
        <v>1824</v>
      </c>
      <c r="H2087" t="str">
        <f t="shared" si="64"/>
        <v>KAKAO342284</v>
      </c>
      <c r="I2087" t="str">
        <f>"342284"</f>
        <v>342284</v>
      </c>
      <c r="J2087">
        <v>1800</v>
      </c>
      <c r="K2087" s="1">
        <v>44866</v>
      </c>
      <c r="L2087" t="s">
        <v>1891</v>
      </c>
      <c r="M2087">
        <f t="shared" si="65"/>
        <v>1800</v>
      </c>
      <c r="N2087" t="e">
        <f>VLOOKUP(H2087,Sheet1!G:H,2,FALSE)</f>
        <v>#N/A</v>
      </c>
      <c r="R2087" t="s">
        <v>4011</v>
      </c>
      <c r="S2087">
        <v>473030</v>
      </c>
    </row>
    <row r="2088" spans="1:19" x14ac:dyDescent="0.3">
      <c r="A2088" t="s">
        <v>8</v>
      </c>
      <c r="B2088">
        <f>VLOOKUP(A2088,Sheet2!B:F,5,FALSE)</f>
        <v>928</v>
      </c>
      <c r="C2088" t="s">
        <v>13</v>
      </c>
      <c r="D2088">
        <f>VLOOKUP(C2088,Sheet2!C:G,5,FALSE)</f>
        <v>1184</v>
      </c>
      <c r="E2088" t="s">
        <v>102</v>
      </c>
      <c r="F2088">
        <f>VLOOKUP(E2088,Sheet2!D:E,2,FALSE)</f>
        <v>917</v>
      </c>
      <c r="G2088" t="s">
        <v>1824</v>
      </c>
      <c r="H2088" t="str">
        <f t="shared" si="64"/>
        <v>KAKAO342939</v>
      </c>
      <c r="I2088" t="str">
        <f>"342939"</f>
        <v>342939</v>
      </c>
      <c r="J2088">
        <v>39210</v>
      </c>
      <c r="K2088" s="1">
        <v>44866</v>
      </c>
      <c r="L2088" t="s">
        <v>752</v>
      </c>
      <c r="M2088">
        <f t="shared" si="65"/>
        <v>39210</v>
      </c>
      <c r="N2088" t="e">
        <f>VLOOKUP(H2088,Sheet1!G:H,2,FALSE)</f>
        <v>#N/A</v>
      </c>
      <c r="R2088" t="s">
        <v>4012</v>
      </c>
      <c r="S2088">
        <v>2152620</v>
      </c>
    </row>
    <row r="2089" spans="1:19" x14ac:dyDescent="0.3">
      <c r="A2089" t="s">
        <v>8</v>
      </c>
      <c r="B2089">
        <f>VLOOKUP(A2089,Sheet2!B:F,5,FALSE)</f>
        <v>928</v>
      </c>
      <c r="C2089" t="s">
        <v>9</v>
      </c>
      <c r="D2089">
        <f>VLOOKUP(C2089,Sheet2!C:G,5,FALSE)</f>
        <v>1202</v>
      </c>
      <c r="E2089" t="s">
        <v>37</v>
      </c>
      <c r="F2089">
        <f>VLOOKUP(E2089,Sheet2!D:E,2,FALSE)</f>
        <v>81</v>
      </c>
      <c r="G2089" t="s">
        <v>1824</v>
      </c>
      <c r="H2089" t="str">
        <f t="shared" si="64"/>
        <v>KAKAO344747</v>
      </c>
      <c r="I2089" t="str">
        <f>"344747"</f>
        <v>344747</v>
      </c>
      <c r="J2089">
        <v>76560</v>
      </c>
      <c r="K2089" s="1">
        <v>44866</v>
      </c>
      <c r="L2089" t="s">
        <v>1892</v>
      </c>
      <c r="M2089">
        <f t="shared" si="65"/>
        <v>76560</v>
      </c>
      <c r="N2089" t="e">
        <f>VLOOKUP(H2089,Sheet1!G:H,2,FALSE)</f>
        <v>#N/A</v>
      </c>
      <c r="R2089" t="s">
        <v>4013</v>
      </c>
      <c r="S2089">
        <v>636770</v>
      </c>
    </row>
    <row r="2090" spans="1:19" x14ac:dyDescent="0.3">
      <c r="A2090" t="s">
        <v>8</v>
      </c>
      <c r="B2090">
        <f>VLOOKUP(A2090,Sheet2!B:F,5,FALSE)</f>
        <v>928</v>
      </c>
      <c r="C2090" t="s">
        <v>9</v>
      </c>
      <c r="D2090">
        <f>VLOOKUP(C2090,Sheet2!C:G,5,FALSE)</f>
        <v>1202</v>
      </c>
      <c r="E2090" t="s">
        <v>73</v>
      </c>
      <c r="F2090">
        <f>VLOOKUP(E2090,Sheet2!D:E,2,FALSE)</f>
        <v>895</v>
      </c>
      <c r="G2090" t="s">
        <v>1824</v>
      </c>
      <c r="H2090" t="str">
        <f t="shared" si="64"/>
        <v>KAKAO344872</v>
      </c>
      <c r="I2090" t="str">
        <f>"344872"</f>
        <v>344872</v>
      </c>
      <c r="J2090">
        <v>4350</v>
      </c>
      <c r="K2090" s="1">
        <v>44866</v>
      </c>
      <c r="L2090" t="s">
        <v>1893</v>
      </c>
      <c r="M2090">
        <f t="shared" si="65"/>
        <v>4350</v>
      </c>
      <c r="N2090" t="e">
        <f>VLOOKUP(H2090,Sheet1!G:H,2,FALSE)</f>
        <v>#N/A</v>
      </c>
      <c r="R2090" t="s">
        <v>4014</v>
      </c>
      <c r="S2090">
        <v>6171000</v>
      </c>
    </row>
    <row r="2091" spans="1:19" x14ac:dyDescent="0.3">
      <c r="A2091" t="s">
        <v>8</v>
      </c>
      <c r="B2091">
        <f>VLOOKUP(A2091,Sheet2!B:F,5,FALSE)</f>
        <v>928</v>
      </c>
      <c r="C2091" t="s">
        <v>9</v>
      </c>
      <c r="D2091">
        <f>VLOOKUP(C2091,Sheet2!C:G,5,FALSE)</f>
        <v>1202</v>
      </c>
      <c r="E2091" t="s">
        <v>10</v>
      </c>
      <c r="F2091">
        <f>VLOOKUP(E2091,Sheet2!D:E,2,FALSE)</f>
        <v>939</v>
      </c>
      <c r="G2091" t="s">
        <v>1824</v>
      </c>
      <c r="H2091" t="str">
        <f t="shared" si="64"/>
        <v>KAKAO346041</v>
      </c>
      <c r="I2091" t="str">
        <f>"346041"</f>
        <v>346041</v>
      </c>
      <c r="J2091">
        <v>780</v>
      </c>
      <c r="K2091" s="1">
        <v>44866</v>
      </c>
      <c r="L2091" t="s">
        <v>920</v>
      </c>
      <c r="M2091" t="e">
        <f t="shared" si="65"/>
        <v>#N/A</v>
      </c>
      <c r="N2091" t="e">
        <f>VLOOKUP(H2091,Sheet1!G:H,2,FALSE)</f>
        <v>#N/A</v>
      </c>
      <c r="R2091" t="s">
        <v>4015</v>
      </c>
      <c r="S2091">
        <v>143800</v>
      </c>
    </row>
    <row r="2092" spans="1:19" x14ac:dyDescent="0.3">
      <c r="A2092" t="s">
        <v>8</v>
      </c>
      <c r="B2092">
        <f>VLOOKUP(A2092,Sheet2!B:F,5,FALSE)</f>
        <v>928</v>
      </c>
      <c r="C2092" t="s">
        <v>13</v>
      </c>
      <c r="D2092">
        <f>VLOOKUP(C2092,Sheet2!C:G,5,FALSE)</f>
        <v>1184</v>
      </c>
      <c r="E2092" t="s">
        <v>335</v>
      </c>
      <c r="F2092">
        <f>VLOOKUP(E2092,Sheet2!D:E,2,FALSE)</f>
        <v>201090</v>
      </c>
      <c r="G2092" t="s">
        <v>1824</v>
      </c>
      <c r="H2092" t="str">
        <f t="shared" si="64"/>
        <v>KAKAO347785</v>
      </c>
      <c r="I2092" t="str">
        <f>"347785"</f>
        <v>347785</v>
      </c>
      <c r="J2092">
        <v>12640</v>
      </c>
      <c r="K2092" s="1">
        <v>44866</v>
      </c>
      <c r="L2092" t="s">
        <v>336</v>
      </c>
      <c r="M2092">
        <f t="shared" si="65"/>
        <v>12640</v>
      </c>
      <c r="N2092" t="e">
        <f>VLOOKUP(H2092,Sheet1!G:H,2,FALSE)</f>
        <v>#N/A</v>
      </c>
      <c r="R2092" t="s">
        <v>4016</v>
      </c>
      <c r="S2092">
        <v>54120</v>
      </c>
    </row>
    <row r="2093" spans="1:19" x14ac:dyDescent="0.3">
      <c r="A2093" t="s">
        <v>8</v>
      </c>
      <c r="B2093">
        <f>VLOOKUP(A2093,Sheet2!B:F,5,FALSE)</f>
        <v>928</v>
      </c>
      <c r="C2093" t="s">
        <v>9</v>
      </c>
      <c r="D2093">
        <f>VLOOKUP(C2093,Sheet2!C:G,5,FALSE)</f>
        <v>1202</v>
      </c>
      <c r="E2093" t="s">
        <v>31</v>
      </c>
      <c r="F2093">
        <f>VLOOKUP(E2093,Sheet2!D:E,2,FALSE)</f>
        <v>1040</v>
      </c>
      <c r="G2093" t="s">
        <v>1824</v>
      </c>
      <c r="H2093" t="str">
        <f t="shared" si="64"/>
        <v>KAKAO348849</v>
      </c>
      <c r="I2093" t="str">
        <f>"348849"</f>
        <v>348849</v>
      </c>
      <c r="J2093">
        <v>12810</v>
      </c>
      <c r="K2093" s="1">
        <v>44866</v>
      </c>
      <c r="L2093" t="s">
        <v>1312</v>
      </c>
      <c r="M2093">
        <f t="shared" si="65"/>
        <v>12810</v>
      </c>
      <c r="N2093" t="e">
        <f>VLOOKUP(H2093,Sheet1!G:H,2,FALSE)</f>
        <v>#N/A</v>
      </c>
      <c r="R2093" t="s">
        <v>4017</v>
      </c>
      <c r="S2093">
        <v>1350</v>
      </c>
    </row>
    <row r="2094" spans="1:19" x14ac:dyDescent="0.3">
      <c r="A2094" t="s">
        <v>8</v>
      </c>
      <c r="B2094">
        <f>VLOOKUP(A2094,Sheet2!B:F,5,FALSE)</f>
        <v>928</v>
      </c>
      <c r="C2094" t="s">
        <v>9</v>
      </c>
      <c r="D2094">
        <f>VLOOKUP(C2094,Sheet2!C:G,5,FALSE)</f>
        <v>1202</v>
      </c>
      <c r="E2094" t="s">
        <v>75</v>
      </c>
      <c r="F2094">
        <f>VLOOKUP(E2094,Sheet2!D:E,2,FALSE)</f>
        <v>50</v>
      </c>
      <c r="G2094" t="s">
        <v>1824</v>
      </c>
      <c r="H2094" t="str">
        <f t="shared" si="64"/>
        <v>KAKAO353552</v>
      </c>
      <c r="I2094" t="str">
        <f>"353552"</f>
        <v>353552</v>
      </c>
      <c r="J2094">
        <v>113430</v>
      </c>
      <c r="K2094" s="1">
        <v>44866</v>
      </c>
      <c r="L2094" t="s">
        <v>76</v>
      </c>
      <c r="M2094">
        <f t="shared" si="65"/>
        <v>113430</v>
      </c>
      <c r="N2094" t="e">
        <f>VLOOKUP(H2094,Sheet1!G:H,2,FALSE)</f>
        <v>#N/A</v>
      </c>
      <c r="R2094" t="s">
        <v>4018</v>
      </c>
      <c r="S2094">
        <v>28790</v>
      </c>
    </row>
    <row r="2095" spans="1:19" x14ac:dyDescent="0.3">
      <c r="A2095" t="s">
        <v>8</v>
      </c>
      <c r="B2095">
        <f>VLOOKUP(A2095,Sheet2!B:F,5,FALSE)</f>
        <v>928</v>
      </c>
      <c r="C2095" t="s">
        <v>9</v>
      </c>
      <c r="D2095">
        <f>VLOOKUP(C2095,Sheet2!C:G,5,FALSE)</f>
        <v>1202</v>
      </c>
      <c r="E2095" t="s">
        <v>73</v>
      </c>
      <c r="F2095">
        <f>VLOOKUP(E2095,Sheet2!D:E,2,FALSE)</f>
        <v>895</v>
      </c>
      <c r="G2095" t="s">
        <v>1824</v>
      </c>
      <c r="H2095" t="str">
        <f t="shared" si="64"/>
        <v>KAKAO355646</v>
      </c>
      <c r="I2095" t="str">
        <f>"355646"</f>
        <v>355646</v>
      </c>
      <c r="J2095">
        <v>1330</v>
      </c>
      <c r="K2095" s="1">
        <v>44866</v>
      </c>
      <c r="L2095" t="s">
        <v>1894</v>
      </c>
      <c r="M2095">
        <f t="shared" si="65"/>
        <v>1330</v>
      </c>
      <c r="N2095" t="e">
        <f>VLOOKUP(H2095,Sheet1!G:H,2,FALSE)</f>
        <v>#N/A</v>
      </c>
      <c r="R2095" t="s">
        <v>4019</v>
      </c>
      <c r="S2095">
        <v>170250</v>
      </c>
    </row>
    <row r="2096" spans="1:19" x14ac:dyDescent="0.3">
      <c r="A2096" t="s">
        <v>8</v>
      </c>
      <c r="B2096">
        <f>VLOOKUP(A2096,Sheet2!B:F,5,FALSE)</f>
        <v>928</v>
      </c>
      <c r="C2096" t="s">
        <v>9</v>
      </c>
      <c r="D2096">
        <f>VLOOKUP(C2096,Sheet2!C:G,5,FALSE)</f>
        <v>1202</v>
      </c>
      <c r="E2096" t="s">
        <v>37</v>
      </c>
      <c r="F2096">
        <f>VLOOKUP(E2096,Sheet2!D:E,2,FALSE)</f>
        <v>81</v>
      </c>
      <c r="G2096" t="s">
        <v>1824</v>
      </c>
      <c r="H2096" t="str">
        <f t="shared" si="64"/>
        <v>KAKAO355797</v>
      </c>
      <c r="I2096" t="str">
        <f>"355797"</f>
        <v>355797</v>
      </c>
      <c r="J2096">
        <v>144160</v>
      </c>
      <c r="K2096" s="1">
        <v>44866</v>
      </c>
      <c r="L2096" t="s">
        <v>1252</v>
      </c>
      <c r="M2096">
        <f t="shared" si="65"/>
        <v>144160</v>
      </c>
      <c r="N2096" t="e">
        <f>VLOOKUP(H2096,Sheet1!G:H,2,FALSE)</f>
        <v>#N/A</v>
      </c>
      <c r="R2096" t="s">
        <v>4020</v>
      </c>
      <c r="S2096">
        <v>16600</v>
      </c>
    </row>
    <row r="2097" spans="1:19" x14ac:dyDescent="0.3">
      <c r="A2097" t="s">
        <v>8</v>
      </c>
      <c r="B2097">
        <f>VLOOKUP(A2097,Sheet2!B:F,5,FALSE)</f>
        <v>928</v>
      </c>
      <c r="C2097" t="s">
        <v>9</v>
      </c>
      <c r="D2097">
        <f>VLOOKUP(C2097,Sheet2!C:G,5,FALSE)</f>
        <v>1202</v>
      </c>
      <c r="E2097" t="s">
        <v>142</v>
      </c>
      <c r="F2097">
        <f>VLOOKUP(E2097,Sheet2!D:E,2,FALSE)</f>
        <v>652</v>
      </c>
      <c r="G2097" t="s">
        <v>1824</v>
      </c>
      <c r="H2097" t="str">
        <f t="shared" si="64"/>
        <v>KAKAO367135</v>
      </c>
      <c r="I2097" t="str">
        <f>"367135"</f>
        <v>367135</v>
      </c>
      <c r="J2097">
        <v>110</v>
      </c>
      <c r="K2097" s="1">
        <v>44866</v>
      </c>
      <c r="L2097" t="s">
        <v>1737</v>
      </c>
      <c r="M2097">
        <f t="shared" si="65"/>
        <v>110</v>
      </c>
      <c r="N2097" t="e">
        <f>VLOOKUP(H2097,Sheet1!G:H,2,FALSE)</f>
        <v>#N/A</v>
      </c>
      <c r="R2097" t="s">
        <v>4021</v>
      </c>
      <c r="S2097">
        <v>2643740</v>
      </c>
    </row>
    <row r="2098" spans="1:19" x14ac:dyDescent="0.3">
      <c r="A2098" t="s">
        <v>8</v>
      </c>
      <c r="B2098">
        <f>VLOOKUP(A2098,Sheet2!B:F,5,FALSE)</f>
        <v>928</v>
      </c>
      <c r="C2098" t="s">
        <v>9</v>
      </c>
      <c r="D2098">
        <f>VLOOKUP(C2098,Sheet2!C:G,5,FALSE)</f>
        <v>1202</v>
      </c>
      <c r="E2098" t="s">
        <v>47</v>
      </c>
      <c r="F2098">
        <f>VLOOKUP(E2098,Sheet2!D:E,2,FALSE)</f>
        <v>898</v>
      </c>
      <c r="G2098" t="s">
        <v>1824</v>
      </c>
      <c r="H2098" t="str">
        <f t="shared" si="64"/>
        <v>KAKAO368500</v>
      </c>
      <c r="I2098" t="str">
        <f>"368500"</f>
        <v>368500</v>
      </c>
      <c r="J2098">
        <v>210</v>
      </c>
      <c r="K2098" s="1">
        <v>44866</v>
      </c>
      <c r="L2098" t="s">
        <v>1895</v>
      </c>
      <c r="M2098">
        <f t="shared" si="65"/>
        <v>210</v>
      </c>
      <c r="N2098" t="e">
        <f>VLOOKUP(H2098,Sheet1!G:H,2,FALSE)</f>
        <v>#N/A</v>
      </c>
      <c r="R2098" t="s">
        <v>4022</v>
      </c>
      <c r="S2098">
        <v>327930</v>
      </c>
    </row>
    <row r="2099" spans="1:19" x14ac:dyDescent="0.3">
      <c r="A2099" t="s">
        <v>8</v>
      </c>
      <c r="B2099">
        <f>VLOOKUP(A2099,Sheet2!B:F,5,FALSE)</f>
        <v>928</v>
      </c>
      <c r="C2099" t="s">
        <v>9</v>
      </c>
      <c r="D2099">
        <f>VLOOKUP(C2099,Sheet2!C:G,5,FALSE)</f>
        <v>1202</v>
      </c>
      <c r="E2099" t="s">
        <v>27</v>
      </c>
      <c r="F2099">
        <f>VLOOKUP(E2099,Sheet2!D:E,2,FALSE)</f>
        <v>806</v>
      </c>
      <c r="G2099" t="s">
        <v>1824</v>
      </c>
      <c r="H2099" t="str">
        <f t="shared" si="64"/>
        <v>KAKAO369642</v>
      </c>
      <c r="I2099" t="str">
        <f>"369642"</f>
        <v>369642</v>
      </c>
      <c r="J2099">
        <v>329940</v>
      </c>
      <c r="K2099" s="1">
        <v>44866</v>
      </c>
      <c r="L2099" t="s">
        <v>442</v>
      </c>
      <c r="M2099">
        <f t="shared" si="65"/>
        <v>329940</v>
      </c>
      <c r="N2099" t="e">
        <f>VLOOKUP(H2099,Sheet1!G:H,2,FALSE)</f>
        <v>#N/A</v>
      </c>
      <c r="R2099" t="s">
        <v>4023</v>
      </c>
      <c r="S2099">
        <v>41920</v>
      </c>
    </row>
    <row r="2100" spans="1:19" x14ac:dyDescent="0.3">
      <c r="A2100" t="s">
        <v>8</v>
      </c>
      <c r="B2100">
        <f>VLOOKUP(A2100,Sheet2!B:F,5,FALSE)</f>
        <v>928</v>
      </c>
      <c r="C2100" t="s">
        <v>13</v>
      </c>
      <c r="D2100">
        <f>VLOOKUP(C2100,Sheet2!C:G,5,FALSE)</f>
        <v>1184</v>
      </c>
      <c r="E2100" t="s">
        <v>51</v>
      </c>
      <c r="F2100">
        <f>VLOOKUP(E2100,Sheet2!D:E,2,FALSE)</f>
        <v>1274</v>
      </c>
      <c r="G2100" t="s">
        <v>1824</v>
      </c>
      <c r="H2100" t="str">
        <f t="shared" si="64"/>
        <v>KAKAO373876</v>
      </c>
      <c r="I2100" t="str">
        <f>"373876"</f>
        <v>373876</v>
      </c>
      <c r="J2100">
        <v>19650</v>
      </c>
      <c r="K2100" s="1">
        <v>44866</v>
      </c>
      <c r="L2100" t="s">
        <v>1463</v>
      </c>
      <c r="M2100">
        <f t="shared" si="65"/>
        <v>19650</v>
      </c>
      <c r="N2100" t="e">
        <f>VLOOKUP(H2100,Sheet1!G:H,2,FALSE)</f>
        <v>#N/A</v>
      </c>
      <c r="R2100" t="s">
        <v>4024</v>
      </c>
      <c r="S2100">
        <v>6990</v>
      </c>
    </row>
    <row r="2101" spans="1:19" x14ac:dyDescent="0.3">
      <c r="A2101" t="s">
        <v>16</v>
      </c>
      <c r="B2101">
        <f>VLOOKUP(A2101,Sheet2!B:F,5,FALSE)</f>
        <v>927</v>
      </c>
      <c r="C2101" t="s">
        <v>17</v>
      </c>
      <c r="D2101">
        <f>VLOOKUP(C2101,Sheet2!C:G,5,FALSE)</f>
        <v>1200</v>
      </c>
      <c r="E2101" t="s">
        <v>371</v>
      </c>
      <c r="F2101">
        <f>VLOOKUP(E2101,Sheet2!D:E,2,FALSE)</f>
        <v>551</v>
      </c>
      <c r="G2101" t="s">
        <v>1824</v>
      </c>
      <c r="H2101" t="str">
        <f t="shared" si="64"/>
        <v>KAKAO373995</v>
      </c>
      <c r="I2101" t="str">
        <f>"373995"</f>
        <v>373995</v>
      </c>
      <c r="J2101">
        <v>6450</v>
      </c>
      <c r="K2101" s="1">
        <v>44866</v>
      </c>
      <c r="L2101" t="s">
        <v>1896</v>
      </c>
      <c r="M2101" t="e">
        <f t="shared" si="65"/>
        <v>#N/A</v>
      </c>
      <c r="N2101" t="e">
        <f>VLOOKUP(H2101,Sheet1!G:H,2,FALSE)</f>
        <v>#N/A</v>
      </c>
      <c r="R2101" t="s">
        <v>4025</v>
      </c>
      <c r="S2101">
        <v>651740</v>
      </c>
    </row>
    <row r="2102" spans="1:19" x14ac:dyDescent="0.3">
      <c r="A2102" t="s">
        <v>8</v>
      </c>
      <c r="B2102">
        <f>VLOOKUP(A2102,Sheet2!B:F,5,FALSE)</f>
        <v>928</v>
      </c>
      <c r="C2102" t="s">
        <v>9</v>
      </c>
      <c r="D2102">
        <f>VLOOKUP(C2102,Sheet2!C:G,5,FALSE)</f>
        <v>1202</v>
      </c>
      <c r="E2102" t="s">
        <v>33</v>
      </c>
      <c r="F2102">
        <f>VLOOKUP(E2102,Sheet2!D:E,2,FALSE)</f>
        <v>933</v>
      </c>
      <c r="G2102" t="s">
        <v>1824</v>
      </c>
      <c r="H2102" t="str">
        <f t="shared" si="64"/>
        <v>KAKAO383812</v>
      </c>
      <c r="I2102" t="str">
        <f>"383812"</f>
        <v>383812</v>
      </c>
      <c r="J2102">
        <v>92330</v>
      </c>
      <c r="K2102" s="1">
        <v>44866</v>
      </c>
      <c r="L2102" t="s">
        <v>147</v>
      </c>
      <c r="M2102">
        <f t="shared" si="65"/>
        <v>92330</v>
      </c>
      <c r="N2102" t="e">
        <f>VLOOKUP(H2102,Sheet1!G:H,2,FALSE)</f>
        <v>#N/A</v>
      </c>
      <c r="R2102" t="s">
        <v>4026</v>
      </c>
      <c r="S2102">
        <v>23490</v>
      </c>
    </row>
    <row r="2103" spans="1:19" x14ac:dyDescent="0.3">
      <c r="A2103" t="s">
        <v>16</v>
      </c>
      <c r="B2103">
        <f>VLOOKUP(A2103,Sheet2!B:F,5,FALSE)</f>
        <v>927</v>
      </c>
      <c r="C2103" t="s">
        <v>17</v>
      </c>
      <c r="D2103">
        <f>VLOOKUP(C2103,Sheet2!C:G,5,FALSE)</f>
        <v>1200</v>
      </c>
      <c r="E2103" t="s">
        <v>78</v>
      </c>
      <c r="F2103">
        <f>VLOOKUP(E2103,Sheet2!D:E,2,FALSE)</f>
        <v>57</v>
      </c>
      <c r="G2103" t="s">
        <v>1824</v>
      </c>
      <c r="H2103" t="str">
        <f t="shared" si="64"/>
        <v>KAKAO384461</v>
      </c>
      <c r="I2103" t="str">
        <f>"384461"</f>
        <v>384461</v>
      </c>
      <c r="J2103">
        <v>16170</v>
      </c>
      <c r="K2103" s="1">
        <v>44866</v>
      </c>
      <c r="L2103" t="s">
        <v>1749</v>
      </c>
      <c r="M2103">
        <f t="shared" si="65"/>
        <v>16170</v>
      </c>
      <c r="N2103" t="e">
        <f>VLOOKUP(H2103,Sheet1!G:H,2,FALSE)</f>
        <v>#N/A</v>
      </c>
      <c r="R2103" t="s">
        <v>4027</v>
      </c>
      <c r="S2103">
        <v>631060</v>
      </c>
    </row>
    <row r="2104" spans="1:19" x14ac:dyDescent="0.3">
      <c r="A2104" t="s">
        <v>16</v>
      </c>
      <c r="B2104">
        <f>VLOOKUP(A2104,Sheet2!B:F,5,FALSE)</f>
        <v>927</v>
      </c>
      <c r="C2104" t="s">
        <v>17</v>
      </c>
      <c r="D2104">
        <f>VLOOKUP(C2104,Sheet2!C:G,5,FALSE)</f>
        <v>1200</v>
      </c>
      <c r="E2104" t="s">
        <v>137</v>
      </c>
      <c r="F2104">
        <f>VLOOKUP(E2104,Sheet2!D:E,2,FALSE)</f>
        <v>1012</v>
      </c>
      <c r="G2104" t="s">
        <v>1824</v>
      </c>
      <c r="H2104" t="str">
        <f t="shared" si="64"/>
        <v>KAKAO387552</v>
      </c>
      <c r="I2104" t="str">
        <f>"387552"</f>
        <v>387552</v>
      </c>
      <c r="J2104">
        <v>1350</v>
      </c>
      <c r="K2104" s="1">
        <v>44866</v>
      </c>
      <c r="L2104" t="s">
        <v>1897</v>
      </c>
      <c r="M2104">
        <f t="shared" si="65"/>
        <v>1350</v>
      </c>
      <c r="N2104" t="e">
        <f>VLOOKUP(H2104,Sheet1!G:H,2,FALSE)</f>
        <v>#N/A</v>
      </c>
      <c r="R2104" t="s">
        <v>4028</v>
      </c>
      <c r="S2104">
        <v>157890</v>
      </c>
    </row>
    <row r="2105" spans="1:19" x14ac:dyDescent="0.3">
      <c r="A2105" t="s">
        <v>41</v>
      </c>
      <c r="B2105">
        <f>VLOOKUP(A2105,Sheet2!B:F,5,FALSE)</f>
        <v>926</v>
      </c>
      <c r="C2105" t="s">
        <v>56</v>
      </c>
      <c r="D2105">
        <f>VLOOKUP(C2105,Sheet2!C:G,5,FALSE)</f>
        <v>1207</v>
      </c>
      <c r="E2105" t="s">
        <v>91</v>
      </c>
      <c r="F2105">
        <f>VLOOKUP(E2105,Sheet2!D:E,2,FALSE)</f>
        <v>201104</v>
      </c>
      <c r="G2105" t="s">
        <v>1824</v>
      </c>
      <c r="H2105" t="str">
        <f t="shared" si="64"/>
        <v>KAKAO387600</v>
      </c>
      <c r="I2105" t="str">
        <f>"387600"</f>
        <v>387600</v>
      </c>
      <c r="J2105">
        <v>1370</v>
      </c>
      <c r="K2105" s="1">
        <v>44866</v>
      </c>
      <c r="L2105" t="s">
        <v>1898</v>
      </c>
      <c r="M2105">
        <f t="shared" si="65"/>
        <v>1370</v>
      </c>
      <c r="N2105" t="e">
        <f>VLOOKUP(H2105,Sheet1!G:H,2,FALSE)</f>
        <v>#N/A</v>
      </c>
      <c r="R2105" t="s">
        <v>4029</v>
      </c>
      <c r="S2105">
        <v>1820</v>
      </c>
    </row>
    <row r="2106" spans="1:19" x14ac:dyDescent="0.3">
      <c r="A2106" t="s">
        <v>8</v>
      </c>
      <c r="B2106">
        <f>VLOOKUP(A2106,Sheet2!B:F,5,FALSE)</f>
        <v>928</v>
      </c>
      <c r="C2106" t="s">
        <v>9</v>
      </c>
      <c r="D2106">
        <f>VLOOKUP(C2106,Sheet2!C:G,5,FALSE)</f>
        <v>1202</v>
      </c>
      <c r="E2106" t="s">
        <v>10</v>
      </c>
      <c r="F2106">
        <f>VLOOKUP(E2106,Sheet2!D:E,2,FALSE)</f>
        <v>939</v>
      </c>
      <c r="G2106" t="s">
        <v>1824</v>
      </c>
      <c r="H2106" t="str">
        <f t="shared" si="64"/>
        <v>KAKAO389819</v>
      </c>
      <c r="I2106" t="str">
        <f>"389819"</f>
        <v>389819</v>
      </c>
      <c r="J2106">
        <v>70</v>
      </c>
      <c r="K2106" s="1">
        <v>44866</v>
      </c>
      <c r="L2106" t="s">
        <v>1899</v>
      </c>
      <c r="M2106" t="e">
        <f t="shared" si="65"/>
        <v>#N/A</v>
      </c>
      <c r="N2106" t="e">
        <f>VLOOKUP(H2106,Sheet1!G:H,2,FALSE)</f>
        <v>#N/A</v>
      </c>
      <c r="R2106" t="s">
        <v>4030</v>
      </c>
      <c r="S2106">
        <v>221610</v>
      </c>
    </row>
    <row r="2107" spans="1:19" x14ac:dyDescent="0.3">
      <c r="A2107" t="s">
        <v>8</v>
      </c>
      <c r="B2107">
        <f>VLOOKUP(A2107,Sheet2!B:F,5,FALSE)</f>
        <v>928</v>
      </c>
      <c r="C2107" t="s">
        <v>9</v>
      </c>
      <c r="D2107">
        <f>VLOOKUP(C2107,Sheet2!C:G,5,FALSE)</f>
        <v>1202</v>
      </c>
      <c r="E2107" t="s">
        <v>27</v>
      </c>
      <c r="F2107">
        <f>VLOOKUP(E2107,Sheet2!D:E,2,FALSE)</f>
        <v>806</v>
      </c>
      <c r="G2107" t="s">
        <v>1824</v>
      </c>
      <c r="H2107" t="str">
        <f t="shared" si="64"/>
        <v>KAKAO391969</v>
      </c>
      <c r="I2107" t="str">
        <f>"391969"</f>
        <v>391969</v>
      </c>
      <c r="J2107">
        <v>2610</v>
      </c>
      <c r="K2107" s="1">
        <v>44866</v>
      </c>
      <c r="L2107" t="s">
        <v>1900</v>
      </c>
      <c r="M2107">
        <f t="shared" si="65"/>
        <v>2610</v>
      </c>
      <c r="N2107" t="e">
        <f>VLOOKUP(H2107,Sheet1!G:H,2,FALSE)</f>
        <v>#N/A</v>
      </c>
      <c r="R2107" t="s">
        <v>4031</v>
      </c>
      <c r="S2107">
        <v>57720</v>
      </c>
    </row>
    <row r="2108" spans="1:19" x14ac:dyDescent="0.3">
      <c r="A2108" t="s">
        <v>8</v>
      </c>
      <c r="B2108">
        <f>VLOOKUP(A2108,Sheet2!B:F,5,FALSE)</f>
        <v>928</v>
      </c>
      <c r="C2108" t="s">
        <v>9</v>
      </c>
      <c r="D2108">
        <f>VLOOKUP(C2108,Sheet2!C:G,5,FALSE)</f>
        <v>1202</v>
      </c>
      <c r="E2108" t="s">
        <v>110</v>
      </c>
      <c r="F2108">
        <f>VLOOKUP(E2108,Sheet2!D:E,2,FALSE)</f>
        <v>929</v>
      </c>
      <c r="G2108" t="s">
        <v>1824</v>
      </c>
      <c r="H2108" t="str">
        <f t="shared" si="64"/>
        <v>KAKAO396616</v>
      </c>
      <c r="I2108" t="str">
        <f>"396616"</f>
        <v>396616</v>
      </c>
      <c r="J2108">
        <v>626780</v>
      </c>
      <c r="K2108" s="1">
        <v>44866</v>
      </c>
      <c r="L2108" t="s">
        <v>960</v>
      </c>
      <c r="M2108">
        <f t="shared" si="65"/>
        <v>626780</v>
      </c>
      <c r="N2108" t="e">
        <f>VLOOKUP(H2108,Sheet1!G:H,2,FALSE)</f>
        <v>#N/A</v>
      </c>
      <c r="R2108" t="s">
        <v>4032</v>
      </c>
      <c r="S2108">
        <v>102920</v>
      </c>
    </row>
    <row r="2109" spans="1:19" x14ac:dyDescent="0.3">
      <c r="A2109" t="s">
        <v>8</v>
      </c>
      <c r="B2109">
        <f>VLOOKUP(A2109,Sheet2!B:F,5,FALSE)</f>
        <v>928</v>
      </c>
      <c r="C2109" t="s">
        <v>9</v>
      </c>
      <c r="D2109">
        <f>VLOOKUP(C2109,Sheet2!C:G,5,FALSE)</f>
        <v>1202</v>
      </c>
      <c r="E2109" t="s">
        <v>391</v>
      </c>
      <c r="F2109">
        <f>VLOOKUP(E2109,Sheet2!D:E,2,FALSE)</f>
        <v>1216</v>
      </c>
      <c r="G2109" t="s">
        <v>1824</v>
      </c>
      <c r="H2109" t="str">
        <f t="shared" si="64"/>
        <v>KAKAO397019</v>
      </c>
      <c r="I2109" t="str">
        <f>"397019"</f>
        <v>397019</v>
      </c>
      <c r="J2109">
        <v>312640</v>
      </c>
      <c r="K2109" s="1">
        <v>44866</v>
      </c>
      <c r="L2109" t="s">
        <v>1342</v>
      </c>
      <c r="M2109">
        <f t="shared" si="65"/>
        <v>312640</v>
      </c>
      <c r="N2109" t="e">
        <f>VLOOKUP(H2109,Sheet1!G:H,2,FALSE)</f>
        <v>#N/A</v>
      </c>
      <c r="R2109" t="s">
        <v>4033</v>
      </c>
      <c r="S2109">
        <v>2725390</v>
      </c>
    </row>
    <row r="2110" spans="1:19" x14ac:dyDescent="0.3">
      <c r="A2110" t="s">
        <v>8</v>
      </c>
      <c r="B2110">
        <f>VLOOKUP(A2110,Sheet2!B:F,5,FALSE)</f>
        <v>928</v>
      </c>
      <c r="C2110" t="s">
        <v>167</v>
      </c>
      <c r="D2110">
        <f>VLOOKUP(C2110,Sheet2!C:G,5,FALSE)</f>
        <v>935</v>
      </c>
      <c r="E2110" t="s">
        <v>168</v>
      </c>
      <c r="F2110">
        <f>VLOOKUP(E2110,Sheet2!D:E,2,FALSE)</f>
        <v>2</v>
      </c>
      <c r="G2110" t="s">
        <v>1824</v>
      </c>
      <c r="H2110" t="str">
        <f t="shared" si="64"/>
        <v>KAKAO405901</v>
      </c>
      <c r="I2110" t="str">
        <f>"405901"</f>
        <v>405901</v>
      </c>
      <c r="J2110">
        <v>70</v>
      </c>
      <c r="K2110" s="1">
        <v>44866</v>
      </c>
      <c r="L2110" t="s">
        <v>1901</v>
      </c>
      <c r="M2110">
        <f t="shared" si="65"/>
        <v>70</v>
      </c>
      <c r="N2110" t="e">
        <f>VLOOKUP(H2110,Sheet1!G:H,2,FALSE)</f>
        <v>#N/A</v>
      </c>
      <c r="R2110" t="s">
        <v>4034</v>
      </c>
      <c r="S2110">
        <v>28210900</v>
      </c>
    </row>
    <row r="2111" spans="1:19" x14ac:dyDescent="0.3">
      <c r="A2111" t="s">
        <v>8</v>
      </c>
      <c r="B2111">
        <f>VLOOKUP(A2111,Sheet2!B:F,5,FALSE)</f>
        <v>928</v>
      </c>
      <c r="C2111" t="s">
        <v>9</v>
      </c>
      <c r="D2111">
        <f>VLOOKUP(C2111,Sheet2!C:G,5,FALSE)</f>
        <v>1202</v>
      </c>
      <c r="E2111" t="s">
        <v>39</v>
      </c>
      <c r="F2111">
        <f>VLOOKUP(E2111,Sheet2!D:E,2,FALSE)</f>
        <v>25</v>
      </c>
      <c r="G2111" t="s">
        <v>1824</v>
      </c>
      <c r="H2111" t="str">
        <f t="shared" si="64"/>
        <v>KAKAO406796</v>
      </c>
      <c r="I2111" t="str">
        <f>"406796"</f>
        <v>406796</v>
      </c>
      <c r="J2111">
        <v>49070</v>
      </c>
      <c r="K2111" s="1">
        <v>44866</v>
      </c>
      <c r="L2111" t="s">
        <v>668</v>
      </c>
      <c r="M2111" t="e">
        <f t="shared" si="65"/>
        <v>#N/A</v>
      </c>
      <c r="N2111" t="e">
        <f>VLOOKUP(H2111,Sheet1!G:H,2,FALSE)</f>
        <v>#N/A</v>
      </c>
      <c r="R2111" t="s">
        <v>4035</v>
      </c>
      <c r="S2111">
        <v>1280620</v>
      </c>
    </row>
    <row r="2112" spans="1:19" x14ac:dyDescent="0.3">
      <c r="A2112" t="s">
        <v>8</v>
      </c>
      <c r="B2112">
        <f>VLOOKUP(A2112,Sheet2!B:F,5,FALSE)</f>
        <v>928</v>
      </c>
      <c r="C2112" t="s">
        <v>167</v>
      </c>
      <c r="D2112">
        <f>VLOOKUP(C2112,Sheet2!C:G,5,FALSE)</f>
        <v>935</v>
      </c>
      <c r="E2112" t="s">
        <v>168</v>
      </c>
      <c r="F2112">
        <f>VLOOKUP(E2112,Sheet2!D:E,2,FALSE)</f>
        <v>2</v>
      </c>
      <c r="G2112" t="s">
        <v>1824</v>
      </c>
      <c r="H2112" t="str">
        <f t="shared" si="64"/>
        <v>KAKAO413996</v>
      </c>
      <c r="I2112" t="str">
        <f>"413996"</f>
        <v>413996</v>
      </c>
      <c r="J2112">
        <v>117660</v>
      </c>
      <c r="K2112" s="1">
        <v>44866</v>
      </c>
      <c r="L2112" t="s">
        <v>1275</v>
      </c>
      <c r="M2112">
        <f t="shared" si="65"/>
        <v>7300</v>
      </c>
      <c r="N2112" t="e">
        <f>VLOOKUP(H2112,Sheet1!G:H,2,FALSE)</f>
        <v>#N/A</v>
      </c>
      <c r="R2112" t="s">
        <v>4036</v>
      </c>
      <c r="S2112">
        <v>102210</v>
      </c>
    </row>
    <row r="2113" spans="1:19" x14ac:dyDescent="0.3">
      <c r="A2113" t="s">
        <v>176</v>
      </c>
      <c r="B2113">
        <f>VLOOKUP(A2113,Sheet2!B:F,5,FALSE)</f>
        <v>1204</v>
      </c>
      <c r="C2113" t="s">
        <v>177</v>
      </c>
      <c r="D2113">
        <f>VLOOKUP(C2113,Sheet2!C:G,5,FALSE)</f>
        <v>1205</v>
      </c>
      <c r="E2113" t="s">
        <v>178</v>
      </c>
      <c r="F2113">
        <f>VLOOKUP(E2113,Sheet2!D:E,2,FALSE)</f>
        <v>201073</v>
      </c>
      <c r="G2113" t="s">
        <v>1824</v>
      </c>
      <c r="H2113" t="str">
        <f t="shared" si="64"/>
        <v>KAKAO416919</v>
      </c>
      <c r="I2113" t="str">
        <f>"416919"</f>
        <v>416919</v>
      </c>
      <c r="J2113">
        <v>56300</v>
      </c>
      <c r="K2113" s="1">
        <v>44866</v>
      </c>
      <c r="L2113" t="s">
        <v>365</v>
      </c>
      <c r="M2113">
        <f t="shared" si="65"/>
        <v>56300</v>
      </c>
      <c r="N2113" t="e">
        <f>VLOOKUP(H2113,Sheet1!G:H,2,FALSE)</f>
        <v>#N/A</v>
      </c>
      <c r="R2113" t="s">
        <v>4037</v>
      </c>
      <c r="S2113">
        <v>225290</v>
      </c>
    </row>
    <row r="2114" spans="1:19" x14ac:dyDescent="0.3">
      <c r="A2114" t="s">
        <v>22</v>
      </c>
      <c r="B2114">
        <f>VLOOKUP(A2114,Sheet2!B:F,5,FALSE)</f>
        <v>809</v>
      </c>
      <c r="C2114" t="s">
        <v>23</v>
      </c>
      <c r="D2114">
        <f>VLOOKUP(C2114,Sheet2!C:G,5,FALSE)</f>
        <v>810</v>
      </c>
      <c r="E2114" t="s">
        <v>428</v>
      </c>
      <c r="F2114">
        <f>VLOOKUP(E2114,Sheet2!D:E,2,FALSE)</f>
        <v>201062</v>
      </c>
      <c r="G2114" t="s">
        <v>1824</v>
      </c>
      <c r="H2114" t="str">
        <f t="shared" si="64"/>
        <v>KAKAO419042</v>
      </c>
      <c r="I2114" t="str">
        <f>"419042"</f>
        <v>419042</v>
      </c>
      <c r="J2114">
        <v>523810</v>
      </c>
      <c r="K2114" s="1">
        <v>44866</v>
      </c>
      <c r="L2114" t="s">
        <v>1902</v>
      </c>
      <c r="M2114">
        <f t="shared" si="65"/>
        <v>523810</v>
      </c>
      <c r="N2114" t="e">
        <f>VLOOKUP(H2114,Sheet1!G:H,2,FALSE)</f>
        <v>#N/A</v>
      </c>
      <c r="R2114" t="s">
        <v>4038</v>
      </c>
      <c r="S2114">
        <v>520</v>
      </c>
    </row>
    <row r="2115" spans="1:19" x14ac:dyDescent="0.3">
      <c r="A2115" t="s">
        <v>16</v>
      </c>
      <c r="B2115">
        <f>VLOOKUP(A2115,Sheet2!B:F,5,FALSE)</f>
        <v>927</v>
      </c>
      <c r="C2115" t="s">
        <v>17</v>
      </c>
      <c r="D2115">
        <f>VLOOKUP(C2115,Sheet2!C:G,5,FALSE)</f>
        <v>1200</v>
      </c>
      <c r="E2115" t="s">
        <v>262</v>
      </c>
      <c r="F2115">
        <f>VLOOKUP(E2115,Sheet2!D:E,2,FALSE)</f>
        <v>1594</v>
      </c>
      <c r="G2115" t="s">
        <v>1824</v>
      </c>
      <c r="H2115" t="str">
        <f t="shared" ref="H2115:H2178" si="66">CONCATENATE(G2115,I2115)</f>
        <v>KAKAO420212</v>
      </c>
      <c r="I2115" t="str">
        <f>"420212"</f>
        <v>420212</v>
      </c>
      <c r="J2115">
        <v>444630</v>
      </c>
      <c r="K2115" s="1">
        <v>44866</v>
      </c>
      <c r="L2115" t="s">
        <v>944</v>
      </c>
      <c r="M2115">
        <f t="shared" ref="M2115:M2178" si="67">VLOOKUP(H2115,R:S,2,FALSE)</f>
        <v>444630</v>
      </c>
      <c r="N2115" t="e">
        <f>VLOOKUP(H2115,Sheet1!G:H,2,FALSE)</f>
        <v>#N/A</v>
      </c>
      <c r="R2115" t="s">
        <v>4039</v>
      </c>
      <c r="S2115">
        <v>431110</v>
      </c>
    </row>
    <row r="2116" spans="1:19" x14ac:dyDescent="0.3">
      <c r="A2116" t="s">
        <v>8</v>
      </c>
      <c r="B2116">
        <f>VLOOKUP(A2116,Sheet2!B:F,5,FALSE)</f>
        <v>928</v>
      </c>
      <c r="C2116" t="s">
        <v>9</v>
      </c>
      <c r="D2116">
        <f>VLOOKUP(C2116,Sheet2!C:G,5,FALSE)</f>
        <v>1202</v>
      </c>
      <c r="E2116" t="s">
        <v>110</v>
      </c>
      <c r="F2116">
        <f>VLOOKUP(E2116,Sheet2!D:E,2,FALSE)</f>
        <v>929</v>
      </c>
      <c r="G2116" t="s">
        <v>1824</v>
      </c>
      <c r="H2116" t="str">
        <f t="shared" si="66"/>
        <v>KAKAO425660</v>
      </c>
      <c r="I2116" t="str">
        <f>"425660"</f>
        <v>425660</v>
      </c>
      <c r="J2116">
        <v>533250</v>
      </c>
      <c r="K2116" s="1">
        <v>44866</v>
      </c>
      <c r="L2116" t="s">
        <v>772</v>
      </c>
      <c r="M2116">
        <f t="shared" si="67"/>
        <v>533250</v>
      </c>
      <c r="N2116" t="e">
        <f>VLOOKUP(H2116,Sheet1!G:H,2,FALSE)</f>
        <v>#N/A</v>
      </c>
      <c r="R2116" t="s">
        <v>4040</v>
      </c>
      <c r="S2116">
        <v>5720</v>
      </c>
    </row>
    <row r="2117" spans="1:19" x14ac:dyDescent="0.3">
      <c r="A2117" t="s">
        <v>41</v>
      </c>
      <c r="B2117">
        <f>VLOOKUP(A2117,Sheet2!B:F,5,FALSE)</f>
        <v>926</v>
      </c>
      <c r="C2117" t="s">
        <v>42</v>
      </c>
      <c r="D2117">
        <f>VLOOKUP(C2117,Sheet2!C:G,5,FALSE)</f>
        <v>964</v>
      </c>
      <c r="E2117" t="s">
        <v>43</v>
      </c>
      <c r="F2117">
        <f>VLOOKUP(E2117,Sheet2!D:E,2,FALSE)</f>
        <v>200998</v>
      </c>
      <c r="G2117" t="s">
        <v>1824</v>
      </c>
      <c r="H2117" t="str">
        <f t="shared" si="66"/>
        <v>KAKAO427163</v>
      </c>
      <c r="I2117" t="str">
        <f>"427163"</f>
        <v>427163</v>
      </c>
      <c r="J2117">
        <v>340</v>
      </c>
      <c r="K2117" s="1">
        <v>44866</v>
      </c>
      <c r="L2117" t="s">
        <v>1903</v>
      </c>
      <c r="M2117" t="e">
        <f t="shared" si="67"/>
        <v>#N/A</v>
      </c>
      <c r="N2117" t="e">
        <f>VLOOKUP(H2117,Sheet1!G:H,2,FALSE)</f>
        <v>#N/A</v>
      </c>
      <c r="R2117" t="s">
        <v>4041</v>
      </c>
      <c r="S2117">
        <v>650</v>
      </c>
    </row>
    <row r="2118" spans="1:19" x14ac:dyDescent="0.3">
      <c r="A2118" t="s">
        <v>8</v>
      </c>
      <c r="B2118">
        <f>VLOOKUP(A2118,Sheet2!B:F,5,FALSE)</f>
        <v>928</v>
      </c>
      <c r="C2118" t="s">
        <v>9</v>
      </c>
      <c r="D2118">
        <f>VLOOKUP(C2118,Sheet2!C:G,5,FALSE)</f>
        <v>1202</v>
      </c>
      <c r="E2118" t="s">
        <v>35</v>
      </c>
      <c r="F2118">
        <f>VLOOKUP(E2118,Sheet2!D:E,2,FALSE)</f>
        <v>51</v>
      </c>
      <c r="G2118" t="s">
        <v>1824</v>
      </c>
      <c r="H2118" t="str">
        <f t="shared" si="66"/>
        <v>KAKAO427706</v>
      </c>
      <c r="I2118" t="str">
        <f>"427706"</f>
        <v>427706</v>
      </c>
      <c r="J2118">
        <v>16060</v>
      </c>
      <c r="K2118" s="1">
        <v>44866</v>
      </c>
      <c r="L2118" t="s">
        <v>1904</v>
      </c>
      <c r="M2118">
        <f t="shared" si="67"/>
        <v>16060</v>
      </c>
      <c r="N2118" t="e">
        <f>VLOOKUP(H2118,Sheet1!G:H,2,FALSE)</f>
        <v>#N/A</v>
      </c>
      <c r="R2118" t="s">
        <v>4042</v>
      </c>
      <c r="S2118">
        <v>1608920</v>
      </c>
    </row>
    <row r="2119" spans="1:19" x14ac:dyDescent="0.3">
      <c r="A2119" t="s">
        <v>8</v>
      </c>
      <c r="B2119">
        <f>VLOOKUP(A2119,Sheet2!B:F,5,FALSE)</f>
        <v>928</v>
      </c>
      <c r="C2119" t="s">
        <v>13</v>
      </c>
      <c r="D2119">
        <f>VLOOKUP(C2119,Sheet2!C:G,5,FALSE)</f>
        <v>1184</v>
      </c>
      <c r="E2119" t="s">
        <v>102</v>
      </c>
      <c r="F2119">
        <f>VLOOKUP(E2119,Sheet2!D:E,2,FALSE)</f>
        <v>917</v>
      </c>
      <c r="G2119" t="s">
        <v>1824</v>
      </c>
      <c r="H2119" t="str">
        <f t="shared" si="66"/>
        <v>KAKAO437092</v>
      </c>
      <c r="I2119" t="str">
        <f>"437092"</f>
        <v>437092</v>
      </c>
      <c r="J2119">
        <v>2270</v>
      </c>
      <c r="K2119" s="1">
        <v>44866</v>
      </c>
      <c r="L2119" t="s">
        <v>1512</v>
      </c>
      <c r="M2119">
        <f t="shared" si="67"/>
        <v>2270</v>
      </c>
      <c r="N2119" t="e">
        <f>VLOOKUP(H2119,Sheet1!G:H,2,FALSE)</f>
        <v>#N/A</v>
      </c>
      <c r="R2119" t="s">
        <v>4043</v>
      </c>
      <c r="S2119">
        <v>9740</v>
      </c>
    </row>
    <row r="2120" spans="1:19" x14ac:dyDescent="0.3">
      <c r="A2120" t="s">
        <v>41</v>
      </c>
      <c r="B2120">
        <f>VLOOKUP(A2120,Sheet2!B:F,5,FALSE)</f>
        <v>926</v>
      </c>
      <c r="C2120" t="s">
        <v>56</v>
      </c>
      <c r="D2120">
        <f>VLOOKUP(C2120,Sheet2!C:G,5,FALSE)</f>
        <v>1207</v>
      </c>
      <c r="E2120" t="s">
        <v>57</v>
      </c>
      <c r="F2120">
        <f>VLOOKUP(E2120,Sheet2!D:E,2,FALSE)</f>
        <v>200982</v>
      </c>
      <c r="G2120" t="s">
        <v>1824</v>
      </c>
      <c r="H2120" t="str">
        <f t="shared" si="66"/>
        <v>KAKAO446076</v>
      </c>
      <c r="I2120" t="str">
        <f>"446076"</f>
        <v>446076</v>
      </c>
      <c r="J2120">
        <v>280</v>
      </c>
      <c r="K2120" s="1">
        <v>44866</v>
      </c>
      <c r="L2120" t="s">
        <v>1821</v>
      </c>
      <c r="M2120">
        <f t="shared" si="67"/>
        <v>280</v>
      </c>
      <c r="N2120" t="e">
        <f>VLOOKUP(H2120,Sheet1!G:H,2,FALSE)</f>
        <v>#N/A</v>
      </c>
      <c r="R2120" t="s">
        <v>4044</v>
      </c>
      <c r="S2120">
        <v>25600</v>
      </c>
    </row>
    <row r="2121" spans="1:19" x14ac:dyDescent="0.3">
      <c r="A2121" t="s">
        <v>8</v>
      </c>
      <c r="B2121">
        <f>VLOOKUP(A2121,Sheet2!B:F,5,FALSE)</f>
        <v>928</v>
      </c>
      <c r="C2121" t="s">
        <v>13</v>
      </c>
      <c r="D2121">
        <f>VLOOKUP(C2121,Sheet2!C:G,5,FALSE)</f>
        <v>1184</v>
      </c>
      <c r="E2121" t="s">
        <v>374</v>
      </c>
      <c r="F2121">
        <f>VLOOKUP(E2121,Sheet2!D:E,2,FALSE)</f>
        <v>201022</v>
      </c>
      <c r="G2121" t="s">
        <v>1824</v>
      </c>
      <c r="H2121" t="str">
        <f t="shared" si="66"/>
        <v>KAKAO457524</v>
      </c>
      <c r="I2121" t="str">
        <f>"457524"</f>
        <v>457524</v>
      </c>
      <c r="J2121">
        <v>42640</v>
      </c>
      <c r="K2121" s="1">
        <v>44866</v>
      </c>
      <c r="L2121" t="s">
        <v>1905</v>
      </c>
      <c r="M2121" t="e">
        <f t="shared" si="67"/>
        <v>#N/A</v>
      </c>
      <c r="N2121" t="e">
        <f>VLOOKUP(H2121,Sheet1!G:H,2,FALSE)</f>
        <v>#N/A</v>
      </c>
      <c r="R2121" t="s">
        <v>4045</v>
      </c>
      <c r="S2121">
        <v>2587540</v>
      </c>
    </row>
    <row r="2122" spans="1:19" x14ac:dyDescent="0.3">
      <c r="A2122" t="s">
        <v>8</v>
      </c>
      <c r="B2122">
        <f>VLOOKUP(A2122,Sheet2!B:F,5,FALSE)</f>
        <v>928</v>
      </c>
      <c r="C2122" t="s">
        <v>9</v>
      </c>
      <c r="D2122">
        <f>VLOOKUP(C2122,Sheet2!C:G,5,FALSE)</f>
        <v>1202</v>
      </c>
      <c r="E2122" t="s">
        <v>73</v>
      </c>
      <c r="F2122">
        <f>VLOOKUP(E2122,Sheet2!D:E,2,FALSE)</f>
        <v>895</v>
      </c>
      <c r="G2122" t="s">
        <v>1824</v>
      </c>
      <c r="H2122" t="str">
        <f t="shared" si="66"/>
        <v>KAKAO457790</v>
      </c>
      <c r="I2122" t="str">
        <f>"457790"</f>
        <v>457790</v>
      </c>
      <c r="J2122">
        <v>676800</v>
      </c>
      <c r="K2122" s="1">
        <v>44866</v>
      </c>
      <c r="L2122" t="s">
        <v>1066</v>
      </c>
      <c r="M2122">
        <f t="shared" si="67"/>
        <v>676800</v>
      </c>
      <c r="N2122" t="e">
        <f>VLOOKUP(H2122,Sheet1!G:H,2,FALSE)</f>
        <v>#N/A</v>
      </c>
      <c r="R2122" t="s">
        <v>4046</v>
      </c>
      <c r="S2122">
        <v>30430</v>
      </c>
    </row>
    <row r="2123" spans="1:19" x14ac:dyDescent="0.3">
      <c r="A2123" t="s">
        <v>8</v>
      </c>
      <c r="B2123">
        <f>VLOOKUP(A2123,Sheet2!B:F,5,FALSE)</f>
        <v>928</v>
      </c>
      <c r="C2123" t="s">
        <v>223</v>
      </c>
      <c r="D2123">
        <f>VLOOKUP(C2123,Sheet2!C:G,5,FALSE)</f>
        <v>966</v>
      </c>
      <c r="E2123" t="s">
        <v>986</v>
      </c>
      <c r="F2123">
        <f>VLOOKUP(E2123,Sheet2!D:E,2,FALSE)</f>
        <v>201098</v>
      </c>
      <c r="G2123" t="s">
        <v>1824</v>
      </c>
      <c r="H2123" t="str">
        <f t="shared" si="66"/>
        <v>KAKAO459533</v>
      </c>
      <c r="I2123" t="str">
        <f>"459533"</f>
        <v>459533</v>
      </c>
      <c r="J2123">
        <v>3360</v>
      </c>
      <c r="K2123" s="1">
        <v>44866</v>
      </c>
      <c r="L2123" t="s">
        <v>987</v>
      </c>
      <c r="M2123">
        <f t="shared" si="67"/>
        <v>3360</v>
      </c>
      <c r="N2123" t="e">
        <f>VLOOKUP(H2123,Sheet1!G:H,2,FALSE)</f>
        <v>#N/A</v>
      </c>
      <c r="R2123" t="s">
        <v>4047</v>
      </c>
      <c r="S2123">
        <v>252970</v>
      </c>
    </row>
    <row r="2124" spans="1:19" x14ac:dyDescent="0.3">
      <c r="A2124" t="s">
        <v>16</v>
      </c>
      <c r="B2124">
        <f>VLOOKUP(A2124,Sheet2!B:F,5,FALSE)</f>
        <v>927</v>
      </c>
      <c r="C2124" t="s">
        <v>17</v>
      </c>
      <c r="D2124">
        <f>VLOOKUP(C2124,Sheet2!C:G,5,FALSE)</f>
        <v>1200</v>
      </c>
      <c r="E2124" t="s">
        <v>262</v>
      </c>
      <c r="F2124">
        <f>VLOOKUP(E2124,Sheet2!D:E,2,FALSE)</f>
        <v>1594</v>
      </c>
      <c r="G2124" t="s">
        <v>1824</v>
      </c>
      <c r="H2124" t="str">
        <f t="shared" si="66"/>
        <v>KAKAO465105</v>
      </c>
      <c r="I2124" t="str">
        <f>"465105"</f>
        <v>465105</v>
      </c>
      <c r="J2124">
        <v>295180</v>
      </c>
      <c r="K2124" s="1">
        <v>44866</v>
      </c>
      <c r="L2124" t="s">
        <v>263</v>
      </c>
      <c r="M2124">
        <f t="shared" si="67"/>
        <v>295180</v>
      </c>
      <c r="N2124" t="e">
        <f>VLOOKUP(H2124,Sheet1!G:H,2,FALSE)</f>
        <v>#N/A</v>
      </c>
      <c r="R2124" t="s">
        <v>4048</v>
      </c>
      <c r="S2124">
        <v>358610</v>
      </c>
    </row>
    <row r="2125" spans="1:19" x14ac:dyDescent="0.3">
      <c r="A2125" t="s">
        <v>16</v>
      </c>
      <c r="B2125">
        <f>VLOOKUP(A2125,Sheet2!B:F,5,FALSE)</f>
        <v>927</v>
      </c>
      <c r="C2125" t="s">
        <v>17</v>
      </c>
      <c r="D2125">
        <f>VLOOKUP(C2125,Sheet2!C:G,5,FALSE)</f>
        <v>1200</v>
      </c>
      <c r="E2125" t="s">
        <v>96</v>
      </c>
      <c r="F2125">
        <f>VLOOKUP(E2125,Sheet2!D:E,2,FALSE)</f>
        <v>1271</v>
      </c>
      <c r="G2125" t="s">
        <v>1824</v>
      </c>
      <c r="H2125" t="str">
        <f t="shared" si="66"/>
        <v>KAKAO467917</v>
      </c>
      <c r="I2125" t="str">
        <f>"467917"</f>
        <v>467917</v>
      </c>
      <c r="J2125">
        <v>67010</v>
      </c>
      <c r="K2125" s="1">
        <v>44866</v>
      </c>
      <c r="L2125" t="s">
        <v>1157</v>
      </c>
      <c r="M2125" t="e">
        <f t="shared" si="67"/>
        <v>#N/A</v>
      </c>
      <c r="N2125" t="e">
        <f>VLOOKUP(H2125,Sheet1!G:H,2,FALSE)</f>
        <v>#N/A</v>
      </c>
      <c r="R2125" t="s">
        <v>4049</v>
      </c>
      <c r="S2125">
        <v>366880</v>
      </c>
    </row>
    <row r="2126" spans="1:19" x14ac:dyDescent="0.3">
      <c r="A2126" t="s">
        <v>8</v>
      </c>
      <c r="B2126">
        <f>VLOOKUP(A2126,Sheet2!B:F,5,FALSE)</f>
        <v>928</v>
      </c>
      <c r="C2126" t="s">
        <v>9</v>
      </c>
      <c r="D2126">
        <f>VLOOKUP(C2126,Sheet2!C:G,5,FALSE)</f>
        <v>1202</v>
      </c>
      <c r="E2126" t="s">
        <v>27</v>
      </c>
      <c r="F2126">
        <f>VLOOKUP(E2126,Sheet2!D:E,2,FALSE)</f>
        <v>806</v>
      </c>
      <c r="G2126" t="s">
        <v>1824</v>
      </c>
      <c r="H2126" t="str">
        <f t="shared" si="66"/>
        <v>KAKAO468565</v>
      </c>
      <c r="I2126" t="str">
        <f>"468565"</f>
        <v>468565</v>
      </c>
      <c r="J2126">
        <v>700</v>
      </c>
      <c r="K2126" s="1">
        <v>44866</v>
      </c>
      <c r="L2126" t="s">
        <v>1048</v>
      </c>
      <c r="M2126">
        <f t="shared" si="67"/>
        <v>700</v>
      </c>
      <c r="N2126" t="e">
        <f>VLOOKUP(H2126,Sheet1!G:H,2,FALSE)</f>
        <v>#N/A</v>
      </c>
      <c r="R2126" t="s">
        <v>4050</v>
      </c>
      <c r="S2126">
        <v>0</v>
      </c>
    </row>
    <row r="2127" spans="1:19" x14ac:dyDescent="0.3">
      <c r="A2127" t="s">
        <v>8</v>
      </c>
      <c r="B2127">
        <f>VLOOKUP(A2127,Sheet2!B:F,5,FALSE)</f>
        <v>928</v>
      </c>
      <c r="C2127" t="s">
        <v>167</v>
      </c>
      <c r="D2127">
        <f>VLOOKUP(C2127,Sheet2!C:G,5,FALSE)</f>
        <v>935</v>
      </c>
      <c r="E2127" t="s">
        <v>168</v>
      </c>
      <c r="F2127">
        <f>VLOOKUP(E2127,Sheet2!D:E,2,FALSE)</f>
        <v>2</v>
      </c>
      <c r="G2127" t="s">
        <v>1824</v>
      </c>
      <c r="H2127" t="str">
        <f t="shared" si="66"/>
        <v>KAKAO469587</v>
      </c>
      <c r="I2127" t="str">
        <f>"469587"</f>
        <v>469587</v>
      </c>
      <c r="J2127">
        <v>992940</v>
      </c>
      <c r="K2127" s="1">
        <v>44866</v>
      </c>
      <c r="L2127" t="s">
        <v>671</v>
      </c>
      <c r="M2127">
        <f t="shared" si="67"/>
        <v>992940</v>
      </c>
      <c r="N2127" t="e">
        <f>VLOOKUP(H2127,Sheet1!G:H,2,FALSE)</f>
        <v>#N/A</v>
      </c>
      <c r="R2127" t="s">
        <v>4051</v>
      </c>
      <c r="S2127">
        <v>38100</v>
      </c>
    </row>
    <row r="2128" spans="1:19" x14ac:dyDescent="0.3">
      <c r="A2128" t="s">
        <v>8</v>
      </c>
      <c r="B2128">
        <f>VLOOKUP(A2128,Sheet2!B:F,5,FALSE)</f>
        <v>928</v>
      </c>
      <c r="C2128" t="s">
        <v>167</v>
      </c>
      <c r="D2128">
        <f>VLOOKUP(C2128,Sheet2!C:G,5,FALSE)</f>
        <v>935</v>
      </c>
      <c r="E2128" t="s">
        <v>168</v>
      </c>
      <c r="F2128">
        <f>VLOOKUP(E2128,Sheet2!D:E,2,FALSE)</f>
        <v>2</v>
      </c>
      <c r="G2128" t="s">
        <v>1824</v>
      </c>
      <c r="H2128" t="str">
        <f t="shared" si="66"/>
        <v>KAKAO469588</v>
      </c>
      <c r="I2128" t="str">
        <f>"469588"</f>
        <v>469588</v>
      </c>
      <c r="J2128">
        <v>3709370</v>
      </c>
      <c r="K2128" s="1">
        <v>44866</v>
      </c>
      <c r="L2128" t="s">
        <v>671</v>
      </c>
      <c r="M2128">
        <f t="shared" si="67"/>
        <v>3709370</v>
      </c>
      <c r="N2128" t="e">
        <f>VLOOKUP(H2128,Sheet1!G:H,2,FALSE)</f>
        <v>#N/A</v>
      </c>
      <c r="R2128" t="s">
        <v>4052</v>
      </c>
      <c r="S2128">
        <v>25840</v>
      </c>
    </row>
    <row r="2129" spans="1:19" x14ac:dyDescent="0.3">
      <c r="A2129" t="s">
        <v>8</v>
      </c>
      <c r="B2129">
        <f>VLOOKUP(A2129,Sheet2!B:F,5,FALSE)</f>
        <v>928</v>
      </c>
      <c r="C2129" t="s">
        <v>167</v>
      </c>
      <c r="D2129">
        <f>VLOOKUP(C2129,Sheet2!C:G,5,FALSE)</f>
        <v>935</v>
      </c>
      <c r="E2129" t="s">
        <v>168</v>
      </c>
      <c r="F2129">
        <f>VLOOKUP(E2129,Sheet2!D:E,2,FALSE)</f>
        <v>2</v>
      </c>
      <c r="G2129" t="s">
        <v>1824</v>
      </c>
      <c r="H2129" t="str">
        <f t="shared" si="66"/>
        <v>KAKAO469589</v>
      </c>
      <c r="I2129" t="str">
        <f>"469589"</f>
        <v>469589</v>
      </c>
      <c r="J2129">
        <v>667330</v>
      </c>
      <c r="K2129" s="1">
        <v>44866</v>
      </c>
      <c r="L2129" t="s">
        <v>671</v>
      </c>
      <c r="M2129">
        <f t="shared" si="67"/>
        <v>667330</v>
      </c>
      <c r="N2129" t="e">
        <f>VLOOKUP(H2129,Sheet1!G:H,2,FALSE)</f>
        <v>#N/A</v>
      </c>
      <c r="R2129" t="s">
        <v>4053</v>
      </c>
      <c r="S2129">
        <v>7931290</v>
      </c>
    </row>
    <row r="2130" spans="1:19" x14ac:dyDescent="0.3">
      <c r="A2130" t="s">
        <v>8</v>
      </c>
      <c r="B2130">
        <f>VLOOKUP(A2130,Sheet2!B:F,5,FALSE)</f>
        <v>928</v>
      </c>
      <c r="C2130" t="s">
        <v>167</v>
      </c>
      <c r="D2130">
        <f>VLOOKUP(C2130,Sheet2!C:G,5,FALSE)</f>
        <v>935</v>
      </c>
      <c r="E2130" t="s">
        <v>168</v>
      </c>
      <c r="F2130">
        <f>VLOOKUP(E2130,Sheet2!D:E,2,FALSE)</f>
        <v>2</v>
      </c>
      <c r="G2130" t="s">
        <v>1824</v>
      </c>
      <c r="H2130" t="str">
        <f t="shared" si="66"/>
        <v>KAKAO469590</v>
      </c>
      <c r="I2130" t="str">
        <f>"469590"</f>
        <v>469590</v>
      </c>
      <c r="J2130">
        <v>1070230</v>
      </c>
      <c r="K2130" s="1">
        <v>44866</v>
      </c>
      <c r="L2130" t="s">
        <v>671</v>
      </c>
      <c r="M2130">
        <f t="shared" si="67"/>
        <v>1070230</v>
      </c>
      <c r="N2130" t="e">
        <f>VLOOKUP(H2130,Sheet1!G:H,2,FALSE)</f>
        <v>#N/A</v>
      </c>
      <c r="R2130" t="s">
        <v>4054</v>
      </c>
      <c r="S2130">
        <v>350</v>
      </c>
    </row>
    <row r="2131" spans="1:19" x14ac:dyDescent="0.3">
      <c r="A2131" t="s">
        <v>8</v>
      </c>
      <c r="B2131">
        <f>VLOOKUP(A2131,Sheet2!B:F,5,FALSE)</f>
        <v>928</v>
      </c>
      <c r="C2131" t="s">
        <v>167</v>
      </c>
      <c r="D2131">
        <f>VLOOKUP(C2131,Sheet2!C:G,5,FALSE)</f>
        <v>935</v>
      </c>
      <c r="E2131" t="s">
        <v>168</v>
      </c>
      <c r="F2131">
        <f>VLOOKUP(E2131,Sheet2!D:E,2,FALSE)</f>
        <v>2</v>
      </c>
      <c r="G2131" t="s">
        <v>1824</v>
      </c>
      <c r="H2131" t="str">
        <f t="shared" si="66"/>
        <v>KAKAO469592</v>
      </c>
      <c r="I2131" t="str">
        <f>"469592"</f>
        <v>469592</v>
      </c>
      <c r="J2131">
        <v>623060</v>
      </c>
      <c r="K2131" s="1">
        <v>44866</v>
      </c>
      <c r="L2131" t="s">
        <v>671</v>
      </c>
      <c r="M2131">
        <f t="shared" si="67"/>
        <v>623060</v>
      </c>
      <c r="N2131" t="e">
        <f>VLOOKUP(H2131,Sheet1!G:H,2,FALSE)</f>
        <v>#N/A</v>
      </c>
      <c r="R2131" t="s">
        <v>4055</v>
      </c>
      <c r="S2131">
        <v>112350</v>
      </c>
    </row>
    <row r="2132" spans="1:19" x14ac:dyDescent="0.3">
      <c r="A2132" t="s">
        <v>8</v>
      </c>
      <c r="B2132">
        <f>VLOOKUP(A2132,Sheet2!B:F,5,FALSE)</f>
        <v>928</v>
      </c>
      <c r="C2132" t="s">
        <v>9</v>
      </c>
      <c r="D2132">
        <f>VLOOKUP(C2132,Sheet2!C:G,5,FALSE)</f>
        <v>1202</v>
      </c>
      <c r="E2132" t="s">
        <v>104</v>
      </c>
      <c r="F2132">
        <f>VLOOKUP(E2132,Sheet2!D:E,2,FALSE)</f>
        <v>201009</v>
      </c>
      <c r="G2132" t="s">
        <v>1824</v>
      </c>
      <c r="H2132" t="str">
        <f t="shared" si="66"/>
        <v>KAKAO470051</v>
      </c>
      <c r="I2132" t="str">
        <f>"470051"</f>
        <v>470051</v>
      </c>
      <c r="J2132">
        <v>50110</v>
      </c>
      <c r="K2132" s="1">
        <v>44866</v>
      </c>
      <c r="L2132" t="s">
        <v>1002</v>
      </c>
      <c r="M2132">
        <f t="shared" si="67"/>
        <v>50110</v>
      </c>
      <c r="N2132" t="e">
        <f>VLOOKUP(H2132,Sheet1!G:H,2,FALSE)</f>
        <v>#N/A</v>
      </c>
      <c r="R2132" t="s">
        <v>4056</v>
      </c>
      <c r="S2132">
        <v>2018580</v>
      </c>
    </row>
    <row r="2133" spans="1:19" x14ac:dyDescent="0.3">
      <c r="A2133" t="s">
        <v>8</v>
      </c>
      <c r="B2133">
        <f>VLOOKUP(A2133,Sheet2!B:F,5,FALSE)</f>
        <v>928</v>
      </c>
      <c r="C2133" t="s">
        <v>223</v>
      </c>
      <c r="D2133">
        <f>VLOOKUP(C2133,Sheet2!C:G,5,FALSE)</f>
        <v>966</v>
      </c>
      <c r="E2133" t="s">
        <v>224</v>
      </c>
      <c r="F2133">
        <f>VLOOKUP(E2133,Sheet2!D:E,2,FALSE)</f>
        <v>201008</v>
      </c>
      <c r="G2133" t="s">
        <v>1824</v>
      </c>
      <c r="H2133" t="str">
        <f t="shared" si="66"/>
        <v>KAKAO470516</v>
      </c>
      <c r="I2133" t="str">
        <f>"470516"</f>
        <v>470516</v>
      </c>
      <c r="J2133">
        <v>851610</v>
      </c>
      <c r="K2133" s="1">
        <v>44866</v>
      </c>
      <c r="L2133" t="s">
        <v>631</v>
      </c>
      <c r="M2133">
        <f t="shared" si="67"/>
        <v>851610</v>
      </c>
      <c r="N2133" t="e">
        <f>VLOOKUP(H2133,Sheet1!G:H,2,FALSE)</f>
        <v>#N/A</v>
      </c>
      <c r="R2133" t="s">
        <v>4057</v>
      </c>
      <c r="S2133">
        <v>784030</v>
      </c>
    </row>
    <row r="2134" spans="1:19" x14ac:dyDescent="0.3">
      <c r="A2134" t="s">
        <v>8</v>
      </c>
      <c r="B2134">
        <f>VLOOKUP(A2134,Sheet2!B:F,5,FALSE)</f>
        <v>928</v>
      </c>
      <c r="C2134" t="s">
        <v>223</v>
      </c>
      <c r="D2134">
        <f>VLOOKUP(C2134,Sheet2!C:G,5,FALSE)</f>
        <v>966</v>
      </c>
      <c r="E2134" t="s">
        <v>224</v>
      </c>
      <c r="F2134">
        <f>VLOOKUP(E2134,Sheet2!D:E,2,FALSE)</f>
        <v>201008</v>
      </c>
      <c r="G2134" t="s">
        <v>1824</v>
      </c>
      <c r="H2134" t="str">
        <f t="shared" si="66"/>
        <v>KAKAO470593</v>
      </c>
      <c r="I2134" t="str">
        <f>"470593"</f>
        <v>470593</v>
      </c>
      <c r="J2134">
        <v>60820</v>
      </c>
      <c r="K2134" s="1">
        <v>44866</v>
      </c>
      <c r="L2134" t="s">
        <v>631</v>
      </c>
      <c r="M2134">
        <f t="shared" si="67"/>
        <v>60820</v>
      </c>
      <c r="N2134" t="e">
        <f>VLOOKUP(H2134,Sheet1!G:H,2,FALSE)</f>
        <v>#N/A</v>
      </c>
      <c r="R2134" t="s">
        <v>4058</v>
      </c>
      <c r="S2134">
        <v>42440</v>
      </c>
    </row>
    <row r="2135" spans="1:19" x14ac:dyDescent="0.3">
      <c r="A2135" t="s">
        <v>8</v>
      </c>
      <c r="B2135">
        <f>VLOOKUP(A2135,Sheet2!B:F,5,FALSE)</f>
        <v>928</v>
      </c>
      <c r="C2135" t="s">
        <v>223</v>
      </c>
      <c r="D2135">
        <f>VLOOKUP(C2135,Sheet2!C:G,5,FALSE)</f>
        <v>966</v>
      </c>
      <c r="E2135" t="s">
        <v>224</v>
      </c>
      <c r="F2135">
        <f>VLOOKUP(E2135,Sheet2!D:E,2,FALSE)</f>
        <v>201008</v>
      </c>
      <c r="G2135" t="s">
        <v>1824</v>
      </c>
      <c r="H2135" t="str">
        <f t="shared" si="66"/>
        <v>KAKAO470598</v>
      </c>
      <c r="I2135" t="str">
        <f>"470598"</f>
        <v>470598</v>
      </c>
      <c r="J2135">
        <v>28190</v>
      </c>
      <c r="K2135" s="1">
        <v>44866</v>
      </c>
      <c r="L2135" t="s">
        <v>631</v>
      </c>
      <c r="M2135">
        <f t="shared" si="67"/>
        <v>28190</v>
      </c>
      <c r="N2135" t="e">
        <f>VLOOKUP(H2135,Sheet1!G:H,2,FALSE)</f>
        <v>#N/A</v>
      </c>
      <c r="R2135" t="s">
        <v>4059</v>
      </c>
      <c r="S2135">
        <v>683390</v>
      </c>
    </row>
    <row r="2136" spans="1:19" x14ac:dyDescent="0.3">
      <c r="A2136" t="s">
        <v>8</v>
      </c>
      <c r="B2136">
        <f>VLOOKUP(A2136,Sheet2!B:F,5,FALSE)</f>
        <v>928</v>
      </c>
      <c r="C2136" t="s">
        <v>223</v>
      </c>
      <c r="D2136">
        <f>VLOOKUP(C2136,Sheet2!C:G,5,FALSE)</f>
        <v>966</v>
      </c>
      <c r="E2136" t="s">
        <v>224</v>
      </c>
      <c r="F2136">
        <f>VLOOKUP(E2136,Sheet2!D:E,2,FALSE)</f>
        <v>201008</v>
      </c>
      <c r="G2136" t="s">
        <v>1824</v>
      </c>
      <c r="H2136" t="str">
        <f t="shared" si="66"/>
        <v>KAKAO470599</v>
      </c>
      <c r="I2136" t="str">
        <f>"470599"</f>
        <v>470599</v>
      </c>
      <c r="J2136">
        <v>24270</v>
      </c>
      <c r="K2136" s="1">
        <v>44866</v>
      </c>
      <c r="L2136" t="s">
        <v>631</v>
      </c>
      <c r="M2136">
        <f t="shared" si="67"/>
        <v>24270</v>
      </c>
      <c r="N2136" t="e">
        <f>VLOOKUP(H2136,Sheet1!G:H,2,FALSE)</f>
        <v>#N/A</v>
      </c>
      <c r="R2136" t="s">
        <v>4060</v>
      </c>
      <c r="S2136">
        <v>1870</v>
      </c>
    </row>
    <row r="2137" spans="1:19" x14ac:dyDescent="0.3">
      <c r="A2137" t="s">
        <v>8</v>
      </c>
      <c r="B2137">
        <f>VLOOKUP(A2137,Sheet2!B:F,5,FALSE)</f>
        <v>928</v>
      </c>
      <c r="C2137" t="s">
        <v>223</v>
      </c>
      <c r="D2137">
        <f>VLOOKUP(C2137,Sheet2!C:G,5,FALSE)</f>
        <v>966</v>
      </c>
      <c r="E2137" t="s">
        <v>224</v>
      </c>
      <c r="F2137">
        <f>VLOOKUP(E2137,Sheet2!D:E,2,FALSE)</f>
        <v>201008</v>
      </c>
      <c r="G2137" t="s">
        <v>1824</v>
      </c>
      <c r="H2137" t="str">
        <f t="shared" si="66"/>
        <v>KAKAO470604</v>
      </c>
      <c r="I2137" t="str">
        <f>"470604"</f>
        <v>470604</v>
      </c>
      <c r="J2137">
        <v>135160</v>
      </c>
      <c r="K2137" s="1">
        <v>44866</v>
      </c>
      <c r="L2137" t="s">
        <v>631</v>
      </c>
      <c r="M2137">
        <f t="shared" si="67"/>
        <v>135160</v>
      </c>
      <c r="N2137" t="e">
        <f>VLOOKUP(H2137,Sheet1!G:H,2,FALSE)</f>
        <v>#N/A</v>
      </c>
      <c r="R2137" t="s">
        <v>4061</v>
      </c>
      <c r="S2137">
        <v>35680</v>
      </c>
    </row>
    <row r="2138" spans="1:19" x14ac:dyDescent="0.3">
      <c r="A2138" t="s">
        <v>8</v>
      </c>
      <c r="B2138">
        <f>VLOOKUP(A2138,Sheet2!B:F,5,FALSE)</f>
        <v>928</v>
      </c>
      <c r="C2138" t="s">
        <v>223</v>
      </c>
      <c r="D2138">
        <f>VLOOKUP(C2138,Sheet2!C:G,5,FALSE)</f>
        <v>966</v>
      </c>
      <c r="E2138" t="s">
        <v>224</v>
      </c>
      <c r="F2138">
        <f>VLOOKUP(E2138,Sheet2!D:E,2,FALSE)</f>
        <v>201008</v>
      </c>
      <c r="G2138" t="s">
        <v>1824</v>
      </c>
      <c r="H2138" t="str">
        <f t="shared" si="66"/>
        <v>KAKAO470605</v>
      </c>
      <c r="I2138" t="str">
        <f>"470605"</f>
        <v>470605</v>
      </c>
      <c r="J2138">
        <v>35700</v>
      </c>
      <c r="K2138" s="1">
        <v>44866</v>
      </c>
      <c r="L2138" t="s">
        <v>631</v>
      </c>
      <c r="M2138">
        <f t="shared" si="67"/>
        <v>35700</v>
      </c>
      <c r="N2138" t="e">
        <f>VLOOKUP(H2138,Sheet1!G:H,2,FALSE)</f>
        <v>#N/A</v>
      </c>
      <c r="R2138" t="s">
        <v>4062</v>
      </c>
      <c r="S2138">
        <v>1097550</v>
      </c>
    </row>
    <row r="2139" spans="1:19" x14ac:dyDescent="0.3">
      <c r="A2139" t="s">
        <v>8</v>
      </c>
      <c r="B2139">
        <f>VLOOKUP(A2139,Sheet2!B:F,5,FALSE)</f>
        <v>928</v>
      </c>
      <c r="C2139" t="s">
        <v>223</v>
      </c>
      <c r="D2139">
        <f>VLOOKUP(C2139,Sheet2!C:G,5,FALSE)</f>
        <v>966</v>
      </c>
      <c r="E2139" t="s">
        <v>224</v>
      </c>
      <c r="F2139">
        <f>VLOOKUP(E2139,Sheet2!D:E,2,FALSE)</f>
        <v>201008</v>
      </c>
      <c r="G2139" t="s">
        <v>1824</v>
      </c>
      <c r="H2139" t="str">
        <f t="shared" si="66"/>
        <v>KAKAO470612</v>
      </c>
      <c r="I2139" t="str">
        <f>"470612"</f>
        <v>470612</v>
      </c>
      <c r="J2139">
        <v>195960</v>
      </c>
      <c r="K2139" s="1">
        <v>44866</v>
      </c>
      <c r="L2139" t="s">
        <v>225</v>
      </c>
      <c r="M2139">
        <f t="shared" si="67"/>
        <v>195960</v>
      </c>
      <c r="N2139" t="e">
        <f>VLOOKUP(H2139,Sheet1!G:H,2,FALSE)</f>
        <v>#N/A</v>
      </c>
      <c r="R2139" t="s">
        <v>4063</v>
      </c>
      <c r="S2139">
        <v>46860</v>
      </c>
    </row>
    <row r="2140" spans="1:19" x14ac:dyDescent="0.3">
      <c r="A2140" t="s">
        <v>8</v>
      </c>
      <c r="B2140">
        <f>VLOOKUP(A2140,Sheet2!B:F,5,FALSE)</f>
        <v>928</v>
      </c>
      <c r="C2140" t="s">
        <v>223</v>
      </c>
      <c r="D2140">
        <f>VLOOKUP(C2140,Sheet2!C:G,5,FALSE)</f>
        <v>966</v>
      </c>
      <c r="E2140" t="s">
        <v>224</v>
      </c>
      <c r="F2140">
        <f>VLOOKUP(E2140,Sheet2!D:E,2,FALSE)</f>
        <v>201008</v>
      </c>
      <c r="G2140" t="s">
        <v>1824</v>
      </c>
      <c r="H2140" t="str">
        <f t="shared" si="66"/>
        <v>KAKAO470614</v>
      </c>
      <c r="I2140" t="str">
        <f>"470614"</f>
        <v>470614</v>
      </c>
      <c r="J2140">
        <v>21320</v>
      </c>
      <c r="K2140" s="1">
        <v>44866</v>
      </c>
      <c r="L2140" t="s">
        <v>225</v>
      </c>
      <c r="M2140">
        <f t="shared" si="67"/>
        <v>21320</v>
      </c>
      <c r="N2140" t="e">
        <f>VLOOKUP(H2140,Sheet1!G:H,2,FALSE)</f>
        <v>#N/A</v>
      </c>
      <c r="R2140" t="s">
        <v>4064</v>
      </c>
      <c r="S2140">
        <v>1000</v>
      </c>
    </row>
    <row r="2141" spans="1:19" x14ac:dyDescent="0.3">
      <c r="A2141" t="s">
        <v>8</v>
      </c>
      <c r="B2141">
        <f>VLOOKUP(A2141,Sheet2!B:F,5,FALSE)</f>
        <v>928</v>
      </c>
      <c r="C2141" t="s">
        <v>223</v>
      </c>
      <c r="D2141">
        <f>VLOOKUP(C2141,Sheet2!C:G,5,FALSE)</f>
        <v>966</v>
      </c>
      <c r="E2141" t="s">
        <v>224</v>
      </c>
      <c r="F2141">
        <f>VLOOKUP(E2141,Sheet2!D:E,2,FALSE)</f>
        <v>201008</v>
      </c>
      <c r="G2141" t="s">
        <v>1824</v>
      </c>
      <c r="H2141" t="str">
        <f t="shared" si="66"/>
        <v>KAKAO470617</v>
      </c>
      <c r="I2141" t="str">
        <f>"470617"</f>
        <v>470617</v>
      </c>
      <c r="J2141">
        <v>50820</v>
      </c>
      <c r="K2141" s="1">
        <v>44866</v>
      </c>
      <c r="L2141" t="s">
        <v>225</v>
      </c>
      <c r="M2141">
        <f t="shared" si="67"/>
        <v>50820</v>
      </c>
      <c r="N2141" t="e">
        <f>VLOOKUP(H2141,Sheet1!G:H,2,FALSE)</f>
        <v>#N/A</v>
      </c>
      <c r="R2141" t="s">
        <v>4065</v>
      </c>
      <c r="S2141">
        <v>205950</v>
      </c>
    </row>
    <row r="2142" spans="1:19" x14ac:dyDescent="0.3">
      <c r="A2142" t="s">
        <v>8</v>
      </c>
      <c r="B2142">
        <f>VLOOKUP(A2142,Sheet2!B:F,5,FALSE)</f>
        <v>928</v>
      </c>
      <c r="C2142" t="s">
        <v>223</v>
      </c>
      <c r="D2142">
        <f>VLOOKUP(C2142,Sheet2!C:G,5,FALSE)</f>
        <v>966</v>
      </c>
      <c r="E2142" t="s">
        <v>224</v>
      </c>
      <c r="F2142">
        <f>VLOOKUP(E2142,Sheet2!D:E,2,FALSE)</f>
        <v>201008</v>
      </c>
      <c r="G2142" t="s">
        <v>1824</v>
      </c>
      <c r="H2142" t="str">
        <f t="shared" si="66"/>
        <v>KAKAO470620</v>
      </c>
      <c r="I2142" t="str">
        <f>"470620"</f>
        <v>470620</v>
      </c>
      <c r="J2142">
        <v>19110</v>
      </c>
      <c r="K2142" s="1">
        <v>44866</v>
      </c>
      <c r="L2142" t="s">
        <v>225</v>
      </c>
      <c r="M2142">
        <f t="shared" si="67"/>
        <v>19110</v>
      </c>
      <c r="N2142" t="e">
        <f>VLOOKUP(H2142,Sheet1!G:H,2,FALSE)</f>
        <v>#N/A</v>
      </c>
      <c r="R2142" t="s">
        <v>4066</v>
      </c>
      <c r="S2142">
        <v>3200</v>
      </c>
    </row>
    <row r="2143" spans="1:19" x14ac:dyDescent="0.3">
      <c r="A2143" t="s">
        <v>8</v>
      </c>
      <c r="B2143">
        <f>VLOOKUP(A2143,Sheet2!B:F,5,FALSE)</f>
        <v>928</v>
      </c>
      <c r="C2143" t="s">
        <v>223</v>
      </c>
      <c r="D2143">
        <f>VLOOKUP(C2143,Sheet2!C:G,5,FALSE)</f>
        <v>966</v>
      </c>
      <c r="E2143" t="s">
        <v>224</v>
      </c>
      <c r="F2143">
        <f>VLOOKUP(E2143,Sheet2!D:E,2,FALSE)</f>
        <v>201008</v>
      </c>
      <c r="G2143" t="s">
        <v>1824</v>
      </c>
      <c r="H2143" t="str">
        <f t="shared" si="66"/>
        <v>KAKAO470621</v>
      </c>
      <c r="I2143" t="str">
        <f>"470621"</f>
        <v>470621</v>
      </c>
      <c r="J2143">
        <v>13580</v>
      </c>
      <c r="K2143" s="1">
        <v>44866</v>
      </c>
      <c r="L2143" t="s">
        <v>225</v>
      </c>
      <c r="M2143">
        <f t="shared" si="67"/>
        <v>13580</v>
      </c>
      <c r="N2143" t="e">
        <f>VLOOKUP(H2143,Sheet1!G:H,2,FALSE)</f>
        <v>#N/A</v>
      </c>
      <c r="R2143" t="s">
        <v>4067</v>
      </c>
      <c r="S2143">
        <v>59420</v>
      </c>
    </row>
    <row r="2144" spans="1:19" x14ac:dyDescent="0.3">
      <c r="A2144" t="s">
        <v>8</v>
      </c>
      <c r="B2144">
        <f>VLOOKUP(A2144,Sheet2!B:F,5,FALSE)</f>
        <v>928</v>
      </c>
      <c r="C2144" t="s">
        <v>223</v>
      </c>
      <c r="D2144">
        <f>VLOOKUP(C2144,Sheet2!C:G,5,FALSE)</f>
        <v>966</v>
      </c>
      <c r="E2144" t="s">
        <v>224</v>
      </c>
      <c r="F2144">
        <f>VLOOKUP(E2144,Sheet2!D:E,2,FALSE)</f>
        <v>201008</v>
      </c>
      <c r="G2144" t="s">
        <v>1824</v>
      </c>
      <c r="H2144" t="str">
        <f t="shared" si="66"/>
        <v>KAKAO470625</v>
      </c>
      <c r="I2144" t="str">
        <f>"470625"</f>
        <v>470625</v>
      </c>
      <c r="J2144">
        <v>51420</v>
      </c>
      <c r="K2144" s="1">
        <v>44866</v>
      </c>
      <c r="L2144" t="s">
        <v>225</v>
      </c>
      <c r="M2144">
        <f t="shared" si="67"/>
        <v>51420</v>
      </c>
      <c r="N2144" t="e">
        <f>VLOOKUP(H2144,Sheet1!G:H,2,FALSE)</f>
        <v>#N/A</v>
      </c>
      <c r="R2144" t="s">
        <v>4068</v>
      </c>
      <c r="S2144">
        <v>372190</v>
      </c>
    </row>
    <row r="2145" spans="1:19" x14ac:dyDescent="0.3">
      <c r="A2145" t="s">
        <v>8</v>
      </c>
      <c r="B2145">
        <f>VLOOKUP(A2145,Sheet2!B:F,5,FALSE)</f>
        <v>928</v>
      </c>
      <c r="C2145" t="s">
        <v>223</v>
      </c>
      <c r="D2145">
        <f>VLOOKUP(C2145,Sheet2!C:G,5,FALSE)</f>
        <v>966</v>
      </c>
      <c r="E2145" t="s">
        <v>224</v>
      </c>
      <c r="F2145">
        <f>VLOOKUP(E2145,Sheet2!D:E,2,FALSE)</f>
        <v>201008</v>
      </c>
      <c r="G2145" t="s">
        <v>1824</v>
      </c>
      <c r="H2145" t="str">
        <f t="shared" si="66"/>
        <v>KAKAO470630</v>
      </c>
      <c r="I2145" t="str">
        <f>"470630"</f>
        <v>470630</v>
      </c>
      <c r="J2145">
        <v>899070</v>
      </c>
      <c r="K2145" s="1">
        <v>44866</v>
      </c>
      <c r="L2145" t="s">
        <v>225</v>
      </c>
      <c r="M2145">
        <f t="shared" si="67"/>
        <v>899070</v>
      </c>
      <c r="N2145" t="e">
        <f>VLOOKUP(H2145,Sheet1!G:H,2,FALSE)</f>
        <v>#N/A</v>
      </c>
      <c r="R2145" t="s">
        <v>4069</v>
      </c>
      <c r="S2145">
        <v>525410</v>
      </c>
    </row>
    <row r="2146" spans="1:19" x14ac:dyDescent="0.3">
      <c r="A2146" t="s">
        <v>8</v>
      </c>
      <c r="B2146">
        <f>VLOOKUP(A2146,Sheet2!B:F,5,FALSE)</f>
        <v>928</v>
      </c>
      <c r="C2146" t="s">
        <v>9</v>
      </c>
      <c r="D2146">
        <f>VLOOKUP(C2146,Sheet2!C:G,5,FALSE)</f>
        <v>1202</v>
      </c>
      <c r="E2146" t="s">
        <v>37</v>
      </c>
      <c r="F2146">
        <f>VLOOKUP(E2146,Sheet2!D:E,2,FALSE)</f>
        <v>81</v>
      </c>
      <c r="G2146" t="s">
        <v>1824</v>
      </c>
      <c r="H2146" t="str">
        <f t="shared" si="66"/>
        <v>KAKAO471038</v>
      </c>
      <c r="I2146" t="str">
        <f>"471038"</f>
        <v>471038</v>
      </c>
      <c r="J2146">
        <v>182480</v>
      </c>
      <c r="K2146" s="1">
        <v>44866</v>
      </c>
      <c r="L2146" t="s">
        <v>873</v>
      </c>
      <c r="M2146">
        <f t="shared" si="67"/>
        <v>182480</v>
      </c>
      <c r="N2146" t="e">
        <f>VLOOKUP(H2146,Sheet1!G:H,2,FALSE)</f>
        <v>#N/A</v>
      </c>
      <c r="R2146" t="s">
        <v>4070</v>
      </c>
      <c r="S2146">
        <v>5160</v>
      </c>
    </row>
    <row r="2147" spans="1:19" x14ac:dyDescent="0.3">
      <c r="A2147" t="s">
        <v>8</v>
      </c>
      <c r="B2147">
        <f>VLOOKUP(A2147,Sheet2!B:F,5,FALSE)</f>
        <v>928</v>
      </c>
      <c r="C2147" t="s">
        <v>167</v>
      </c>
      <c r="D2147">
        <f>VLOOKUP(C2147,Sheet2!C:G,5,FALSE)</f>
        <v>935</v>
      </c>
      <c r="E2147" t="s">
        <v>168</v>
      </c>
      <c r="F2147">
        <f>VLOOKUP(E2147,Sheet2!D:E,2,FALSE)</f>
        <v>2</v>
      </c>
      <c r="G2147" t="s">
        <v>1824</v>
      </c>
      <c r="H2147" t="str">
        <f t="shared" si="66"/>
        <v>KAKAO472049</v>
      </c>
      <c r="I2147" t="str">
        <f>"472049"</f>
        <v>472049</v>
      </c>
      <c r="J2147">
        <v>575790</v>
      </c>
      <c r="K2147" s="1">
        <v>44866</v>
      </c>
      <c r="L2147" t="s">
        <v>671</v>
      </c>
      <c r="M2147">
        <f t="shared" si="67"/>
        <v>575790</v>
      </c>
      <c r="N2147" t="e">
        <f>VLOOKUP(H2147,Sheet1!G:H,2,FALSE)</f>
        <v>#N/A</v>
      </c>
      <c r="R2147" t="s">
        <v>4071</v>
      </c>
      <c r="S2147">
        <v>727820</v>
      </c>
    </row>
    <row r="2148" spans="1:19" x14ac:dyDescent="0.3">
      <c r="A2148" t="s">
        <v>8</v>
      </c>
      <c r="B2148">
        <f>VLOOKUP(A2148,Sheet2!B:F,5,FALSE)</f>
        <v>928</v>
      </c>
      <c r="C2148" t="s">
        <v>167</v>
      </c>
      <c r="D2148">
        <f>VLOOKUP(C2148,Sheet2!C:G,5,FALSE)</f>
        <v>935</v>
      </c>
      <c r="E2148" t="s">
        <v>168</v>
      </c>
      <c r="F2148">
        <f>VLOOKUP(E2148,Sheet2!D:E,2,FALSE)</f>
        <v>2</v>
      </c>
      <c r="G2148" t="s">
        <v>1824</v>
      </c>
      <c r="H2148" t="str">
        <f t="shared" si="66"/>
        <v>KAKAO472050</v>
      </c>
      <c r="I2148" t="str">
        <f>"472050"</f>
        <v>472050</v>
      </c>
      <c r="J2148">
        <v>825160</v>
      </c>
      <c r="K2148" s="1">
        <v>44866</v>
      </c>
      <c r="L2148" t="s">
        <v>671</v>
      </c>
      <c r="M2148">
        <f t="shared" si="67"/>
        <v>825160</v>
      </c>
      <c r="N2148" t="e">
        <f>VLOOKUP(H2148,Sheet1!G:H,2,FALSE)</f>
        <v>#N/A</v>
      </c>
      <c r="R2148" t="s">
        <v>4072</v>
      </c>
      <c r="S2148">
        <v>94180</v>
      </c>
    </row>
    <row r="2149" spans="1:19" x14ac:dyDescent="0.3">
      <c r="A2149" t="s">
        <v>8</v>
      </c>
      <c r="B2149">
        <f>VLOOKUP(A2149,Sheet2!B:F,5,FALSE)</f>
        <v>928</v>
      </c>
      <c r="C2149" t="s">
        <v>223</v>
      </c>
      <c r="D2149">
        <f>VLOOKUP(C2149,Sheet2!C:G,5,FALSE)</f>
        <v>966</v>
      </c>
      <c r="E2149" t="s">
        <v>269</v>
      </c>
      <c r="F2149">
        <f>VLOOKUP(E2149,Sheet2!D:E,2,FALSE)</f>
        <v>201031</v>
      </c>
      <c r="G2149" t="s">
        <v>1824</v>
      </c>
      <c r="H2149" t="str">
        <f t="shared" si="66"/>
        <v>KAKAO475336</v>
      </c>
      <c r="I2149" t="str">
        <f>"475336"</f>
        <v>475336</v>
      </c>
      <c r="J2149">
        <v>1400</v>
      </c>
      <c r="K2149" s="1">
        <v>44866</v>
      </c>
      <c r="L2149" t="s">
        <v>270</v>
      </c>
      <c r="M2149">
        <f t="shared" si="67"/>
        <v>1400</v>
      </c>
      <c r="N2149" t="e">
        <f>VLOOKUP(H2149,Sheet1!G:H,2,FALSE)</f>
        <v>#N/A</v>
      </c>
      <c r="R2149" t="s">
        <v>4073</v>
      </c>
      <c r="S2149">
        <v>947770</v>
      </c>
    </row>
    <row r="2150" spans="1:19" x14ac:dyDescent="0.3">
      <c r="A2150" t="s">
        <v>8</v>
      </c>
      <c r="B2150">
        <f>VLOOKUP(A2150,Sheet2!B:F,5,FALSE)</f>
        <v>928</v>
      </c>
      <c r="C2150" t="s">
        <v>223</v>
      </c>
      <c r="D2150">
        <f>VLOOKUP(C2150,Sheet2!C:G,5,FALSE)</f>
        <v>966</v>
      </c>
      <c r="E2150" t="s">
        <v>269</v>
      </c>
      <c r="F2150">
        <f>VLOOKUP(E2150,Sheet2!D:E,2,FALSE)</f>
        <v>201031</v>
      </c>
      <c r="G2150" t="s">
        <v>1824</v>
      </c>
      <c r="H2150" t="str">
        <f t="shared" si="66"/>
        <v>KAKAO475347</v>
      </c>
      <c r="I2150" t="str">
        <f>"475347"</f>
        <v>475347</v>
      </c>
      <c r="J2150">
        <v>13300</v>
      </c>
      <c r="K2150" s="1">
        <v>44866</v>
      </c>
      <c r="L2150" t="s">
        <v>270</v>
      </c>
      <c r="M2150">
        <f t="shared" si="67"/>
        <v>13300</v>
      </c>
      <c r="N2150" t="e">
        <f>VLOOKUP(H2150,Sheet1!G:H,2,FALSE)</f>
        <v>#N/A</v>
      </c>
      <c r="R2150" t="s">
        <v>4074</v>
      </c>
      <c r="S2150">
        <v>1729790</v>
      </c>
    </row>
    <row r="2151" spans="1:19" x14ac:dyDescent="0.3">
      <c r="A2151" t="s">
        <v>8</v>
      </c>
      <c r="B2151">
        <f>VLOOKUP(A2151,Sheet2!B:F,5,FALSE)</f>
        <v>928</v>
      </c>
      <c r="C2151" t="s">
        <v>167</v>
      </c>
      <c r="D2151">
        <f>VLOOKUP(C2151,Sheet2!C:G,5,FALSE)</f>
        <v>935</v>
      </c>
      <c r="E2151" t="s">
        <v>168</v>
      </c>
      <c r="F2151">
        <f>VLOOKUP(E2151,Sheet2!D:E,2,FALSE)</f>
        <v>2</v>
      </c>
      <c r="G2151" t="s">
        <v>1824</v>
      </c>
      <c r="H2151" t="str">
        <f t="shared" si="66"/>
        <v>KAKAO477332</v>
      </c>
      <c r="I2151" t="str">
        <f>"477332"</f>
        <v>477332</v>
      </c>
      <c r="J2151">
        <v>1219930</v>
      </c>
      <c r="K2151" s="1">
        <v>44866</v>
      </c>
      <c r="L2151" t="s">
        <v>671</v>
      </c>
      <c r="M2151">
        <f t="shared" si="67"/>
        <v>1219930</v>
      </c>
      <c r="N2151" t="e">
        <f>VLOOKUP(H2151,Sheet1!G:H,2,FALSE)</f>
        <v>#N/A</v>
      </c>
      <c r="R2151" t="s">
        <v>4075</v>
      </c>
      <c r="S2151">
        <v>523870</v>
      </c>
    </row>
    <row r="2152" spans="1:19" x14ac:dyDescent="0.3">
      <c r="A2152" t="s">
        <v>8</v>
      </c>
      <c r="B2152">
        <f>VLOOKUP(A2152,Sheet2!B:F,5,FALSE)</f>
        <v>928</v>
      </c>
      <c r="C2152" t="s">
        <v>167</v>
      </c>
      <c r="D2152">
        <f>VLOOKUP(C2152,Sheet2!C:G,5,FALSE)</f>
        <v>935</v>
      </c>
      <c r="E2152" t="s">
        <v>168</v>
      </c>
      <c r="F2152">
        <f>VLOOKUP(E2152,Sheet2!D:E,2,FALSE)</f>
        <v>2</v>
      </c>
      <c r="G2152" t="s">
        <v>1824</v>
      </c>
      <c r="H2152" t="str">
        <f t="shared" si="66"/>
        <v>KAKAO483484</v>
      </c>
      <c r="I2152" t="str">
        <f>"483484"</f>
        <v>483484</v>
      </c>
      <c r="J2152">
        <v>1105910</v>
      </c>
      <c r="K2152" s="1">
        <v>44866</v>
      </c>
      <c r="L2152" t="s">
        <v>671</v>
      </c>
      <c r="M2152">
        <f t="shared" si="67"/>
        <v>1105910</v>
      </c>
      <c r="N2152" t="e">
        <f>VLOOKUP(H2152,Sheet1!G:H,2,FALSE)</f>
        <v>#N/A</v>
      </c>
      <c r="R2152" t="s">
        <v>4076</v>
      </c>
      <c r="S2152">
        <v>164960</v>
      </c>
    </row>
    <row r="2153" spans="1:19" x14ac:dyDescent="0.3">
      <c r="A2153" t="s">
        <v>16</v>
      </c>
      <c r="B2153">
        <f>VLOOKUP(A2153,Sheet2!B:F,5,FALSE)</f>
        <v>927</v>
      </c>
      <c r="C2153" t="s">
        <v>17</v>
      </c>
      <c r="D2153">
        <f>VLOOKUP(C2153,Sheet2!C:G,5,FALSE)</f>
        <v>1200</v>
      </c>
      <c r="E2153" t="s">
        <v>100</v>
      </c>
      <c r="F2153">
        <f>VLOOKUP(E2153,Sheet2!D:E,2,FALSE)</f>
        <v>201038</v>
      </c>
      <c r="G2153" t="s">
        <v>1824</v>
      </c>
      <c r="H2153" t="str">
        <f t="shared" si="66"/>
        <v>KAKAO485630</v>
      </c>
      <c r="I2153" t="str">
        <f>"485630"</f>
        <v>485630</v>
      </c>
      <c r="J2153">
        <v>7570</v>
      </c>
      <c r="K2153" s="1">
        <v>44866</v>
      </c>
      <c r="L2153" t="s">
        <v>1906</v>
      </c>
      <c r="M2153" t="e">
        <f t="shared" si="67"/>
        <v>#N/A</v>
      </c>
      <c r="N2153" t="e">
        <f>VLOOKUP(H2153,Sheet1!G:H,2,FALSE)</f>
        <v>#N/A</v>
      </c>
      <c r="R2153" t="s">
        <v>4077</v>
      </c>
      <c r="S2153">
        <v>84990</v>
      </c>
    </row>
    <row r="2154" spans="1:19" x14ac:dyDescent="0.3">
      <c r="A2154" t="s">
        <v>8</v>
      </c>
      <c r="B2154">
        <f>VLOOKUP(A2154,Sheet2!B:F,5,FALSE)</f>
        <v>928</v>
      </c>
      <c r="C2154" t="s">
        <v>223</v>
      </c>
      <c r="D2154">
        <f>VLOOKUP(C2154,Sheet2!C:G,5,FALSE)</f>
        <v>966</v>
      </c>
      <c r="E2154" t="s">
        <v>224</v>
      </c>
      <c r="F2154">
        <f>VLOOKUP(E2154,Sheet2!D:E,2,FALSE)</f>
        <v>201008</v>
      </c>
      <c r="G2154" t="s">
        <v>1824</v>
      </c>
      <c r="H2154" t="str">
        <f t="shared" si="66"/>
        <v>KAKAO497961</v>
      </c>
      <c r="I2154" t="str">
        <f>"497961"</f>
        <v>497961</v>
      </c>
      <c r="J2154">
        <v>460</v>
      </c>
      <c r="K2154" s="1">
        <v>44866</v>
      </c>
      <c r="L2154" t="s">
        <v>225</v>
      </c>
      <c r="M2154">
        <f t="shared" si="67"/>
        <v>460</v>
      </c>
      <c r="N2154" t="e">
        <f>VLOOKUP(H2154,Sheet1!G:H,2,FALSE)</f>
        <v>#N/A</v>
      </c>
      <c r="R2154" t="s">
        <v>4078</v>
      </c>
      <c r="S2154">
        <v>189970</v>
      </c>
    </row>
    <row r="2155" spans="1:19" x14ac:dyDescent="0.3">
      <c r="A2155" t="s">
        <v>8</v>
      </c>
      <c r="B2155">
        <f>VLOOKUP(A2155,Sheet2!B:F,5,FALSE)</f>
        <v>928</v>
      </c>
      <c r="C2155" t="s">
        <v>9</v>
      </c>
      <c r="D2155">
        <f>VLOOKUP(C2155,Sheet2!C:G,5,FALSE)</f>
        <v>1202</v>
      </c>
      <c r="E2155" t="s">
        <v>33</v>
      </c>
      <c r="F2155">
        <f>VLOOKUP(E2155,Sheet2!D:E,2,FALSE)</f>
        <v>933</v>
      </c>
      <c r="G2155" t="s">
        <v>1824</v>
      </c>
      <c r="H2155" t="str">
        <f t="shared" si="66"/>
        <v>KAKAO499450</v>
      </c>
      <c r="I2155" t="str">
        <f>"499450"</f>
        <v>499450</v>
      </c>
      <c r="J2155">
        <v>3120</v>
      </c>
      <c r="K2155" s="1">
        <v>44866</v>
      </c>
      <c r="L2155" t="s">
        <v>1750</v>
      </c>
      <c r="M2155">
        <f t="shared" si="67"/>
        <v>3120</v>
      </c>
      <c r="N2155" t="e">
        <f>VLOOKUP(H2155,Sheet1!G:H,2,FALSE)</f>
        <v>#N/A</v>
      </c>
      <c r="R2155" t="s">
        <v>4079</v>
      </c>
      <c r="S2155">
        <v>249250</v>
      </c>
    </row>
    <row r="2156" spans="1:19" x14ac:dyDescent="0.3">
      <c r="A2156" t="s">
        <v>16</v>
      </c>
      <c r="B2156">
        <f>VLOOKUP(A2156,Sheet2!B:F,5,FALSE)</f>
        <v>927</v>
      </c>
      <c r="C2156" t="s">
        <v>17</v>
      </c>
      <c r="D2156">
        <f>VLOOKUP(C2156,Sheet2!C:G,5,FALSE)</f>
        <v>1200</v>
      </c>
      <c r="E2156" t="s">
        <v>93</v>
      </c>
      <c r="F2156">
        <f>VLOOKUP(E2156,Sheet2!D:E,2,FALSE)</f>
        <v>930</v>
      </c>
      <c r="G2156" t="s">
        <v>1824</v>
      </c>
      <c r="H2156" t="str">
        <f t="shared" si="66"/>
        <v>KAKAO501488</v>
      </c>
      <c r="I2156" t="str">
        <f>"501488"</f>
        <v>501488</v>
      </c>
      <c r="J2156">
        <v>9730</v>
      </c>
      <c r="K2156" s="1">
        <v>44866</v>
      </c>
      <c r="L2156" t="s">
        <v>874</v>
      </c>
      <c r="M2156" t="e">
        <f t="shared" si="67"/>
        <v>#N/A</v>
      </c>
      <c r="N2156" t="e">
        <f>VLOOKUP(H2156,Sheet1!G:H,2,FALSE)</f>
        <v>#N/A</v>
      </c>
      <c r="R2156" t="s">
        <v>4080</v>
      </c>
      <c r="S2156">
        <v>1240</v>
      </c>
    </row>
    <row r="2157" spans="1:19" x14ac:dyDescent="0.3">
      <c r="A2157" t="s">
        <v>8</v>
      </c>
      <c r="B2157">
        <f>VLOOKUP(A2157,Sheet2!B:F,5,FALSE)</f>
        <v>928</v>
      </c>
      <c r="C2157" t="s">
        <v>9</v>
      </c>
      <c r="D2157">
        <f>VLOOKUP(C2157,Sheet2!C:G,5,FALSE)</f>
        <v>1202</v>
      </c>
      <c r="E2157" t="s">
        <v>27</v>
      </c>
      <c r="F2157">
        <f>VLOOKUP(E2157,Sheet2!D:E,2,FALSE)</f>
        <v>806</v>
      </c>
      <c r="G2157" t="s">
        <v>1907</v>
      </c>
      <c r="H2157" t="str">
        <f t="shared" si="66"/>
        <v>모먼트106966</v>
      </c>
      <c r="I2157" t="str">
        <f>"106966"</f>
        <v>106966</v>
      </c>
      <c r="J2157">
        <v>156070</v>
      </c>
      <c r="K2157" s="1">
        <v>44866</v>
      </c>
      <c r="L2157" t="s">
        <v>203</v>
      </c>
      <c r="M2157">
        <f t="shared" si="67"/>
        <v>156070</v>
      </c>
      <c r="N2157" t="e">
        <f>VLOOKUP(H2157,Sheet1!G:H,2,FALSE)</f>
        <v>#N/A</v>
      </c>
      <c r="R2157" t="s">
        <v>4081</v>
      </c>
      <c r="S2157">
        <v>76910</v>
      </c>
    </row>
    <row r="2158" spans="1:19" x14ac:dyDescent="0.3">
      <c r="A2158" t="s">
        <v>8</v>
      </c>
      <c r="B2158">
        <f>VLOOKUP(A2158,Sheet2!B:F,5,FALSE)</f>
        <v>928</v>
      </c>
      <c r="C2158" t="s">
        <v>9</v>
      </c>
      <c r="D2158">
        <f>VLOOKUP(C2158,Sheet2!C:G,5,FALSE)</f>
        <v>1202</v>
      </c>
      <c r="E2158" t="s">
        <v>27</v>
      </c>
      <c r="F2158">
        <f>VLOOKUP(E2158,Sheet2!D:E,2,FALSE)</f>
        <v>806</v>
      </c>
      <c r="G2158" t="s">
        <v>1907</v>
      </c>
      <c r="H2158" t="str">
        <f t="shared" si="66"/>
        <v>모먼트124348</v>
      </c>
      <c r="I2158" t="str">
        <f>"124348"</f>
        <v>124348</v>
      </c>
      <c r="J2158">
        <v>448090</v>
      </c>
      <c r="K2158" s="1">
        <v>44866</v>
      </c>
      <c r="L2158" t="s">
        <v>1908</v>
      </c>
      <c r="M2158" t="e">
        <f t="shared" si="67"/>
        <v>#N/A</v>
      </c>
      <c r="N2158" t="str">
        <f>VLOOKUP(H2158,Sheet1!G:H,2,FALSE)</f>
        <v>네이버 피이관</v>
      </c>
      <c r="R2158" t="s">
        <v>4082</v>
      </c>
      <c r="S2158">
        <v>9180</v>
      </c>
    </row>
    <row r="2159" spans="1:19" x14ac:dyDescent="0.3">
      <c r="A2159" t="s">
        <v>8</v>
      </c>
      <c r="B2159">
        <f>VLOOKUP(A2159,Sheet2!B:F,5,FALSE)</f>
        <v>928</v>
      </c>
      <c r="C2159" t="s">
        <v>9</v>
      </c>
      <c r="D2159">
        <f>VLOOKUP(C2159,Sheet2!C:G,5,FALSE)</f>
        <v>1202</v>
      </c>
      <c r="E2159" t="s">
        <v>142</v>
      </c>
      <c r="F2159">
        <f>VLOOKUP(E2159,Sheet2!D:E,2,FALSE)</f>
        <v>652</v>
      </c>
      <c r="G2159" t="s">
        <v>1907</v>
      </c>
      <c r="H2159" t="str">
        <f t="shared" si="66"/>
        <v>모먼트126966</v>
      </c>
      <c r="I2159" t="str">
        <f>"126966"</f>
        <v>126966</v>
      </c>
      <c r="J2159">
        <v>629310</v>
      </c>
      <c r="K2159" s="1">
        <v>44866</v>
      </c>
      <c r="L2159" t="s">
        <v>143</v>
      </c>
      <c r="M2159">
        <f t="shared" si="67"/>
        <v>629310</v>
      </c>
      <c r="N2159" t="e">
        <f>VLOOKUP(H2159,Sheet1!G:H,2,FALSE)</f>
        <v>#N/A</v>
      </c>
      <c r="R2159" t="s">
        <v>4083</v>
      </c>
      <c r="S2159">
        <v>6230</v>
      </c>
    </row>
    <row r="2160" spans="1:19" x14ac:dyDescent="0.3">
      <c r="A2160" t="s">
        <v>41</v>
      </c>
      <c r="B2160">
        <f>VLOOKUP(A2160,Sheet2!B:F,5,FALSE)</f>
        <v>926</v>
      </c>
      <c r="C2160" t="s">
        <v>56</v>
      </c>
      <c r="D2160">
        <f>VLOOKUP(C2160,Sheet2!C:G,5,FALSE)</f>
        <v>1207</v>
      </c>
      <c r="E2160" t="s">
        <v>253</v>
      </c>
      <c r="F2160">
        <f>VLOOKUP(E2160,Sheet2!D:E,2,FALSE)</f>
        <v>1328</v>
      </c>
      <c r="G2160" t="s">
        <v>1907</v>
      </c>
      <c r="H2160" t="str">
        <f t="shared" si="66"/>
        <v>모먼트136197</v>
      </c>
      <c r="I2160" t="str">
        <f>"136197"</f>
        <v>136197</v>
      </c>
      <c r="J2160">
        <v>25455</v>
      </c>
      <c r="K2160" s="1">
        <v>44866</v>
      </c>
      <c r="L2160" t="s">
        <v>1909</v>
      </c>
      <c r="M2160">
        <f t="shared" si="67"/>
        <v>25455</v>
      </c>
      <c r="N2160" t="e">
        <f>VLOOKUP(H2160,Sheet1!G:H,2,FALSE)</f>
        <v>#N/A</v>
      </c>
      <c r="R2160" t="s">
        <v>4084</v>
      </c>
      <c r="S2160">
        <v>313370</v>
      </c>
    </row>
    <row r="2161" spans="1:19" x14ac:dyDescent="0.3">
      <c r="A2161" t="s">
        <v>16</v>
      </c>
      <c r="B2161">
        <f>VLOOKUP(A2161,Sheet2!B:F,5,FALSE)</f>
        <v>927</v>
      </c>
      <c r="C2161" t="s">
        <v>17</v>
      </c>
      <c r="D2161">
        <f>VLOOKUP(C2161,Sheet2!C:G,5,FALSE)</f>
        <v>1200</v>
      </c>
      <c r="E2161" t="s">
        <v>93</v>
      </c>
      <c r="F2161">
        <f>VLOOKUP(E2161,Sheet2!D:E,2,FALSE)</f>
        <v>930</v>
      </c>
      <c r="G2161" t="s">
        <v>1907</v>
      </c>
      <c r="H2161" t="str">
        <f t="shared" si="66"/>
        <v>모먼트138725</v>
      </c>
      <c r="I2161" t="str">
        <f>"138725"</f>
        <v>138725</v>
      </c>
      <c r="J2161">
        <v>268755</v>
      </c>
      <c r="K2161" s="1">
        <v>44866</v>
      </c>
      <c r="L2161" t="s">
        <v>1910</v>
      </c>
      <c r="M2161" t="e">
        <f t="shared" si="67"/>
        <v>#N/A</v>
      </c>
      <c r="N2161" t="e">
        <f>VLOOKUP(H2161,Sheet1!G:H,2,FALSE)</f>
        <v>#N/A</v>
      </c>
      <c r="R2161" t="s">
        <v>4085</v>
      </c>
      <c r="S2161">
        <v>1598210</v>
      </c>
    </row>
    <row r="2162" spans="1:19" x14ac:dyDescent="0.3">
      <c r="A2162" t="s">
        <v>8</v>
      </c>
      <c r="B2162">
        <f>VLOOKUP(A2162,Sheet2!B:F,5,FALSE)</f>
        <v>928</v>
      </c>
      <c r="C2162" t="s">
        <v>9</v>
      </c>
      <c r="D2162">
        <f>VLOOKUP(C2162,Sheet2!C:G,5,FALSE)</f>
        <v>1202</v>
      </c>
      <c r="E2162" t="s">
        <v>45</v>
      </c>
      <c r="F2162">
        <f>VLOOKUP(E2162,Sheet2!D:E,2,FALSE)</f>
        <v>26</v>
      </c>
      <c r="G2162" t="s">
        <v>1907</v>
      </c>
      <c r="H2162" t="str">
        <f t="shared" si="66"/>
        <v>모먼트140858</v>
      </c>
      <c r="I2162" t="str">
        <f>"140858"</f>
        <v>140858</v>
      </c>
      <c r="J2162">
        <v>1140000</v>
      </c>
      <c r="K2162" s="1">
        <v>44866</v>
      </c>
      <c r="L2162" t="s">
        <v>1083</v>
      </c>
      <c r="M2162" t="e">
        <f t="shared" si="67"/>
        <v>#N/A</v>
      </c>
      <c r="N2162" t="str">
        <f>VLOOKUP(H2162,Sheet1!G:H,2,FALSE)</f>
        <v>담당자</v>
      </c>
      <c r="R2162" t="s">
        <v>4086</v>
      </c>
      <c r="S2162">
        <v>3368780</v>
      </c>
    </row>
    <row r="2163" spans="1:19" x14ac:dyDescent="0.3">
      <c r="A2163" t="s">
        <v>16</v>
      </c>
      <c r="B2163">
        <f>VLOOKUP(A2163,Sheet2!B:F,5,FALSE)</f>
        <v>927</v>
      </c>
      <c r="C2163" t="s">
        <v>17</v>
      </c>
      <c r="D2163">
        <f>VLOOKUP(C2163,Sheet2!C:G,5,FALSE)</f>
        <v>1200</v>
      </c>
      <c r="E2163" t="s">
        <v>93</v>
      </c>
      <c r="F2163">
        <f>VLOOKUP(E2163,Sheet2!D:E,2,FALSE)</f>
        <v>930</v>
      </c>
      <c r="G2163" t="s">
        <v>1907</v>
      </c>
      <c r="H2163" t="str">
        <f t="shared" si="66"/>
        <v>모먼트146436</v>
      </c>
      <c r="I2163" t="str">
        <f>"146436"</f>
        <v>146436</v>
      </c>
      <c r="J2163">
        <v>1180870</v>
      </c>
      <c r="K2163" s="1">
        <v>44866</v>
      </c>
      <c r="L2163" t="s">
        <v>1053</v>
      </c>
      <c r="M2163" t="e">
        <f t="shared" si="67"/>
        <v>#N/A</v>
      </c>
      <c r="N2163" t="e">
        <f>VLOOKUP(H2163,Sheet1!G:H,2,FALSE)</f>
        <v>#N/A</v>
      </c>
      <c r="R2163" t="s">
        <v>4087</v>
      </c>
      <c r="S2163">
        <v>2740</v>
      </c>
    </row>
    <row r="2164" spans="1:19" x14ac:dyDescent="0.3">
      <c r="A2164" t="s">
        <v>8</v>
      </c>
      <c r="B2164">
        <f>VLOOKUP(A2164,Sheet2!B:F,5,FALSE)</f>
        <v>928</v>
      </c>
      <c r="C2164" t="s">
        <v>9</v>
      </c>
      <c r="D2164">
        <f>VLOOKUP(C2164,Sheet2!C:G,5,FALSE)</f>
        <v>1202</v>
      </c>
      <c r="E2164" t="s">
        <v>142</v>
      </c>
      <c r="F2164">
        <f>VLOOKUP(E2164,Sheet2!D:E,2,FALSE)</f>
        <v>652</v>
      </c>
      <c r="G2164" t="s">
        <v>1907</v>
      </c>
      <c r="H2164" t="str">
        <f t="shared" si="66"/>
        <v>모먼트150177</v>
      </c>
      <c r="I2164" t="str">
        <f>"150177"</f>
        <v>150177</v>
      </c>
      <c r="J2164">
        <v>10000000</v>
      </c>
      <c r="K2164" s="1">
        <v>44866</v>
      </c>
      <c r="L2164" t="s">
        <v>1280</v>
      </c>
      <c r="M2164">
        <f t="shared" si="67"/>
        <v>0</v>
      </c>
      <c r="N2164" t="e">
        <f>VLOOKUP(H2164,Sheet1!G:H,2,FALSE)</f>
        <v>#N/A</v>
      </c>
      <c r="R2164" t="s">
        <v>4088</v>
      </c>
      <c r="S2164">
        <v>1750</v>
      </c>
    </row>
    <row r="2165" spans="1:19" x14ac:dyDescent="0.3">
      <c r="A2165" t="s">
        <v>16</v>
      </c>
      <c r="B2165">
        <f>VLOOKUP(A2165,Sheet2!B:F,5,FALSE)</f>
        <v>927</v>
      </c>
      <c r="C2165" t="s">
        <v>17</v>
      </c>
      <c r="D2165">
        <f>VLOOKUP(C2165,Sheet2!C:G,5,FALSE)</f>
        <v>1200</v>
      </c>
      <c r="E2165" t="s">
        <v>18</v>
      </c>
      <c r="F2165">
        <f>VLOOKUP(E2165,Sheet2!D:E,2,FALSE)</f>
        <v>201116</v>
      </c>
      <c r="G2165" t="s">
        <v>1907</v>
      </c>
      <c r="H2165" t="str">
        <f t="shared" si="66"/>
        <v>모먼트150299</v>
      </c>
      <c r="I2165" t="str">
        <f>"150299"</f>
        <v>150299</v>
      </c>
      <c r="J2165">
        <v>9000010</v>
      </c>
      <c r="K2165" s="1">
        <v>44866</v>
      </c>
      <c r="L2165" t="s">
        <v>324</v>
      </c>
      <c r="M2165" t="e">
        <f t="shared" si="67"/>
        <v>#N/A</v>
      </c>
      <c r="N2165" t="e">
        <f>VLOOKUP(H2165,Sheet1!G:H,2,FALSE)</f>
        <v>#N/A</v>
      </c>
      <c r="R2165" t="s">
        <v>4089</v>
      </c>
      <c r="S2165">
        <v>403040</v>
      </c>
    </row>
    <row r="2166" spans="1:19" x14ac:dyDescent="0.3">
      <c r="A2166" t="s">
        <v>8</v>
      </c>
      <c r="B2166">
        <f>VLOOKUP(A2166,Sheet2!B:F,5,FALSE)</f>
        <v>928</v>
      </c>
      <c r="C2166" t="s">
        <v>167</v>
      </c>
      <c r="D2166">
        <f>VLOOKUP(C2166,Sheet2!C:G,5,FALSE)</f>
        <v>935</v>
      </c>
      <c r="E2166" t="s">
        <v>168</v>
      </c>
      <c r="F2166">
        <f>VLOOKUP(E2166,Sheet2!D:E,2,FALSE)</f>
        <v>2</v>
      </c>
      <c r="G2166" t="s">
        <v>1907</v>
      </c>
      <c r="H2166" t="str">
        <f t="shared" si="66"/>
        <v>모먼트154181</v>
      </c>
      <c r="I2166" t="str">
        <f>"154181"</f>
        <v>154181</v>
      </c>
      <c r="J2166">
        <v>80000000</v>
      </c>
      <c r="K2166" s="1">
        <v>44866</v>
      </c>
      <c r="L2166" t="s">
        <v>1911</v>
      </c>
      <c r="M2166" t="e">
        <f t="shared" si="67"/>
        <v>#N/A</v>
      </c>
      <c r="N2166" t="e">
        <f>VLOOKUP(H2166,Sheet1!G:H,2,FALSE)</f>
        <v>#N/A</v>
      </c>
      <c r="R2166" t="s">
        <v>4090</v>
      </c>
      <c r="S2166">
        <v>58540</v>
      </c>
    </row>
    <row r="2167" spans="1:19" x14ac:dyDescent="0.3">
      <c r="A2167" t="s">
        <v>41</v>
      </c>
      <c r="B2167">
        <f>VLOOKUP(A2167,Sheet2!B:F,5,FALSE)</f>
        <v>926</v>
      </c>
      <c r="C2167" t="s">
        <v>56</v>
      </c>
      <c r="D2167">
        <f>VLOOKUP(C2167,Sheet2!C:G,5,FALSE)</f>
        <v>1207</v>
      </c>
      <c r="E2167" t="s">
        <v>57</v>
      </c>
      <c r="F2167">
        <f>VLOOKUP(E2167,Sheet2!D:E,2,FALSE)</f>
        <v>200982</v>
      </c>
      <c r="G2167" t="s">
        <v>1907</v>
      </c>
      <c r="H2167" t="str">
        <f t="shared" si="66"/>
        <v>모먼트154879</v>
      </c>
      <c r="I2167" t="str">
        <f>"154879"</f>
        <v>154879</v>
      </c>
      <c r="J2167">
        <v>172300</v>
      </c>
      <c r="K2167" s="1">
        <v>44866</v>
      </c>
      <c r="L2167" t="s">
        <v>1912</v>
      </c>
      <c r="M2167">
        <f t="shared" si="67"/>
        <v>172300</v>
      </c>
      <c r="N2167" t="e">
        <f>VLOOKUP(H2167,Sheet1!G:H,2,FALSE)</f>
        <v>#N/A</v>
      </c>
      <c r="R2167" t="s">
        <v>4091</v>
      </c>
      <c r="S2167">
        <v>5980</v>
      </c>
    </row>
    <row r="2168" spans="1:19" x14ac:dyDescent="0.3">
      <c r="A2168" t="s">
        <v>8</v>
      </c>
      <c r="B2168">
        <f>VLOOKUP(A2168,Sheet2!B:F,5,FALSE)</f>
        <v>928</v>
      </c>
      <c r="C2168" t="s">
        <v>167</v>
      </c>
      <c r="D2168">
        <f>VLOOKUP(C2168,Sheet2!C:G,5,FALSE)</f>
        <v>935</v>
      </c>
      <c r="E2168" t="s">
        <v>168</v>
      </c>
      <c r="F2168">
        <f>VLOOKUP(E2168,Sheet2!D:E,2,FALSE)</f>
        <v>2</v>
      </c>
      <c r="G2168" t="s">
        <v>1907</v>
      </c>
      <c r="H2168" t="str">
        <f t="shared" si="66"/>
        <v>모먼트156715</v>
      </c>
      <c r="I2168" t="str">
        <f>"156715"</f>
        <v>156715</v>
      </c>
      <c r="J2168">
        <v>1011970</v>
      </c>
      <c r="K2168" s="1">
        <v>44866</v>
      </c>
      <c r="L2168" t="s">
        <v>1913</v>
      </c>
      <c r="M2168" t="e">
        <f t="shared" si="67"/>
        <v>#N/A</v>
      </c>
      <c r="N2168" t="e">
        <f>VLOOKUP(H2168,Sheet1!G:H,2,FALSE)</f>
        <v>#N/A</v>
      </c>
      <c r="R2168" t="s">
        <v>4092</v>
      </c>
      <c r="S2168">
        <v>728330</v>
      </c>
    </row>
    <row r="2169" spans="1:19" x14ac:dyDescent="0.3">
      <c r="A2169" t="s">
        <v>41</v>
      </c>
      <c r="B2169">
        <f>VLOOKUP(A2169,Sheet2!B:F,5,FALSE)</f>
        <v>926</v>
      </c>
      <c r="C2169" t="s">
        <v>56</v>
      </c>
      <c r="D2169">
        <f>VLOOKUP(C2169,Sheet2!C:G,5,FALSE)</f>
        <v>1207</v>
      </c>
      <c r="E2169" t="s">
        <v>62</v>
      </c>
      <c r="F2169">
        <f>VLOOKUP(E2169,Sheet2!D:E,2,FALSE)</f>
        <v>201037</v>
      </c>
      <c r="G2169" t="s">
        <v>1907</v>
      </c>
      <c r="H2169" t="str">
        <f t="shared" si="66"/>
        <v>모먼트189723</v>
      </c>
      <c r="I2169" t="str">
        <f>"189723"</f>
        <v>189723</v>
      </c>
      <c r="J2169">
        <v>1140000</v>
      </c>
      <c r="K2169" s="1">
        <v>44866</v>
      </c>
      <c r="L2169" t="s">
        <v>1213</v>
      </c>
      <c r="M2169" t="e">
        <f t="shared" si="67"/>
        <v>#N/A</v>
      </c>
      <c r="N2169" t="str">
        <f>VLOOKUP(H2169,Sheet1!G:H,2,FALSE)</f>
        <v>휴면계정</v>
      </c>
      <c r="R2169" t="s">
        <v>4093</v>
      </c>
      <c r="S2169">
        <v>339050</v>
      </c>
    </row>
    <row r="2170" spans="1:19" x14ac:dyDescent="0.3">
      <c r="A2170" t="s">
        <v>8</v>
      </c>
      <c r="B2170">
        <f>VLOOKUP(A2170,Sheet2!B:F,5,FALSE)</f>
        <v>928</v>
      </c>
      <c r="C2170" t="s">
        <v>9</v>
      </c>
      <c r="D2170">
        <f>VLOOKUP(C2170,Sheet2!C:G,5,FALSE)</f>
        <v>1202</v>
      </c>
      <c r="E2170" t="s">
        <v>10</v>
      </c>
      <c r="F2170">
        <f>VLOOKUP(E2170,Sheet2!D:E,2,FALSE)</f>
        <v>939</v>
      </c>
      <c r="G2170" t="s">
        <v>1907</v>
      </c>
      <c r="H2170" t="str">
        <f t="shared" si="66"/>
        <v>모먼트189770</v>
      </c>
      <c r="I2170" t="str">
        <f>"189770"</f>
        <v>189770</v>
      </c>
      <c r="J2170">
        <v>167640</v>
      </c>
      <c r="K2170" s="1">
        <v>44866</v>
      </c>
      <c r="L2170" t="s">
        <v>1804</v>
      </c>
      <c r="M2170" t="e">
        <f t="shared" si="67"/>
        <v>#N/A</v>
      </c>
      <c r="N2170" t="e">
        <f>VLOOKUP(H2170,Sheet1!G:H,2,FALSE)</f>
        <v>#N/A</v>
      </c>
      <c r="R2170" t="s">
        <v>4094</v>
      </c>
      <c r="S2170">
        <v>1892740</v>
      </c>
    </row>
    <row r="2171" spans="1:19" x14ac:dyDescent="0.3">
      <c r="A2171" t="s">
        <v>16</v>
      </c>
      <c r="B2171">
        <f>VLOOKUP(A2171,Sheet2!B:F,5,FALSE)</f>
        <v>927</v>
      </c>
      <c r="C2171" t="s">
        <v>17</v>
      </c>
      <c r="D2171">
        <f>VLOOKUP(C2171,Sheet2!C:G,5,FALSE)</f>
        <v>1200</v>
      </c>
      <c r="E2171" t="s">
        <v>137</v>
      </c>
      <c r="F2171">
        <f>VLOOKUP(E2171,Sheet2!D:E,2,FALSE)</f>
        <v>1012</v>
      </c>
      <c r="G2171" t="s">
        <v>1907</v>
      </c>
      <c r="H2171" t="str">
        <f t="shared" si="66"/>
        <v>모먼트190552</v>
      </c>
      <c r="I2171" t="str">
        <f>"190552"</f>
        <v>190552</v>
      </c>
      <c r="J2171">
        <v>722560</v>
      </c>
      <c r="K2171" s="1">
        <v>44866</v>
      </c>
      <c r="L2171" t="s">
        <v>575</v>
      </c>
      <c r="M2171">
        <f t="shared" si="67"/>
        <v>722560</v>
      </c>
      <c r="N2171" t="e">
        <f>VLOOKUP(H2171,Sheet1!G:H,2,FALSE)</f>
        <v>#N/A</v>
      </c>
      <c r="R2171" t="s">
        <v>4095</v>
      </c>
      <c r="S2171">
        <v>3022980</v>
      </c>
    </row>
    <row r="2172" spans="1:19" x14ac:dyDescent="0.3">
      <c r="A2172" t="s">
        <v>176</v>
      </c>
      <c r="B2172">
        <f>VLOOKUP(A2172,Sheet2!B:F,5,FALSE)</f>
        <v>1204</v>
      </c>
      <c r="C2172" t="s">
        <v>177</v>
      </c>
      <c r="D2172">
        <f>VLOOKUP(C2172,Sheet2!C:G,5,FALSE)</f>
        <v>1205</v>
      </c>
      <c r="E2172" t="s">
        <v>178</v>
      </c>
      <c r="F2172">
        <f>VLOOKUP(E2172,Sheet2!D:E,2,FALSE)</f>
        <v>201073</v>
      </c>
      <c r="G2172" t="s">
        <v>1907</v>
      </c>
      <c r="H2172" t="str">
        <f t="shared" si="66"/>
        <v>모먼트195095</v>
      </c>
      <c r="I2172" t="str">
        <f>"195095"</f>
        <v>195095</v>
      </c>
      <c r="J2172">
        <v>1056750</v>
      </c>
      <c r="K2172" s="1">
        <v>44866</v>
      </c>
      <c r="L2172" t="s">
        <v>777</v>
      </c>
      <c r="M2172" t="e">
        <f t="shared" si="67"/>
        <v>#N/A</v>
      </c>
      <c r="N2172" t="e">
        <f>VLOOKUP(H2172,Sheet1!G:H,2,FALSE)</f>
        <v>#N/A</v>
      </c>
      <c r="R2172" t="s">
        <v>4096</v>
      </c>
      <c r="S2172">
        <v>289040</v>
      </c>
    </row>
    <row r="2173" spans="1:19" x14ac:dyDescent="0.3">
      <c r="A2173" t="s">
        <v>8</v>
      </c>
      <c r="B2173">
        <f>VLOOKUP(A2173,Sheet2!B:F,5,FALSE)</f>
        <v>928</v>
      </c>
      <c r="C2173" t="s">
        <v>13</v>
      </c>
      <c r="D2173">
        <f>VLOOKUP(C2173,Sheet2!C:G,5,FALSE)</f>
        <v>1184</v>
      </c>
      <c r="E2173" t="s">
        <v>661</v>
      </c>
      <c r="F2173">
        <f>VLOOKUP(E2173,Sheet2!D:E,2,FALSE)</f>
        <v>200969</v>
      </c>
      <c r="G2173" t="s">
        <v>1907</v>
      </c>
      <c r="H2173" t="str">
        <f t="shared" si="66"/>
        <v>모먼트216923</v>
      </c>
      <c r="I2173" t="str">
        <f>"216923"</f>
        <v>216923</v>
      </c>
      <c r="J2173">
        <v>1690090</v>
      </c>
      <c r="K2173" s="1">
        <v>44866</v>
      </c>
      <c r="L2173" t="s">
        <v>662</v>
      </c>
      <c r="M2173">
        <f t="shared" si="67"/>
        <v>1690090</v>
      </c>
      <c r="N2173" t="e">
        <f>VLOOKUP(H2173,Sheet1!G:H,2,FALSE)</f>
        <v>#N/A</v>
      </c>
      <c r="R2173" t="s">
        <v>4097</v>
      </c>
      <c r="S2173">
        <v>0</v>
      </c>
    </row>
    <row r="2174" spans="1:19" x14ac:dyDescent="0.3">
      <c r="A2174" t="s">
        <v>8</v>
      </c>
      <c r="B2174">
        <f>VLOOKUP(A2174,Sheet2!B:F,5,FALSE)</f>
        <v>928</v>
      </c>
      <c r="C2174" t="s">
        <v>223</v>
      </c>
      <c r="D2174">
        <f>VLOOKUP(C2174,Sheet2!C:G,5,FALSE)</f>
        <v>966</v>
      </c>
      <c r="E2174" t="s">
        <v>269</v>
      </c>
      <c r="F2174">
        <f>VLOOKUP(E2174,Sheet2!D:E,2,FALSE)</f>
        <v>201031</v>
      </c>
      <c r="G2174" t="s">
        <v>1907</v>
      </c>
      <c r="H2174" t="str">
        <f t="shared" si="66"/>
        <v>모먼트217545</v>
      </c>
      <c r="I2174" t="str">
        <f>"217545"</f>
        <v>217545</v>
      </c>
      <c r="J2174">
        <v>1573570</v>
      </c>
      <c r="K2174" s="1">
        <v>44866</v>
      </c>
      <c r="L2174" t="s">
        <v>270</v>
      </c>
      <c r="M2174">
        <f t="shared" si="67"/>
        <v>1573570</v>
      </c>
      <c r="N2174" t="e">
        <f>VLOOKUP(H2174,Sheet1!G:H,2,FALSE)</f>
        <v>#N/A</v>
      </c>
      <c r="R2174" t="s">
        <v>4098</v>
      </c>
      <c r="S2174">
        <v>332800</v>
      </c>
    </row>
    <row r="2175" spans="1:19" x14ac:dyDescent="0.3">
      <c r="A2175" t="s">
        <v>8</v>
      </c>
      <c r="B2175">
        <f>VLOOKUP(A2175,Sheet2!B:F,5,FALSE)</f>
        <v>928</v>
      </c>
      <c r="C2175" t="s">
        <v>223</v>
      </c>
      <c r="D2175">
        <f>VLOOKUP(C2175,Sheet2!C:G,5,FALSE)</f>
        <v>966</v>
      </c>
      <c r="E2175" t="s">
        <v>269</v>
      </c>
      <c r="F2175">
        <f>VLOOKUP(E2175,Sheet2!D:E,2,FALSE)</f>
        <v>201031</v>
      </c>
      <c r="G2175" t="s">
        <v>1907</v>
      </c>
      <c r="H2175" t="str">
        <f t="shared" si="66"/>
        <v>모먼트217547</v>
      </c>
      <c r="I2175" t="str">
        <f>"217547"</f>
        <v>217547</v>
      </c>
      <c r="J2175">
        <v>6772050</v>
      </c>
      <c r="K2175" s="1">
        <v>44866</v>
      </c>
      <c r="L2175" t="s">
        <v>270</v>
      </c>
      <c r="M2175">
        <f t="shared" si="67"/>
        <v>6772050</v>
      </c>
      <c r="N2175" t="e">
        <f>VLOOKUP(H2175,Sheet1!G:H,2,FALSE)</f>
        <v>#N/A</v>
      </c>
      <c r="R2175" t="s">
        <v>4099</v>
      </c>
      <c r="S2175">
        <v>34670</v>
      </c>
    </row>
    <row r="2176" spans="1:19" x14ac:dyDescent="0.3">
      <c r="A2176" t="s">
        <v>16</v>
      </c>
      <c r="B2176">
        <f>VLOOKUP(A2176,Sheet2!B:F,5,FALSE)</f>
        <v>927</v>
      </c>
      <c r="C2176" t="s">
        <v>17</v>
      </c>
      <c r="D2176">
        <f>VLOOKUP(C2176,Sheet2!C:G,5,FALSE)</f>
        <v>1200</v>
      </c>
      <c r="E2176" t="s">
        <v>170</v>
      </c>
      <c r="F2176">
        <f>VLOOKUP(E2176,Sheet2!D:E,2,FALSE)</f>
        <v>1530</v>
      </c>
      <c r="G2176" t="s">
        <v>1907</v>
      </c>
      <c r="H2176" t="str">
        <f t="shared" si="66"/>
        <v>모먼트217657</v>
      </c>
      <c r="I2176" t="str">
        <f>"217657"</f>
        <v>217657</v>
      </c>
      <c r="J2176">
        <v>268660</v>
      </c>
      <c r="K2176" s="1">
        <v>44866</v>
      </c>
      <c r="L2176" t="s">
        <v>586</v>
      </c>
      <c r="M2176">
        <f t="shared" si="67"/>
        <v>268660</v>
      </c>
      <c r="N2176" t="e">
        <f>VLOOKUP(H2176,Sheet1!G:H,2,FALSE)</f>
        <v>#N/A</v>
      </c>
      <c r="R2176" t="s">
        <v>4100</v>
      </c>
      <c r="S2176">
        <v>101110</v>
      </c>
    </row>
    <row r="2177" spans="1:19" x14ac:dyDescent="0.3">
      <c r="A2177" t="s">
        <v>8</v>
      </c>
      <c r="B2177">
        <f>VLOOKUP(A2177,Sheet2!B:F,5,FALSE)</f>
        <v>928</v>
      </c>
      <c r="C2177" t="s">
        <v>9</v>
      </c>
      <c r="D2177">
        <f>VLOOKUP(C2177,Sheet2!C:G,5,FALSE)</f>
        <v>1202</v>
      </c>
      <c r="E2177" t="s">
        <v>73</v>
      </c>
      <c r="F2177">
        <f>VLOOKUP(E2177,Sheet2!D:E,2,FALSE)</f>
        <v>895</v>
      </c>
      <c r="G2177" t="s">
        <v>1907</v>
      </c>
      <c r="H2177" t="str">
        <f t="shared" si="66"/>
        <v>모먼트226234</v>
      </c>
      <c r="I2177" t="str">
        <f>"226234"</f>
        <v>226234</v>
      </c>
      <c r="J2177">
        <v>127790</v>
      </c>
      <c r="K2177" s="1">
        <v>44866</v>
      </c>
      <c r="L2177" t="s">
        <v>1914</v>
      </c>
      <c r="M2177">
        <f t="shared" si="67"/>
        <v>127790</v>
      </c>
      <c r="N2177" t="e">
        <f>VLOOKUP(H2177,Sheet1!G:H,2,FALSE)</f>
        <v>#N/A</v>
      </c>
      <c r="R2177" t="s">
        <v>4101</v>
      </c>
      <c r="S2177">
        <v>8447110</v>
      </c>
    </row>
    <row r="2178" spans="1:19" x14ac:dyDescent="0.3">
      <c r="A2178" t="s">
        <v>8</v>
      </c>
      <c r="B2178">
        <f>VLOOKUP(A2178,Sheet2!B:F,5,FALSE)</f>
        <v>928</v>
      </c>
      <c r="C2178" t="s">
        <v>223</v>
      </c>
      <c r="D2178">
        <f>VLOOKUP(C2178,Sheet2!C:G,5,FALSE)</f>
        <v>966</v>
      </c>
      <c r="E2178" t="s">
        <v>1261</v>
      </c>
      <c r="F2178">
        <f>VLOOKUP(E2178,Sheet2!D:E,2,FALSE)</f>
        <v>1659</v>
      </c>
      <c r="G2178" t="s">
        <v>1907</v>
      </c>
      <c r="H2178" t="str">
        <f t="shared" si="66"/>
        <v>모먼트229297</v>
      </c>
      <c r="I2178" t="str">
        <f>"229297"</f>
        <v>229297</v>
      </c>
      <c r="J2178">
        <v>5331500</v>
      </c>
      <c r="K2178" s="1">
        <v>44866</v>
      </c>
      <c r="L2178" t="s">
        <v>1262</v>
      </c>
      <c r="M2178">
        <f t="shared" si="67"/>
        <v>5331500</v>
      </c>
      <c r="N2178" t="e">
        <f>VLOOKUP(H2178,Sheet1!G:H,2,FALSE)</f>
        <v>#N/A</v>
      </c>
      <c r="R2178" t="s">
        <v>4102</v>
      </c>
      <c r="S2178">
        <v>818230</v>
      </c>
    </row>
    <row r="2179" spans="1:19" x14ac:dyDescent="0.3">
      <c r="A2179" t="s">
        <v>41</v>
      </c>
      <c r="B2179">
        <f>VLOOKUP(A2179,Sheet2!B:F,5,FALSE)</f>
        <v>926</v>
      </c>
      <c r="C2179" t="s">
        <v>56</v>
      </c>
      <c r="D2179">
        <f>VLOOKUP(C2179,Sheet2!C:G,5,FALSE)</f>
        <v>1207</v>
      </c>
      <c r="E2179" t="s">
        <v>64</v>
      </c>
      <c r="F2179">
        <f>VLOOKUP(E2179,Sheet2!D:E,2,FALSE)</f>
        <v>201011</v>
      </c>
      <c r="G2179" t="s">
        <v>1907</v>
      </c>
      <c r="H2179" t="str">
        <f t="shared" ref="H2179:H2238" si="68">CONCATENATE(G2179,I2179)</f>
        <v>모먼트243069</v>
      </c>
      <c r="I2179" t="str">
        <f>"243069"</f>
        <v>243069</v>
      </c>
      <c r="J2179">
        <v>433780</v>
      </c>
      <c r="K2179" s="1">
        <v>44866</v>
      </c>
      <c r="L2179" t="s">
        <v>1073</v>
      </c>
      <c r="M2179" t="e">
        <f t="shared" ref="M2179:M2238" si="69">VLOOKUP(H2179,R:S,2,FALSE)</f>
        <v>#N/A</v>
      </c>
      <c r="N2179" t="e">
        <f>VLOOKUP(H2179,Sheet1!G:H,2,FALSE)</f>
        <v>#N/A</v>
      </c>
      <c r="R2179" t="s">
        <v>4103</v>
      </c>
      <c r="S2179">
        <v>8190</v>
      </c>
    </row>
    <row r="2180" spans="1:19" x14ac:dyDescent="0.3">
      <c r="A2180" t="s">
        <v>8</v>
      </c>
      <c r="B2180">
        <f>VLOOKUP(A2180,Sheet2!B:F,5,FALSE)</f>
        <v>928</v>
      </c>
      <c r="C2180" t="s">
        <v>9</v>
      </c>
      <c r="D2180">
        <f>VLOOKUP(C2180,Sheet2!C:G,5,FALSE)</f>
        <v>1202</v>
      </c>
      <c r="E2180" t="s">
        <v>20</v>
      </c>
      <c r="F2180">
        <f>VLOOKUP(E2180,Sheet2!D:E,2,FALSE)</f>
        <v>938</v>
      </c>
      <c r="G2180" t="s">
        <v>1907</v>
      </c>
      <c r="H2180" t="str">
        <f t="shared" si="68"/>
        <v>모먼트243383</v>
      </c>
      <c r="I2180" t="str">
        <f>"243383"</f>
        <v>243383</v>
      </c>
      <c r="J2180">
        <v>3660</v>
      </c>
      <c r="K2180" s="1">
        <v>44866</v>
      </c>
      <c r="L2180" t="s">
        <v>1915</v>
      </c>
      <c r="M2180">
        <f t="shared" si="69"/>
        <v>3660</v>
      </c>
      <c r="N2180" t="e">
        <f>VLOOKUP(H2180,Sheet1!G:H,2,FALSE)</f>
        <v>#N/A</v>
      </c>
      <c r="R2180" t="s">
        <v>4104</v>
      </c>
      <c r="S2180">
        <v>298630</v>
      </c>
    </row>
    <row r="2181" spans="1:19" x14ac:dyDescent="0.3">
      <c r="A2181" t="s">
        <v>8</v>
      </c>
      <c r="B2181">
        <f>VLOOKUP(A2181,Sheet2!B:F,5,FALSE)</f>
        <v>928</v>
      </c>
      <c r="C2181" t="s">
        <v>167</v>
      </c>
      <c r="D2181">
        <f>VLOOKUP(C2181,Sheet2!C:G,5,FALSE)</f>
        <v>935</v>
      </c>
      <c r="E2181" t="s">
        <v>168</v>
      </c>
      <c r="F2181">
        <f>VLOOKUP(E2181,Sheet2!D:E,2,FALSE)</f>
        <v>2</v>
      </c>
      <c r="G2181" t="s">
        <v>1907</v>
      </c>
      <c r="H2181" t="str">
        <f t="shared" si="68"/>
        <v>모먼트250983</v>
      </c>
      <c r="I2181" t="str">
        <f>"250983"</f>
        <v>250983</v>
      </c>
      <c r="J2181">
        <v>3323590</v>
      </c>
      <c r="K2181" s="1">
        <v>44866</v>
      </c>
      <c r="L2181" t="s">
        <v>1916</v>
      </c>
      <c r="M2181" t="e">
        <f t="shared" si="69"/>
        <v>#N/A</v>
      </c>
      <c r="N2181" t="e">
        <f>VLOOKUP(H2181,Sheet1!G:H,2,FALSE)</f>
        <v>#N/A</v>
      </c>
      <c r="R2181" t="s">
        <v>4105</v>
      </c>
      <c r="S2181">
        <v>2960</v>
      </c>
    </row>
    <row r="2182" spans="1:19" x14ac:dyDescent="0.3">
      <c r="A2182" t="s">
        <v>8</v>
      </c>
      <c r="B2182">
        <f>VLOOKUP(A2182,Sheet2!B:F,5,FALSE)</f>
        <v>928</v>
      </c>
      <c r="C2182" t="s">
        <v>9</v>
      </c>
      <c r="D2182">
        <f>VLOOKUP(C2182,Sheet2!C:G,5,FALSE)</f>
        <v>1202</v>
      </c>
      <c r="E2182" t="s">
        <v>47</v>
      </c>
      <c r="F2182">
        <f>VLOOKUP(E2182,Sheet2!D:E,2,FALSE)</f>
        <v>898</v>
      </c>
      <c r="G2182" t="s">
        <v>1907</v>
      </c>
      <c r="H2182" t="str">
        <f t="shared" si="68"/>
        <v>모먼트252734</v>
      </c>
      <c r="I2182" t="str">
        <f>"252734"</f>
        <v>252734</v>
      </c>
      <c r="J2182">
        <v>127600</v>
      </c>
      <c r="K2182" s="1">
        <v>44866</v>
      </c>
      <c r="L2182" t="s">
        <v>196</v>
      </c>
      <c r="M2182">
        <f t="shared" si="69"/>
        <v>127600</v>
      </c>
      <c r="N2182" t="e">
        <f>VLOOKUP(H2182,Sheet1!G:H,2,FALSE)</f>
        <v>#N/A</v>
      </c>
      <c r="R2182" t="s">
        <v>4106</v>
      </c>
      <c r="S2182">
        <v>220820</v>
      </c>
    </row>
    <row r="2183" spans="1:19" x14ac:dyDescent="0.3">
      <c r="A2183" t="s">
        <v>8</v>
      </c>
      <c r="B2183">
        <f>VLOOKUP(A2183,Sheet2!B:F,5,FALSE)</f>
        <v>928</v>
      </c>
      <c r="C2183" t="s">
        <v>9</v>
      </c>
      <c r="D2183">
        <f>VLOOKUP(C2183,Sheet2!C:G,5,FALSE)</f>
        <v>1202</v>
      </c>
      <c r="E2183" t="s">
        <v>37</v>
      </c>
      <c r="F2183">
        <f>VLOOKUP(E2183,Sheet2!D:E,2,FALSE)</f>
        <v>81</v>
      </c>
      <c r="G2183" t="s">
        <v>1907</v>
      </c>
      <c r="H2183" t="str">
        <f t="shared" si="68"/>
        <v>모먼트267424</v>
      </c>
      <c r="I2183" t="str">
        <f>"267424"</f>
        <v>267424</v>
      </c>
      <c r="J2183">
        <v>1363820</v>
      </c>
      <c r="K2183" s="1">
        <v>44866</v>
      </c>
      <c r="L2183" t="s">
        <v>650</v>
      </c>
      <c r="M2183" t="e">
        <f t="shared" si="69"/>
        <v>#N/A</v>
      </c>
      <c r="N2183" t="e">
        <f>VLOOKUP(H2183,Sheet1!G:H,2,FALSE)</f>
        <v>#N/A</v>
      </c>
      <c r="R2183" t="s">
        <v>4107</v>
      </c>
      <c r="S2183">
        <v>197340</v>
      </c>
    </row>
    <row r="2184" spans="1:19" x14ac:dyDescent="0.3">
      <c r="A2184" t="s">
        <v>176</v>
      </c>
      <c r="B2184">
        <f>VLOOKUP(A2184,Sheet2!B:F,5,FALSE)</f>
        <v>1204</v>
      </c>
      <c r="C2184" t="s">
        <v>177</v>
      </c>
      <c r="D2184">
        <f>VLOOKUP(C2184,Sheet2!C:G,5,FALSE)</f>
        <v>1205</v>
      </c>
      <c r="E2184" t="s">
        <v>178</v>
      </c>
      <c r="F2184">
        <f>VLOOKUP(E2184,Sheet2!D:E,2,FALSE)</f>
        <v>201073</v>
      </c>
      <c r="G2184" t="s">
        <v>1907</v>
      </c>
      <c r="H2184" t="str">
        <f t="shared" si="68"/>
        <v>모먼트276004</v>
      </c>
      <c r="I2184" t="str">
        <f>"276004"</f>
        <v>276004</v>
      </c>
      <c r="J2184">
        <v>1140000</v>
      </c>
      <c r="K2184" s="1">
        <v>44866</v>
      </c>
      <c r="L2184" t="s">
        <v>366</v>
      </c>
      <c r="M2184" t="e">
        <f t="shared" si="69"/>
        <v>#N/A</v>
      </c>
      <c r="N2184" t="e">
        <f>VLOOKUP(H2184,Sheet1!G:H,2,FALSE)</f>
        <v>#N/A</v>
      </c>
      <c r="R2184" t="s">
        <v>4108</v>
      </c>
      <c r="S2184">
        <v>96250</v>
      </c>
    </row>
    <row r="2185" spans="1:19" x14ac:dyDescent="0.3">
      <c r="A2185" t="s">
        <v>16</v>
      </c>
      <c r="B2185">
        <f>VLOOKUP(A2185,Sheet2!B:F,5,FALSE)</f>
        <v>927</v>
      </c>
      <c r="C2185" t="s">
        <v>17</v>
      </c>
      <c r="D2185">
        <f>VLOOKUP(C2185,Sheet2!C:G,5,FALSE)</f>
        <v>1200</v>
      </c>
      <c r="E2185" t="s">
        <v>66</v>
      </c>
      <c r="F2185">
        <f>VLOOKUP(E2185,Sheet2!D:E,2,FALSE)</f>
        <v>33</v>
      </c>
      <c r="G2185" t="s">
        <v>1907</v>
      </c>
      <c r="H2185" t="str">
        <f t="shared" si="68"/>
        <v>모먼트293469</v>
      </c>
      <c r="I2185" t="str">
        <f>"293469"</f>
        <v>293469</v>
      </c>
      <c r="J2185">
        <v>128865</v>
      </c>
      <c r="K2185" s="1">
        <v>44866</v>
      </c>
      <c r="L2185" t="s">
        <v>1917</v>
      </c>
      <c r="M2185">
        <f t="shared" si="69"/>
        <v>128865</v>
      </c>
      <c r="N2185" t="e">
        <f>VLOOKUP(H2185,Sheet1!G:H,2,FALSE)</f>
        <v>#N/A</v>
      </c>
      <c r="R2185" t="s">
        <v>4109</v>
      </c>
      <c r="S2185">
        <v>66310</v>
      </c>
    </row>
    <row r="2186" spans="1:19" x14ac:dyDescent="0.3">
      <c r="A2186" t="s">
        <v>8</v>
      </c>
      <c r="B2186">
        <f>VLOOKUP(A2186,Sheet2!B:F,5,FALSE)</f>
        <v>928</v>
      </c>
      <c r="C2186" t="s">
        <v>13</v>
      </c>
      <c r="D2186">
        <f>VLOOKUP(C2186,Sheet2!C:G,5,FALSE)</f>
        <v>1184</v>
      </c>
      <c r="E2186" t="s">
        <v>102</v>
      </c>
      <c r="F2186">
        <f>VLOOKUP(E2186,Sheet2!D:E,2,FALSE)</f>
        <v>917</v>
      </c>
      <c r="G2186" t="s">
        <v>1907</v>
      </c>
      <c r="H2186" t="str">
        <f t="shared" si="68"/>
        <v>모먼트296434</v>
      </c>
      <c r="I2186" t="str">
        <f>"296434"</f>
        <v>296434</v>
      </c>
      <c r="J2186">
        <v>83150</v>
      </c>
      <c r="K2186" s="1">
        <v>44866</v>
      </c>
      <c r="L2186" t="s">
        <v>720</v>
      </c>
      <c r="M2186" t="e">
        <f t="shared" si="69"/>
        <v>#N/A</v>
      </c>
      <c r="N2186" t="e">
        <f>VLOOKUP(H2186,Sheet1!G:H,2,FALSE)</f>
        <v>#N/A</v>
      </c>
      <c r="R2186" t="s">
        <v>4110</v>
      </c>
      <c r="S2186">
        <v>329670</v>
      </c>
    </row>
    <row r="2187" spans="1:19" x14ac:dyDescent="0.3">
      <c r="A2187" t="s">
        <v>41</v>
      </c>
      <c r="B2187">
        <f>VLOOKUP(A2187,Sheet2!B:F,5,FALSE)</f>
        <v>926</v>
      </c>
      <c r="C2187" t="s">
        <v>56</v>
      </c>
      <c r="D2187">
        <f>VLOOKUP(C2187,Sheet2!C:G,5,FALSE)</f>
        <v>1207</v>
      </c>
      <c r="E2187" t="s">
        <v>64</v>
      </c>
      <c r="F2187">
        <f>VLOOKUP(E2187,Sheet2!D:E,2,FALSE)</f>
        <v>201011</v>
      </c>
      <c r="G2187" t="s">
        <v>1907</v>
      </c>
      <c r="H2187" t="str">
        <f t="shared" si="68"/>
        <v>모먼트320516</v>
      </c>
      <c r="I2187" t="str">
        <f>"320516"</f>
        <v>320516</v>
      </c>
      <c r="J2187">
        <v>954020</v>
      </c>
      <c r="K2187" s="1">
        <v>44866</v>
      </c>
      <c r="L2187" t="s">
        <v>159</v>
      </c>
      <c r="M2187" t="e">
        <f t="shared" si="69"/>
        <v>#N/A</v>
      </c>
      <c r="N2187" t="e">
        <f>VLOOKUP(H2187,Sheet1!G:H,2,FALSE)</f>
        <v>#N/A</v>
      </c>
      <c r="R2187" t="s">
        <v>4111</v>
      </c>
      <c r="S2187">
        <v>1199410</v>
      </c>
    </row>
    <row r="2188" spans="1:19" x14ac:dyDescent="0.3">
      <c r="A2188" t="s">
        <v>22</v>
      </c>
      <c r="B2188">
        <f>VLOOKUP(A2188,Sheet2!B:F,5,FALSE)</f>
        <v>809</v>
      </c>
      <c r="C2188" t="s">
        <v>23</v>
      </c>
      <c r="D2188">
        <f>VLOOKUP(C2188,Sheet2!C:G,5,FALSE)</f>
        <v>810</v>
      </c>
      <c r="E2188" t="s">
        <v>106</v>
      </c>
      <c r="F2188">
        <f>VLOOKUP(E2188,Sheet2!D:E,2,FALSE)</f>
        <v>1349</v>
      </c>
      <c r="G2188" t="s">
        <v>1907</v>
      </c>
      <c r="H2188" t="str">
        <f t="shared" si="68"/>
        <v>모먼트321940</v>
      </c>
      <c r="I2188" t="str">
        <f>"321940"</f>
        <v>321940</v>
      </c>
      <c r="J2188">
        <v>937720</v>
      </c>
      <c r="K2188" s="1">
        <v>44866</v>
      </c>
      <c r="L2188" t="s">
        <v>585</v>
      </c>
      <c r="M2188">
        <f t="shared" si="69"/>
        <v>937720</v>
      </c>
      <c r="N2188" t="e">
        <f>VLOOKUP(H2188,Sheet1!G:H,2,FALSE)</f>
        <v>#N/A</v>
      </c>
      <c r="R2188" t="s">
        <v>4112</v>
      </c>
      <c r="S2188">
        <v>2701880</v>
      </c>
    </row>
    <row r="2189" spans="1:19" x14ac:dyDescent="0.3">
      <c r="A2189" t="s">
        <v>8</v>
      </c>
      <c r="B2189">
        <f>VLOOKUP(A2189,Sheet2!B:F,5,FALSE)</f>
        <v>928</v>
      </c>
      <c r="C2189" t="s">
        <v>167</v>
      </c>
      <c r="D2189">
        <f>VLOOKUP(C2189,Sheet2!C:G,5,FALSE)</f>
        <v>935</v>
      </c>
      <c r="E2189" t="s">
        <v>168</v>
      </c>
      <c r="F2189">
        <f>VLOOKUP(E2189,Sheet2!D:E,2,FALSE)</f>
        <v>2</v>
      </c>
      <c r="G2189" t="s">
        <v>1907</v>
      </c>
      <c r="H2189" t="str">
        <f t="shared" si="68"/>
        <v>모먼트344227</v>
      </c>
      <c r="I2189" t="str">
        <f>"344227"</f>
        <v>344227</v>
      </c>
      <c r="J2189">
        <v>89598735</v>
      </c>
      <c r="K2189" s="1">
        <v>44866</v>
      </c>
      <c r="L2189" t="s">
        <v>1918</v>
      </c>
      <c r="M2189">
        <f t="shared" si="69"/>
        <v>89598735</v>
      </c>
      <c r="N2189" t="e">
        <f>VLOOKUP(H2189,Sheet1!G:H,2,FALSE)</f>
        <v>#N/A</v>
      </c>
      <c r="R2189" t="s">
        <v>4113</v>
      </c>
      <c r="S2189">
        <v>53370</v>
      </c>
    </row>
    <row r="2190" spans="1:19" x14ac:dyDescent="0.3">
      <c r="A2190" t="s">
        <v>8</v>
      </c>
      <c r="B2190">
        <f>VLOOKUP(A2190,Sheet2!B:F,5,FALSE)</f>
        <v>928</v>
      </c>
      <c r="C2190" t="s">
        <v>9</v>
      </c>
      <c r="D2190">
        <f>VLOOKUP(C2190,Sheet2!C:G,5,FALSE)</f>
        <v>1202</v>
      </c>
      <c r="E2190" t="s">
        <v>47</v>
      </c>
      <c r="F2190">
        <f>VLOOKUP(E2190,Sheet2!D:E,2,FALSE)</f>
        <v>898</v>
      </c>
      <c r="G2190" t="s">
        <v>1907</v>
      </c>
      <c r="H2190" t="str">
        <f t="shared" si="68"/>
        <v>모먼트366104</v>
      </c>
      <c r="I2190" t="str">
        <f>"366104"</f>
        <v>366104</v>
      </c>
      <c r="J2190">
        <v>23450</v>
      </c>
      <c r="K2190" s="1">
        <v>44866</v>
      </c>
      <c r="L2190" t="s">
        <v>1160</v>
      </c>
      <c r="M2190">
        <f t="shared" si="69"/>
        <v>23450</v>
      </c>
      <c r="N2190" t="e">
        <f>VLOOKUP(H2190,Sheet1!G:H,2,FALSE)</f>
        <v>#N/A</v>
      </c>
      <c r="R2190" t="s">
        <v>4114</v>
      </c>
      <c r="S2190">
        <v>104840</v>
      </c>
    </row>
    <row r="2191" spans="1:19" x14ac:dyDescent="0.3">
      <c r="A2191" t="s">
        <v>8</v>
      </c>
      <c r="B2191">
        <f>VLOOKUP(A2191,Sheet2!B:F,5,FALSE)</f>
        <v>928</v>
      </c>
      <c r="C2191" t="s">
        <v>223</v>
      </c>
      <c r="D2191">
        <f>VLOOKUP(C2191,Sheet2!C:G,5,FALSE)</f>
        <v>966</v>
      </c>
      <c r="E2191" t="s">
        <v>224</v>
      </c>
      <c r="F2191">
        <f>VLOOKUP(E2191,Sheet2!D:E,2,FALSE)</f>
        <v>201008</v>
      </c>
      <c r="G2191" t="s">
        <v>1907</v>
      </c>
      <c r="H2191" t="str">
        <f t="shared" si="68"/>
        <v>모먼트366859</v>
      </c>
      <c r="I2191" t="str">
        <f>"366859"</f>
        <v>366859</v>
      </c>
      <c r="J2191">
        <v>29644110</v>
      </c>
      <c r="K2191" s="1">
        <v>44866</v>
      </c>
      <c r="L2191" t="s">
        <v>1238</v>
      </c>
      <c r="M2191" t="e">
        <f t="shared" si="69"/>
        <v>#N/A</v>
      </c>
      <c r="N2191" t="e">
        <f>VLOOKUP(H2191,Sheet1!G:H,2,FALSE)</f>
        <v>#N/A</v>
      </c>
      <c r="R2191" t="s">
        <v>4115</v>
      </c>
      <c r="S2191">
        <v>7480</v>
      </c>
    </row>
    <row r="2192" spans="1:19" x14ac:dyDescent="0.3">
      <c r="A2192" t="s">
        <v>8</v>
      </c>
      <c r="B2192">
        <f>VLOOKUP(A2192,Sheet2!B:F,5,FALSE)</f>
        <v>928</v>
      </c>
      <c r="C2192" t="s">
        <v>223</v>
      </c>
      <c r="D2192">
        <f>VLOOKUP(C2192,Sheet2!C:G,5,FALSE)</f>
        <v>966</v>
      </c>
      <c r="E2192" t="s">
        <v>612</v>
      </c>
      <c r="F2192">
        <f>VLOOKUP(E2192,Sheet2!D:E,2,FALSE)</f>
        <v>201129</v>
      </c>
      <c r="G2192" t="s">
        <v>1907</v>
      </c>
      <c r="H2192" t="str">
        <f t="shared" si="68"/>
        <v>모먼트371444</v>
      </c>
      <c r="I2192" t="str">
        <f>"371444"</f>
        <v>371444</v>
      </c>
      <c r="J2192">
        <v>3087990</v>
      </c>
      <c r="K2192" s="1">
        <v>44866</v>
      </c>
      <c r="L2192" t="s">
        <v>306</v>
      </c>
      <c r="M2192">
        <f t="shared" si="69"/>
        <v>3087990</v>
      </c>
      <c r="N2192" t="e">
        <f>VLOOKUP(H2192,Sheet1!G:H,2,FALSE)</f>
        <v>#N/A</v>
      </c>
      <c r="R2192" t="s">
        <v>4116</v>
      </c>
      <c r="S2192">
        <v>1985860</v>
      </c>
    </row>
    <row r="2193" spans="1:19" x14ac:dyDescent="0.3">
      <c r="A2193" t="s">
        <v>8</v>
      </c>
      <c r="B2193">
        <f>VLOOKUP(A2193,Sheet2!B:F,5,FALSE)</f>
        <v>928</v>
      </c>
      <c r="C2193" t="s">
        <v>13</v>
      </c>
      <c r="D2193">
        <f>VLOOKUP(C2193,Sheet2!C:G,5,FALSE)</f>
        <v>1184</v>
      </c>
      <c r="E2193" t="s">
        <v>127</v>
      </c>
      <c r="F2193">
        <f>VLOOKUP(E2193,Sheet2!D:E,2,FALSE)</f>
        <v>201029</v>
      </c>
      <c r="G2193" t="s">
        <v>1907</v>
      </c>
      <c r="H2193" t="str">
        <f t="shared" si="68"/>
        <v>모먼트378127</v>
      </c>
      <c r="I2193" t="str">
        <f>"378127"</f>
        <v>378127</v>
      </c>
      <c r="J2193">
        <v>1670</v>
      </c>
      <c r="K2193" s="1">
        <v>44866</v>
      </c>
      <c r="L2193" t="s">
        <v>449</v>
      </c>
      <c r="M2193" t="e">
        <f t="shared" si="69"/>
        <v>#N/A</v>
      </c>
      <c r="N2193" t="e">
        <f>VLOOKUP(H2193,Sheet1!G:H,2,FALSE)</f>
        <v>#N/A</v>
      </c>
      <c r="R2193" t="s">
        <v>4117</v>
      </c>
      <c r="S2193">
        <v>34660</v>
      </c>
    </row>
    <row r="2194" spans="1:19" x14ac:dyDescent="0.3">
      <c r="A2194" t="s">
        <v>8</v>
      </c>
      <c r="B2194">
        <f>VLOOKUP(A2194,Sheet2!B:F,5,FALSE)</f>
        <v>928</v>
      </c>
      <c r="C2194" t="s">
        <v>9</v>
      </c>
      <c r="D2194">
        <f>VLOOKUP(C2194,Sheet2!C:G,5,FALSE)</f>
        <v>1202</v>
      </c>
      <c r="E2194" t="s">
        <v>110</v>
      </c>
      <c r="F2194">
        <f>VLOOKUP(E2194,Sheet2!D:E,2,FALSE)</f>
        <v>929</v>
      </c>
      <c r="G2194" t="s">
        <v>1907</v>
      </c>
      <c r="H2194" t="str">
        <f t="shared" si="68"/>
        <v>모먼트389747</v>
      </c>
      <c r="I2194" t="str">
        <f>"389747"</f>
        <v>389747</v>
      </c>
      <c r="J2194">
        <v>343540</v>
      </c>
      <c r="K2194" s="1">
        <v>44866</v>
      </c>
      <c r="L2194" t="s">
        <v>960</v>
      </c>
      <c r="M2194" t="e">
        <f t="shared" si="69"/>
        <v>#N/A</v>
      </c>
      <c r="N2194" t="e">
        <f>VLOOKUP(H2194,Sheet1!G:H,2,FALSE)</f>
        <v>#N/A</v>
      </c>
      <c r="R2194" t="s">
        <v>4118</v>
      </c>
      <c r="S2194">
        <v>195320</v>
      </c>
    </row>
    <row r="2195" spans="1:19" x14ac:dyDescent="0.3">
      <c r="A2195" t="s">
        <v>176</v>
      </c>
      <c r="B2195">
        <f>VLOOKUP(A2195,Sheet2!B:F,5,FALSE)</f>
        <v>1204</v>
      </c>
      <c r="C2195" t="s">
        <v>177</v>
      </c>
      <c r="D2195">
        <f>VLOOKUP(C2195,Sheet2!C:G,5,FALSE)</f>
        <v>1205</v>
      </c>
      <c r="E2195" t="s">
        <v>178</v>
      </c>
      <c r="F2195">
        <f>VLOOKUP(E2195,Sheet2!D:E,2,FALSE)</f>
        <v>201073</v>
      </c>
      <c r="G2195" t="s">
        <v>1907</v>
      </c>
      <c r="H2195" t="str">
        <f t="shared" si="68"/>
        <v>모먼트389780</v>
      </c>
      <c r="I2195" t="str">
        <f>"389780"</f>
        <v>389780</v>
      </c>
      <c r="J2195">
        <v>24480</v>
      </c>
      <c r="K2195" s="1">
        <v>44866</v>
      </c>
      <c r="L2195" t="s">
        <v>1405</v>
      </c>
      <c r="M2195" t="e">
        <f t="shared" si="69"/>
        <v>#N/A</v>
      </c>
      <c r="N2195" t="e">
        <f>VLOOKUP(H2195,Sheet1!G:H,2,FALSE)</f>
        <v>#N/A</v>
      </c>
      <c r="R2195" t="s">
        <v>4119</v>
      </c>
      <c r="S2195">
        <v>89510</v>
      </c>
    </row>
    <row r="2196" spans="1:19" x14ac:dyDescent="0.3">
      <c r="A2196" t="s">
        <v>8</v>
      </c>
      <c r="B2196">
        <f>VLOOKUP(A2196,Sheet2!B:F,5,FALSE)</f>
        <v>928</v>
      </c>
      <c r="C2196" t="s">
        <v>9</v>
      </c>
      <c r="D2196">
        <f>VLOOKUP(C2196,Sheet2!C:G,5,FALSE)</f>
        <v>1202</v>
      </c>
      <c r="E2196" t="s">
        <v>391</v>
      </c>
      <c r="F2196">
        <f>VLOOKUP(E2196,Sheet2!D:E,2,FALSE)</f>
        <v>1216</v>
      </c>
      <c r="G2196" t="s">
        <v>1907</v>
      </c>
      <c r="H2196" t="str">
        <f t="shared" si="68"/>
        <v>모먼트390900</v>
      </c>
      <c r="I2196" t="str">
        <f>"390900"</f>
        <v>390900</v>
      </c>
      <c r="J2196">
        <v>910420</v>
      </c>
      <c r="K2196" s="1">
        <v>44866</v>
      </c>
      <c r="L2196" t="s">
        <v>1342</v>
      </c>
      <c r="M2196">
        <f t="shared" si="69"/>
        <v>910420</v>
      </c>
      <c r="N2196" t="e">
        <f>VLOOKUP(H2196,Sheet1!G:H,2,FALSE)</f>
        <v>#N/A</v>
      </c>
      <c r="R2196" t="s">
        <v>4120</v>
      </c>
      <c r="S2196">
        <v>183850</v>
      </c>
    </row>
    <row r="2197" spans="1:19" x14ac:dyDescent="0.3">
      <c r="A2197" t="s">
        <v>16</v>
      </c>
      <c r="B2197">
        <f>VLOOKUP(A2197,Sheet2!B:F,5,FALSE)</f>
        <v>927</v>
      </c>
      <c r="C2197" t="s">
        <v>17</v>
      </c>
      <c r="D2197">
        <f>VLOOKUP(C2197,Sheet2!C:G,5,FALSE)</f>
        <v>1200</v>
      </c>
      <c r="E2197" t="s">
        <v>262</v>
      </c>
      <c r="F2197">
        <f>VLOOKUP(E2197,Sheet2!D:E,2,FALSE)</f>
        <v>1594</v>
      </c>
      <c r="G2197" t="s">
        <v>1907</v>
      </c>
      <c r="H2197" t="str">
        <f t="shared" si="68"/>
        <v>모먼트394139</v>
      </c>
      <c r="I2197" t="str">
        <f>"394139"</f>
        <v>394139</v>
      </c>
      <c r="J2197">
        <v>42310</v>
      </c>
      <c r="K2197" s="1">
        <v>44866</v>
      </c>
      <c r="L2197" t="s">
        <v>1060</v>
      </c>
      <c r="M2197">
        <f t="shared" si="69"/>
        <v>42310</v>
      </c>
      <c r="N2197" t="e">
        <f>VLOOKUP(H2197,Sheet1!G:H,2,FALSE)</f>
        <v>#N/A</v>
      </c>
      <c r="R2197" t="s">
        <v>4121</v>
      </c>
      <c r="S2197">
        <v>29330</v>
      </c>
    </row>
    <row r="2198" spans="1:19" x14ac:dyDescent="0.3">
      <c r="A2198" t="s">
        <v>8</v>
      </c>
      <c r="B2198">
        <f>VLOOKUP(A2198,Sheet2!B:F,5,FALSE)</f>
        <v>928</v>
      </c>
      <c r="C2198" t="s">
        <v>167</v>
      </c>
      <c r="D2198">
        <f>VLOOKUP(C2198,Sheet2!C:G,5,FALSE)</f>
        <v>935</v>
      </c>
      <c r="E2198" t="s">
        <v>168</v>
      </c>
      <c r="F2198">
        <f>VLOOKUP(E2198,Sheet2!D:E,2,FALSE)</f>
        <v>2</v>
      </c>
      <c r="G2198" t="s">
        <v>1907</v>
      </c>
      <c r="H2198" t="str">
        <f t="shared" si="68"/>
        <v>모먼트397217</v>
      </c>
      <c r="I2198" t="str">
        <f>"397217"</f>
        <v>397217</v>
      </c>
      <c r="J2198">
        <v>496060</v>
      </c>
      <c r="K2198" s="1">
        <v>44866</v>
      </c>
      <c r="L2198" t="s">
        <v>1275</v>
      </c>
      <c r="M2198">
        <f t="shared" si="69"/>
        <v>34360</v>
      </c>
      <c r="N2198" t="e">
        <f>VLOOKUP(H2198,Sheet1!G:H,2,FALSE)</f>
        <v>#N/A</v>
      </c>
      <c r="R2198" t="s">
        <v>4122</v>
      </c>
      <c r="S2198">
        <v>770</v>
      </c>
    </row>
    <row r="2199" spans="1:19" x14ac:dyDescent="0.3">
      <c r="A2199" t="s">
        <v>8</v>
      </c>
      <c r="B2199">
        <f>VLOOKUP(A2199,Sheet2!B:F,5,FALSE)</f>
        <v>928</v>
      </c>
      <c r="C2199" t="s">
        <v>9</v>
      </c>
      <c r="D2199">
        <f>VLOOKUP(C2199,Sheet2!C:G,5,FALSE)</f>
        <v>1202</v>
      </c>
      <c r="E2199" t="s">
        <v>45</v>
      </c>
      <c r="F2199">
        <f>VLOOKUP(E2199,Sheet2!D:E,2,FALSE)</f>
        <v>26</v>
      </c>
      <c r="G2199" t="s">
        <v>1907</v>
      </c>
      <c r="H2199" t="str">
        <f t="shared" si="68"/>
        <v>모먼트399170</v>
      </c>
      <c r="I2199" t="str">
        <f>"399170"</f>
        <v>399170</v>
      </c>
      <c r="J2199">
        <v>694340</v>
      </c>
      <c r="K2199" s="1">
        <v>44866</v>
      </c>
      <c r="L2199" t="s">
        <v>184</v>
      </c>
      <c r="M2199">
        <f t="shared" si="69"/>
        <v>694340</v>
      </c>
      <c r="N2199" t="e">
        <f>VLOOKUP(H2199,Sheet1!G:H,2,FALSE)</f>
        <v>#N/A</v>
      </c>
      <c r="R2199" t="s">
        <v>4123</v>
      </c>
      <c r="S2199">
        <v>38170</v>
      </c>
    </row>
    <row r="2200" spans="1:19" x14ac:dyDescent="0.3">
      <c r="A2200" t="s">
        <v>41</v>
      </c>
      <c r="B2200">
        <f>VLOOKUP(A2200,Sheet2!B:F,5,FALSE)</f>
        <v>926</v>
      </c>
      <c r="C2200" t="s">
        <v>56</v>
      </c>
      <c r="D2200">
        <f>VLOOKUP(C2200,Sheet2!C:G,5,FALSE)</f>
        <v>1207</v>
      </c>
      <c r="E2200" t="s">
        <v>62</v>
      </c>
      <c r="F2200">
        <f>VLOOKUP(E2200,Sheet2!D:E,2,FALSE)</f>
        <v>201037</v>
      </c>
      <c r="G2200" t="s">
        <v>1907</v>
      </c>
      <c r="H2200" t="str">
        <f t="shared" si="68"/>
        <v>모먼트401692</v>
      </c>
      <c r="I2200" t="str">
        <f>"401692"</f>
        <v>401692</v>
      </c>
      <c r="J2200">
        <v>591650</v>
      </c>
      <c r="K2200" s="1">
        <v>44866</v>
      </c>
      <c r="L2200" t="s">
        <v>1919</v>
      </c>
      <c r="M2200">
        <f t="shared" si="69"/>
        <v>591650</v>
      </c>
      <c r="N2200" t="e">
        <f>VLOOKUP(H2200,Sheet1!G:H,2,FALSE)</f>
        <v>#N/A</v>
      </c>
      <c r="R2200" t="s">
        <v>4124</v>
      </c>
      <c r="S2200">
        <v>392130</v>
      </c>
    </row>
    <row r="2201" spans="1:19" x14ac:dyDescent="0.3">
      <c r="A2201" t="s">
        <v>16</v>
      </c>
      <c r="B2201">
        <f>VLOOKUP(A2201,Sheet2!B:F,5,FALSE)</f>
        <v>927</v>
      </c>
      <c r="C2201" t="s">
        <v>17</v>
      </c>
      <c r="D2201">
        <f>VLOOKUP(C2201,Sheet2!C:G,5,FALSE)</f>
        <v>1200</v>
      </c>
      <c r="E2201" t="s">
        <v>18</v>
      </c>
      <c r="F2201">
        <f>VLOOKUP(E2201,Sheet2!D:E,2,FALSE)</f>
        <v>201116</v>
      </c>
      <c r="G2201" t="s">
        <v>1907</v>
      </c>
      <c r="H2201" t="str">
        <f t="shared" si="68"/>
        <v>모먼트402860</v>
      </c>
      <c r="I2201" t="str">
        <f>"402860"</f>
        <v>402860</v>
      </c>
      <c r="J2201">
        <v>1402245</v>
      </c>
      <c r="K2201" s="1">
        <v>44866</v>
      </c>
      <c r="L2201" t="s">
        <v>324</v>
      </c>
      <c r="M2201" t="e">
        <f t="shared" si="69"/>
        <v>#N/A</v>
      </c>
      <c r="N2201" t="e">
        <f>VLOOKUP(H2201,Sheet1!G:H,2,FALSE)</f>
        <v>#N/A</v>
      </c>
      <c r="R2201" t="s">
        <v>4125</v>
      </c>
      <c r="S2201">
        <v>22150</v>
      </c>
    </row>
    <row r="2202" spans="1:19" x14ac:dyDescent="0.3">
      <c r="A2202" t="s">
        <v>8</v>
      </c>
      <c r="B2202">
        <f>VLOOKUP(A2202,Sheet2!B:F,5,FALSE)</f>
        <v>928</v>
      </c>
      <c r="C2202" t="s">
        <v>167</v>
      </c>
      <c r="D2202">
        <f>VLOOKUP(C2202,Sheet2!C:G,5,FALSE)</f>
        <v>935</v>
      </c>
      <c r="E2202" t="s">
        <v>168</v>
      </c>
      <c r="F2202">
        <f>VLOOKUP(E2202,Sheet2!D:E,2,FALSE)</f>
        <v>2</v>
      </c>
      <c r="G2202" t="s">
        <v>1907</v>
      </c>
      <c r="H2202" t="str">
        <f t="shared" si="68"/>
        <v>모먼트405555</v>
      </c>
      <c r="I2202" t="str">
        <f>"405555"</f>
        <v>405555</v>
      </c>
      <c r="J2202">
        <v>999880</v>
      </c>
      <c r="K2202" s="1">
        <v>44866</v>
      </c>
      <c r="L2202" t="s">
        <v>1104</v>
      </c>
      <c r="M2202">
        <f t="shared" si="69"/>
        <v>999880</v>
      </c>
      <c r="N2202" t="e">
        <f>VLOOKUP(H2202,Sheet1!G:H,2,FALSE)</f>
        <v>#N/A</v>
      </c>
      <c r="R2202" t="s">
        <v>4126</v>
      </c>
      <c r="S2202">
        <v>2709110</v>
      </c>
    </row>
    <row r="2203" spans="1:19" x14ac:dyDescent="0.3">
      <c r="A2203" t="s">
        <v>8</v>
      </c>
      <c r="B2203">
        <f>VLOOKUP(A2203,Sheet2!B:F,5,FALSE)</f>
        <v>928</v>
      </c>
      <c r="C2203" t="s">
        <v>9</v>
      </c>
      <c r="D2203">
        <f>VLOOKUP(C2203,Sheet2!C:G,5,FALSE)</f>
        <v>1202</v>
      </c>
      <c r="E2203" t="s">
        <v>142</v>
      </c>
      <c r="F2203">
        <f>VLOOKUP(E2203,Sheet2!D:E,2,FALSE)</f>
        <v>652</v>
      </c>
      <c r="G2203" t="s">
        <v>1907</v>
      </c>
      <c r="H2203" t="str">
        <f t="shared" si="68"/>
        <v>모먼트41128</v>
      </c>
      <c r="I2203" t="str">
        <f>"41128"</f>
        <v>41128</v>
      </c>
      <c r="J2203">
        <v>1166945</v>
      </c>
      <c r="K2203" s="1">
        <v>44866</v>
      </c>
      <c r="L2203" t="s">
        <v>1280</v>
      </c>
      <c r="M2203">
        <f t="shared" si="69"/>
        <v>1166945</v>
      </c>
      <c r="N2203" t="e">
        <f>VLOOKUP(H2203,Sheet1!G:H,2,FALSE)</f>
        <v>#N/A</v>
      </c>
      <c r="R2203" t="s">
        <v>4127</v>
      </c>
      <c r="S2203">
        <v>380730</v>
      </c>
    </row>
    <row r="2204" spans="1:19" x14ac:dyDescent="0.3">
      <c r="A2204" t="s">
        <v>8</v>
      </c>
      <c r="B2204">
        <f>VLOOKUP(A2204,Sheet2!B:F,5,FALSE)</f>
        <v>928</v>
      </c>
      <c r="C2204" t="s">
        <v>9</v>
      </c>
      <c r="D2204">
        <f>VLOOKUP(C2204,Sheet2!C:G,5,FALSE)</f>
        <v>1202</v>
      </c>
      <c r="E2204" t="s">
        <v>122</v>
      </c>
      <c r="F2204">
        <f>VLOOKUP(E2204,Sheet2!D:E,2,FALSE)</f>
        <v>251</v>
      </c>
      <c r="G2204" t="s">
        <v>1907</v>
      </c>
      <c r="H2204" t="str">
        <f t="shared" si="68"/>
        <v>모먼트41662</v>
      </c>
      <c r="I2204" t="str">
        <f>"41662"</f>
        <v>41662</v>
      </c>
      <c r="J2204">
        <v>349960</v>
      </c>
      <c r="K2204" s="1">
        <v>44866</v>
      </c>
      <c r="L2204" t="s">
        <v>1303</v>
      </c>
      <c r="M2204">
        <f t="shared" si="69"/>
        <v>349960</v>
      </c>
      <c r="N2204" t="e">
        <f>VLOOKUP(H2204,Sheet1!G:H,2,FALSE)</f>
        <v>#N/A</v>
      </c>
      <c r="R2204" t="s">
        <v>4128</v>
      </c>
      <c r="S2204">
        <v>4980</v>
      </c>
    </row>
    <row r="2205" spans="1:19" x14ac:dyDescent="0.3">
      <c r="A2205" t="s">
        <v>8</v>
      </c>
      <c r="B2205">
        <f>VLOOKUP(A2205,Sheet2!B:F,5,FALSE)</f>
        <v>928</v>
      </c>
      <c r="C2205" t="s">
        <v>167</v>
      </c>
      <c r="D2205">
        <f>VLOOKUP(C2205,Sheet2!C:G,5,FALSE)</f>
        <v>935</v>
      </c>
      <c r="E2205" t="s">
        <v>168</v>
      </c>
      <c r="F2205">
        <f>VLOOKUP(E2205,Sheet2!D:E,2,FALSE)</f>
        <v>2</v>
      </c>
      <c r="G2205" t="s">
        <v>1907</v>
      </c>
      <c r="H2205" t="str">
        <f t="shared" si="68"/>
        <v>모먼트424123</v>
      </c>
      <c r="I2205" t="str">
        <f>"424123"</f>
        <v>424123</v>
      </c>
      <c r="J2205">
        <v>10047660</v>
      </c>
      <c r="K2205" s="1">
        <v>44866</v>
      </c>
      <c r="L2205" t="s">
        <v>1920</v>
      </c>
      <c r="M2205" t="e">
        <f t="shared" si="69"/>
        <v>#N/A</v>
      </c>
      <c r="N2205" t="e">
        <f>VLOOKUP(H2205,Sheet1!G:H,2,FALSE)</f>
        <v>#N/A</v>
      </c>
      <c r="R2205" t="s">
        <v>4129</v>
      </c>
      <c r="S2205">
        <v>74690</v>
      </c>
    </row>
    <row r="2206" spans="1:19" x14ac:dyDescent="0.3">
      <c r="A2206" t="s">
        <v>176</v>
      </c>
      <c r="B2206">
        <f>VLOOKUP(A2206,Sheet2!B:F,5,FALSE)</f>
        <v>1204</v>
      </c>
      <c r="C2206" t="s">
        <v>177</v>
      </c>
      <c r="D2206">
        <f>VLOOKUP(C2206,Sheet2!C:G,5,FALSE)</f>
        <v>1205</v>
      </c>
      <c r="E2206" t="s">
        <v>178</v>
      </c>
      <c r="F2206">
        <f>VLOOKUP(E2206,Sheet2!D:E,2,FALSE)</f>
        <v>201073</v>
      </c>
      <c r="G2206" t="s">
        <v>1907</v>
      </c>
      <c r="H2206" t="str">
        <f t="shared" si="68"/>
        <v>모먼트432463</v>
      </c>
      <c r="I2206" t="str">
        <f>"432463"</f>
        <v>432463</v>
      </c>
      <c r="J2206">
        <v>80510</v>
      </c>
      <c r="K2206" s="1">
        <v>44866</v>
      </c>
      <c r="L2206" t="s">
        <v>1405</v>
      </c>
      <c r="M2206" t="e">
        <f t="shared" si="69"/>
        <v>#N/A</v>
      </c>
      <c r="N2206" t="e">
        <f>VLOOKUP(H2206,Sheet1!G:H,2,FALSE)</f>
        <v>#N/A</v>
      </c>
      <c r="R2206" t="s">
        <v>4130</v>
      </c>
      <c r="S2206">
        <v>2230</v>
      </c>
    </row>
    <row r="2207" spans="1:19" x14ac:dyDescent="0.3">
      <c r="A2207" t="s">
        <v>8</v>
      </c>
      <c r="B2207">
        <f>VLOOKUP(A2207,Sheet2!B:F,5,FALSE)</f>
        <v>928</v>
      </c>
      <c r="C2207" t="s">
        <v>9</v>
      </c>
      <c r="D2207">
        <f>VLOOKUP(C2207,Sheet2!C:G,5,FALSE)</f>
        <v>1202</v>
      </c>
      <c r="E2207" t="s">
        <v>142</v>
      </c>
      <c r="F2207">
        <f>VLOOKUP(E2207,Sheet2!D:E,2,FALSE)</f>
        <v>652</v>
      </c>
      <c r="G2207" t="s">
        <v>1907</v>
      </c>
      <c r="H2207" t="str">
        <f t="shared" si="68"/>
        <v>모먼트437971</v>
      </c>
      <c r="I2207" t="str">
        <f>"437971"</f>
        <v>437971</v>
      </c>
      <c r="J2207">
        <v>1512690</v>
      </c>
      <c r="K2207" s="1">
        <v>44866</v>
      </c>
      <c r="L2207" t="s">
        <v>466</v>
      </c>
      <c r="M2207">
        <f t="shared" si="69"/>
        <v>1512690</v>
      </c>
      <c r="N2207" t="e">
        <f>VLOOKUP(H2207,Sheet1!G:H,2,FALSE)</f>
        <v>#N/A</v>
      </c>
      <c r="R2207" t="s">
        <v>4131</v>
      </c>
      <c r="S2207">
        <v>69350</v>
      </c>
    </row>
    <row r="2208" spans="1:19" x14ac:dyDescent="0.3">
      <c r="A2208" t="s">
        <v>8</v>
      </c>
      <c r="B2208">
        <f>VLOOKUP(A2208,Sheet2!B:F,5,FALSE)</f>
        <v>928</v>
      </c>
      <c r="C2208" t="s">
        <v>167</v>
      </c>
      <c r="D2208">
        <f>VLOOKUP(C2208,Sheet2!C:G,5,FALSE)</f>
        <v>935</v>
      </c>
      <c r="E2208" t="s">
        <v>168</v>
      </c>
      <c r="F2208">
        <f>VLOOKUP(E2208,Sheet2!D:E,2,FALSE)</f>
        <v>2</v>
      </c>
      <c r="G2208" t="s">
        <v>1907</v>
      </c>
      <c r="H2208" t="str">
        <f t="shared" si="68"/>
        <v>모먼트451275</v>
      </c>
      <c r="I2208" t="str">
        <f>"451275"</f>
        <v>451275</v>
      </c>
      <c r="J2208">
        <v>2959665</v>
      </c>
      <c r="K2208" s="1">
        <v>44866</v>
      </c>
      <c r="L2208" t="s">
        <v>1913</v>
      </c>
      <c r="M2208" t="e">
        <f t="shared" si="69"/>
        <v>#N/A</v>
      </c>
      <c r="N2208" t="e">
        <f>VLOOKUP(H2208,Sheet1!G:H,2,FALSE)</f>
        <v>#N/A</v>
      </c>
      <c r="R2208" t="s">
        <v>4132</v>
      </c>
      <c r="S2208">
        <v>46210</v>
      </c>
    </row>
    <row r="2209" spans="1:19" x14ac:dyDescent="0.3">
      <c r="A2209" t="s">
        <v>16</v>
      </c>
      <c r="B2209">
        <f>VLOOKUP(A2209,Sheet2!B:F,5,FALSE)</f>
        <v>927</v>
      </c>
      <c r="C2209" t="s">
        <v>17</v>
      </c>
      <c r="D2209">
        <f>VLOOKUP(C2209,Sheet2!C:G,5,FALSE)</f>
        <v>1200</v>
      </c>
      <c r="E2209" t="s">
        <v>78</v>
      </c>
      <c r="F2209">
        <f>VLOOKUP(E2209,Sheet2!D:E,2,FALSE)</f>
        <v>57</v>
      </c>
      <c r="G2209" t="s">
        <v>1907</v>
      </c>
      <c r="H2209" t="str">
        <f t="shared" si="68"/>
        <v>모먼트45316</v>
      </c>
      <c r="I2209" t="str">
        <f>"45316"</f>
        <v>45316</v>
      </c>
      <c r="J2209">
        <v>65070</v>
      </c>
      <c r="K2209" s="1">
        <v>44866</v>
      </c>
      <c r="L2209" t="s">
        <v>252</v>
      </c>
      <c r="M2209">
        <f t="shared" si="69"/>
        <v>65070</v>
      </c>
      <c r="N2209" t="e">
        <f>VLOOKUP(H2209,Sheet1!G:H,2,FALSE)</f>
        <v>#N/A</v>
      </c>
      <c r="R2209" t="s">
        <v>4133</v>
      </c>
      <c r="S2209">
        <v>49420</v>
      </c>
    </row>
    <row r="2210" spans="1:19" x14ac:dyDescent="0.3">
      <c r="A2210" t="s">
        <v>8</v>
      </c>
      <c r="B2210">
        <f>VLOOKUP(A2210,Sheet2!B:F,5,FALSE)</f>
        <v>928</v>
      </c>
      <c r="C2210" t="s">
        <v>223</v>
      </c>
      <c r="D2210">
        <f>VLOOKUP(C2210,Sheet2!C:G,5,FALSE)</f>
        <v>966</v>
      </c>
      <c r="E2210" t="s">
        <v>224</v>
      </c>
      <c r="F2210">
        <f>VLOOKUP(E2210,Sheet2!D:E,2,FALSE)</f>
        <v>201008</v>
      </c>
      <c r="G2210" t="s">
        <v>1907</v>
      </c>
      <c r="H2210" t="str">
        <f t="shared" si="68"/>
        <v>모먼트453515</v>
      </c>
      <c r="I2210" t="str">
        <f>"453515"</f>
        <v>453515</v>
      </c>
      <c r="J2210">
        <v>50341870</v>
      </c>
      <c r="K2210" s="1">
        <v>44866</v>
      </c>
      <c r="L2210" t="s">
        <v>1238</v>
      </c>
      <c r="M2210" t="e">
        <f t="shared" si="69"/>
        <v>#N/A</v>
      </c>
      <c r="N2210" t="e">
        <f>VLOOKUP(H2210,Sheet1!G:H,2,FALSE)</f>
        <v>#N/A</v>
      </c>
      <c r="R2210" t="s">
        <v>4134</v>
      </c>
      <c r="S2210">
        <v>543340</v>
      </c>
    </row>
    <row r="2211" spans="1:19" x14ac:dyDescent="0.3">
      <c r="A2211" t="s">
        <v>8</v>
      </c>
      <c r="B2211">
        <f>VLOOKUP(A2211,Sheet2!B:F,5,FALSE)</f>
        <v>928</v>
      </c>
      <c r="C2211" t="s">
        <v>13</v>
      </c>
      <c r="D2211">
        <f>VLOOKUP(C2211,Sheet2!C:G,5,FALSE)</f>
        <v>1184</v>
      </c>
      <c r="E2211" t="s">
        <v>374</v>
      </c>
      <c r="F2211">
        <f>VLOOKUP(E2211,Sheet2!D:E,2,FALSE)</f>
        <v>201022</v>
      </c>
      <c r="G2211" t="s">
        <v>1907</v>
      </c>
      <c r="H2211" t="str">
        <f t="shared" si="68"/>
        <v>모먼트454992</v>
      </c>
      <c r="I2211" t="str">
        <f>"454992"</f>
        <v>454992</v>
      </c>
      <c r="J2211">
        <v>1140000</v>
      </c>
      <c r="K2211" s="1">
        <v>44866</v>
      </c>
      <c r="L2211" t="s">
        <v>1461</v>
      </c>
      <c r="M2211" t="e">
        <f t="shared" si="69"/>
        <v>#N/A</v>
      </c>
      <c r="N2211" t="e">
        <f>VLOOKUP(H2211,Sheet1!G:H,2,FALSE)</f>
        <v>#N/A</v>
      </c>
      <c r="R2211" t="s">
        <v>4135</v>
      </c>
      <c r="S2211">
        <v>7800</v>
      </c>
    </row>
    <row r="2212" spans="1:19" x14ac:dyDescent="0.3">
      <c r="A2212" t="s">
        <v>8</v>
      </c>
      <c r="B2212">
        <f>VLOOKUP(A2212,Sheet2!B:F,5,FALSE)</f>
        <v>928</v>
      </c>
      <c r="C2212" t="s">
        <v>167</v>
      </c>
      <c r="D2212">
        <f>VLOOKUP(C2212,Sheet2!C:G,5,FALSE)</f>
        <v>935</v>
      </c>
      <c r="E2212" t="s">
        <v>168</v>
      </c>
      <c r="F2212">
        <f>VLOOKUP(E2212,Sheet2!D:E,2,FALSE)</f>
        <v>2</v>
      </c>
      <c r="G2212" t="s">
        <v>1907</v>
      </c>
      <c r="H2212" t="str">
        <f t="shared" si="68"/>
        <v>모먼트456505</v>
      </c>
      <c r="I2212" t="str">
        <f>"456505"</f>
        <v>456505</v>
      </c>
      <c r="J2212">
        <v>702700</v>
      </c>
      <c r="K2212" s="1">
        <v>44866</v>
      </c>
      <c r="L2212" t="s">
        <v>1343</v>
      </c>
      <c r="M2212" t="e">
        <f t="shared" si="69"/>
        <v>#N/A</v>
      </c>
      <c r="N2212" t="e">
        <f>VLOOKUP(H2212,Sheet1!G:H,2,FALSE)</f>
        <v>#N/A</v>
      </c>
      <c r="R2212" t="s">
        <v>4136</v>
      </c>
      <c r="S2212">
        <v>11180</v>
      </c>
    </row>
    <row r="2213" spans="1:19" x14ac:dyDescent="0.3">
      <c r="A2213" t="s">
        <v>8</v>
      </c>
      <c r="B2213">
        <f>VLOOKUP(A2213,Sheet2!B:F,5,FALSE)</f>
        <v>928</v>
      </c>
      <c r="C2213" t="s">
        <v>9</v>
      </c>
      <c r="D2213">
        <f>VLOOKUP(C2213,Sheet2!C:G,5,FALSE)</f>
        <v>1202</v>
      </c>
      <c r="E2213" t="s">
        <v>33</v>
      </c>
      <c r="F2213">
        <f>VLOOKUP(E2213,Sheet2!D:E,2,FALSE)</f>
        <v>933</v>
      </c>
      <c r="G2213" t="s">
        <v>1907</v>
      </c>
      <c r="H2213" t="str">
        <f t="shared" si="68"/>
        <v>모먼트466128</v>
      </c>
      <c r="I2213" t="str">
        <f>"466128"</f>
        <v>466128</v>
      </c>
      <c r="J2213">
        <v>677290</v>
      </c>
      <c r="K2213" s="1">
        <v>44866</v>
      </c>
      <c r="L2213" t="s">
        <v>1750</v>
      </c>
      <c r="M2213" t="e">
        <f t="shared" si="69"/>
        <v>#N/A</v>
      </c>
      <c r="N2213" t="e">
        <f>VLOOKUP(H2213,Sheet1!G:H,2,FALSE)</f>
        <v>#N/A</v>
      </c>
      <c r="R2213" t="s">
        <v>4137</v>
      </c>
      <c r="S2213">
        <v>2030</v>
      </c>
    </row>
    <row r="2214" spans="1:19" x14ac:dyDescent="0.3">
      <c r="A2214" t="s">
        <v>41</v>
      </c>
      <c r="B2214">
        <f>VLOOKUP(A2214,Sheet2!B:F,5,FALSE)</f>
        <v>926</v>
      </c>
      <c r="C2214" t="s">
        <v>56</v>
      </c>
      <c r="D2214">
        <f>VLOOKUP(C2214,Sheet2!C:G,5,FALSE)</f>
        <v>1207</v>
      </c>
      <c r="E2214" t="s">
        <v>57</v>
      </c>
      <c r="F2214">
        <f>VLOOKUP(E2214,Sheet2!D:E,2,FALSE)</f>
        <v>200982</v>
      </c>
      <c r="G2214" t="s">
        <v>1907</v>
      </c>
      <c r="H2214" t="str">
        <f t="shared" si="68"/>
        <v>모먼트46946</v>
      </c>
      <c r="I2214" t="str">
        <f>"46946"</f>
        <v>46946</v>
      </c>
      <c r="J2214">
        <v>1094470</v>
      </c>
      <c r="K2214" s="1">
        <v>44866</v>
      </c>
      <c r="L2214" t="s">
        <v>1805</v>
      </c>
      <c r="M2214" t="e">
        <f t="shared" si="69"/>
        <v>#N/A</v>
      </c>
      <c r="N2214" t="e">
        <f>VLOOKUP(H2214,Sheet1!G:H,2,FALSE)</f>
        <v>#N/A</v>
      </c>
      <c r="R2214" t="s">
        <v>4138</v>
      </c>
      <c r="S2214">
        <v>550</v>
      </c>
    </row>
    <row r="2215" spans="1:19" x14ac:dyDescent="0.3">
      <c r="A2215" t="s">
        <v>8</v>
      </c>
      <c r="B2215">
        <f>VLOOKUP(A2215,Sheet2!B:F,5,FALSE)</f>
        <v>928</v>
      </c>
      <c r="C2215" t="s">
        <v>9</v>
      </c>
      <c r="D2215">
        <f>VLOOKUP(C2215,Sheet2!C:G,5,FALSE)</f>
        <v>1202</v>
      </c>
      <c r="E2215" t="s">
        <v>122</v>
      </c>
      <c r="F2215">
        <f>VLOOKUP(E2215,Sheet2!D:E,2,FALSE)</f>
        <v>251</v>
      </c>
      <c r="G2215" t="s">
        <v>1907</v>
      </c>
      <c r="H2215" t="str">
        <f t="shared" si="68"/>
        <v>모먼트47326</v>
      </c>
      <c r="I2215" t="str">
        <f>"47326"</f>
        <v>47326</v>
      </c>
      <c r="J2215">
        <v>167230</v>
      </c>
      <c r="K2215" s="1">
        <v>44866</v>
      </c>
      <c r="L2215" t="s">
        <v>413</v>
      </c>
      <c r="M2215" t="e">
        <f t="shared" si="69"/>
        <v>#N/A</v>
      </c>
      <c r="N2215" t="e">
        <f>VLOOKUP(H2215,Sheet1!G:H,2,FALSE)</f>
        <v>#N/A</v>
      </c>
      <c r="R2215" t="s">
        <v>4139</v>
      </c>
      <c r="S2215">
        <v>173890</v>
      </c>
    </row>
    <row r="2216" spans="1:19" x14ac:dyDescent="0.3">
      <c r="A2216" t="s">
        <v>8</v>
      </c>
      <c r="B2216">
        <f>VLOOKUP(A2216,Sheet2!B:F,5,FALSE)</f>
        <v>928</v>
      </c>
      <c r="C2216" t="s">
        <v>13</v>
      </c>
      <c r="D2216">
        <f>VLOOKUP(C2216,Sheet2!C:G,5,FALSE)</f>
        <v>1184</v>
      </c>
      <c r="E2216" t="s">
        <v>127</v>
      </c>
      <c r="F2216">
        <f>VLOOKUP(E2216,Sheet2!D:E,2,FALSE)</f>
        <v>201029</v>
      </c>
      <c r="G2216" t="s">
        <v>1907</v>
      </c>
      <c r="H2216" t="str">
        <f t="shared" si="68"/>
        <v>모먼트47342</v>
      </c>
      <c r="I2216" t="str">
        <f>"47342"</f>
        <v>47342</v>
      </c>
      <c r="J2216">
        <v>461570</v>
      </c>
      <c r="K2216" s="1">
        <v>44866</v>
      </c>
      <c r="L2216" t="s">
        <v>128</v>
      </c>
      <c r="M2216">
        <f t="shared" si="69"/>
        <v>461570</v>
      </c>
      <c r="N2216" t="e">
        <f>VLOOKUP(H2216,Sheet1!G:H,2,FALSE)</f>
        <v>#N/A</v>
      </c>
      <c r="R2216" t="s">
        <v>4140</v>
      </c>
      <c r="S2216">
        <v>189150</v>
      </c>
    </row>
    <row r="2217" spans="1:19" x14ac:dyDescent="0.3">
      <c r="A2217" t="s">
        <v>41</v>
      </c>
      <c r="B2217">
        <f>VLOOKUP(A2217,Sheet2!B:F,5,FALSE)</f>
        <v>926</v>
      </c>
      <c r="C2217" t="s">
        <v>56</v>
      </c>
      <c r="D2217">
        <f>VLOOKUP(C2217,Sheet2!C:G,5,FALSE)</f>
        <v>1207</v>
      </c>
      <c r="E2217" t="s">
        <v>91</v>
      </c>
      <c r="F2217">
        <f>VLOOKUP(E2217,Sheet2!D:E,2,FALSE)</f>
        <v>201104</v>
      </c>
      <c r="G2217" t="s">
        <v>1907</v>
      </c>
      <c r="H2217" t="str">
        <f t="shared" si="68"/>
        <v>모먼트47575</v>
      </c>
      <c r="I2217" t="str">
        <f>"47575"</f>
        <v>47575</v>
      </c>
      <c r="J2217">
        <v>454080</v>
      </c>
      <c r="K2217" s="1">
        <v>44866</v>
      </c>
      <c r="L2217" t="s">
        <v>338</v>
      </c>
      <c r="M2217" t="e">
        <f t="shared" si="69"/>
        <v>#N/A</v>
      </c>
      <c r="N2217" t="e">
        <f>VLOOKUP(H2217,Sheet1!G:H,2,FALSE)</f>
        <v>#N/A</v>
      </c>
      <c r="R2217" t="s">
        <v>4141</v>
      </c>
      <c r="S2217">
        <v>12255540</v>
      </c>
    </row>
    <row r="2218" spans="1:19" x14ac:dyDescent="0.3">
      <c r="A2218" t="s">
        <v>8</v>
      </c>
      <c r="B2218">
        <f>VLOOKUP(A2218,Sheet2!B:F,5,FALSE)</f>
        <v>928</v>
      </c>
      <c r="C2218" t="s">
        <v>9</v>
      </c>
      <c r="D2218">
        <f>VLOOKUP(C2218,Sheet2!C:G,5,FALSE)</f>
        <v>1202</v>
      </c>
      <c r="E2218" t="s">
        <v>47</v>
      </c>
      <c r="F2218">
        <f>VLOOKUP(E2218,Sheet2!D:E,2,FALSE)</f>
        <v>898</v>
      </c>
      <c r="G2218" t="s">
        <v>1907</v>
      </c>
      <c r="H2218" t="str">
        <f t="shared" si="68"/>
        <v>모먼트47818</v>
      </c>
      <c r="I2218" t="str">
        <f>"47818"</f>
        <v>47818</v>
      </c>
      <c r="J2218">
        <v>581210</v>
      </c>
      <c r="K2218" s="1">
        <v>44866</v>
      </c>
      <c r="L2218" t="s">
        <v>1811</v>
      </c>
      <c r="M2218">
        <f t="shared" si="69"/>
        <v>581210</v>
      </c>
      <c r="N2218" t="e">
        <f>VLOOKUP(H2218,Sheet1!G:H,2,FALSE)</f>
        <v>#N/A</v>
      </c>
      <c r="R2218" t="s">
        <v>4142</v>
      </c>
      <c r="S2218">
        <v>1622990</v>
      </c>
    </row>
    <row r="2219" spans="1:19" x14ac:dyDescent="0.3">
      <c r="A2219" t="s">
        <v>8</v>
      </c>
      <c r="B2219">
        <f>VLOOKUP(A2219,Sheet2!B:F,5,FALSE)</f>
        <v>928</v>
      </c>
      <c r="C2219" t="s">
        <v>9</v>
      </c>
      <c r="D2219">
        <f>VLOOKUP(C2219,Sheet2!C:G,5,FALSE)</f>
        <v>1202</v>
      </c>
      <c r="E2219" t="s">
        <v>142</v>
      </c>
      <c r="F2219">
        <f>VLOOKUP(E2219,Sheet2!D:E,2,FALSE)</f>
        <v>652</v>
      </c>
      <c r="G2219" t="s">
        <v>1907</v>
      </c>
      <c r="H2219" t="str">
        <f t="shared" si="68"/>
        <v>모먼트48072</v>
      </c>
      <c r="I2219" t="str">
        <f>"48072"</f>
        <v>48072</v>
      </c>
      <c r="J2219">
        <v>363680</v>
      </c>
      <c r="K2219" s="1">
        <v>44866</v>
      </c>
      <c r="L2219" t="s">
        <v>859</v>
      </c>
      <c r="M2219">
        <f t="shared" si="69"/>
        <v>363680</v>
      </c>
      <c r="N2219" t="e">
        <f>VLOOKUP(H2219,Sheet1!G:H,2,FALSE)</f>
        <v>#N/A</v>
      </c>
      <c r="R2219" t="s">
        <v>4143</v>
      </c>
      <c r="S2219">
        <v>11481330</v>
      </c>
    </row>
    <row r="2220" spans="1:19" x14ac:dyDescent="0.3">
      <c r="A2220" t="s">
        <v>22</v>
      </c>
      <c r="B2220">
        <f>VLOOKUP(A2220,Sheet2!B:F,5,FALSE)</f>
        <v>809</v>
      </c>
      <c r="C2220" t="s">
        <v>23</v>
      </c>
      <c r="D2220">
        <f>VLOOKUP(C2220,Sheet2!C:G,5,FALSE)</f>
        <v>810</v>
      </c>
      <c r="E2220" t="s">
        <v>106</v>
      </c>
      <c r="F2220">
        <f>VLOOKUP(E2220,Sheet2!D:E,2,FALSE)</f>
        <v>1349</v>
      </c>
      <c r="G2220" t="s">
        <v>1907</v>
      </c>
      <c r="H2220" t="str">
        <f t="shared" si="68"/>
        <v>모먼트485159</v>
      </c>
      <c r="I2220" t="str">
        <f>"485159"</f>
        <v>485159</v>
      </c>
      <c r="J2220">
        <v>545180</v>
      </c>
      <c r="K2220" s="1">
        <v>44866</v>
      </c>
      <c r="L2220" t="s">
        <v>1921</v>
      </c>
      <c r="M2220">
        <f t="shared" si="69"/>
        <v>545180</v>
      </c>
      <c r="N2220" t="e">
        <f>VLOOKUP(H2220,Sheet1!G:H,2,FALSE)</f>
        <v>#N/A</v>
      </c>
      <c r="R2220" t="s">
        <v>4144</v>
      </c>
      <c r="S2220">
        <v>103590</v>
      </c>
    </row>
    <row r="2221" spans="1:19" x14ac:dyDescent="0.3">
      <c r="A2221" t="s">
        <v>41</v>
      </c>
      <c r="B2221">
        <f>VLOOKUP(A2221,Sheet2!B:F,5,FALSE)</f>
        <v>926</v>
      </c>
      <c r="C2221" t="s">
        <v>56</v>
      </c>
      <c r="D2221">
        <f>VLOOKUP(C2221,Sheet2!C:G,5,FALSE)</f>
        <v>1207</v>
      </c>
      <c r="E2221" t="s">
        <v>156</v>
      </c>
      <c r="F2221">
        <f>VLOOKUP(E2221,Sheet2!D:E,2,FALSE)</f>
        <v>201103</v>
      </c>
      <c r="G2221" t="s">
        <v>1907</v>
      </c>
      <c r="H2221" t="str">
        <f t="shared" si="68"/>
        <v>모먼트488116</v>
      </c>
      <c r="I2221" t="str">
        <f>"488116"</f>
        <v>488116</v>
      </c>
      <c r="J2221">
        <v>85430</v>
      </c>
      <c r="K2221" s="1">
        <v>44866</v>
      </c>
      <c r="L2221" t="s">
        <v>1922</v>
      </c>
      <c r="M2221" t="e">
        <f t="shared" si="69"/>
        <v>#N/A</v>
      </c>
      <c r="N2221" t="e">
        <f>VLOOKUP(H2221,Sheet1!G:H,2,FALSE)</f>
        <v>#N/A</v>
      </c>
      <c r="R2221" t="s">
        <v>4145</v>
      </c>
      <c r="S2221">
        <v>1206540</v>
      </c>
    </row>
    <row r="2222" spans="1:19" x14ac:dyDescent="0.3">
      <c r="A2222" t="s">
        <v>22</v>
      </c>
      <c r="B2222">
        <f>VLOOKUP(A2222,Sheet2!B:F,5,FALSE)</f>
        <v>809</v>
      </c>
      <c r="C2222" t="s">
        <v>23</v>
      </c>
      <c r="D2222">
        <f>VLOOKUP(C2222,Sheet2!C:G,5,FALSE)</f>
        <v>810</v>
      </c>
      <c r="E2222" t="s">
        <v>106</v>
      </c>
      <c r="F2222">
        <f>VLOOKUP(E2222,Sheet2!D:E,2,FALSE)</f>
        <v>1349</v>
      </c>
      <c r="G2222" t="s">
        <v>1907</v>
      </c>
      <c r="H2222" t="str">
        <f t="shared" si="68"/>
        <v>모먼트488787</v>
      </c>
      <c r="I2222" t="str">
        <f>"488787"</f>
        <v>488787</v>
      </c>
      <c r="J2222">
        <v>463090</v>
      </c>
      <c r="K2222" s="1">
        <v>44866</v>
      </c>
      <c r="L2222" t="s">
        <v>1923</v>
      </c>
      <c r="M2222">
        <f t="shared" si="69"/>
        <v>463090</v>
      </c>
      <c r="N2222" t="e">
        <f>VLOOKUP(H2222,Sheet1!G:H,2,FALSE)</f>
        <v>#N/A</v>
      </c>
      <c r="R2222" t="s">
        <v>4146</v>
      </c>
      <c r="S2222">
        <v>4985990</v>
      </c>
    </row>
    <row r="2223" spans="1:19" x14ac:dyDescent="0.3">
      <c r="A2223" t="s">
        <v>8</v>
      </c>
      <c r="B2223">
        <f>VLOOKUP(A2223,Sheet2!B:F,5,FALSE)</f>
        <v>928</v>
      </c>
      <c r="C2223" t="s">
        <v>9</v>
      </c>
      <c r="D2223">
        <f>VLOOKUP(C2223,Sheet2!C:G,5,FALSE)</f>
        <v>1202</v>
      </c>
      <c r="E2223" t="s">
        <v>33</v>
      </c>
      <c r="F2223">
        <f>VLOOKUP(E2223,Sheet2!D:E,2,FALSE)</f>
        <v>933</v>
      </c>
      <c r="G2223" t="s">
        <v>1907</v>
      </c>
      <c r="H2223" t="str">
        <f t="shared" si="68"/>
        <v>모먼트489401</v>
      </c>
      <c r="I2223" t="str">
        <f>"489401"</f>
        <v>489401</v>
      </c>
      <c r="J2223">
        <v>13975290</v>
      </c>
      <c r="K2223" s="1">
        <v>44866</v>
      </c>
      <c r="L2223" t="s">
        <v>987</v>
      </c>
      <c r="M2223">
        <f t="shared" si="69"/>
        <v>13975290</v>
      </c>
      <c r="N2223" t="e">
        <f>VLOOKUP(H2223,Sheet1!G:H,2,FALSE)</f>
        <v>#N/A</v>
      </c>
      <c r="R2223" t="s">
        <v>4147</v>
      </c>
      <c r="S2223">
        <v>89950</v>
      </c>
    </row>
    <row r="2224" spans="1:19" x14ac:dyDescent="0.3">
      <c r="A2224" t="s">
        <v>16</v>
      </c>
      <c r="B2224">
        <f>VLOOKUP(A2224,Sheet2!B:F,5,FALSE)</f>
        <v>927</v>
      </c>
      <c r="C2224" t="s">
        <v>1570</v>
      </c>
      <c r="D2224">
        <f>VLOOKUP(C2224,Sheet2!C:G,5,FALSE)</f>
        <v>965</v>
      </c>
      <c r="E2224" t="s">
        <v>1571</v>
      </c>
      <c r="F2224">
        <f>VLOOKUP(E2224,Sheet2!D:E,2,FALSE)</f>
        <v>201061</v>
      </c>
      <c r="G2224" t="s">
        <v>1907</v>
      </c>
      <c r="H2224" t="str">
        <f t="shared" si="68"/>
        <v>모먼트491674</v>
      </c>
      <c r="I2224" t="str">
        <f>"491674"</f>
        <v>491674</v>
      </c>
      <c r="J2224">
        <v>567080</v>
      </c>
      <c r="K2224" s="1">
        <v>44866</v>
      </c>
      <c r="L2224" t="s">
        <v>1572</v>
      </c>
      <c r="M2224" t="e">
        <f t="shared" si="69"/>
        <v>#N/A</v>
      </c>
      <c r="N2224" t="e">
        <f>VLOOKUP(H2224,Sheet1!G:H,2,FALSE)</f>
        <v>#N/A</v>
      </c>
      <c r="R2224" t="s">
        <v>4148</v>
      </c>
      <c r="S2224">
        <v>710010</v>
      </c>
    </row>
    <row r="2225" spans="1:19" x14ac:dyDescent="0.3">
      <c r="A2225" t="s">
        <v>22</v>
      </c>
      <c r="B2225">
        <f>VLOOKUP(A2225,Sheet2!B:F,5,FALSE)</f>
        <v>809</v>
      </c>
      <c r="C2225" t="s">
        <v>23</v>
      </c>
      <c r="D2225">
        <f>VLOOKUP(C2225,Sheet2!C:G,5,FALSE)</f>
        <v>810</v>
      </c>
      <c r="E2225" t="s">
        <v>24</v>
      </c>
      <c r="F2225">
        <f>VLOOKUP(E2225,Sheet2!D:E,2,FALSE)</f>
        <v>201032</v>
      </c>
      <c r="G2225" t="s">
        <v>1907</v>
      </c>
      <c r="H2225" t="str">
        <f t="shared" si="68"/>
        <v>모먼트495789</v>
      </c>
      <c r="I2225" t="str">
        <f>"495789"</f>
        <v>495789</v>
      </c>
      <c r="J2225">
        <v>118940</v>
      </c>
      <c r="K2225" s="1">
        <v>44866</v>
      </c>
      <c r="L2225" t="s">
        <v>231</v>
      </c>
      <c r="M2225" t="e">
        <f t="shared" si="69"/>
        <v>#N/A</v>
      </c>
      <c r="N2225" t="e">
        <f>VLOOKUP(H2225,Sheet1!G:H,2,FALSE)</f>
        <v>#N/A</v>
      </c>
      <c r="R2225" t="s">
        <v>4149</v>
      </c>
      <c r="S2225">
        <v>533690</v>
      </c>
    </row>
    <row r="2226" spans="1:19" x14ac:dyDescent="0.3">
      <c r="A2226" t="s">
        <v>41</v>
      </c>
      <c r="B2226">
        <f>VLOOKUP(A2226,Sheet2!B:F,5,FALSE)</f>
        <v>926</v>
      </c>
      <c r="C2226" t="s">
        <v>525</v>
      </c>
      <c r="D2226">
        <f>VLOOKUP(C2226,Sheet2!C:G,5,FALSE)</f>
        <v>954</v>
      </c>
      <c r="E2226" t="s">
        <v>526</v>
      </c>
      <c r="F2226">
        <f>VLOOKUP(E2226,Sheet2!D:E,2,FALSE)</f>
        <v>200999</v>
      </c>
      <c r="G2226" t="s">
        <v>1907</v>
      </c>
      <c r="H2226" t="str">
        <f t="shared" si="68"/>
        <v>모먼트496045</v>
      </c>
      <c r="I2226" t="str">
        <f>"496045"</f>
        <v>496045</v>
      </c>
      <c r="J2226">
        <v>352900</v>
      </c>
      <c r="K2226" s="1">
        <v>44866</v>
      </c>
      <c r="L2226" t="s">
        <v>621</v>
      </c>
      <c r="M2226" t="e">
        <f t="shared" si="69"/>
        <v>#N/A</v>
      </c>
      <c r="N2226" t="e">
        <f>VLOOKUP(H2226,Sheet1!G:H,2,FALSE)</f>
        <v>#N/A</v>
      </c>
      <c r="R2226" t="s">
        <v>4150</v>
      </c>
      <c r="S2226">
        <v>1575980</v>
      </c>
    </row>
    <row r="2227" spans="1:19" x14ac:dyDescent="0.3">
      <c r="A2227" t="s">
        <v>16</v>
      </c>
      <c r="B2227">
        <f>VLOOKUP(A2227,Sheet2!B:F,5,FALSE)</f>
        <v>927</v>
      </c>
      <c r="C2227" t="s">
        <v>17</v>
      </c>
      <c r="D2227">
        <f>VLOOKUP(C2227,Sheet2!C:G,5,FALSE)</f>
        <v>1200</v>
      </c>
      <c r="E2227" t="s">
        <v>137</v>
      </c>
      <c r="F2227">
        <f>VLOOKUP(E2227,Sheet2!D:E,2,FALSE)</f>
        <v>1012</v>
      </c>
      <c r="G2227" t="s">
        <v>1907</v>
      </c>
      <c r="H2227" t="str">
        <f t="shared" si="68"/>
        <v>모먼트50086</v>
      </c>
      <c r="I2227" t="str">
        <f>"50086"</f>
        <v>50086</v>
      </c>
      <c r="J2227">
        <v>13199670</v>
      </c>
      <c r="K2227" s="1">
        <v>44866</v>
      </c>
      <c r="L2227" t="s">
        <v>959</v>
      </c>
      <c r="M2227" t="e">
        <f t="shared" si="69"/>
        <v>#N/A</v>
      </c>
      <c r="N2227" t="e">
        <f>VLOOKUP(H2227,Sheet1!G:H,2,FALSE)</f>
        <v>#N/A</v>
      </c>
      <c r="R2227" t="s">
        <v>4151</v>
      </c>
      <c r="S2227">
        <v>2671190</v>
      </c>
    </row>
    <row r="2228" spans="1:19" x14ac:dyDescent="0.3">
      <c r="A2228" t="s">
        <v>8</v>
      </c>
      <c r="B2228">
        <f>VLOOKUP(A2228,Sheet2!B:F,5,FALSE)</f>
        <v>928</v>
      </c>
      <c r="C2228" t="s">
        <v>9</v>
      </c>
      <c r="D2228">
        <f>VLOOKUP(C2228,Sheet2!C:G,5,FALSE)</f>
        <v>1202</v>
      </c>
      <c r="E2228" t="s">
        <v>31</v>
      </c>
      <c r="F2228">
        <f>VLOOKUP(E2228,Sheet2!D:E,2,FALSE)</f>
        <v>1040</v>
      </c>
      <c r="G2228" t="s">
        <v>1907</v>
      </c>
      <c r="H2228" t="str">
        <f t="shared" si="68"/>
        <v>모먼트51167</v>
      </c>
      <c r="I2228" t="str">
        <f>"51167"</f>
        <v>51167</v>
      </c>
      <c r="J2228">
        <v>446250</v>
      </c>
      <c r="K2228" s="1">
        <v>44866</v>
      </c>
      <c r="L2228" t="s">
        <v>228</v>
      </c>
      <c r="M2228">
        <f t="shared" si="69"/>
        <v>446250</v>
      </c>
      <c r="N2228" t="e">
        <f>VLOOKUP(H2228,Sheet1!G:H,2,FALSE)</f>
        <v>#N/A</v>
      </c>
      <c r="R2228" t="s">
        <v>4152</v>
      </c>
      <c r="S2228">
        <v>90900</v>
      </c>
    </row>
    <row r="2229" spans="1:19" x14ac:dyDescent="0.3">
      <c r="A2229" t="s">
        <v>8</v>
      </c>
      <c r="B2229">
        <f>VLOOKUP(A2229,Sheet2!B:F,5,FALSE)</f>
        <v>928</v>
      </c>
      <c r="C2229" t="s">
        <v>13</v>
      </c>
      <c r="D2229">
        <f>VLOOKUP(C2229,Sheet2!C:G,5,FALSE)</f>
        <v>1184</v>
      </c>
      <c r="E2229" t="s">
        <v>127</v>
      </c>
      <c r="F2229">
        <f>VLOOKUP(E2229,Sheet2!D:E,2,FALSE)</f>
        <v>201029</v>
      </c>
      <c r="G2229" t="s">
        <v>1907</v>
      </c>
      <c r="H2229" t="str">
        <f t="shared" si="68"/>
        <v>모먼트53570</v>
      </c>
      <c r="I2229" t="str">
        <f>"53570"</f>
        <v>53570</v>
      </c>
      <c r="J2229">
        <v>135240</v>
      </c>
      <c r="K2229" s="1">
        <v>44866</v>
      </c>
      <c r="L2229" t="s">
        <v>449</v>
      </c>
      <c r="M2229">
        <f t="shared" si="69"/>
        <v>135240</v>
      </c>
      <c r="N2229" t="e">
        <f>VLOOKUP(H2229,Sheet1!G:H,2,FALSE)</f>
        <v>#N/A</v>
      </c>
      <c r="R2229" t="s">
        <v>4153</v>
      </c>
      <c r="S2229">
        <v>3270</v>
      </c>
    </row>
    <row r="2230" spans="1:19" x14ac:dyDescent="0.3">
      <c r="A2230" t="s">
        <v>176</v>
      </c>
      <c r="B2230">
        <f>VLOOKUP(A2230,Sheet2!B:F,5,FALSE)</f>
        <v>1204</v>
      </c>
      <c r="C2230" t="s">
        <v>177</v>
      </c>
      <c r="D2230">
        <f>VLOOKUP(C2230,Sheet2!C:G,5,FALSE)</f>
        <v>1205</v>
      </c>
      <c r="E2230" t="s">
        <v>178</v>
      </c>
      <c r="F2230">
        <f>VLOOKUP(E2230,Sheet2!D:E,2,FALSE)</f>
        <v>201073</v>
      </c>
      <c r="G2230" t="s">
        <v>1907</v>
      </c>
      <c r="H2230" t="str">
        <f t="shared" si="68"/>
        <v>모먼트53889</v>
      </c>
      <c r="I2230" t="str">
        <f>"53889"</f>
        <v>53889</v>
      </c>
      <c r="J2230">
        <v>2430590</v>
      </c>
      <c r="K2230" s="1">
        <v>44866</v>
      </c>
      <c r="L2230" t="s">
        <v>366</v>
      </c>
      <c r="M2230" t="e">
        <f t="shared" si="69"/>
        <v>#N/A</v>
      </c>
      <c r="N2230" t="e">
        <f>VLOOKUP(H2230,Sheet1!G:H,2,FALSE)</f>
        <v>#N/A</v>
      </c>
      <c r="R2230" t="s">
        <v>4154</v>
      </c>
      <c r="S2230">
        <v>25860</v>
      </c>
    </row>
    <row r="2231" spans="1:19" x14ac:dyDescent="0.3">
      <c r="A2231" t="s">
        <v>16</v>
      </c>
      <c r="B2231">
        <f>VLOOKUP(A2231,Sheet2!B:F,5,FALSE)</f>
        <v>927</v>
      </c>
      <c r="C2231" t="s">
        <v>17</v>
      </c>
      <c r="D2231">
        <f>VLOOKUP(C2231,Sheet2!C:G,5,FALSE)</f>
        <v>1200</v>
      </c>
      <c r="E2231" t="s">
        <v>18</v>
      </c>
      <c r="F2231">
        <f>VLOOKUP(E2231,Sheet2!D:E,2,FALSE)</f>
        <v>201116</v>
      </c>
      <c r="G2231" t="s">
        <v>1907</v>
      </c>
      <c r="H2231" t="str">
        <f t="shared" si="68"/>
        <v>모먼트54523</v>
      </c>
      <c r="I2231" t="str">
        <f>"54523"</f>
        <v>54523</v>
      </c>
      <c r="J2231">
        <v>1848750</v>
      </c>
      <c r="K2231" s="1">
        <v>44866</v>
      </c>
      <c r="L2231" t="s">
        <v>324</v>
      </c>
      <c r="M2231" t="e">
        <f t="shared" si="69"/>
        <v>#N/A</v>
      </c>
      <c r="N2231" t="e">
        <f>VLOOKUP(H2231,Sheet1!G:H,2,FALSE)</f>
        <v>#N/A</v>
      </c>
      <c r="R2231" t="s">
        <v>4155</v>
      </c>
      <c r="S2231">
        <v>102950</v>
      </c>
    </row>
    <row r="2232" spans="1:19" x14ac:dyDescent="0.3">
      <c r="A2232" t="s">
        <v>8</v>
      </c>
      <c r="B2232">
        <f>VLOOKUP(A2232,Sheet2!B:F,5,FALSE)</f>
        <v>928</v>
      </c>
      <c r="C2232" t="s">
        <v>9</v>
      </c>
      <c r="D2232">
        <f>VLOOKUP(C2232,Sheet2!C:G,5,FALSE)</f>
        <v>1202</v>
      </c>
      <c r="E2232" t="s">
        <v>35</v>
      </c>
      <c r="F2232">
        <f>VLOOKUP(E2232,Sheet2!D:E,2,FALSE)</f>
        <v>51</v>
      </c>
      <c r="G2232" t="s">
        <v>1907</v>
      </c>
      <c r="H2232" t="str">
        <f t="shared" si="68"/>
        <v>모먼트60639</v>
      </c>
      <c r="I2232" t="str">
        <f>"60639"</f>
        <v>60639</v>
      </c>
      <c r="J2232">
        <v>4612490</v>
      </c>
      <c r="K2232" s="1">
        <v>44866</v>
      </c>
      <c r="L2232" t="s">
        <v>1215</v>
      </c>
      <c r="M2232">
        <f t="shared" si="69"/>
        <v>4612490</v>
      </c>
      <c r="N2232" t="e">
        <f>VLOOKUP(H2232,Sheet1!G:H,2,FALSE)</f>
        <v>#N/A</v>
      </c>
      <c r="R2232" t="s">
        <v>4156</v>
      </c>
      <c r="S2232">
        <v>26020</v>
      </c>
    </row>
    <row r="2233" spans="1:19" x14ac:dyDescent="0.3">
      <c r="A2233" t="s">
        <v>8</v>
      </c>
      <c r="B2233">
        <f>VLOOKUP(A2233,Sheet2!B:F,5,FALSE)</f>
        <v>928</v>
      </c>
      <c r="C2233" t="s">
        <v>9</v>
      </c>
      <c r="D2233">
        <f>VLOOKUP(C2233,Sheet2!C:G,5,FALSE)</f>
        <v>1202</v>
      </c>
      <c r="E2233" t="s">
        <v>10</v>
      </c>
      <c r="F2233">
        <f>VLOOKUP(E2233,Sheet2!D:E,2,FALSE)</f>
        <v>939</v>
      </c>
      <c r="G2233" t="s">
        <v>1907</v>
      </c>
      <c r="H2233" t="str">
        <f t="shared" si="68"/>
        <v>모먼트63907</v>
      </c>
      <c r="I2233" t="str">
        <f>"63907"</f>
        <v>63907</v>
      </c>
      <c r="J2233">
        <v>947900</v>
      </c>
      <c r="K2233" s="1">
        <v>44866</v>
      </c>
      <c r="L2233" t="s">
        <v>134</v>
      </c>
      <c r="M2233" t="e">
        <f t="shared" si="69"/>
        <v>#N/A</v>
      </c>
      <c r="N2233" t="e">
        <f>VLOOKUP(H2233,Sheet1!G:H,2,FALSE)</f>
        <v>#N/A</v>
      </c>
      <c r="R2233" t="s">
        <v>4157</v>
      </c>
      <c r="S2233">
        <v>8810</v>
      </c>
    </row>
    <row r="2234" spans="1:19" x14ac:dyDescent="0.3">
      <c r="A2234" t="s">
        <v>8</v>
      </c>
      <c r="B2234">
        <f>VLOOKUP(A2234,Sheet2!B:F,5,FALSE)</f>
        <v>928</v>
      </c>
      <c r="C2234" t="s">
        <v>9</v>
      </c>
      <c r="D2234">
        <f>VLOOKUP(C2234,Sheet2!C:G,5,FALSE)</f>
        <v>1202</v>
      </c>
      <c r="E2234" t="s">
        <v>47</v>
      </c>
      <c r="F2234">
        <f>VLOOKUP(E2234,Sheet2!D:E,2,FALSE)</f>
        <v>898</v>
      </c>
      <c r="G2234" t="s">
        <v>1907</v>
      </c>
      <c r="H2234" t="str">
        <f t="shared" si="68"/>
        <v>모먼트65389</v>
      </c>
      <c r="I2234" t="str">
        <f>"65389"</f>
        <v>65389</v>
      </c>
      <c r="J2234">
        <v>453700</v>
      </c>
      <c r="K2234" s="1">
        <v>44866</v>
      </c>
      <c r="L2234" t="s">
        <v>1831</v>
      </c>
      <c r="M2234">
        <f t="shared" si="69"/>
        <v>453700</v>
      </c>
      <c r="N2234" t="e">
        <f>VLOOKUP(H2234,Sheet1!G:H,2,FALSE)</f>
        <v>#N/A</v>
      </c>
      <c r="R2234" t="s">
        <v>4158</v>
      </c>
      <c r="S2234">
        <v>8367230</v>
      </c>
    </row>
    <row r="2235" spans="1:19" x14ac:dyDescent="0.3">
      <c r="A2235" t="s">
        <v>41</v>
      </c>
      <c r="B2235">
        <f>VLOOKUP(A2235,Sheet2!B:F,5,FALSE)</f>
        <v>926</v>
      </c>
      <c r="C2235" t="s">
        <v>56</v>
      </c>
      <c r="D2235">
        <f>VLOOKUP(C2235,Sheet2!C:G,5,FALSE)</f>
        <v>1207</v>
      </c>
      <c r="E2235" t="s">
        <v>253</v>
      </c>
      <c r="F2235">
        <f>VLOOKUP(E2235,Sheet2!D:E,2,FALSE)</f>
        <v>1328</v>
      </c>
      <c r="G2235" t="s">
        <v>1907</v>
      </c>
      <c r="H2235" t="str">
        <f t="shared" si="68"/>
        <v>모먼트78744</v>
      </c>
      <c r="I2235" t="str">
        <f>"78744"</f>
        <v>78744</v>
      </c>
      <c r="J2235">
        <v>471480</v>
      </c>
      <c r="K2235" s="1">
        <v>44866</v>
      </c>
      <c r="L2235" t="s">
        <v>1480</v>
      </c>
      <c r="M2235">
        <f t="shared" si="69"/>
        <v>471480</v>
      </c>
      <c r="N2235" t="str">
        <f>VLOOKUP(H2235,Sheet1!G:H,2,FALSE)</f>
        <v>퇴사자계정 내부이관후 권한요청하였으나 광고주 연락두절로 진행X</v>
      </c>
      <c r="R2235" t="s">
        <v>4159</v>
      </c>
      <c r="S2235">
        <v>169960</v>
      </c>
    </row>
    <row r="2236" spans="1:19" x14ac:dyDescent="0.3">
      <c r="A2236" t="s">
        <v>41</v>
      </c>
      <c r="B2236">
        <f>VLOOKUP(A2236,Sheet2!B:F,5,FALSE)</f>
        <v>926</v>
      </c>
      <c r="C2236" t="s">
        <v>56</v>
      </c>
      <c r="D2236">
        <f>VLOOKUP(C2236,Sheet2!C:G,5,FALSE)</f>
        <v>1207</v>
      </c>
      <c r="E2236" t="s">
        <v>91</v>
      </c>
      <c r="F2236">
        <f>VLOOKUP(E2236,Sheet2!D:E,2,FALSE)</f>
        <v>201104</v>
      </c>
      <c r="G2236" t="s">
        <v>1907</v>
      </c>
      <c r="H2236" t="str">
        <f t="shared" si="68"/>
        <v>모먼트94461</v>
      </c>
      <c r="I2236" t="str">
        <f>"94461"</f>
        <v>94461</v>
      </c>
      <c r="J2236">
        <v>2139860</v>
      </c>
      <c r="K2236" s="1">
        <v>44866</v>
      </c>
      <c r="L2236" t="s">
        <v>1519</v>
      </c>
      <c r="M2236" t="e">
        <f t="shared" si="69"/>
        <v>#N/A</v>
      </c>
      <c r="N2236" t="e">
        <f>VLOOKUP(H2236,Sheet1!G:H,2,FALSE)</f>
        <v>#N/A</v>
      </c>
      <c r="R2236" t="s">
        <v>4160</v>
      </c>
      <c r="S2236">
        <v>641440</v>
      </c>
    </row>
    <row r="2237" spans="1:19" x14ac:dyDescent="0.3">
      <c r="A2237" t="s">
        <v>8</v>
      </c>
      <c r="B2237">
        <f>VLOOKUP(A2237,Sheet2!B:F,5,FALSE)</f>
        <v>928</v>
      </c>
      <c r="C2237" t="s">
        <v>9</v>
      </c>
      <c r="D2237">
        <f>VLOOKUP(C2237,Sheet2!C:G,5,FALSE)</f>
        <v>1202</v>
      </c>
      <c r="E2237" t="s">
        <v>47</v>
      </c>
      <c r="F2237">
        <f>VLOOKUP(E2237,Sheet2!D:E,2,FALSE)</f>
        <v>898</v>
      </c>
      <c r="G2237" t="s">
        <v>1907</v>
      </c>
      <c r="H2237" t="str">
        <f t="shared" si="68"/>
        <v>모먼트97494</v>
      </c>
      <c r="I2237" t="str">
        <f>"97494"</f>
        <v>97494</v>
      </c>
      <c r="J2237">
        <v>110970</v>
      </c>
      <c r="K2237" s="1">
        <v>44866</v>
      </c>
      <c r="L2237" t="s">
        <v>1009</v>
      </c>
      <c r="M2237">
        <f t="shared" si="69"/>
        <v>110970</v>
      </c>
      <c r="N2237" t="e">
        <f>VLOOKUP(H2237,Sheet1!G:H,2,FALSE)</f>
        <v>#N/A</v>
      </c>
      <c r="R2237" t="s">
        <v>4161</v>
      </c>
      <c r="S2237">
        <v>0</v>
      </c>
    </row>
    <row r="2238" spans="1:19" x14ac:dyDescent="0.3">
      <c r="A2238" t="s">
        <v>8</v>
      </c>
      <c r="B2238">
        <f>VLOOKUP(A2238,Sheet2!B:F,5,FALSE)</f>
        <v>928</v>
      </c>
      <c r="C2238" t="s">
        <v>9</v>
      </c>
      <c r="D2238">
        <f>VLOOKUP(C2238,Sheet2!C:G,5,FALSE)</f>
        <v>1202</v>
      </c>
      <c r="E2238" t="s">
        <v>39</v>
      </c>
      <c r="F2238">
        <f>VLOOKUP(E2238,Sheet2!D:E,2,FALSE)</f>
        <v>25</v>
      </c>
      <c r="G2238" t="s">
        <v>1907</v>
      </c>
      <c r="H2238" t="str">
        <f t="shared" si="68"/>
        <v>모먼트99234</v>
      </c>
      <c r="I2238" t="str">
        <f>"99234"</f>
        <v>99234</v>
      </c>
      <c r="J2238">
        <v>10232210</v>
      </c>
      <c r="K2238" s="1">
        <v>44866</v>
      </c>
      <c r="L2238" t="s">
        <v>1417</v>
      </c>
      <c r="M2238" t="e">
        <f t="shared" si="69"/>
        <v>#N/A</v>
      </c>
      <c r="N2238" t="e">
        <f>VLOOKUP(H2238,Sheet1!G:H,2,FALSE)</f>
        <v>#N/A</v>
      </c>
      <c r="R2238" t="s">
        <v>4162</v>
      </c>
      <c r="S2238">
        <v>38200</v>
      </c>
    </row>
    <row r="2239" spans="1:19" x14ac:dyDescent="0.3">
      <c r="R2239" t="s">
        <v>4163</v>
      </c>
      <c r="S2239">
        <v>5623510</v>
      </c>
    </row>
    <row r="2240" spans="1:19" x14ac:dyDescent="0.3">
      <c r="R2240" t="s">
        <v>4164</v>
      </c>
      <c r="S2240">
        <v>15190</v>
      </c>
    </row>
    <row r="2241" spans="18:19" x14ac:dyDescent="0.3">
      <c r="R2241" t="s">
        <v>4165</v>
      </c>
      <c r="S2241">
        <v>514120</v>
      </c>
    </row>
    <row r="2242" spans="18:19" x14ac:dyDescent="0.3">
      <c r="R2242" t="s">
        <v>4166</v>
      </c>
      <c r="S2242">
        <v>83020</v>
      </c>
    </row>
    <row r="2243" spans="18:19" x14ac:dyDescent="0.3">
      <c r="R2243" t="s">
        <v>4167</v>
      </c>
      <c r="S2243">
        <v>3270</v>
      </c>
    </row>
    <row r="2244" spans="18:19" x14ac:dyDescent="0.3">
      <c r="R2244" t="s">
        <v>4168</v>
      </c>
      <c r="S2244">
        <v>772070</v>
      </c>
    </row>
    <row r="2245" spans="18:19" x14ac:dyDescent="0.3">
      <c r="R2245" t="s">
        <v>4169</v>
      </c>
      <c r="S2245">
        <v>45850</v>
      </c>
    </row>
    <row r="2246" spans="18:19" x14ac:dyDescent="0.3">
      <c r="R2246" t="s">
        <v>4170</v>
      </c>
      <c r="S2246">
        <v>313580</v>
      </c>
    </row>
    <row r="2247" spans="18:19" x14ac:dyDescent="0.3">
      <c r="R2247" t="s">
        <v>4171</v>
      </c>
      <c r="S2247">
        <v>3618230</v>
      </c>
    </row>
    <row r="2248" spans="18:19" x14ac:dyDescent="0.3">
      <c r="R2248" t="s">
        <v>4172</v>
      </c>
      <c r="S2248">
        <v>2900</v>
      </c>
    </row>
    <row r="2249" spans="18:19" x14ac:dyDescent="0.3">
      <c r="R2249" t="s">
        <v>4173</v>
      </c>
      <c r="S2249">
        <v>2314430</v>
      </c>
    </row>
    <row r="2250" spans="18:19" x14ac:dyDescent="0.3">
      <c r="R2250" t="s">
        <v>4174</v>
      </c>
      <c r="S2250">
        <v>447370</v>
      </c>
    </row>
    <row r="2251" spans="18:19" x14ac:dyDescent="0.3">
      <c r="R2251" t="s">
        <v>4175</v>
      </c>
      <c r="S2251">
        <v>31670</v>
      </c>
    </row>
    <row r="2252" spans="18:19" x14ac:dyDescent="0.3">
      <c r="R2252" t="s">
        <v>4176</v>
      </c>
      <c r="S2252">
        <v>3834450</v>
      </c>
    </row>
    <row r="2253" spans="18:19" x14ac:dyDescent="0.3">
      <c r="R2253" t="s">
        <v>4177</v>
      </c>
      <c r="S2253">
        <v>491560</v>
      </c>
    </row>
    <row r="2254" spans="18:19" x14ac:dyDescent="0.3">
      <c r="R2254" t="s">
        <v>4178</v>
      </c>
      <c r="S2254">
        <v>60330</v>
      </c>
    </row>
    <row r="2255" spans="18:19" x14ac:dyDescent="0.3">
      <c r="R2255" t="s">
        <v>4179</v>
      </c>
      <c r="S2255">
        <v>42960</v>
      </c>
    </row>
    <row r="2256" spans="18:19" x14ac:dyDescent="0.3">
      <c r="R2256" t="s">
        <v>4180</v>
      </c>
      <c r="S2256">
        <v>964520</v>
      </c>
    </row>
    <row r="2257" spans="18:19" x14ac:dyDescent="0.3">
      <c r="R2257" t="s">
        <v>4181</v>
      </c>
      <c r="S2257">
        <v>150</v>
      </c>
    </row>
    <row r="2258" spans="18:19" x14ac:dyDescent="0.3">
      <c r="R2258" t="s">
        <v>4182</v>
      </c>
      <c r="S2258">
        <v>99070</v>
      </c>
    </row>
    <row r="2259" spans="18:19" x14ac:dyDescent="0.3">
      <c r="R2259" t="s">
        <v>4183</v>
      </c>
      <c r="S2259">
        <v>489380</v>
      </c>
    </row>
    <row r="2260" spans="18:19" x14ac:dyDescent="0.3">
      <c r="R2260" t="s">
        <v>4184</v>
      </c>
      <c r="S2260">
        <v>1000</v>
      </c>
    </row>
    <row r="2261" spans="18:19" x14ac:dyDescent="0.3">
      <c r="R2261" t="s">
        <v>4185</v>
      </c>
      <c r="S2261">
        <v>342980</v>
      </c>
    </row>
    <row r="2262" spans="18:19" x14ac:dyDescent="0.3">
      <c r="R2262" t="s">
        <v>4186</v>
      </c>
      <c r="S2262">
        <v>179540</v>
      </c>
    </row>
    <row r="2263" spans="18:19" x14ac:dyDescent="0.3">
      <c r="R2263" t="s">
        <v>4187</v>
      </c>
      <c r="S2263">
        <v>162880</v>
      </c>
    </row>
    <row r="2264" spans="18:19" x14ac:dyDescent="0.3">
      <c r="R2264" t="s">
        <v>4188</v>
      </c>
      <c r="S2264">
        <v>34230</v>
      </c>
    </row>
    <row r="2265" spans="18:19" x14ac:dyDescent="0.3">
      <c r="R2265" t="s">
        <v>4189</v>
      </c>
      <c r="S2265">
        <v>800</v>
      </c>
    </row>
    <row r="2266" spans="18:19" x14ac:dyDescent="0.3">
      <c r="R2266" t="s">
        <v>4190</v>
      </c>
      <c r="S2266">
        <v>236370</v>
      </c>
    </row>
    <row r="2267" spans="18:19" x14ac:dyDescent="0.3">
      <c r="R2267" t="s">
        <v>4191</v>
      </c>
      <c r="S2267">
        <v>416710</v>
      </c>
    </row>
    <row r="2268" spans="18:19" x14ac:dyDescent="0.3">
      <c r="R2268" t="s">
        <v>4192</v>
      </c>
      <c r="S2268">
        <v>13195</v>
      </c>
    </row>
    <row r="2269" spans="18:19" x14ac:dyDescent="0.3">
      <c r="R2269" t="s">
        <v>4193</v>
      </c>
      <c r="S2269">
        <v>10122710</v>
      </c>
    </row>
    <row r="2270" spans="18:19" x14ac:dyDescent="0.3">
      <c r="R2270" t="s">
        <v>4194</v>
      </c>
      <c r="S2270">
        <v>610210</v>
      </c>
    </row>
    <row r="2271" spans="18:19" x14ac:dyDescent="0.3">
      <c r="R2271" t="s">
        <v>4195</v>
      </c>
      <c r="S2271">
        <v>560</v>
      </c>
    </row>
    <row r="2272" spans="18:19" x14ac:dyDescent="0.3">
      <c r="R2272" t="s">
        <v>4196</v>
      </c>
      <c r="S2272">
        <v>86355290</v>
      </c>
    </row>
    <row r="2273" spans="18:19" x14ac:dyDescent="0.3">
      <c r="R2273" t="s">
        <v>4197</v>
      </c>
      <c r="S2273">
        <v>5294280</v>
      </c>
    </row>
    <row r="2274" spans="18:19" x14ac:dyDescent="0.3">
      <c r="R2274" t="s">
        <v>4198</v>
      </c>
      <c r="S2274">
        <v>4191210</v>
      </c>
    </row>
    <row r="2275" spans="18:19" x14ac:dyDescent="0.3">
      <c r="R2275" t="s">
        <v>4199</v>
      </c>
      <c r="S2275">
        <v>2795100</v>
      </c>
    </row>
    <row r="2276" spans="18:19" x14ac:dyDescent="0.3">
      <c r="R2276" t="s">
        <v>4200</v>
      </c>
      <c r="S2276">
        <v>2838920</v>
      </c>
    </row>
    <row r="2277" spans="18:19" x14ac:dyDescent="0.3">
      <c r="R2277" t="s">
        <v>4201</v>
      </c>
      <c r="S2277">
        <v>1021190</v>
      </c>
    </row>
    <row r="2278" spans="18:19" x14ac:dyDescent="0.3">
      <c r="R2278" t="s">
        <v>4202</v>
      </c>
      <c r="S2278">
        <v>34130</v>
      </c>
    </row>
    <row r="2279" spans="18:19" x14ac:dyDescent="0.3">
      <c r="R2279" t="s">
        <v>4203</v>
      </c>
      <c r="S2279">
        <v>335820</v>
      </c>
    </row>
    <row r="2280" spans="18:19" x14ac:dyDescent="0.3">
      <c r="R2280" t="s">
        <v>4204</v>
      </c>
      <c r="S2280">
        <v>656740</v>
      </c>
    </row>
    <row r="2281" spans="18:19" x14ac:dyDescent="0.3">
      <c r="R2281" t="s">
        <v>4205</v>
      </c>
      <c r="S2281">
        <v>144240</v>
      </c>
    </row>
    <row r="2282" spans="18:19" x14ac:dyDescent="0.3">
      <c r="R2282" t="s">
        <v>4206</v>
      </c>
      <c r="S2282">
        <v>322540</v>
      </c>
    </row>
    <row r="2283" spans="18:19" x14ac:dyDescent="0.3">
      <c r="R2283" t="s">
        <v>4207</v>
      </c>
      <c r="S2283">
        <v>19880</v>
      </c>
    </row>
    <row r="2284" spans="18:19" x14ac:dyDescent="0.3">
      <c r="R2284" t="s">
        <v>4208</v>
      </c>
      <c r="S2284">
        <v>558970</v>
      </c>
    </row>
    <row r="2285" spans="18:19" x14ac:dyDescent="0.3">
      <c r="R2285" t="s">
        <v>4209</v>
      </c>
      <c r="S2285">
        <v>310</v>
      </c>
    </row>
    <row r="2286" spans="18:19" x14ac:dyDescent="0.3">
      <c r="R2286" t="s">
        <v>4210</v>
      </c>
      <c r="S2286">
        <v>1317410</v>
      </c>
    </row>
    <row r="2287" spans="18:19" x14ac:dyDescent="0.3">
      <c r="R2287" t="s">
        <v>4211</v>
      </c>
      <c r="S2287">
        <v>270250</v>
      </c>
    </row>
    <row r="2288" spans="18:19" x14ac:dyDescent="0.3">
      <c r="R2288" t="s">
        <v>4212</v>
      </c>
      <c r="S2288">
        <v>9180</v>
      </c>
    </row>
    <row r="2289" spans="18:19" x14ac:dyDescent="0.3">
      <c r="R2289" t="s">
        <v>4213</v>
      </c>
      <c r="S2289">
        <v>241010</v>
      </c>
    </row>
    <row r="2290" spans="18:19" x14ac:dyDescent="0.3">
      <c r="R2290" t="s">
        <v>4214</v>
      </c>
      <c r="S2290">
        <v>145620</v>
      </c>
    </row>
    <row r="2291" spans="18:19" x14ac:dyDescent="0.3">
      <c r="R2291" t="s">
        <v>4215</v>
      </c>
      <c r="S2291">
        <v>465540</v>
      </c>
    </row>
    <row r="2292" spans="18:19" x14ac:dyDescent="0.3">
      <c r="R2292" t="s">
        <v>4216</v>
      </c>
      <c r="S2292">
        <v>1000300</v>
      </c>
    </row>
    <row r="2293" spans="18:19" x14ac:dyDescent="0.3">
      <c r="R2293" t="s">
        <v>4217</v>
      </c>
      <c r="S2293">
        <v>1466990</v>
      </c>
    </row>
    <row r="2294" spans="18:19" x14ac:dyDescent="0.3">
      <c r="R2294" t="s">
        <v>4218</v>
      </c>
      <c r="S2294">
        <v>338710</v>
      </c>
    </row>
    <row r="2295" spans="18:19" x14ac:dyDescent="0.3">
      <c r="R2295" t="s">
        <v>4219</v>
      </c>
      <c r="S2295">
        <v>444600</v>
      </c>
    </row>
    <row r="2296" spans="18:19" x14ac:dyDescent="0.3">
      <c r="R2296" t="s">
        <v>4220</v>
      </c>
      <c r="S2296">
        <v>2605300</v>
      </c>
    </row>
    <row r="2297" spans="18:19" x14ac:dyDescent="0.3">
      <c r="R2297" t="s">
        <v>4221</v>
      </c>
      <c r="S2297">
        <v>50010</v>
      </c>
    </row>
    <row r="2298" spans="18:19" x14ac:dyDescent="0.3">
      <c r="R2298" t="s">
        <v>4222</v>
      </c>
      <c r="S2298">
        <v>86410</v>
      </c>
    </row>
    <row r="2299" spans="18:19" x14ac:dyDescent="0.3">
      <c r="R2299" t="s">
        <v>4223</v>
      </c>
      <c r="S2299">
        <v>2450370</v>
      </c>
    </row>
    <row r="2300" spans="18:19" x14ac:dyDescent="0.3">
      <c r="R2300" t="s">
        <v>4224</v>
      </c>
      <c r="S2300">
        <v>203330</v>
      </c>
    </row>
    <row r="2301" spans="18:19" x14ac:dyDescent="0.3">
      <c r="R2301" t="s">
        <v>4225</v>
      </c>
      <c r="S2301">
        <v>233960</v>
      </c>
    </row>
    <row r="2302" spans="18:19" x14ac:dyDescent="0.3">
      <c r="R2302" t="s">
        <v>4226</v>
      </c>
      <c r="S2302">
        <v>140</v>
      </c>
    </row>
    <row r="2303" spans="18:19" x14ac:dyDescent="0.3">
      <c r="R2303" t="s">
        <v>4227</v>
      </c>
      <c r="S2303">
        <v>1903720</v>
      </c>
    </row>
    <row r="2304" spans="18:19" x14ac:dyDescent="0.3">
      <c r="R2304" t="s">
        <v>4228</v>
      </c>
      <c r="S2304">
        <v>16820</v>
      </c>
    </row>
    <row r="2305" spans="18:19" x14ac:dyDescent="0.3">
      <c r="R2305" t="s">
        <v>4229</v>
      </c>
      <c r="S2305">
        <v>230050</v>
      </c>
    </row>
    <row r="2306" spans="18:19" x14ac:dyDescent="0.3">
      <c r="R2306" t="s">
        <v>4230</v>
      </c>
      <c r="S2306">
        <v>20120</v>
      </c>
    </row>
    <row r="2307" spans="18:19" x14ac:dyDescent="0.3">
      <c r="R2307" t="s">
        <v>4231</v>
      </c>
      <c r="S2307">
        <v>29340</v>
      </c>
    </row>
    <row r="2308" spans="18:19" x14ac:dyDescent="0.3">
      <c r="R2308" t="s">
        <v>4232</v>
      </c>
      <c r="S2308">
        <v>1830240</v>
      </c>
    </row>
    <row r="2309" spans="18:19" x14ac:dyDescent="0.3">
      <c r="R2309" t="s">
        <v>4233</v>
      </c>
      <c r="S2309">
        <v>39670</v>
      </c>
    </row>
    <row r="2310" spans="18:19" x14ac:dyDescent="0.3">
      <c r="R2310" t="s">
        <v>4234</v>
      </c>
      <c r="S2310">
        <v>109410</v>
      </c>
    </row>
    <row r="2311" spans="18:19" x14ac:dyDescent="0.3">
      <c r="R2311" t="s">
        <v>4235</v>
      </c>
      <c r="S2311">
        <v>10354970</v>
      </c>
    </row>
    <row r="2312" spans="18:19" x14ac:dyDescent="0.3">
      <c r="R2312" t="s">
        <v>4236</v>
      </c>
      <c r="S2312">
        <v>489202</v>
      </c>
    </row>
    <row r="2313" spans="18:19" x14ac:dyDescent="0.3">
      <c r="R2313" t="s">
        <v>4237</v>
      </c>
      <c r="S2313">
        <v>0</v>
      </c>
    </row>
    <row r="2314" spans="18:19" x14ac:dyDescent="0.3">
      <c r="R2314" t="s">
        <v>4238</v>
      </c>
      <c r="S2314">
        <v>4270</v>
      </c>
    </row>
    <row r="2315" spans="18:19" x14ac:dyDescent="0.3">
      <c r="R2315" t="s">
        <v>4239</v>
      </c>
      <c r="S2315">
        <v>140</v>
      </c>
    </row>
    <row r="2316" spans="18:19" x14ac:dyDescent="0.3">
      <c r="R2316" t="s">
        <v>4240</v>
      </c>
      <c r="S2316">
        <v>1545310</v>
      </c>
    </row>
    <row r="2317" spans="18:19" x14ac:dyDescent="0.3">
      <c r="R2317" t="s">
        <v>4241</v>
      </c>
      <c r="S2317">
        <v>28940</v>
      </c>
    </row>
    <row r="2318" spans="18:19" x14ac:dyDescent="0.3">
      <c r="R2318" t="s">
        <v>4242</v>
      </c>
      <c r="S2318">
        <v>57010</v>
      </c>
    </row>
    <row r="2319" spans="18:19" x14ac:dyDescent="0.3">
      <c r="R2319" t="s">
        <v>4243</v>
      </c>
      <c r="S2319">
        <v>89420</v>
      </c>
    </row>
    <row r="2320" spans="18:19" x14ac:dyDescent="0.3">
      <c r="R2320" t="s">
        <v>4244</v>
      </c>
      <c r="S2320">
        <v>26470</v>
      </c>
    </row>
    <row r="2321" spans="18:19" x14ac:dyDescent="0.3">
      <c r="R2321" t="s">
        <v>4245</v>
      </c>
      <c r="S2321">
        <v>580320</v>
      </c>
    </row>
    <row r="2322" spans="18:19" x14ac:dyDescent="0.3">
      <c r="R2322" t="s">
        <v>4246</v>
      </c>
      <c r="S2322">
        <v>906840</v>
      </c>
    </row>
    <row r="2323" spans="18:19" x14ac:dyDescent="0.3">
      <c r="R2323" t="s">
        <v>4247</v>
      </c>
      <c r="S2323">
        <v>41190</v>
      </c>
    </row>
    <row r="2324" spans="18:19" x14ac:dyDescent="0.3">
      <c r="R2324" t="s">
        <v>4248</v>
      </c>
      <c r="S2324">
        <v>1702020</v>
      </c>
    </row>
    <row r="2325" spans="18:19" x14ac:dyDescent="0.3">
      <c r="R2325" t="s">
        <v>4249</v>
      </c>
      <c r="S2325">
        <v>9790</v>
      </c>
    </row>
    <row r="2326" spans="18:19" x14ac:dyDescent="0.3">
      <c r="R2326" t="s">
        <v>4250</v>
      </c>
      <c r="S2326">
        <v>129970</v>
      </c>
    </row>
    <row r="2327" spans="18:19" x14ac:dyDescent="0.3">
      <c r="R2327" t="s">
        <v>4251</v>
      </c>
      <c r="S2327">
        <v>950220</v>
      </c>
    </row>
    <row r="2328" spans="18:19" x14ac:dyDescent="0.3">
      <c r="R2328" t="s">
        <v>4252</v>
      </c>
      <c r="S2328">
        <v>2881910</v>
      </c>
    </row>
    <row r="2329" spans="18:19" x14ac:dyDescent="0.3">
      <c r="R2329" t="s">
        <v>4253</v>
      </c>
      <c r="S2329">
        <v>42610</v>
      </c>
    </row>
    <row r="2330" spans="18:19" x14ac:dyDescent="0.3">
      <c r="R2330" t="s">
        <v>4254</v>
      </c>
      <c r="S2330">
        <v>124490</v>
      </c>
    </row>
    <row r="2331" spans="18:19" x14ac:dyDescent="0.3">
      <c r="R2331" t="s">
        <v>4255</v>
      </c>
      <c r="S2331">
        <v>2381060</v>
      </c>
    </row>
    <row r="2332" spans="18:19" x14ac:dyDescent="0.3">
      <c r="R2332" t="s">
        <v>4256</v>
      </c>
      <c r="S2332">
        <v>16000</v>
      </c>
    </row>
    <row r="2333" spans="18:19" x14ac:dyDescent="0.3">
      <c r="R2333" t="s">
        <v>4257</v>
      </c>
      <c r="S2333">
        <v>760</v>
      </c>
    </row>
    <row r="2334" spans="18:19" x14ac:dyDescent="0.3">
      <c r="R2334" t="s">
        <v>4258</v>
      </c>
      <c r="S2334">
        <v>769680</v>
      </c>
    </row>
    <row r="2335" spans="18:19" x14ac:dyDescent="0.3">
      <c r="R2335" t="s">
        <v>4259</v>
      </c>
      <c r="S2335">
        <v>870880</v>
      </c>
    </row>
    <row r="2336" spans="18:19" x14ac:dyDescent="0.3">
      <c r="R2336" t="s">
        <v>4260</v>
      </c>
      <c r="S2336">
        <v>1150</v>
      </c>
    </row>
    <row r="2337" spans="18:19" x14ac:dyDescent="0.3">
      <c r="R2337" t="s">
        <v>4261</v>
      </c>
      <c r="S2337">
        <v>11477300</v>
      </c>
    </row>
    <row r="2338" spans="18:19" x14ac:dyDescent="0.3">
      <c r="R2338" t="s">
        <v>4262</v>
      </c>
      <c r="S2338">
        <v>0</v>
      </c>
    </row>
    <row r="2339" spans="18:19" x14ac:dyDescent="0.3">
      <c r="R2339" t="s">
        <v>4263</v>
      </c>
      <c r="S2339">
        <v>4030</v>
      </c>
    </row>
    <row r="2340" spans="18:19" x14ac:dyDescent="0.3">
      <c r="R2340" t="s">
        <v>4264</v>
      </c>
      <c r="S2340">
        <v>6396250</v>
      </c>
    </row>
    <row r="2341" spans="18:19" x14ac:dyDescent="0.3">
      <c r="R2341" t="s">
        <v>4265</v>
      </c>
      <c r="S2341">
        <v>7140</v>
      </c>
    </row>
    <row r="2342" spans="18:19" x14ac:dyDescent="0.3">
      <c r="R2342" t="s">
        <v>4266</v>
      </c>
      <c r="S2342">
        <v>90620</v>
      </c>
    </row>
    <row r="2343" spans="18:19" x14ac:dyDescent="0.3">
      <c r="R2343" t="s">
        <v>4267</v>
      </c>
      <c r="S2343">
        <v>235370</v>
      </c>
    </row>
    <row r="2344" spans="18:19" x14ac:dyDescent="0.3">
      <c r="R2344" t="s">
        <v>4268</v>
      </c>
      <c r="S2344">
        <v>200</v>
      </c>
    </row>
    <row r="2345" spans="18:19" x14ac:dyDescent="0.3">
      <c r="R2345" t="s">
        <v>4269</v>
      </c>
      <c r="S2345">
        <v>360440</v>
      </c>
    </row>
    <row r="2346" spans="18:19" x14ac:dyDescent="0.3">
      <c r="R2346" t="s">
        <v>4270</v>
      </c>
      <c r="S2346">
        <v>217740</v>
      </c>
    </row>
    <row r="2347" spans="18:19" x14ac:dyDescent="0.3">
      <c r="R2347" t="s">
        <v>4271</v>
      </c>
      <c r="S2347">
        <v>620760</v>
      </c>
    </row>
    <row r="2348" spans="18:19" x14ac:dyDescent="0.3">
      <c r="R2348" t="s">
        <v>4272</v>
      </c>
      <c r="S2348">
        <v>496130</v>
      </c>
    </row>
    <row r="2349" spans="18:19" x14ac:dyDescent="0.3">
      <c r="R2349" t="s">
        <v>4273</v>
      </c>
      <c r="S2349">
        <v>190010</v>
      </c>
    </row>
    <row r="2350" spans="18:19" x14ac:dyDescent="0.3">
      <c r="R2350" t="s">
        <v>4274</v>
      </c>
      <c r="S2350">
        <v>937820</v>
      </c>
    </row>
    <row r="2351" spans="18:19" x14ac:dyDescent="0.3">
      <c r="R2351" t="s">
        <v>4275</v>
      </c>
      <c r="S2351">
        <v>3160</v>
      </c>
    </row>
    <row r="2352" spans="18:19" x14ac:dyDescent="0.3">
      <c r="R2352" t="s">
        <v>4276</v>
      </c>
      <c r="S2352">
        <v>5193590</v>
      </c>
    </row>
    <row r="2353" spans="18:19" x14ac:dyDescent="0.3">
      <c r="R2353" t="s">
        <v>4277</v>
      </c>
      <c r="S2353">
        <v>561820</v>
      </c>
    </row>
    <row r="2354" spans="18:19" x14ac:dyDescent="0.3">
      <c r="R2354" t="s">
        <v>4278</v>
      </c>
      <c r="S2354">
        <v>22240</v>
      </c>
    </row>
    <row r="2355" spans="18:19" x14ac:dyDescent="0.3">
      <c r="R2355" t="s">
        <v>4279</v>
      </c>
      <c r="S2355">
        <v>59620</v>
      </c>
    </row>
    <row r="2356" spans="18:19" x14ac:dyDescent="0.3">
      <c r="R2356" t="s">
        <v>4280</v>
      </c>
      <c r="S2356">
        <v>4854820</v>
      </c>
    </row>
    <row r="2357" spans="18:19" x14ac:dyDescent="0.3">
      <c r="R2357" t="s">
        <v>4281</v>
      </c>
      <c r="S2357">
        <v>299690</v>
      </c>
    </row>
    <row r="2358" spans="18:19" x14ac:dyDescent="0.3">
      <c r="R2358" t="s">
        <v>4282</v>
      </c>
      <c r="S2358">
        <v>124460</v>
      </c>
    </row>
    <row r="2359" spans="18:19" x14ac:dyDescent="0.3">
      <c r="R2359" t="s">
        <v>4283</v>
      </c>
      <c r="S2359">
        <v>2320250</v>
      </c>
    </row>
    <row r="2360" spans="18:19" x14ac:dyDescent="0.3">
      <c r="R2360" t="s">
        <v>4284</v>
      </c>
      <c r="S2360">
        <v>1123860</v>
      </c>
    </row>
    <row r="2361" spans="18:19" x14ac:dyDescent="0.3">
      <c r="R2361" t="s">
        <v>4285</v>
      </c>
      <c r="S2361">
        <v>451170</v>
      </c>
    </row>
    <row r="2362" spans="18:19" x14ac:dyDescent="0.3">
      <c r="R2362" t="s">
        <v>4286</v>
      </c>
      <c r="S2362">
        <v>17957</v>
      </c>
    </row>
    <row r="2363" spans="18:19" x14ac:dyDescent="0.3">
      <c r="R2363" t="s">
        <v>4287</v>
      </c>
      <c r="S2363">
        <v>15910</v>
      </c>
    </row>
    <row r="2364" spans="18:19" x14ac:dyDescent="0.3">
      <c r="R2364" t="s">
        <v>4288</v>
      </c>
      <c r="S2364">
        <v>0</v>
      </c>
    </row>
    <row r="2365" spans="18:19" x14ac:dyDescent="0.3">
      <c r="R2365" t="s">
        <v>4289</v>
      </c>
      <c r="S2365">
        <v>1205830</v>
      </c>
    </row>
    <row r="2366" spans="18:19" x14ac:dyDescent="0.3">
      <c r="R2366" t="s">
        <v>4290</v>
      </c>
      <c r="S2366">
        <v>274120</v>
      </c>
    </row>
    <row r="2367" spans="18:19" x14ac:dyDescent="0.3">
      <c r="R2367" t="s">
        <v>4291</v>
      </c>
      <c r="S2367">
        <v>4744800</v>
      </c>
    </row>
    <row r="2368" spans="18:19" x14ac:dyDescent="0.3">
      <c r="R2368" t="s">
        <v>4292</v>
      </c>
      <c r="S2368">
        <v>19850290</v>
      </c>
    </row>
    <row r="2369" spans="18:19" x14ac:dyDescent="0.3">
      <c r="R2369" t="s">
        <v>4293</v>
      </c>
      <c r="S2369">
        <v>1856370</v>
      </c>
    </row>
    <row r="2370" spans="18:19" x14ac:dyDescent="0.3">
      <c r="R2370" t="s">
        <v>4294</v>
      </c>
      <c r="S2370">
        <v>26840</v>
      </c>
    </row>
    <row r="2371" spans="18:19" x14ac:dyDescent="0.3">
      <c r="R2371" t="s">
        <v>4295</v>
      </c>
      <c r="S2371">
        <v>62840</v>
      </c>
    </row>
    <row r="2372" spans="18:19" x14ac:dyDescent="0.3">
      <c r="R2372" t="s">
        <v>4296</v>
      </c>
      <c r="S2372">
        <v>490</v>
      </c>
    </row>
    <row r="2373" spans="18:19" x14ac:dyDescent="0.3">
      <c r="R2373" t="s">
        <v>4297</v>
      </c>
      <c r="S2373">
        <v>389620</v>
      </c>
    </row>
    <row r="2374" spans="18:19" x14ac:dyDescent="0.3">
      <c r="R2374" t="s">
        <v>4298</v>
      </c>
      <c r="S2374">
        <v>666550</v>
      </c>
    </row>
    <row r="2375" spans="18:19" x14ac:dyDescent="0.3">
      <c r="R2375" t="s">
        <v>4299</v>
      </c>
      <c r="S2375">
        <v>0</v>
      </c>
    </row>
    <row r="2376" spans="18:19" x14ac:dyDescent="0.3">
      <c r="R2376" t="s">
        <v>4300</v>
      </c>
      <c r="S2376">
        <v>202360</v>
      </c>
    </row>
    <row r="2377" spans="18:19" x14ac:dyDescent="0.3">
      <c r="R2377" t="s">
        <v>4301</v>
      </c>
      <c r="S2377">
        <v>0</v>
      </c>
    </row>
    <row r="2378" spans="18:19" x14ac:dyDescent="0.3">
      <c r="R2378" t="s">
        <v>4302</v>
      </c>
      <c r="S2378">
        <v>47580</v>
      </c>
    </row>
    <row r="2379" spans="18:19" x14ac:dyDescent="0.3">
      <c r="R2379" t="s">
        <v>4303</v>
      </c>
      <c r="S2379">
        <v>35740</v>
      </c>
    </row>
    <row r="2380" spans="18:19" x14ac:dyDescent="0.3">
      <c r="R2380" t="s">
        <v>4304</v>
      </c>
      <c r="S2380">
        <v>285170</v>
      </c>
    </row>
    <row r="2381" spans="18:19" x14ac:dyDescent="0.3">
      <c r="R2381" t="s">
        <v>4305</v>
      </c>
      <c r="S2381">
        <v>558220</v>
      </c>
    </row>
    <row r="2382" spans="18:19" x14ac:dyDescent="0.3">
      <c r="R2382" t="s">
        <v>4306</v>
      </c>
      <c r="S2382">
        <v>38150</v>
      </c>
    </row>
    <row r="2383" spans="18:19" x14ac:dyDescent="0.3">
      <c r="R2383" t="s">
        <v>4307</v>
      </c>
      <c r="S2383">
        <v>593750</v>
      </c>
    </row>
    <row r="2384" spans="18:19" x14ac:dyDescent="0.3">
      <c r="R2384" t="s">
        <v>4308</v>
      </c>
      <c r="S2384">
        <v>343270</v>
      </c>
    </row>
    <row r="2385" spans="18:19" x14ac:dyDescent="0.3">
      <c r="R2385" t="s">
        <v>4309</v>
      </c>
      <c r="S2385">
        <v>6810</v>
      </c>
    </row>
    <row r="2386" spans="18:19" x14ac:dyDescent="0.3">
      <c r="R2386" t="s">
        <v>4310</v>
      </c>
      <c r="S2386">
        <v>90310</v>
      </c>
    </row>
    <row r="2387" spans="18:19" x14ac:dyDescent="0.3">
      <c r="R2387" t="s">
        <v>4311</v>
      </c>
      <c r="S2387">
        <v>67110</v>
      </c>
    </row>
    <row r="2388" spans="18:19" x14ac:dyDescent="0.3">
      <c r="R2388" t="s">
        <v>4312</v>
      </c>
      <c r="S2388">
        <v>183360</v>
      </c>
    </row>
    <row r="2389" spans="18:19" x14ac:dyDescent="0.3">
      <c r="R2389" t="s">
        <v>4313</v>
      </c>
      <c r="S2389">
        <v>130</v>
      </c>
    </row>
    <row r="2390" spans="18:19" x14ac:dyDescent="0.3">
      <c r="R2390" t="s">
        <v>4314</v>
      </c>
      <c r="S2390">
        <v>4361840</v>
      </c>
    </row>
    <row r="2391" spans="18:19" x14ac:dyDescent="0.3">
      <c r="R2391" t="s">
        <v>4315</v>
      </c>
      <c r="S2391">
        <v>426320</v>
      </c>
    </row>
    <row r="2392" spans="18:19" x14ac:dyDescent="0.3">
      <c r="R2392" t="s">
        <v>4316</v>
      </c>
      <c r="S2392">
        <v>287880</v>
      </c>
    </row>
    <row r="2393" spans="18:19" x14ac:dyDescent="0.3">
      <c r="R2393" t="s">
        <v>4317</v>
      </c>
      <c r="S2393">
        <v>550890</v>
      </c>
    </row>
    <row r="2394" spans="18:19" x14ac:dyDescent="0.3">
      <c r="R2394" t="s">
        <v>4318</v>
      </c>
      <c r="S2394">
        <v>149130</v>
      </c>
    </row>
    <row r="2395" spans="18:19" x14ac:dyDescent="0.3">
      <c r="R2395" t="s">
        <v>4319</v>
      </c>
      <c r="S2395">
        <v>88870</v>
      </c>
    </row>
    <row r="2396" spans="18:19" x14ac:dyDescent="0.3">
      <c r="R2396" t="s">
        <v>4320</v>
      </c>
      <c r="S2396">
        <v>104320</v>
      </c>
    </row>
    <row r="2397" spans="18:19" x14ac:dyDescent="0.3">
      <c r="R2397" t="s">
        <v>4321</v>
      </c>
      <c r="S2397">
        <v>203830</v>
      </c>
    </row>
    <row r="2398" spans="18:19" x14ac:dyDescent="0.3">
      <c r="R2398" t="s">
        <v>4322</v>
      </c>
      <c r="S2398">
        <v>122860</v>
      </c>
    </row>
    <row r="2399" spans="18:19" x14ac:dyDescent="0.3">
      <c r="R2399" t="s">
        <v>4323</v>
      </c>
      <c r="S2399">
        <v>3380</v>
      </c>
    </row>
    <row r="2400" spans="18:19" x14ac:dyDescent="0.3">
      <c r="R2400" t="s">
        <v>4324</v>
      </c>
      <c r="S2400">
        <v>1888040</v>
      </c>
    </row>
    <row r="2401" spans="18:19" x14ac:dyDescent="0.3">
      <c r="R2401" t="s">
        <v>4325</v>
      </c>
      <c r="S2401">
        <v>993980</v>
      </c>
    </row>
    <row r="2402" spans="18:19" x14ac:dyDescent="0.3">
      <c r="R2402" t="s">
        <v>4326</v>
      </c>
      <c r="S2402">
        <v>2787120</v>
      </c>
    </row>
    <row r="2403" spans="18:19" x14ac:dyDescent="0.3">
      <c r="R2403" t="s">
        <v>4327</v>
      </c>
      <c r="S2403">
        <v>939340</v>
      </c>
    </row>
    <row r="2404" spans="18:19" x14ac:dyDescent="0.3">
      <c r="R2404" t="s">
        <v>4328</v>
      </c>
      <c r="S2404">
        <v>199540</v>
      </c>
    </row>
    <row r="2405" spans="18:19" x14ac:dyDescent="0.3">
      <c r="R2405" t="s">
        <v>4329</v>
      </c>
      <c r="S2405">
        <v>144200</v>
      </c>
    </row>
    <row r="2406" spans="18:19" x14ac:dyDescent="0.3">
      <c r="R2406" t="s">
        <v>4330</v>
      </c>
      <c r="S2406">
        <v>3130</v>
      </c>
    </row>
    <row r="2407" spans="18:19" x14ac:dyDescent="0.3">
      <c r="R2407" t="s">
        <v>4331</v>
      </c>
      <c r="S2407">
        <v>90640</v>
      </c>
    </row>
    <row r="2408" spans="18:19" x14ac:dyDescent="0.3">
      <c r="R2408" t="s">
        <v>4332</v>
      </c>
      <c r="S2408">
        <v>0</v>
      </c>
    </row>
    <row r="2409" spans="18:19" x14ac:dyDescent="0.3">
      <c r="R2409" t="s">
        <v>4333</v>
      </c>
      <c r="S2409">
        <v>4124610</v>
      </c>
    </row>
    <row r="2410" spans="18:19" x14ac:dyDescent="0.3">
      <c r="R2410" t="s">
        <v>4334</v>
      </c>
      <c r="S2410">
        <v>100180</v>
      </c>
    </row>
    <row r="2411" spans="18:19" x14ac:dyDescent="0.3">
      <c r="R2411" t="s">
        <v>4335</v>
      </c>
      <c r="S2411">
        <v>326700</v>
      </c>
    </row>
    <row r="2412" spans="18:19" x14ac:dyDescent="0.3">
      <c r="R2412" t="s">
        <v>4336</v>
      </c>
      <c r="S2412">
        <v>25090</v>
      </c>
    </row>
    <row r="2413" spans="18:19" x14ac:dyDescent="0.3">
      <c r="R2413" t="s">
        <v>4337</v>
      </c>
      <c r="S2413">
        <v>2778470</v>
      </c>
    </row>
    <row r="2414" spans="18:19" x14ac:dyDescent="0.3">
      <c r="R2414" t="s">
        <v>4338</v>
      </c>
      <c r="S2414">
        <v>62424</v>
      </c>
    </row>
    <row r="2415" spans="18:19" x14ac:dyDescent="0.3">
      <c r="R2415" t="s">
        <v>4339</v>
      </c>
      <c r="S2415">
        <v>103250</v>
      </c>
    </row>
    <row r="2416" spans="18:19" x14ac:dyDescent="0.3">
      <c r="R2416" t="s">
        <v>4340</v>
      </c>
      <c r="S2416">
        <v>0</v>
      </c>
    </row>
    <row r="2417" spans="18:19" x14ac:dyDescent="0.3">
      <c r="R2417" t="s">
        <v>4341</v>
      </c>
      <c r="S2417">
        <v>164310</v>
      </c>
    </row>
    <row r="2418" spans="18:19" x14ac:dyDescent="0.3">
      <c r="R2418" t="s">
        <v>4342</v>
      </c>
      <c r="S2418">
        <v>241160</v>
      </c>
    </row>
    <row r="2419" spans="18:19" x14ac:dyDescent="0.3">
      <c r="R2419" t="s">
        <v>4343</v>
      </c>
      <c r="S2419">
        <v>840</v>
      </c>
    </row>
    <row r="2420" spans="18:19" x14ac:dyDescent="0.3">
      <c r="R2420" t="s">
        <v>4344</v>
      </c>
      <c r="S2420">
        <v>3650</v>
      </c>
    </row>
    <row r="2421" spans="18:19" x14ac:dyDescent="0.3">
      <c r="R2421" t="s">
        <v>4345</v>
      </c>
      <c r="S2421">
        <v>385160</v>
      </c>
    </row>
    <row r="2422" spans="18:19" x14ac:dyDescent="0.3">
      <c r="R2422" t="s">
        <v>4346</v>
      </c>
      <c r="S2422">
        <v>257290</v>
      </c>
    </row>
    <row r="2423" spans="18:19" x14ac:dyDescent="0.3">
      <c r="R2423" t="s">
        <v>4347</v>
      </c>
      <c r="S2423">
        <v>522860</v>
      </c>
    </row>
    <row r="2424" spans="18:19" x14ac:dyDescent="0.3">
      <c r="R2424" t="s">
        <v>4348</v>
      </c>
      <c r="S2424">
        <v>9250</v>
      </c>
    </row>
    <row r="2425" spans="18:19" x14ac:dyDescent="0.3">
      <c r="R2425" t="s">
        <v>4349</v>
      </c>
      <c r="S2425">
        <v>1539750</v>
      </c>
    </row>
    <row r="2426" spans="18:19" x14ac:dyDescent="0.3">
      <c r="R2426" t="s">
        <v>4350</v>
      </c>
      <c r="S2426">
        <v>43130</v>
      </c>
    </row>
    <row r="2427" spans="18:19" x14ac:dyDescent="0.3">
      <c r="R2427" t="s">
        <v>4351</v>
      </c>
      <c r="S2427">
        <v>15440</v>
      </c>
    </row>
    <row r="2428" spans="18:19" x14ac:dyDescent="0.3">
      <c r="R2428" t="s">
        <v>4352</v>
      </c>
      <c r="S2428">
        <v>1490</v>
      </c>
    </row>
    <row r="2429" spans="18:19" x14ac:dyDescent="0.3">
      <c r="R2429" t="s">
        <v>4353</v>
      </c>
      <c r="S2429">
        <v>2496250</v>
      </c>
    </row>
    <row r="2430" spans="18:19" x14ac:dyDescent="0.3">
      <c r="R2430" t="s">
        <v>4354</v>
      </c>
      <c r="S2430">
        <v>1580</v>
      </c>
    </row>
    <row r="2431" spans="18:19" x14ac:dyDescent="0.3">
      <c r="R2431" t="s">
        <v>4355</v>
      </c>
      <c r="S2431">
        <v>304284950</v>
      </c>
    </row>
    <row r="2432" spans="18:19" x14ac:dyDescent="0.3">
      <c r="R2432" t="s">
        <v>4356</v>
      </c>
      <c r="S2432">
        <v>19873620</v>
      </c>
    </row>
    <row r="2433" spans="18:19" x14ac:dyDescent="0.3">
      <c r="R2433" t="s">
        <v>4357</v>
      </c>
      <c r="S2433">
        <v>10236270</v>
      </c>
    </row>
    <row r="2434" spans="18:19" x14ac:dyDescent="0.3">
      <c r="R2434" t="s">
        <v>4358</v>
      </c>
      <c r="S2434">
        <v>6230</v>
      </c>
    </row>
    <row r="2435" spans="18:19" x14ac:dyDescent="0.3">
      <c r="R2435" t="s">
        <v>4359</v>
      </c>
      <c r="S2435">
        <v>484160</v>
      </c>
    </row>
    <row r="2436" spans="18:19" x14ac:dyDescent="0.3">
      <c r="R2436" t="s">
        <v>4360</v>
      </c>
      <c r="S2436">
        <v>866940</v>
      </c>
    </row>
    <row r="2437" spans="18:19" x14ac:dyDescent="0.3">
      <c r="R2437" t="s">
        <v>4361</v>
      </c>
      <c r="S2437">
        <v>4056430</v>
      </c>
    </row>
    <row r="2438" spans="18:19" x14ac:dyDescent="0.3">
      <c r="R2438" t="s">
        <v>4362</v>
      </c>
      <c r="S2438">
        <v>2385080</v>
      </c>
    </row>
    <row r="2439" spans="18:19" x14ac:dyDescent="0.3">
      <c r="R2439" t="s">
        <v>4363</v>
      </c>
      <c r="S2439">
        <v>2910600</v>
      </c>
    </row>
    <row r="2440" spans="18:19" x14ac:dyDescent="0.3">
      <c r="R2440" t="s">
        <v>4364</v>
      </c>
      <c r="S2440">
        <v>148140</v>
      </c>
    </row>
    <row r="2441" spans="18:19" x14ac:dyDescent="0.3">
      <c r="R2441" t="s">
        <v>4365</v>
      </c>
      <c r="S2441">
        <v>0</v>
      </c>
    </row>
    <row r="2442" spans="18:19" x14ac:dyDescent="0.3">
      <c r="R2442" t="s">
        <v>4366</v>
      </c>
      <c r="S2442">
        <v>361690</v>
      </c>
    </row>
    <row r="2443" spans="18:19" x14ac:dyDescent="0.3">
      <c r="R2443" t="s">
        <v>4367</v>
      </c>
      <c r="S2443">
        <v>58420</v>
      </c>
    </row>
    <row r="2444" spans="18:19" x14ac:dyDescent="0.3">
      <c r="R2444" t="s">
        <v>4368</v>
      </c>
      <c r="S2444">
        <v>58810</v>
      </c>
    </row>
    <row r="2445" spans="18:19" x14ac:dyDescent="0.3">
      <c r="R2445" t="s">
        <v>4369</v>
      </c>
      <c r="S2445">
        <v>2022060</v>
      </c>
    </row>
    <row r="2446" spans="18:19" x14ac:dyDescent="0.3">
      <c r="R2446" t="s">
        <v>4370</v>
      </c>
      <c r="S2446">
        <v>65660</v>
      </c>
    </row>
    <row r="2447" spans="18:19" x14ac:dyDescent="0.3">
      <c r="R2447" t="s">
        <v>4371</v>
      </c>
      <c r="S2447">
        <v>402500</v>
      </c>
    </row>
    <row r="2448" spans="18:19" x14ac:dyDescent="0.3">
      <c r="R2448" t="s">
        <v>4372</v>
      </c>
      <c r="S2448">
        <v>368700</v>
      </c>
    </row>
    <row r="2449" spans="18:19" x14ac:dyDescent="0.3">
      <c r="R2449" t="s">
        <v>4373</v>
      </c>
      <c r="S2449">
        <v>5120</v>
      </c>
    </row>
    <row r="2450" spans="18:19" x14ac:dyDescent="0.3">
      <c r="R2450" t="s">
        <v>4374</v>
      </c>
      <c r="S2450">
        <v>400</v>
      </c>
    </row>
    <row r="2451" spans="18:19" x14ac:dyDescent="0.3">
      <c r="R2451" t="s">
        <v>4375</v>
      </c>
      <c r="S2451">
        <v>7658660</v>
      </c>
    </row>
    <row r="2452" spans="18:19" x14ac:dyDescent="0.3">
      <c r="R2452" t="s">
        <v>4376</v>
      </c>
      <c r="S2452">
        <v>1000</v>
      </c>
    </row>
    <row r="2453" spans="18:19" x14ac:dyDescent="0.3">
      <c r="R2453" t="s">
        <v>4377</v>
      </c>
      <c r="S2453">
        <v>1650</v>
      </c>
    </row>
    <row r="2454" spans="18:19" x14ac:dyDescent="0.3">
      <c r="R2454" t="s">
        <v>4378</v>
      </c>
      <c r="S2454">
        <v>1480</v>
      </c>
    </row>
    <row r="2455" spans="18:19" x14ac:dyDescent="0.3">
      <c r="R2455" t="s">
        <v>4379</v>
      </c>
      <c r="S2455">
        <v>109480</v>
      </c>
    </row>
    <row r="2456" spans="18:19" x14ac:dyDescent="0.3">
      <c r="R2456" t="s">
        <v>4380</v>
      </c>
      <c r="S2456">
        <v>7333320</v>
      </c>
    </row>
    <row r="2457" spans="18:19" x14ac:dyDescent="0.3">
      <c r="R2457" t="s">
        <v>4381</v>
      </c>
      <c r="S2457">
        <v>1456270</v>
      </c>
    </row>
    <row r="2458" spans="18:19" x14ac:dyDescent="0.3">
      <c r="R2458" t="s">
        <v>4382</v>
      </c>
      <c r="S2458">
        <v>0</v>
      </c>
    </row>
    <row r="2459" spans="18:19" x14ac:dyDescent="0.3">
      <c r="R2459" t="s">
        <v>4383</v>
      </c>
      <c r="S2459">
        <v>360</v>
      </c>
    </row>
    <row r="2460" spans="18:19" x14ac:dyDescent="0.3">
      <c r="R2460" t="s">
        <v>4384</v>
      </c>
      <c r="S2460">
        <v>10810</v>
      </c>
    </row>
    <row r="2461" spans="18:19" x14ac:dyDescent="0.3">
      <c r="R2461" t="s">
        <v>4385</v>
      </c>
      <c r="S2461">
        <v>21640</v>
      </c>
    </row>
    <row r="2462" spans="18:19" x14ac:dyDescent="0.3">
      <c r="R2462" t="s">
        <v>4386</v>
      </c>
      <c r="S2462">
        <v>630</v>
      </c>
    </row>
    <row r="2463" spans="18:19" x14ac:dyDescent="0.3">
      <c r="R2463" t="s">
        <v>4387</v>
      </c>
      <c r="S2463">
        <v>0</v>
      </c>
    </row>
    <row r="2464" spans="18:19" x14ac:dyDescent="0.3">
      <c r="R2464" t="s">
        <v>4388</v>
      </c>
      <c r="S2464">
        <v>586060</v>
      </c>
    </row>
    <row r="2465" spans="18:19" x14ac:dyDescent="0.3">
      <c r="R2465" t="s">
        <v>4389</v>
      </c>
      <c r="S2465">
        <v>35040</v>
      </c>
    </row>
    <row r="2466" spans="18:19" x14ac:dyDescent="0.3">
      <c r="R2466" t="s">
        <v>4390</v>
      </c>
      <c r="S2466">
        <v>138210</v>
      </c>
    </row>
    <row r="2467" spans="18:19" x14ac:dyDescent="0.3">
      <c r="R2467" t="s">
        <v>4391</v>
      </c>
      <c r="S2467">
        <v>2077610</v>
      </c>
    </row>
    <row r="2468" spans="18:19" x14ac:dyDescent="0.3">
      <c r="R2468" t="s">
        <v>4392</v>
      </c>
      <c r="S2468">
        <v>132710</v>
      </c>
    </row>
    <row r="2469" spans="18:19" x14ac:dyDescent="0.3">
      <c r="R2469" t="s">
        <v>4393</v>
      </c>
      <c r="S2469">
        <v>3353000</v>
      </c>
    </row>
    <row r="2470" spans="18:19" x14ac:dyDescent="0.3">
      <c r="R2470" t="s">
        <v>4394</v>
      </c>
      <c r="S2470">
        <v>450</v>
      </c>
    </row>
    <row r="2471" spans="18:19" x14ac:dyDescent="0.3">
      <c r="R2471" t="s">
        <v>4395</v>
      </c>
      <c r="S2471">
        <v>90580</v>
      </c>
    </row>
    <row r="2472" spans="18:19" x14ac:dyDescent="0.3">
      <c r="R2472" t="s">
        <v>4396</v>
      </c>
      <c r="S2472">
        <v>548330</v>
      </c>
    </row>
    <row r="2473" spans="18:19" x14ac:dyDescent="0.3">
      <c r="R2473" t="s">
        <v>4397</v>
      </c>
      <c r="S2473">
        <v>74930</v>
      </c>
    </row>
    <row r="2474" spans="18:19" x14ac:dyDescent="0.3">
      <c r="R2474" t="s">
        <v>4398</v>
      </c>
      <c r="S2474">
        <v>764870</v>
      </c>
    </row>
    <row r="2475" spans="18:19" x14ac:dyDescent="0.3">
      <c r="R2475" t="s">
        <v>4399</v>
      </c>
      <c r="S2475">
        <v>689390</v>
      </c>
    </row>
    <row r="2476" spans="18:19" x14ac:dyDescent="0.3">
      <c r="R2476" t="s">
        <v>4400</v>
      </c>
      <c r="S2476">
        <v>3230</v>
      </c>
    </row>
    <row r="2477" spans="18:19" x14ac:dyDescent="0.3">
      <c r="R2477" t="s">
        <v>4401</v>
      </c>
      <c r="S2477">
        <v>18390</v>
      </c>
    </row>
    <row r="2478" spans="18:19" x14ac:dyDescent="0.3">
      <c r="R2478" t="s">
        <v>4402</v>
      </c>
      <c r="S2478">
        <v>2722330</v>
      </c>
    </row>
    <row r="2479" spans="18:19" x14ac:dyDescent="0.3">
      <c r="R2479" t="s">
        <v>4403</v>
      </c>
      <c r="S2479">
        <v>108730</v>
      </c>
    </row>
    <row r="2480" spans="18:19" x14ac:dyDescent="0.3">
      <c r="R2480" t="s">
        <v>4404</v>
      </c>
      <c r="S2480">
        <v>145410</v>
      </c>
    </row>
    <row r="2481" spans="18:19" x14ac:dyDescent="0.3">
      <c r="R2481" t="s">
        <v>4405</v>
      </c>
      <c r="S2481">
        <v>1750</v>
      </c>
    </row>
    <row r="2482" spans="18:19" x14ac:dyDescent="0.3">
      <c r="R2482" t="s">
        <v>4406</v>
      </c>
      <c r="S2482">
        <v>4420170</v>
      </c>
    </row>
    <row r="2483" spans="18:19" x14ac:dyDescent="0.3">
      <c r="R2483" t="s">
        <v>4407</v>
      </c>
      <c r="S2483">
        <v>22720</v>
      </c>
    </row>
    <row r="2484" spans="18:19" x14ac:dyDescent="0.3">
      <c r="R2484" t="s">
        <v>4408</v>
      </c>
      <c r="S2484">
        <v>0</v>
      </c>
    </row>
    <row r="2485" spans="18:19" x14ac:dyDescent="0.3">
      <c r="R2485" t="s">
        <v>4409</v>
      </c>
      <c r="S2485">
        <v>0</v>
      </c>
    </row>
    <row r="2486" spans="18:19" x14ac:dyDescent="0.3">
      <c r="R2486" t="s">
        <v>4410</v>
      </c>
      <c r="S2486">
        <v>280</v>
      </c>
    </row>
    <row r="2487" spans="18:19" x14ac:dyDescent="0.3">
      <c r="R2487" t="s">
        <v>4411</v>
      </c>
      <c r="S2487">
        <v>3272960</v>
      </c>
    </row>
    <row r="2488" spans="18:19" x14ac:dyDescent="0.3">
      <c r="R2488" t="s">
        <v>4412</v>
      </c>
      <c r="S2488">
        <v>1405600</v>
      </c>
    </row>
    <row r="2489" spans="18:19" x14ac:dyDescent="0.3">
      <c r="R2489" t="s">
        <v>4413</v>
      </c>
      <c r="S2489">
        <v>99168210</v>
      </c>
    </row>
    <row r="2490" spans="18:19" x14ac:dyDescent="0.3">
      <c r="R2490" t="s">
        <v>4414</v>
      </c>
      <c r="S2490">
        <v>31928130</v>
      </c>
    </row>
    <row r="2491" spans="18:19" x14ac:dyDescent="0.3">
      <c r="R2491" t="s">
        <v>4415</v>
      </c>
      <c r="S2491">
        <v>37018230</v>
      </c>
    </row>
    <row r="2492" spans="18:19" x14ac:dyDescent="0.3">
      <c r="R2492" t="s">
        <v>4416</v>
      </c>
      <c r="S2492">
        <v>1854650</v>
      </c>
    </row>
    <row r="2493" spans="18:19" x14ac:dyDescent="0.3">
      <c r="R2493" t="s">
        <v>4417</v>
      </c>
      <c r="S2493">
        <v>70</v>
      </c>
    </row>
    <row r="2494" spans="18:19" x14ac:dyDescent="0.3">
      <c r="R2494" t="s">
        <v>4418</v>
      </c>
      <c r="S2494">
        <v>54830</v>
      </c>
    </row>
    <row r="2495" spans="18:19" x14ac:dyDescent="0.3">
      <c r="R2495" t="s">
        <v>4419</v>
      </c>
      <c r="S2495">
        <v>3759910</v>
      </c>
    </row>
    <row r="2496" spans="18:19" x14ac:dyDescent="0.3">
      <c r="R2496" t="s">
        <v>4420</v>
      </c>
      <c r="S2496">
        <v>196670</v>
      </c>
    </row>
    <row r="2497" spans="18:19" x14ac:dyDescent="0.3">
      <c r="R2497" t="s">
        <v>4421</v>
      </c>
      <c r="S2497">
        <v>1275700</v>
      </c>
    </row>
    <row r="2498" spans="18:19" x14ac:dyDescent="0.3">
      <c r="R2498" t="s">
        <v>4422</v>
      </c>
      <c r="S2498">
        <v>756980</v>
      </c>
    </row>
    <row r="2499" spans="18:19" x14ac:dyDescent="0.3">
      <c r="R2499" t="s">
        <v>4423</v>
      </c>
      <c r="S2499">
        <v>83200</v>
      </c>
    </row>
    <row r="2500" spans="18:19" x14ac:dyDescent="0.3">
      <c r="R2500" t="s">
        <v>4424</v>
      </c>
      <c r="S2500">
        <v>874550</v>
      </c>
    </row>
    <row r="2501" spans="18:19" x14ac:dyDescent="0.3">
      <c r="R2501" t="s">
        <v>4425</v>
      </c>
      <c r="S2501">
        <v>0</v>
      </c>
    </row>
    <row r="2502" spans="18:19" x14ac:dyDescent="0.3">
      <c r="R2502" t="s">
        <v>4426</v>
      </c>
      <c r="S2502">
        <v>668670</v>
      </c>
    </row>
    <row r="2503" spans="18:19" x14ac:dyDescent="0.3">
      <c r="R2503" t="s">
        <v>4427</v>
      </c>
      <c r="S2503">
        <v>87660</v>
      </c>
    </row>
    <row r="2504" spans="18:19" x14ac:dyDescent="0.3">
      <c r="R2504" t="s">
        <v>4428</v>
      </c>
      <c r="S2504">
        <v>4485480</v>
      </c>
    </row>
    <row r="2505" spans="18:19" x14ac:dyDescent="0.3">
      <c r="R2505" t="s">
        <v>4429</v>
      </c>
      <c r="S2505">
        <v>79590</v>
      </c>
    </row>
    <row r="2506" spans="18:19" x14ac:dyDescent="0.3">
      <c r="R2506" t="s">
        <v>4430</v>
      </c>
      <c r="S2506">
        <v>19130</v>
      </c>
    </row>
    <row r="2507" spans="18:19" x14ac:dyDescent="0.3">
      <c r="R2507" t="s">
        <v>4431</v>
      </c>
      <c r="S2507">
        <v>93630</v>
      </c>
    </row>
    <row r="2508" spans="18:19" x14ac:dyDescent="0.3">
      <c r="R2508" t="s">
        <v>4432</v>
      </c>
      <c r="S2508">
        <v>172260</v>
      </c>
    </row>
    <row r="2509" spans="18:19" x14ac:dyDescent="0.3">
      <c r="R2509" t="s">
        <v>4433</v>
      </c>
      <c r="S2509">
        <v>5660</v>
      </c>
    </row>
    <row r="2510" spans="18:19" x14ac:dyDescent="0.3">
      <c r="R2510" t="s">
        <v>4434</v>
      </c>
      <c r="S2510">
        <v>681120</v>
      </c>
    </row>
    <row r="2511" spans="18:19" x14ac:dyDescent="0.3">
      <c r="R2511" t="s">
        <v>4435</v>
      </c>
      <c r="S2511">
        <v>452550</v>
      </c>
    </row>
    <row r="2512" spans="18:19" x14ac:dyDescent="0.3">
      <c r="R2512" t="s">
        <v>4436</v>
      </c>
      <c r="S2512">
        <v>1049060</v>
      </c>
    </row>
    <row r="2513" spans="18:19" x14ac:dyDescent="0.3">
      <c r="R2513" t="s">
        <v>4437</v>
      </c>
      <c r="S2513">
        <v>765570</v>
      </c>
    </row>
    <row r="2514" spans="18:19" x14ac:dyDescent="0.3">
      <c r="R2514" t="s">
        <v>4438</v>
      </c>
      <c r="S2514">
        <v>300</v>
      </c>
    </row>
    <row r="2515" spans="18:19" x14ac:dyDescent="0.3">
      <c r="R2515" t="s">
        <v>4439</v>
      </c>
      <c r="S2515">
        <v>184310</v>
      </c>
    </row>
    <row r="2516" spans="18:19" x14ac:dyDescent="0.3">
      <c r="R2516" t="s">
        <v>4440</v>
      </c>
      <c r="S2516">
        <v>2150630</v>
      </c>
    </row>
    <row r="2517" spans="18:19" x14ac:dyDescent="0.3">
      <c r="R2517" t="s">
        <v>4441</v>
      </c>
      <c r="S2517">
        <v>2963643</v>
      </c>
    </row>
    <row r="2518" spans="18:19" x14ac:dyDescent="0.3">
      <c r="R2518" t="s">
        <v>4442</v>
      </c>
      <c r="S2518">
        <v>12340</v>
      </c>
    </row>
    <row r="2519" spans="18:19" x14ac:dyDescent="0.3">
      <c r="R2519" t="s">
        <v>4443</v>
      </c>
      <c r="S2519">
        <v>5150</v>
      </c>
    </row>
    <row r="2520" spans="18:19" x14ac:dyDescent="0.3">
      <c r="R2520" t="s">
        <v>4444</v>
      </c>
      <c r="S2520">
        <v>266650</v>
      </c>
    </row>
    <row r="2521" spans="18:19" x14ac:dyDescent="0.3">
      <c r="R2521" t="s">
        <v>4445</v>
      </c>
      <c r="S2521">
        <v>18490</v>
      </c>
    </row>
    <row r="2522" spans="18:19" x14ac:dyDescent="0.3">
      <c r="R2522" t="s">
        <v>4446</v>
      </c>
      <c r="S2522">
        <v>4258500</v>
      </c>
    </row>
    <row r="2523" spans="18:19" x14ac:dyDescent="0.3">
      <c r="R2523" t="s">
        <v>4447</v>
      </c>
      <c r="S2523">
        <v>359590</v>
      </c>
    </row>
    <row r="2524" spans="18:19" x14ac:dyDescent="0.3">
      <c r="R2524" t="s">
        <v>4448</v>
      </c>
      <c r="S2524">
        <v>6310</v>
      </c>
    </row>
    <row r="2525" spans="18:19" x14ac:dyDescent="0.3">
      <c r="R2525" t="s">
        <v>4449</v>
      </c>
      <c r="S2525">
        <v>557920</v>
      </c>
    </row>
    <row r="2526" spans="18:19" x14ac:dyDescent="0.3">
      <c r="R2526" t="s">
        <v>4450</v>
      </c>
      <c r="S2526">
        <v>32660</v>
      </c>
    </row>
    <row r="2527" spans="18:19" x14ac:dyDescent="0.3">
      <c r="R2527" t="s">
        <v>4451</v>
      </c>
      <c r="S2527">
        <v>11809270</v>
      </c>
    </row>
    <row r="2528" spans="18:19" x14ac:dyDescent="0.3">
      <c r="R2528" t="s">
        <v>4452</v>
      </c>
      <c r="S2528">
        <v>3000</v>
      </c>
    </row>
    <row r="2529" spans="18:19" x14ac:dyDescent="0.3">
      <c r="R2529" t="s">
        <v>4453</v>
      </c>
      <c r="S2529">
        <v>93910</v>
      </c>
    </row>
    <row r="2530" spans="18:19" x14ac:dyDescent="0.3">
      <c r="R2530" t="s">
        <v>4454</v>
      </c>
      <c r="S2530">
        <v>1240440</v>
      </c>
    </row>
    <row r="2531" spans="18:19" x14ac:dyDescent="0.3">
      <c r="R2531" t="s">
        <v>4455</v>
      </c>
      <c r="S2531">
        <v>1007360</v>
      </c>
    </row>
    <row r="2532" spans="18:19" x14ac:dyDescent="0.3">
      <c r="R2532" t="s">
        <v>4456</v>
      </c>
      <c r="S2532">
        <v>278470</v>
      </c>
    </row>
    <row r="2533" spans="18:19" x14ac:dyDescent="0.3">
      <c r="R2533" t="s">
        <v>4457</v>
      </c>
      <c r="S2533">
        <v>759750</v>
      </c>
    </row>
    <row r="2534" spans="18:19" x14ac:dyDescent="0.3">
      <c r="R2534" t="s">
        <v>4458</v>
      </c>
      <c r="S2534">
        <v>406320</v>
      </c>
    </row>
    <row r="2535" spans="18:19" x14ac:dyDescent="0.3">
      <c r="R2535" t="s">
        <v>4459</v>
      </c>
      <c r="S2535">
        <v>102800</v>
      </c>
    </row>
    <row r="2536" spans="18:19" x14ac:dyDescent="0.3">
      <c r="R2536" t="s">
        <v>4460</v>
      </c>
      <c r="S2536">
        <v>3918260</v>
      </c>
    </row>
    <row r="2537" spans="18:19" x14ac:dyDescent="0.3">
      <c r="R2537" t="s">
        <v>4461</v>
      </c>
      <c r="S2537">
        <v>80230</v>
      </c>
    </row>
    <row r="2538" spans="18:19" x14ac:dyDescent="0.3">
      <c r="R2538" t="s">
        <v>4462</v>
      </c>
      <c r="S2538">
        <v>34310</v>
      </c>
    </row>
    <row r="2539" spans="18:19" x14ac:dyDescent="0.3">
      <c r="R2539" t="s">
        <v>4463</v>
      </c>
      <c r="S2539">
        <v>2047630</v>
      </c>
    </row>
    <row r="2540" spans="18:19" x14ac:dyDescent="0.3">
      <c r="R2540" t="s">
        <v>4464</v>
      </c>
      <c r="S2540">
        <v>21150</v>
      </c>
    </row>
    <row r="2541" spans="18:19" x14ac:dyDescent="0.3">
      <c r="R2541" t="s">
        <v>4465</v>
      </c>
      <c r="S2541">
        <v>1270120</v>
      </c>
    </row>
    <row r="2542" spans="18:19" x14ac:dyDescent="0.3">
      <c r="R2542" t="s">
        <v>4466</v>
      </c>
      <c r="S2542">
        <v>86630</v>
      </c>
    </row>
    <row r="2543" spans="18:19" x14ac:dyDescent="0.3">
      <c r="R2543" t="s">
        <v>4467</v>
      </c>
      <c r="S2543">
        <v>50560</v>
      </c>
    </row>
    <row r="2544" spans="18:19" x14ac:dyDescent="0.3">
      <c r="R2544" t="s">
        <v>4468</v>
      </c>
      <c r="S2544">
        <v>1285410</v>
      </c>
    </row>
    <row r="2545" spans="18:19" x14ac:dyDescent="0.3">
      <c r="R2545" t="s">
        <v>4469</v>
      </c>
      <c r="S2545">
        <v>286480</v>
      </c>
    </row>
    <row r="2546" spans="18:19" x14ac:dyDescent="0.3">
      <c r="R2546" t="s">
        <v>4470</v>
      </c>
      <c r="S2546">
        <v>29440</v>
      </c>
    </row>
    <row r="2547" spans="18:19" x14ac:dyDescent="0.3">
      <c r="R2547" t="s">
        <v>4471</v>
      </c>
      <c r="S2547">
        <v>3051100</v>
      </c>
    </row>
    <row r="2548" spans="18:19" x14ac:dyDescent="0.3">
      <c r="R2548" t="s">
        <v>4472</v>
      </c>
      <c r="S2548">
        <v>14420350</v>
      </c>
    </row>
    <row r="2549" spans="18:19" x14ac:dyDescent="0.3">
      <c r="R2549" t="s">
        <v>4473</v>
      </c>
      <c r="S2549">
        <v>8143390</v>
      </c>
    </row>
    <row r="2550" spans="18:19" x14ac:dyDescent="0.3">
      <c r="R2550" t="s">
        <v>4474</v>
      </c>
      <c r="S2550">
        <v>26110</v>
      </c>
    </row>
    <row r="2551" spans="18:19" x14ac:dyDescent="0.3">
      <c r="R2551" t="s">
        <v>4475</v>
      </c>
      <c r="S2551">
        <v>783020</v>
      </c>
    </row>
    <row r="2552" spans="18:19" x14ac:dyDescent="0.3">
      <c r="R2552" t="s">
        <v>4476</v>
      </c>
      <c r="S2552">
        <v>1489080</v>
      </c>
    </row>
    <row r="2553" spans="18:19" x14ac:dyDescent="0.3">
      <c r="R2553" t="s">
        <v>4477</v>
      </c>
      <c r="S2553">
        <v>60730</v>
      </c>
    </row>
    <row r="2554" spans="18:19" x14ac:dyDescent="0.3">
      <c r="R2554" t="s">
        <v>4478</v>
      </c>
      <c r="S2554">
        <v>672890</v>
      </c>
    </row>
    <row r="2555" spans="18:19" x14ac:dyDescent="0.3">
      <c r="R2555" t="s">
        <v>4479</v>
      </c>
      <c r="S2555">
        <v>919420</v>
      </c>
    </row>
    <row r="2556" spans="18:19" x14ac:dyDescent="0.3">
      <c r="R2556" t="s">
        <v>4480</v>
      </c>
      <c r="S2556">
        <v>8190</v>
      </c>
    </row>
    <row r="2557" spans="18:19" x14ac:dyDescent="0.3">
      <c r="R2557" t="s">
        <v>4481</v>
      </c>
      <c r="S2557">
        <v>8820</v>
      </c>
    </row>
    <row r="2558" spans="18:19" x14ac:dyDescent="0.3">
      <c r="R2558" t="s">
        <v>4482</v>
      </c>
      <c r="S2558">
        <v>90810</v>
      </c>
    </row>
    <row r="2559" spans="18:19" x14ac:dyDescent="0.3">
      <c r="R2559" t="s">
        <v>4483</v>
      </c>
      <c r="S2559">
        <v>21513060</v>
      </c>
    </row>
    <row r="2560" spans="18:19" x14ac:dyDescent="0.3">
      <c r="R2560" t="s">
        <v>4484</v>
      </c>
      <c r="S2560">
        <v>780</v>
      </c>
    </row>
    <row r="2561" spans="18:19" x14ac:dyDescent="0.3">
      <c r="R2561" t="s">
        <v>4485</v>
      </c>
      <c r="S2561">
        <v>96400</v>
      </c>
    </row>
    <row r="2562" spans="18:19" x14ac:dyDescent="0.3">
      <c r="R2562" t="s">
        <v>4486</v>
      </c>
      <c r="S2562">
        <v>800</v>
      </c>
    </row>
    <row r="2563" spans="18:19" x14ac:dyDescent="0.3">
      <c r="R2563" t="s">
        <v>4487</v>
      </c>
      <c r="S2563">
        <v>8060</v>
      </c>
    </row>
    <row r="2564" spans="18:19" x14ac:dyDescent="0.3">
      <c r="R2564" t="s">
        <v>4488</v>
      </c>
      <c r="S2564">
        <v>1597830</v>
      </c>
    </row>
    <row r="2565" spans="18:19" x14ac:dyDescent="0.3">
      <c r="R2565" t="s">
        <v>4489</v>
      </c>
      <c r="S2565">
        <v>557840</v>
      </c>
    </row>
    <row r="2566" spans="18:19" x14ac:dyDescent="0.3">
      <c r="R2566" t="s">
        <v>4490</v>
      </c>
      <c r="S2566">
        <v>454170</v>
      </c>
    </row>
    <row r="2567" spans="18:19" x14ac:dyDescent="0.3">
      <c r="R2567" t="s">
        <v>4491</v>
      </c>
      <c r="S2567">
        <v>123170</v>
      </c>
    </row>
    <row r="2568" spans="18:19" x14ac:dyDescent="0.3">
      <c r="R2568" t="s">
        <v>4492</v>
      </c>
      <c r="S2568">
        <v>47160</v>
      </c>
    </row>
    <row r="2569" spans="18:19" x14ac:dyDescent="0.3">
      <c r="R2569" t="s">
        <v>4493</v>
      </c>
      <c r="S2569">
        <v>37510</v>
      </c>
    </row>
    <row r="2570" spans="18:19" x14ac:dyDescent="0.3">
      <c r="R2570" t="s">
        <v>4494</v>
      </c>
      <c r="S2570">
        <v>75620</v>
      </c>
    </row>
    <row r="2571" spans="18:19" x14ac:dyDescent="0.3">
      <c r="R2571" t="s">
        <v>4495</v>
      </c>
      <c r="S2571">
        <v>306780</v>
      </c>
    </row>
    <row r="2572" spans="18:19" x14ac:dyDescent="0.3">
      <c r="R2572" t="s">
        <v>4496</v>
      </c>
      <c r="S2572">
        <v>69880</v>
      </c>
    </row>
    <row r="2573" spans="18:19" x14ac:dyDescent="0.3">
      <c r="R2573" t="s">
        <v>4497</v>
      </c>
      <c r="S2573">
        <v>187730</v>
      </c>
    </row>
    <row r="2574" spans="18:19" x14ac:dyDescent="0.3">
      <c r="R2574" t="s">
        <v>4498</v>
      </c>
      <c r="S2574">
        <v>14456740</v>
      </c>
    </row>
    <row r="2575" spans="18:19" x14ac:dyDescent="0.3">
      <c r="R2575" t="s">
        <v>4499</v>
      </c>
      <c r="S2575">
        <v>206060</v>
      </c>
    </row>
    <row r="2576" spans="18:19" x14ac:dyDescent="0.3">
      <c r="R2576" t="s">
        <v>4500</v>
      </c>
      <c r="S2576">
        <v>1594220</v>
      </c>
    </row>
    <row r="2577" spans="18:19" x14ac:dyDescent="0.3">
      <c r="R2577" t="s">
        <v>4501</v>
      </c>
      <c r="S2577">
        <v>2270</v>
      </c>
    </row>
    <row r="2578" spans="18:19" x14ac:dyDescent="0.3">
      <c r="R2578" t="s">
        <v>4502</v>
      </c>
      <c r="S2578">
        <v>8590</v>
      </c>
    </row>
    <row r="2579" spans="18:19" x14ac:dyDescent="0.3">
      <c r="R2579" t="s">
        <v>4503</v>
      </c>
      <c r="S2579">
        <v>1532370</v>
      </c>
    </row>
    <row r="2580" spans="18:19" x14ac:dyDescent="0.3">
      <c r="R2580" t="s">
        <v>4504</v>
      </c>
      <c r="S2580">
        <v>0</v>
      </c>
    </row>
    <row r="2581" spans="18:19" x14ac:dyDescent="0.3">
      <c r="R2581" t="s">
        <v>4505</v>
      </c>
      <c r="S2581">
        <v>0</v>
      </c>
    </row>
    <row r="2582" spans="18:19" x14ac:dyDescent="0.3">
      <c r="R2582" t="s">
        <v>4506</v>
      </c>
      <c r="S2582">
        <v>386120</v>
      </c>
    </row>
    <row r="2583" spans="18:19" x14ac:dyDescent="0.3">
      <c r="R2583" t="s">
        <v>4507</v>
      </c>
      <c r="S2583">
        <v>292170</v>
      </c>
    </row>
    <row r="2584" spans="18:19" x14ac:dyDescent="0.3">
      <c r="R2584" t="s">
        <v>4508</v>
      </c>
      <c r="S2584">
        <v>1501550</v>
      </c>
    </row>
    <row r="2585" spans="18:19" x14ac:dyDescent="0.3">
      <c r="R2585" t="s">
        <v>4509</v>
      </c>
      <c r="S2585">
        <v>1575970</v>
      </c>
    </row>
    <row r="2586" spans="18:19" x14ac:dyDescent="0.3">
      <c r="R2586" t="s">
        <v>4510</v>
      </c>
      <c r="S2586">
        <v>1645790</v>
      </c>
    </row>
    <row r="2587" spans="18:19" x14ac:dyDescent="0.3">
      <c r="R2587" t="s">
        <v>4511</v>
      </c>
      <c r="S2587">
        <v>4949270</v>
      </c>
    </row>
    <row r="2588" spans="18:19" x14ac:dyDescent="0.3">
      <c r="R2588" t="s">
        <v>4512</v>
      </c>
      <c r="S2588">
        <v>4340</v>
      </c>
    </row>
    <row r="2589" spans="18:19" x14ac:dyDescent="0.3">
      <c r="R2589" t="s">
        <v>4513</v>
      </c>
      <c r="S2589">
        <v>12132660</v>
      </c>
    </row>
    <row r="2590" spans="18:19" x14ac:dyDescent="0.3">
      <c r="R2590" t="s">
        <v>4514</v>
      </c>
      <c r="S2590">
        <v>245480</v>
      </c>
    </row>
    <row r="2591" spans="18:19" x14ac:dyDescent="0.3">
      <c r="R2591" t="s">
        <v>4515</v>
      </c>
      <c r="S2591">
        <v>1300310</v>
      </c>
    </row>
    <row r="2592" spans="18:19" x14ac:dyDescent="0.3">
      <c r="R2592" t="s">
        <v>4516</v>
      </c>
      <c r="S2592">
        <v>4153160</v>
      </c>
    </row>
    <row r="2593" spans="18:19" x14ac:dyDescent="0.3">
      <c r="R2593" t="s">
        <v>4517</v>
      </c>
      <c r="S2593">
        <v>509770</v>
      </c>
    </row>
    <row r="2594" spans="18:19" x14ac:dyDescent="0.3">
      <c r="R2594" t="s">
        <v>4518</v>
      </c>
      <c r="S2594">
        <v>98080</v>
      </c>
    </row>
    <row r="2595" spans="18:19" x14ac:dyDescent="0.3">
      <c r="R2595" t="s">
        <v>4519</v>
      </c>
      <c r="S2595">
        <v>1346610</v>
      </c>
    </row>
    <row r="2596" spans="18:19" x14ac:dyDescent="0.3">
      <c r="R2596" t="s">
        <v>4520</v>
      </c>
      <c r="S2596">
        <v>48490</v>
      </c>
    </row>
    <row r="2597" spans="18:19" x14ac:dyDescent="0.3">
      <c r="R2597" t="s">
        <v>4521</v>
      </c>
      <c r="S2597">
        <v>272320</v>
      </c>
    </row>
    <row r="2598" spans="18:19" x14ac:dyDescent="0.3">
      <c r="R2598" t="s">
        <v>4522</v>
      </c>
      <c r="S2598">
        <v>21900</v>
      </c>
    </row>
    <row r="2599" spans="18:19" x14ac:dyDescent="0.3">
      <c r="R2599" t="s">
        <v>4523</v>
      </c>
      <c r="S2599">
        <v>2296250</v>
      </c>
    </row>
    <row r="2600" spans="18:19" x14ac:dyDescent="0.3">
      <c r="R2600" t="s">
        <v>4524</v>
      </c>
      <c r="S2600">
        <v>30270</v>
      </c>
    </row>
    <row r="2601" spans="18:19" x14ac:dyDescent="0.3">
      <c r="R2601" t="s">
        <v>4525</v>
      </c>
      <c r="S2601">
        <v>174110</v>
      </c>
    </row>
    <row r="2602" spans="18:19" x14ac:dyDescent="0.3">
      <c r="R2602" t="s">
        <v>4526</v>
      </c>
      <c r="S2602">
        <v>550</v>
      </c>
    </row>
    <row r="2603" spans="18:19" x14ac:dyDescent="0.3">
      <c r="R2603" t="s">
        <v>4527</v>
      </c>
      <c r="S2603">
        <v>17336530</v>
      </c>
    </row>
    <row r="2604" spans="18:19" x14ac:dyDescent="0.3">
      <c r="R2604" t="s">
        <v>4528</v>
      </c>
      <c r="S2604">
        <v>2429960</v>
      </c>
    </row>
    <row r="2605" spans="18:19" x14ac:dyDescent="0.3">
      <c r="R2605" t="s">
        <v>4529</v>
      </c>
      <c r="S2605">
        <v>0</v>
      </c>
    </row>
    <row r="2606" spans="18:19" x14ac:dyDescent="0.3">
      <c r="R2606" t="s">
        <v>4530</v>
      </c>
      <c r="S2606">
        <v>815240</v>
      </c>
    </row>
    <row r="2607" spans="18:19" x14ac:dyDescent="0.3">
      <c r="R2607" t="s">
        <v>4531</v>
      </c>
      <c r="S2607">
        <v>88600</v>
      </c>
    </row>
    <row r="2608" spans="18:19" x14ac:dyDescent="0.3">
      <c r="R2608" t="s">
        <v>4532</v>
      </c>
      <c r="S2608">
        <v>1472750</v>
      </c>
    </row>
    <row r="2609" spans="18:19" x14ac:dyDescent="0.3">
      <c r="R2609" t="s">
        <v>4533</v>
      </c>
      <c r="S2609">
        <v>1861810</v>
      </c>
    </row>
    <row r="2610" spans="18:19" x14ac:dyDescent="0.3">
      <c r="R2610" t="s">
        <v>4534</v>
      </c>
      <c r="S2610">
        <v>5300</v>
      </c>
    </row>
    <row r="2611" spans="18:19" x14ac:dyDescent="0.3">
      <c r="R2611" t="s">
        <v>4535</v>
      </c>
      <c r="S2611">
        <v>846870</v>
      </c>
    </row>
    <row r="2612" spans="18:19" x14ac:dyDescent="0.3">
      <c r="R2612" t="s">
        <v>4536</v>
      </c>
      <c r="S2612">
        <v>1008210</v>
      </c>
    </row>
    <row r="2613" spans="18:19" x14ac:dyDescent="0.3">
      <c r="R2613" t="s">
        <v>4537</v>
      </c>
      <c r="S2613">
        <v>70</v>
      </c>
    </row>
    <row r="2614" spans="18:19" x14ac:dyDescent="0.3">
      <c r="R2614" t="s">
        <v>4538</v>
      </c>
      <c r="S2614">
        <v>1764490</v>
      </c>
    </row>
    <row r="2615" spans="18:19" x14ac:dyDescent="0.3">
      <c r="R2615" t="s">
        <v>4539</v>
      </c>
      <c r="S2615">
        <v>93900</v>
      </c>
    </row>
    <row r="2616" spans="18:19" x14ac:dyDescent="0.3">
      <c r="R2616" t="s">
        <v>4540</v>
      </c>
      <c r="S2616">
        <v>14750</v>
      </c>
    </row>
    <row r="2617" spans="18:19" x14ac:dyDescent="0.3">
      <c r="R2617" t="s">
        <v>4541</v>
      </c>
      <c r="S2617">
        <v>555290</v>
      </c>
    </row>
    <row r="2618" spans="18:19" x14ac:dyDescent="0.3">
      <c r="R2618" t="s">
        <v>4542</v>
      </c>
      <c r="S2618">
        <v>593850</v>
      </c>
    </row>
    <row r="2619" spans="18:19" x14ac:dyDescent="0.3">
      <c r="R2619" t="s">
        <v>4543</v>
      </c>
      <c r="S2619">
        <v>210</v>
      </c>
    </row>
    <row r="2620" spans="18:19" x14ac:dyDescent="0.3">
      <c r="R2620" t="s">
        <v>4544</v>
      </c>
      <c r="S2620">
        <v>146280</v>
      </c>
    </row>
    <row r="2621" spans="18:19" x14ac:dyDescent="0.3">
      <c r="R2621" t="s">
        <v>4545</v>
      </c>
      <c r="S2621">
        <v>3023190</v>
      </c>
    </row>
    <row r="2622" spans="18:19" x14ac:dyDescent="0.3">
      <c r="R2622" t="s">
        <v>4546</v>
      </c>
      <c r="S2622">
        <v>13860</v>
      </c>
    </row>
    <row r="2623" spans="18:19" x14ac:dyDescent="0.3">
      <c r="R2623" t="s">
        <v>4547</v>
      </c>
      <c r="S2623">
        <v>20970</v>
      </c>
    </row>
    <row r="2624" spans="18:19" x14ac:dyDescent="0.3">
      <c r="R2624" t="s">
        <v>4548</v>
      </c>
      <c r="S2624">
        <v>654060</v>
      </c>
    </row>
    <row r="2625" spans="18:19" x14ac:dyDescent="0.3">
      <c r="R2625" t="s">
        <v>4549</v>
      </c>
      <c r="S2625">
        <v>1000</v>
      </c>
    </row>
    <row r="2626" spans="18:19" x14ac:dyDescent="0.3">
      <c r="R2626" t="s">
        <v>4550</v>
      </c>
      <c r="S2626">
        <v>635580</v>
      </c>
    </row>
    <row r="2627" spans="18:19" x14ac:dyDescent="0.3">
      <c r="R2627" t="s">
        <v>4551</v>
      </c>
      <c r="S2627">
        <v>1482230</v>
      </c>
    </row>
    <row r="2628" spans="18:19" x14ac:dyDescent="0.3">
      <c r="R2628" t="s">
        <v>4552</v>
      </c>
      <c r="S2628">
        <v>13860</v>
      </c>
    </row>
    <row r="2629" spans="18:19" x14ac:dyDescent="0.3">
      <c r="R2629" t="s">
        <v>4553</v>
      </c>
      <c r="S2629">
        <v>15230</v>
      </c>
    </row>
    <row r="2630" spans="18:19" x14ac:dyDescent="0.3">
      <c r="R2630" t="s">
        <v>4554</v>
      </c>
      <c r="S2630">
        <v>376780</v>
      </c>
    </row>
    <row r="2631" spans="18:19" x14ac:dyDescent="0.3">
      <c r="R2631" t="s">
        <v>4555</v>
      </c>
      <c r="S2631">
        <v>0</v>
      </c>
    </row>
    <row r="2632" spans="18:19" x14ac:dyDescent="0.3">
      <c r="R2632" t="s">
        <v>4556</v>
      </c>
      <c r="S2632">
        <v>366820</v>
      </c>
    </row>
    <row r="2633" spans="18:19" x14ac:dyDescent="0.3">
      <c r="R2633" t="s">
        <v>4557</v>
      </c>
      <c r="S2633">
        <v>2360490</v>
      </c>
    </row>
    <row r="2634" spans="18:19" x14ac:dyDescent="0.3">
      <c r="R2634" t="s">
        <v>4558</v>
      </c>
      <c r="S2634">
        <v>586190</v>
      </c>
    </row>
    <row r="2635" spans="18:19" x14ac:dyDescent="0.3">
      <c r="R2635" t="s">
        <v>4559</v>
      </c>
      <c r="S2635">
        <v>4771860</v>
      </c>
    </row>
    <row r="2636" spans="18:19" x14ac:dyDescent="0.3">
      <c r="R2636" t="s">
        <v>4560</v>
      </c>
      <c r="S2636">
        <v>17130</v>
      </c>
    </row>
    <row r="2637" spans="18:19" x14ac:dyDescent="0.3">
      <c r="R2637" t="s">
        <v>4561</v>
      </c>
      <c r="S2637">
        <v>308090</v>
      </c>
    </row>
    <row r="2638" spans="18:19" x14ac:dyDescent="0.3">
      <c r="R2638" t="s">
        <v>4562</v>
      </c>
      <c r="S2638">
        <v>821190</v>
      </c>
    </row>
    <row r="2639" spans="18:19" x14ac:dyDescent="0.3">
      <c r="R2639" t="s">
        <v>4563</v>
      </c>
      <c r="S2639">
        <v>31130</v>
      </c>
    </row>
    <row r="2640" spans="18:19" x14ac:dyDescent="0.3">
      <c r="R2640" t="s">
        <v>4564</v>
      </c>
      <c r="S2640">
        <v>2287040</v>
      </c>
    </row>
    <row r="2641" spans="18:19" x14ac:dyDescent="0.3">
      <c r="R2641" t="s">
        <v>4565</v>
      </c>
      <c r="S2641">
        <v>234300</v>
      </c>
    </row>
    <row r="2642" spans="18:19" x14ac:dyDescent="0.3">
      <c r="R2642" t="s">
        <v>4566</v>
      </c>
      <c r="S2642">
        <v>44940</v>
      </c>
    </row>
    <row r="2643" spans="18:19" x14ac:dyDescent="0.3">
      <c r="R2643" t="s">
        <v>4567</v>
      </c>
      <c r="S2643">
        <v>53760</v>
      </c>
    </row>
    <row r="2644" spans="18:19" x14ac:dyDescent="0.3">
      <c r="R2644" t="s">
        <v>4568</v>
      </c>
      <c r="S2644">
        <v>45510</v>
      </c>
    </row>
    <row r="2645" spans="18:19" x14ac:dyDescent="0.3">
      <c r="R2645" t="s">
        <v>4569</v>
      </c>
      <c r="S2645">
        <v>1052610</v>
      </c>
    </row>
    <row r="2646" spans="18:19" x14ac:dyDescent="0.3">
      <c r="R2646" t="s">
        <v>4570</v>
      </c>
      <c r="S2646">
        <v>2451070</v>
      </c>
    </row>
    <row r="2647" spans="18:19" x14ac:dyDescent="0.3">
      <c r="R2647" t="s">
        <v>4571</v>
      </c>
      <c r="S2647">
        <v>361320</v>
      </c>
    </row>
    <row r="2648" spans="18:19" x14ac:dyDescent="0.3">
      <c r="R2648" t="s">
        <v>4572</v>
      </c>
      <c r="S2648">
        <v>0</v>
      </c>
    </row>
    <row r="2649" spans="18:19" x14ac:dyDescent="0.3">
      <c r="R2649" t="s">
        <v>4573</v>
      </c>
      <c r="S2649">
        <v>1064250</v>
      </c>
    </row>
    <row r="2650" spans="18:19" x14ac:dyDescent="0.3">
      <c r="R2650" t="s">
        <v>4574</v>
      </c>
      <c r="S2650">
        <v>4470</v>
      </c>
    </row>
    <row r="2651" spans="18:19" x14ac:dyDescent="0.3">
      <c r="R2651" t="s">
        <v>4575</v>
      </c>
      <c r="S2651">
        <v>110720</v>
      </c>
    </row>
    <row r="2652" spans="18:19" x14ac:dyDescent="0.3">
      <c r="R2652" t="s">
        <v>4576</v>
      </c>
      <c r="S2652">
        <v>235000</v>
      </c>
    </row>
    <row r="2653" spans="18:19" x14ac:dyDescent="0.3">
      <c r="R2653" t="s">
        <v>4577</v>
      </c>
      <c r="S2653">
        <v>218450</v>
      </c>
    </row>
    <row r="2654" spans="18:19" x14ac:dyDescent="0.3">
      <c r="R2654" t="s">
        <v>4578</v>
      </c>
      <c r="S2654">
        <v>67640</v>
      </c>
    </row>
    <row r="2655" spans="18:19" x14ac:dyDescent="0.3">
      <c r="R2655" t="s">
        <v>4579</v>
      </c>
      <c r="S2655">
        <v>28860</v>
      </c>
    </row>
    <row r="2656" spans="18:19" x14ac:dyDescent="0.3">
      <c r="R2656" t="s">
        <v>4580</v>
      </c>
      <c r="S2656">
        <v>1430</v>
      </c>
    </row>
    <row r="2657" spans="18:19" x14ac:dyDescent="0.3">
      <c r="R2657" t="s">
        <v>4581</v>
      </c>
      <c r="S2657">
        <v>6500</v>
      </c>
    </row>
    <row r="2658" spans="18:19" x14ac:dyDescent="0.3">
      <c r="R2658" t="s">
        <v>4582</v>
      </c>
      <c r="S2658">
        <v>1478500</v>
      </c>
    </row>
    <row r="2659" spans="18:19" x14ac:dyDescent="0.3">
      <c r="R2659" t="s">
        <v>4583</v>
      </c>
      <c r="S2659">
        <v>179350</v>
      </c>
    </row>
    <row r="2660" spans="18:19" x14ac:dyDescent="0.3">
      <c r="R2660" t="s">
        <v>4584</v>
      </c>
      <c r="S2660">
        <v>5041910</v>
      </c>
    </row>
    <row r="2661" spans="18:19" x14ac:dyDescent="0.3">
      <c r="R2661" t="s">
        <v>4585</v>
      </c>
      <c r="S2661">
        <v>114420</v>
      </c>
    </row>
    <row r="2662" spans="18:19" x14ac:dyDescent="0.3">
      <c r="R2662" t="s">
        <v>4586</v>
      </c>
      <c r="S2662">
        <v>19300</v>
      </c>
    </row>
    <row r="2663" spans="18:19" x14ac:dyDescent="0.3">
      <c r="R2663" t="s">
        <v>4587</v>
      </c>
      <c r="S2663">
        <v>278290</v>
      </c>
    </row>
    <row r="2664" spans="18:19" x14ac:dyDescent="0.3">
      <c r="R2664" t="s">
        <v>4588</v>
      </c>
      <c r="S2664">
        <v>910300</v>
      </c>
    </row>
    <row r="2665" spans="18:19" x14ac:dyDescent="0.3">
      <c r="R2665" t="s">
        <v>4589</v>
      </c>
      <c r="S2665">
        <v>500940</v>
      </c>
    </row>
    <row r="2666" spans="18:19" x14ac:dyDescent="0.3">
      <c r="R2666" t="s">
        <v>4590</v>
      </c>
      <c r="S2666">
        <v>699260</v>
      </c>
    </row>
    <row r="2667" spans="18:19" x14ac:dyDescent="0.3">
      <c r="R2667" t="s">
        <v>4591</v>
      </c>
      <c r="S2667">
        <v>0</v>
      </c>
    </row>
    <row r="2668" spans="18:19" x14ac:dyDescent="0.3">
      <c r="R2668" t="s">
        <v>4592</v>
      </c>
      <c r="S2668">
        <v>80550</v>
      </c>
    </row>
    <row r="2669" spans="18:19" x14ac:dyDescent="0.3">
      <c r="R2669" t="s">
        <v>4593</v>
      </c>
      <c r="S2669">
        <v>21180</v>
      </c>
    </row>
    <row r="2670" spans="18:19" x14ac:dyDescent="0.3">
      <c r="R2670" t="s">
        <v>4594</v>
      </c>
      <c r="S2670">
        <v>2764700</v>
      </c>
    </row>
    <row r="2671" spans="18:19" x14ac:dyDescent="0.3">
      <c r="R2671" t="s">
        <v>4595</v>
      </c>
      <c r="S2671">
        <v>1310620</v>
      </c>
    </row>
    <row r="2672" spans="18:19" x14ac:dyDescent="0.3">
      <c r="R2672" t="s">
        <v>4596</v>
      </c>
      <c r="S2672">
        <v>127810</v>
      </c>
    </row>
    <row r="2673" spans="18:19" x14ac:dyDescent="0.3">
      <c r="R2673" t="s">
        <v>4597</v>
      </c>
      <c r="S2673">
        <v>392730</v>
      </c>
    </row>
    <row r="2674" spans="18:19" x14ac:dyDescent="0.3">
      <c r="R2674" t="s">
        <v>4598</v>
      </c>
      <c r="S2674">
        <v>4033910</v>
      </c>
    </row>
    <row r="2675" spans="18:19" x14ac:dyDescent="0.3">
      <c r="R2675" t="s">
        <v>4599</v>
      </c>
      <c r="S2675">
        <v>78800</v>
      </c>
    </row>
    <row r="2676" spans="18:19" x14ac:dyDescent="0.3">
      <c r="R2676" t="s">
        <v>4600</v>
      </c>
      <c r="S2676">
        <v>154230</v>
      </c>
    </row>
    <row r="2677" spans="18:19" x14ac:dyDescent="0.3">
      <c r="R2677" t="s">
        <v>4601</v>
      </c>
      <c r="S2677">
        <v>578790</v>
      </c>
    </row>
    <row r="2678" spans="18:19" x14ac:dyDescent="0.3">
      <c r="R2678" t="s">
        <v>4602</v>
      </c>
      <c r="S2678">
        <v>50020</v>
      </c>
    </row>
    <row r="2679" spans="18:19" x14ac:dyDescent="0.3">
      <c r="R2679" t="s">
        <v>4603</v>
      </c>
      <c r="S2679">
        <v>7500</v>
      </c>
    </row>
    <row r="2680" spans="18:19" x14ac:dyDescent="0.3">
      <c r="R2680" t="s">
        <v>4604</v>
      </c>
      <c r="S2680">
        <v>9410</v>
      </c>
    </row>
    <row r="2681" spans="18:19" x14ac:dyDescent="0.3">
      <c r="R2681" t="s">
        <v>4605</v>
      </c>
      <c r="S2681">
        <v>145260</v>
      </c>
    </row>
    <row r="2682" spans="18:19" x14ac:dyDescent="0.3">
      <c r="R2682" t="s">
        <v>4606</v>
      </c>
      <c r="S2682">
        <v>289220</v>
      </c>
    </row>
    <row r="2683" spans="18:19" x14ac:dyDescent="0.3">
      <c r="R2683" t="s">
        <v>4607</v>
      </c>
      <c r="S2683">
        <v>2254270</v>
      </c>
    </row>
    <row r="2684" spans="18:19" x14ac:dyDescent="0.3">
      <c r="R2684" t="s">
        <v>4608</v>
      </c>
      <c r="S2684">
        <v>476140</v>
      </c>
    </row>
    <row r="2685" spans="18:19" x14ac:dyDescent="0.3">
      <c r="R2685" t="s">
        <v>4609</v>
      </c>
      <c r="S2685">
        <v>7330</v>
      </c>
    </row>
    <row r="2686" spans="18:19" x14ac:dyDescent="0.3">
      <c r="R2686" t="s">
        <v>4610</v>
      </c>
      <c r="S2686">
        <v>843670</v>
      </c>
    </row>
    <row r="2687" spans="18:19" x14ac:dyDescent="0.3">
      <c r="R2687" t="s">
        <v>4611</v>
      </c>
      <c r="S2687">
        <v>149560</v>
      </c>
    </row>
    <row r="2688" spans="18:19" x14ac:dyDescent="0.3">
      <c r="R2688" t="s">
        <v>4612</v>
      </c>
      <c r="S2688">
        <v>4391100</v>
      </c>
    </row>
    <row r="2689" spans="18:19" x14ac:dyDescent="0.3">
      <c r="R2689" t="s">
        <v>4613</v>
      </c>
      <c r="S2689">
        <v>942580</v>
      </c>
    </row>
    <row r="2690" spans="18:19" x14ac:dyDescent="0.3">
      <c r="R2690" t="s">
        <v>4614</v>
      </c>
      <c r="S2690">
        <v>377690</v>
      </c>
    </row>
    <row r="2691" spans="18:19" x14ac:dyDescent="0.3">
      <c r="R2691" t="s">
        <v>4615</v>
      </c>
      <c r="S2691">
        <v>855800</v>
      </c>
    </row>
    <row r="2692" spans="18:19" x14ac:dyDescent="0.3">
      <c r="R2692" t="s">
        <v>4616</v>
      </c>
      <c r="S2692">
        <v>5180</v>
      </c>
    </row>
    <row r="2693" spans="18:19" x14ac:dyDescent="0.3">
      <c r="R2693" t="s">
        <v>4617</v>
      </c>
      <c r="S2693">
        <v>46420</v>
      </c>
    </row>
    <row r="2694" spans="18:19" x14ac:dyDescent="0.3">
      <c r="R2694" t="s">
        <v>4618</v>
      </c>
      <c r="S2694">
        <v>660260</v>
      </c>
    </row>
    <row r="2695" spans="18:19" x14ac:dyDescent="0.3">
      <c r="R2695" t="s">
        <v>4619</v>
      </c>
      <c r="S2695">
        <v>684840</v>
      </c>
    </row>
    <row r="2696" spans="18:19" x14ac:dyDescent="0.3">
      <c r="R2696" t="s">
        <v>4620</v>
      </c>
      <c r="S2696">
        <v>9800</v>
      </c>
    </row>
    <row r="2697" spans="18:19" x14ac:dyDescent="0.3">
      <c r="R2697" t="s">
        <v>4621</v>
      </c>
      <c r="S2697">
        <v>5247280</v>
      </c>
    </row>
    <row r="2698" spans="18:19" x14ac:dyDescent="0.3">
      <c r="R2698" t="s">
        <v>4622</v>
      </c>
      <c r="S2698">
        <v>236170</v>
      </c>
    </row>
    <row r="2699" spans="18:19" x14ac:dyDescent="0.3">
      <c r="R2699" t="s">
        <v>4623</v>
      </c>
      <c r="S2699">
        <v>335720</v>
      </c>
    </row>
    <row r="2700" spans="18:19" x14ac:dyDescent="0.3">
      <c r="R2700" t="s">
        <v>4624</v>
      </c>
      <c r="S2700">
        <v>13900</v>
      </c>
    </row>
    <row r="2701" spans="18:19" x14ac:dyDescent="0.3">
      <c r="R2701" t="s">
        <v>4625</v>
      </c>
      <c r="S2701">
        <v>376960</v>
      </c>
    </row>
    <row r="2702" spans="18:19" x14ac:dyDescent="0.3">
      <c r="R2702" t="s">
        <v>4626</v>
      </c>
      <c r="S2702">
        <v>108390</v>
      </c>
    </row>
    <row r="2703" spans="18:19" x14ac:dyDescent="0.3">
      <c r="R2703" t="s">
        <v>4627</v>
      </c>
      <c r="S2703">
        <v>253600</v>
      </c>
    </row>
    <row r="2704" spans="18:19" x14ac:dyDescent="0.3">
      <c r="R2704" t="s">
        <v>4628</v>
      </c>
      <c r="S2704">
        <v>115980</v>
      </c>
    </row>
    <row r="2705" spans="18:19" x14ac:dyDescent="0.3">
      <c r="R2705" t="s">
        <v>4629</v>
      </c>
      <c r="S2705">
        <v>89930</v>
      </c>
    </row>
    <row r="2706" spans="18:19" x14ac:dyDescent="0.3">
      <c r="R2706" t="s">
        <v>4630</v>
      </c>
      <c r="S2706">
        <v>789570</v>
      </c>
    </row>
    <row r="2707" spans="18:19" x14ac:dyDescent="0.3">
      <c r="R2707" t="s">
        <v>4631</v>
      </c>
      <c r="S2707">
        <v>4380</v>
      </c>
    </row>
    <row r="2708" spans="18:19" x14ac:dyDescent="0.3">
      <c r="R2708" t="s">
        <v>4632</v>
      </c>
      <c r="S2708">
        <v>450</v>
      </c>
    </row>
    <row r="2709" spans="18:19" x14ac:dyDescent="0.3">
      <c r="R2709" t="s">
        <v>4633</v>
      </c>
      <c r="S2709">
        <v>693190</v>
      </c>
    </row>
    <row r="2710" spans="18:19" x14ac:dyDescent="0.3">
      <c r="R2710" t="s">
        <v>4634</v>
      </c>
      <c r="S2710">
        <v>910550</v>
      </c>
    </row>
    <row r="2711" spans="18:19" x14ac:dyDescent="0.3">
      <c r="R2711" t="s">
        <v>4635</v>
      </c>
      <c r="S2711">
        <v>1160</v>
      </c>
    </row>
    <row r="2712" spans="18:19" x14ac:dyDescent="0.3">
      <c r="R2712" t="s">
        <v>4636</v>
      </c>
      <c r="S2712">
        <v>85520</v>
      </c>
    </row>
    <row r="2713" spans="18:19" x14ac:dyDescent="0.3">
      <c r="R2713" t="s">
        <v>4637</v>
      </c>
      <c r="S2713">
        <v>1644530</v>
      </c>
    </row>
    <row r="2714" spans="18:19" x14ac:dyDescent="0.3">
      <c r="R2714" t="s">
        <v>4638</v>
      </c>
      <c r="S2714">
        <v>3288010</v>
      </c>
    </row>
    <row r="2715" spans="18:19" x14ac:dyDescent="0.3">
      <c r="R2715" t="s">
        <v>4639</v>
      </c>
      <c r="S2715">
        <v>392840</v>
      </c>
    </row>
    <row r="2716" spans="18:19" x14ac:dyDescent="0.3">
      <c r="R2716" t="s">
        <v>4640</v>
      </c>
      <c r="S2716">
        <v>5010</v>
      </c>
    </row>
    <row r="2717" spans="18:19" x14ac:dyDescent="0.3">
      <c r="R2717" t="s">
        <v>4641</v>
      </c>
      <c r="S2717">
        <v>2770</v>
      </c>
    </row>
    <row r="2718" spans="18:19" x14ac:dyDescent="0.3">
      <c r="R2718" t="s">
        <v>4642</v>
      </c>
      <c r="S2718">
        <v>730</v>
      </c>
    </row>
    <row r="2719" spans="18:19" x14ac:dyDescent="0.3">
      <c r="R2719" t="s">
        <v>4643</v>
      </c>
      <c r="S2719">
        <v>150140</v>
      </c>
    </row>
    <row r="2720" spans="18:19" x14ac:dyDescent="0.3">
      <c r="R2720" t="s">
        <v>4644</v>
      </c>
      <c r="S2720">
        <v>1180</v>
      </c>
    </row>
    <row r="2721" spans="18:19" x14ac:dyDescent="0.3">
      <c r="R2721" t="s">
        <v>4645</v>
      </c>
      <c r="S2721">
        <v>9650</v>
      </c>
    </row>
    <row r="2722" spans="18:19" x14ac:dyDescent="0.3">
      <c r="R2722" t="s">
        <v>4646</v>
      </c>
      <c r="S2722">
        <v>87500</v>
      </c>
    </row>
    <row r="2723" spans="18:19" x14ac:dyDescent="0.3">
      <c r="R2723" t="s">
        <v>4647</v>
      </c>
      <c r="S2723">
        <v>1487220</v>
      </c>
    </row>
    <row r="2724" spans="18:19" x14ac:dyDescent="0.3">
      <c r="R2724" t="s">
        <v>4648</v>
      </c>
      <c r="S2724">
        <v>106780</v>
      </c>
    </row>
    <row r="2725" spans="18:19" x14ac:dyDescent="0.3">
      <c r="R2725" t="s">
        <v>4649</v>
      </c>
      <c r="S2725">
        <v>28430220</v>
      </c>
    </row>
    <row r="2726" spans="18:19" x14ac:dyDescent="0.3">
      <c r="R2726" t="s">
        <v>4650</v>
      </c>
      <c r="S2726">
        <v>4635880</v>
      </c>
    </row>
    <row r="2727" spans="18:19" x14ac:dyDescent="0.3">
      <c r="R2727" t="s">
        <v>4651</v>
      </c>
      <c r="S2727">
        <v>102730</v>
      </c>
    </row>
    <row r="2728" spans="18:19" x14ac:dyDescent="0.3">
      <c r="R2728" t="s">
        <v>4652</v>
      </c>
      <c r="S2728">
        <v>1150</v>
      </c>
    </row>
    <row r="2729" spans="18:19" x14ac:dyDescent="0.3">
      <c r="R2729" t="s">
        <v>4653</v>
      </c>
      <c r="S2729">
        <v>50240</v>
      </c>
    </row>
    <row r="2730" spans="18:19" x14ac:dyDescent="0.3">
      <c r="R2730" t="s">
        <v>4654</v>
      </c>
      <c r="S2730">
        <v>1650130</v>
      </c>
    </row>
    <row r="2731" spans="18:19" x14ac:dyDescent="0.3">
      <c r="R2731" t="s">
        <v>4655</v>
      </c>
      <c r="S2731">
        <v>44954250</v>
      </c>
    </row>
    <row r="2732" spans="18:19" x14ac:dyDescent="0.3">
      <c r="R2732" t="s">
        <v>4656</v>
      </c>
      <c r="S2732">
        <v>145420</v>
      </c>
    </row>
    <row r="2733" spans="18:19" x14ac:dyDescent="0.3">
      <c r="R2733" t="s">
        <v>4657</v>
      </c>
      <c r="S2733">
        <v>757560</v>
      </c>
    </row>
    <row r="2734" spans="18:19" x14ac:dyDescent="0.3">
      <c r="R2734" t="s">
        <v>4658</v>
      </c>
      <c r="S2734">
        <v>2343720</v>
      </c>
    </row>
    <row r="2735" spans="18:19" x14ac:dyDescent="0.3">
      <c r="R2735" t="s">
        <v>4659</v>
      </c>
      <c r="S2735">
        <v>93330</v>
      </c>
    </row>
    <row r="2736" spans="18:19" x14ac:dyDescent="0.3">
      <c r="R2736" t="s">
        <v>4660</v>
      </c>
      <c r="S2736">
        <v>63980</v>
      </c>
    </row>
    <row r="2737" spans="18:19" x14ac:dyDescent="0.3">
      <c r="R2737" t="s">
        <v>4661</v>
      </c>
      <c r="S2737">
        <v>305330</v>
      </c>
    </row>
    <row r="2738" spans="18:19" x14ac:dyDescent="0.3">
      <c r="R2738" t="s">
        <v>4662</v>
      </c>
      <c r="S2738">
        <v>11390000</v>
      </c>
    </row>
    <row r="2739" spans="18:19" x14ac:dyDescent="0.3">
      <c r="R2739" t="s">
        <v>4663</v>
      </c>
      <c r="S2739">
        <v>150</v>
      </c>
    </row>
    <row r="2740" spans="18:19" x14ac:dyDescent="0.3">
      <c r="R2740" t="s">
        <v>4664</v>
      </c>
      <c r="S2740">
        <v>1016590</v>
      </c>
    </row>
    <row r="2741" spans="18:19" x14ac:dyDescent="0.3">
      <c r="R2741" t="s">
        <v>4665</v>
      </c>
      <c r="S2741">
        <v>35830</v>
      </c>
    </row>
    <row r="2742" spans="18:19" x14ac:dyDescent="0.3">
      <c r="R2742" t="s">
        <v>4666</v>
      </c>
      <c r="S2742">
        <v>10085340</v>
      </c>
    </row>
    <row r="2743" spans="18:19" x14ac:dyDescent="0.3">
      <c r="R2743" t="s">
        <v>4667</v>
      </c>
      <c r="S2743">
        <v>90560</v>
      </c>
    </row>
    <row r="2744" spans="18:19" x14ac:dyDescent="0.3">
      <c r="R2744" t="s">
        <v>4668</v>
      </c>
      <c r="S2744">
        <v>94110</v>
      </c>
    </row>
    <row r="2745" spans="18:19" x14ac:dyDescent="0.3">
      <c r="R2745" t="s">
        <v>4669</v>
      </c>
      <c r="S2745">
        <v>368230</v>
      </c>
    </row>
    <row r="2746" spans="18:19" x14ac:dyDescent="0.3">
      <c r="R2746" t="s">
        <v>4670</v>
      </c>
      <c r="S2746">
        <v>1091020</v>
      </c>
    </row>
    <row r="2747" spans="18:19" x14ac:dyDescent="0.3">
      <c r="R2747" t="s">
        <v>4671</v>
      </c>
      <c r="S2747">
        <v>1902100</v>
      </c>
    </row>
    <row r="2748" spans="18:19" x14ac:dyDescent="0.3">
      <c r="R2748" t="s">
        <v>4672</v>
      </c>
      <c r="S2748">
        <v>28260</v>
      </c>
    </row>
    <row r="2749" spans="18:19" x14ac:dyDescent="0.3">
      <c r="R2749" t="s">
        <v>4673</v>
      </c>
      <c r="S2749">
        <v>491370</v>
      </c>
    </row>
    <row r="2750" spans="18:19" x14ac:dyDescent="0.3">
      <c r="R2750" t="s">
        <v>4674</v>
      </c>
      <c r="S2750">
        <v>385580</v>
      </c>
    </row>
    <row r="2751" spans="18:19" x14ac:dyDescent="0.3">
      <c r="R2751" t="s">
        <v>4675</v>
      </c>
      <c r="S2751">
        <v>63850</v>
      </c>
    </row>
    <row r="2752" spans="18:19" x14ac:dyDescent="0.3">
      <c r="R2752" t="s">
        <v>4676</v>
      </c>
      <c r="S2752">
        <v>2822880</v>
      </c>
    </row>
    <row r="2753" spans="18:19" x14ac:dyDescent="0.3">
      <c r="R2753" t="s">
        <v>4677</v>
      </c>
      <c r="S2753">
        <v>210</v>
      </c>
    </row>
    <row r="2754" spans="18:19" x14ac:dyDescent="0.3">
      <c r="R2754" t="s">
        <v>4678</v>
      </c>
      <c r="S2754">
        <v>106930</v>
      </c>
    </row>
    <row r="2755" spans="18:19" x14ac:dyDescent="0.3">
      <c r="R2755" t="s">
        <v>4679</v>
      </c>
      <c r="S2755">
        <v>113490</v>
      </c>
    </row>
    <row r="2756" spans="18:19" x14ac:dyDescent="0.3">
      <c r="R2756" t="s">
        <v>4680</v>
      </c>
      <c r="S2756">
        <v>890790</v>
      </c>
    </row>
    <row r="2757" spans="18:19" x14ac:dyDescent="0.3">
      <c r="R2757" t="s">
        <v>4681</v>
      </c>
      <c r="S2757">
        <v>2120</v>
      </c>
    </row>
    <row r="2758" spans="18:19" x14ac:dyDescent="0.3">
      <c r="R2758" t="s">
        <v>4682</v>
      </c>
      <c r="S2758">
        <v>115710</v>
      </c>
    </row>
    <row r="2759" spans="18:19" x14ac:dyDescent="0.3">
      <c r="R2759" t="s">
        <v>4683</v>
      </c>
      <c r="S2759">
        <v>17610</v>
      </c>
    </row>
    <row r="2760" spans="18:19" x14ac:dyDescent="0.3">
      <c r="R2760" t="s">
        <v>4684</v>
      </c>
      <c r="S2760">
        <v>140</v>
      </c>
    </row>
    <row r="2761" spans="18:19" x14ac:dyDescent="0.3">
      <c r="R2761" t="s">
        <v>4685</v>
      </c>
      <c r="S2761">
        <v>753120</v>
      </c>
    </row>
    <row r="2762" spans="18:19" x14ac:dyDescent="0.3">
      <c r="R2762" t="s">
        <v>4686</v>
      </c>
      <c r="S2762">
        <v>2720</v>
      </c>
    </row>
    <row r="2763" spans="18:19" x14ac:dyDescent="0.3">
      <c r="R2763" t="s">
        <v>4687</v>
      </c>
      <c r="S2763">
        <v>863120</v>
      </c>
    </row>
    <row r="2764" spans="18:19" x14ac:dyDescent="0.3">
      <c r="R2764" t="s">
        <v>4688</v>
      </c>
      <c r="S2764">
        <v>1737040</v>
      </c>
    </row>
    <row r="2765" spans="18:19" x14ac:dyDescent="0.3">
      <c r="R2765" t="s">
        <v>4689</v>
      </c>
      <c r="S2765">
        <v>920470</v>
      </c>
    </row>
    <row r="2766" spans="18:19" x14ac:dyDescent="0.3">
      <c r="R2766" t="s">
        <v>4690</v>
      </c>
      <c r="S2766">
        <v>28590</v>
      </c>
    </row>
    <row r="2767" spans="18:19" x14ac:dyDescent="0.3">
      <c r="R2767" t="s">
        <v>4691</v>
      </c>
      <c r="S2767">
        <v>332550</v>
      </c>
    </row>
    <row r="2768" spans="18:19" x14ac:dyDescent="0.3">
      <c r="R2768" t="s">
        <v>4692</v>
      </c>
      <c r="S2768">
        <v>69500</v>
      </c>
    </row>
    <row r="2769" spans="18:19" x14ac:dyDescent="0.3">
      <c r="R2769" t="s">
        <v>4693</v>
      </c>
      <c r="S2769">
        <v>535170</v>
      </c>
    </row>
    <row r="2770" spans="18:19" x14ac:dyDescent="0.3">
      <c r="R2770" t="s">
        <v>4694</v>
      </c>
      <c r="S2770">
        <v>18190</v>
      </c>
    </row>
    <row r="2771" spans="18:19" x14ac:dyDescent="0.3">
      <c r="R2771" t="s">
        <v>4695</v>
      </c>
      <c r="S2771">
        <v>11387850</v>
      </c>
    </row>
    <row r="2772" spans="18:19" x14ac:dyDescent="0.3">
      <c r="R2772" t="s">
        <v>4696</v>
      </c>
      <c r="S2772">
        <v>1256160</v>
      </c>
    </row>
    <row r="2773" spans="18:19" x14ac:dyDescent="0.3">
      <c r="R2773" t="s">
        <v>4697</v>
      </c>
      <c r="S2773">
        <v>6938800</v>
      </c>
    </row>
    <row r="2774" spans="18:19" x14ac:dyDescent="0.3">
      <c r="R2774" t="s">
        <v>4698</v>
      </c>
      <c r="S2774">
        <v>5237570</v>
      </c>
    </row>
    <row r="2775" spans="18:19" x14ac:dyDescent="0.3">
      <c r="R2775" t="s">
        <v>4699</v>
      </c>
      <c r="S2775">
        <v>404960</v>
      </c>
    </row>
    <row r="2776" spans="18:19" x14ac:dyDescent="0.3">
      <c r="R2776" t="s">
        <v>4700</v>
      </c>
      <c r="S2776">
        <v>57870</v>
      </c>
    </row>
    <row r="2777" spans="18:19" x14ac:dyDescent="0.3">
      <c r="R2777" t="s">
        <v>4701</v>
      </c>
      <c r="S2777">
        <v>4450</v>
      </c>
    </row>
    <row r="2778" spans="18:19" x14ac:dyDescent="0.3">
      <c r="R2778" t="s">
        <v>4702</v>
      </c>
      <c r="S2778">
        <v>148280</v>
      </c>
    </row>
    <row r="2779" spans="18:19" x14ac:dyDescent="0.3">
      <c r="R2779" t="s">
        <v>4703</v>
      </c>
      <c r="S2779">
        <v>185380</v>
      </c>
    </row>
    <row r="2780" spans="18:19" x14ac:dyDescent="0.3">
      <c r="R2780" t="s">
        <v>4704</v>
      </c>
      <c r="S2780">
        <v>217400</v>
      </c>
    </row>
    <row r="2781" spans="18:19" x14ac:dyDescent="0.3">
      <c r="R2781" t="s">
        <v>4705</v>
      </c>
      <c r="S2781">
        <v>479830</v>
      </c>
    </row>
    <row r="2782" spans="18:19" x14ac:dyDescent="0.3">
      <c r="R2782" t="s">
        <v>4706</v>
      </c>
      <c r="S2782">
        <v>203200</v>
      </c>
    </row>
    <row r="2783" spans="18:19" x14ac:dyDescent="0.3">
      <c r="R2783" t="s">
        <v>4707</v>
      </c>
      <c r="S2783">
        <v>1419270</v>
      </c>
    </row>
    <row r="2784" spans="18:19" x14ac:dyDescent="0.3">
      <c r="R2784" t="s">
        <v>4708</v>
      </c>
      <c r="S2784">
        <v>24100</v>
      </c>
    </row>
    <row r="2785" spans="18:19" x14ac:dyDescent="0.3">
      <c r="R2785" t="s">
        <v>4709</v>
      </c>
      <c r="S2785">
        <v>386510</v>
      </c>
    </row>
    <row r="2786" spans="18:19" x14ac:dyDescent="0.3">
      <c r="R2786" t="s">
        <v>4710</v>
      </c>
      <c r="S2786">
        <v>128220</v>
      </c>
    </row>
    <row r="2787" spans="18:19" x14ac:dyDescent="0.3">
      <c r="R2787" t="s">
        <v>4711</v>
      </c>
      <c r="S2787">
        <v>70640</v>
      </c>
    </row>
    <row r="2788" spans="18:19" x14ac:dyDescent="0.3">
      <c r="R2788" t="s">
        <v>4712</v>
      </c>
      <c r="S2788">
        <v>5225450</v>
      </c>
    </row>
    <row r="2789" spans="18:19" x14ac:dyDescent="0.3">
      <c r="R2789" t="s">
        <v>4713</v>
      </c>
      <c r="S2789">
        <v>643970</v>
      </c>
    </row>
    <row r="2790" spans="18:19" x14ac:dyDescent="0.3">
      <c r="R2790" t="s">
        <v>4714</v>
      </c>
      <c r="S2790">
        <v>1041680</v>
      </c>
    </row>
    <row r="2791" spans="18:19" x14ac:dyDescent="0.3">
      <c r="R2791" t="s">
        <v>4715</v>
      </c>
      <c r="S2791">
        <v>402220</v>
      </c>
    </row>
    <row r="2792" spans="18:19" x14ac:dyDescent="0.3">
      <c r="R2792" t="s">
        <v>4716</v>
      </c>
      <c r="S2792">
        <v>82320</v>
      </c>
    </row>
    <row r="2793" spans="18:19" x14ac:dyDescent="0.3">
      <c r="R2793" t="s">
        <v>4717</v>
      </c>
      <c r="S2793">
        <v>1597570</v>
      </c>
    </row>
    <row r="2794" spans="18:19" x14ac:dyDescent="0.3">
      <c r="R2794" t="s">
        <v>4718</v>
      </c>
      <c r="S2794">
        <v>222270</v>
      </c>
    </row>
    <row r="2795" spans="18:19" x14ac:dyDescent="0.3">
      <c r="R2795" t="s">
        <v>4719</v>
      </c>
      <c r="S2795">
        <v>20150</v>
      </c>
    </row>
    <row r="2796" spans="18:19" x14ac:dyDescent="0.3">
      <c r="R2796" t="s">
        <v>4720</v>
      </c>
      <c r="S2796">
        <v>11159</v>
      </c>
    </row>
    <row r="2797" spans="18:19" x14ac:dyDescent="0.3">
      <c r="R2797" t="s">
        <v>4721</v>
      </c>
      <c r="S2797">
        <v>5748860</v>
      </c>
    </row>
    <row r="2798" spans="18:19" x14ac:dyDescent="0.3">
      <c r="R2798" t="s">
        <v>4722</v>
      </c>
      <c r="S2798">
        <v>23760</v>
      </c>
    </row>
    <row r="2799" spans="18:19" x14ac:dyDescent="0.3">
      <c r="R2799" t="s">
        <v>4723</v>
      </c>
      <c r="S2799">
        <v>277380</v>
      </c>
    </row>
    <row r="2800" spans="18:19" x14ac:dyDescent="0.3">
      <c r="R2800" t="s">
        <v>4724</v>
      </c>
      <c r="S2800">
        <v>1902230</v>
      </c>
    </row>
    <row r="2801" spans="18:19" x14ac:dyDescent="0.3">
      <c r="R2801" t="s">
        <v>4725</v>
      </c>
      <c r="S2801">
        <v>2148850</v>
      </c>
    </row>
    <row r="2802" spans="18:19" x14ac:dyDescent="0.3">
      <c r="R2802" t="s">
        <v>4726</v>
      </c>
      <c r="S2802">
        <v>88490</v>
      </c>
    </row>
    <row r="2803" spans="18:19" x14ac:dyDescent="0.3">
      <c r="R2803" t="s">
        <v>4727</v>
      </c>
      <c r="S2803">
        <v>89070</v>
      </c>
    </row>
    <row r="2804" spans="18:19" x14ac:dyDescent="0.3">
      <c r="R2804" t="s">
        <v>4728</v>
      </c>
      <c r="S2804">
        <v>58230</v>
      </c>
    </row>
    <row r="2805" spans="18:19" x14ac:dyDescent="0.3">
      <c r="R2805" t="s">
        <v>4729</v>
      </c>
      <c r="S2805">
        <v>107880</v>
      </c>
    </row>
    <row r="2806" spans="18:19" x14ac:dyDescent="0.3">
      <c r="R2806" t="s">
        <v>4730</v>
      </c>
      <c r="S2806">
        <v>110820</v>
      </c>
    </row>
    <row r="2807" spans="18:19" x14ac:dyDescent="0.3">
      <c r="R2807" t="s">
        <v>4731</v>
      </c>
      <c r="S2807">
        <v>36140</v>
      </c>
    </row>
    <row r="2808" spans="18:19" x14ac:dyDescent="0.3">
      <c r="R2808" t="s">
        <v>4732</v>
      </c>
      <c r="S2808">
        <v>358790</v>
      </c>
    </row>
    <row r="2809" spans="18:19" x14ac:dyDescent="0.3">
      <c r="R2809" t="s">
        <v>4733</v>
      </c>
      <c r="S2809">
        <v>596396</v>
      </c>
    </row>
    <row r="2810" spans="18:19" x14ac:dyDescent="0.3">
      <c r="R2810" t="s">
        <v>4734</v>
      </c>
      <c r="S2810">
        <v>3421440</v>
      </c>
    </row>
    <row r="2811" spans="18:19" x14ac:dyDescent="0.3">
      <c r="R2811" t="s">
        <v>4735</v>
      </c>
      <c r="S2811">
        <v>1200180</v>
      </c>
    </row>
    <row r="2812" spans="18:19" x14ac:dyDescent="0.3">
      <c r="R2812" t="s">
        <v>4736</v>
      </c>
      <c r="S2812">
        <v>11930</v>
      </c>
    </row>
    <row r="2813" spans="18:19" x14ac:dyDescent="0.3">
      <c r="R2813" t="s">
        <v>4737</v>
      </c>
      <c r="S2813">
        <v>61660</v>
      </c>
    </row>
    <row r="2814" spans="18:19" x14ac:dyDescent="0.3">
      <c r="R2814" t="s">
        <v>4738</v>
      </c>
      <c r="S2814">
        <v>10150</v>
      </c>
    </row>
    <row r="2815" spans="18:19" x14ac:dyDescent="0.3">
      <c r="R2815" t="s">
        <v>4739</v>
      </c>
      <c r="S2815">
        <v>625720</v>
      </c>
    </row>
    <row r="2816" spans="18:19" x14ac:dyDescent="0.3">
      <c r="R2816" t="s">
        <v>4740</v>
      </c>
      <c r="S2816">
        <v>219010</v>
      </c>
    </row>
    <row r="2817" spans="18:19" x14ac:dyDescent="0.3">
      <c r="R2817" t="s">
        <v>4741</v>
      </c>
      <c r="S2817">
        <v>1632550</v>
      </c>
    </row>
    <row r="2818" spans="18:19" x14ac:dyDescent="0.3">
      <c r="R2818" t="s">
        <v>4742</v>
      </c>
      <c r="S2818">
        <v>3776280</v>
      </c>
    </row>
    <row r="2819" spans="18:19" x14ac:dyDescent="0.3">
      <c r="R2819" t="s">
        <v>4743</v>
      </c>
      <c r="S2819">
        <v>980730</v>
      </c>
    </row>
    <row r="2820" spans="18:19" x14ac:dyDescent="0.3">
      <c r="R2820" t="s">
        <v>4744</v>
      </c>
      <c r="S2820">
        <v>14880</v>
      </c>
    </row>
    <row r="2821" spans="18:19" x14ac:dyDescent="0.3">
      <c r="R2821" t="s">
        <v>4745</v>
      </c>
      <c r="S2821">
        <v>3335190</v>
      </c>
    </row>
    <row r="2822" spans="18:19" x14ac:dyDescent="0.3">
      <c r="R2822" t="s">
        <v>4746</v>
      </c>
      <c r="S2822">
        <v>545800</v>
      </c>
    </row>
    <row r="2823" spans="18:19" x14ac:dyDescent="0.3">
      <c r="R2823" t="s">
        <v>4747</v>
      </c>
      <c r="S2823">
        <v>727070</v>
      </c>
    </row>
    <row r="2824" spans="18:19" x14ac:dyDescent="0.3">
      <c r="R2824" t="s">
        <v>4748</v>
      </c>
      <c r="S2824">
        <v>2517930</v>
      </c>
    </row>
    <row r="2825" spans="18:19" x14ac:dyDescent="0.3">
      <c r="R2825" t="s">
        <v>4749</v>
      </c>
      <c r="S2825">
        <v>1352950</v>
      </c>
    </row>
    <row r="2826" spans="18:19" x14ac:dyDescent="0.3">
      <c r="R2826" t="s">
        <v>4750</v>
      </c>
      <c r="S2826">
        <v>401330</v>
      </c>
    </row>
    <row r="2827" spans="18:19" x14ac:dyDescent="0.3">
      <c r="R2827" t="s">
        <v>4751</v>
      </c>
      <c r="S2827">
        <v>26880</v>
      </c>
    </row>
    <row r="2828" spans="18:19" x14ac:dyDescent="0.3">
      <c r="R2828" t="s">
        <v>4752</v>
      </c>
      <c r="S2828">
        <v>3617200</v>
      </c>
    </row>
    <row r="2829" spans="18:19" x14ac:dyDescent="0.3">
      <c r="R2829" t="s">
        <v>4753</v>
      </c>
      <c r="S2829">
        <v>6480</v>
      </c>
    </row>
    <row r="2830" spans="18:19" x14ac:dyDescent="0.3">
      <c r="R2830" t="s">
        <v>4754</v>
      </c>
      <c r="S2830">
        <v>45250710</v>
      </c>
    </row>
    <row r="2831" spans="18:19" x14ac:dyDescent="0.3">
      <c r="R2831" t="s">
        <v>4755</v>
      </c>
      <c r="S2831">
        <v>745280</v>
      </c>
    </row>
    <row r="2832" spans="18:19" x14ac:dyDescent="0.3">
      <c r="R2832" t="s">
        <v>4756</v>
      </c>
      <c r="S2832">
        <v>2120</v>
      </c>
    </row>
    <row r="2833" spans="18:19" x14ac:dyDescent="0.3">
      <c r="R2833" t="s">
        <v>4757</v>
      </c>
      <c r="S2833">
        <v>21440</v>
      </c>
    </row>
    <row r="2834" spans="18:19" x14ac:dyDescent="0.3">
      <c r="R2834" t="s">
        <v>4758</v>
      </c>
      <c r="S2834">
        <v>5356080</v>
      </c>
    </row>
    <row r="2835" spans="18:19" x14ac:dyDescent="0.3">
      <c r="R2835" t="s">
        <v>4759</v>
      </c>
      <c r="S2835">
        <v>15460</v>
      </c>
    </row>
    <row r="2836" spans="18:19" x14ac:dyDescent="0.3">
      <c r="R2836" t="s">
        <v>4760</v>
      </c>
      <c r="S2836">
        <v>8558860</v>
      </c>
    </row>
    <row r="2837" spans="18:19" x14ac:dyDescent="0.3">
      <c r="R2837" t="s">
        <v>4761</v>
      </c>
      <c r="S2837">
        <v>449190</v>
      </c>
    </row>
    <row r="2838" spans="18:19" x14ac:dyDescent="0.3">
      <c r="R2838" t="s">
        <v>4762</v>
      </c>
      <c r="S2838">
        <v>42600</v>
      </c>
    </row>
    <row r="2839" spans="18:19" x14ac:dyDescent="0.3">
      <c r="R2839" t="s">
        <v>4763</v>
      </c>
      <c r="S2839">
        <v>3223160</v>
      </c>
    </row>
    <row r="2840" spans="18:19" x14ac:dyDescent="0.3">
      <c r="R2840" t="s">
        <v>4764</v>
      </c>
      <c r="S2840">
        <v>705360</v>
      </c>
    </row>
    <row r="2841" spans="18:19" x14ac:dyDescent="0.3">
      <c r="R2841" t="s">
        <v>4765</v>
      </c>
      <c r="S2841">
        <v>5890</v>
      </c>
    </row>
    <row r="2842" spans="18:19" x14ac:dyDescent="0.3">
      <c r="R2842" t="s">
        <v>4766</v>
      </c>
      <c r="S2842">
        <v>350</v>
      </c>
    </row>
    <row r="2843" spans="18:19" x14ac:dyDescent="0.3">
      <c r="R2843" t="s">
        <v>4767</v>
      </c>
      <c r="S2843">
        <v>3300</v>
      </c>
    </row>
    <row r="2844" spans="18:19" x14ac:dyDescent="0.3">
      <c r="R2844" t="s">
        <v>4768</v>
      </c>
      <c r="S2844">
        <v>465770</v>
      </c>
    </row>
    <row r="2845" spans="18:19" x14ac:dyDescent="0.3">
      <c r="R2845" t="s">
        <v>4769</v>
      </c>
      <c r="S2845">
        <v>8130950</v>
      </c>
    </row>
    <row r="2846" spans="18:19" x14ac:dyDescent="0.3">
      <c r="R2846" t="s">
        <v>4770</v>
      </c>
      <c r="S2846">
        <v>99060</v>
      </c>
    </row>
    <row r="2847" spans="18:19" x14ac:dyDescent="0.3">
      <c r="R2847" t="s">
        <v>4771</v>
      </c>
      <c r="S2847">
        <v>5153400</v>
      </c>
    </row>
    <row r="2848" spans="18:19" x14ac:dyDescent="0.3">
      <c r="R2848" t="s">
        <v>4772</v>
      </c>
      <c r="S2848">
        <v>109120</v>
      </c>
    </row>
    <row r="2849" spans="18:19" x14ac:dyDescent="0.3">
      <c r="R2849" t="s">
        <v>4773</v>
      </c>
      <c r="S2849">
        <v>1266290</v>
      </c>
    </row>
    <row r="2850" spans="18:19" x14ac:dyDescent="0.3">
      <c r="R2850" t="s">
        <v>4774</v>
      </c>
      <c r="S2850">
        <v>0</v>
      </c>
    </row>
    <row r="2851" spans="18:19" x14ac:dyDescent="0.3">
      <c r="R2851" t="s">
        <v>4775</v>
      </c>
      <c r="S2851">
        <v>304870</v>
      </c>
    </row>
    <row r="2852" spans="18:19" x14ac:dyDescent="0.3">
      <c r="R2852" t="s">
        <v>4776</v>
      </c>
      <c r="S2852">
        <v>531380</v>
      </c>
    </row>
    <row r="2853" spans="18:19" x14ac:dyDescent="0.3">
      <c r="R2853" t="s">
        <v>4777</v>
      </c>
      <c r="S2853">
        <v>410</v>
      </c>
    </row>
    <row r="2854" spans="18:19" x14ac:dyDescent="0.3">
      <c r="R2854" t="s">
        <v>4778</v>
      </c>
      <c r="S2854">
        <v>102940</v>
      </c>
    </row>
    <row r="2855" spans="18:19" x14ac:dyDescent="0.3">
      <c r="R2855" t="s">
        <v>4779</v>
      </c>
      <c r="S2855">
        <v>28830</v>
      </c>
    </row>
    <row r="2856" spans="18:19" x14ac:dyDescent="0.3">
      <c r="R2856" t="s">
        <v>4780</v>
      </c>
      <c r="S2856">
        <v>19602100</v>
      </c>
    </row>
    <row r="2857" spans="18:19" x14ac:dyDescent="0.3">
      <c r="R2857" t="s">
        <v>4781</v>
      </c>
      <c r="S2857">
        <v>12724360</v>
      </c>
    </row>
    <row r="2858" spans="18:19" x14ac:dyDescent="0.3">
      <c r="R2858" t="s">
        <v>4782</v>
      </c>
      <c r="S2858">
        <v>980140</v>
      </c>
    </row>
    <row r="2859" spans="18:19" x14ac:dyDescent="0.3">
      <c r="R2859" t="s">
        <v>4783</v>
      </c>
      <c r="S2859">
        <v>47780</v>
      </c>
    </row>
    <row r="2860" spans="18:19" x14ac:dyDescent="0.3">
      <c r="R2860" t="s">
        <v>4784</v>
      </c>
      <c r="S2860">
        <v>12370</v>
      </c>
    </row>
    <row r="2861" spans="18:19" x14ac:dyDescent="0.3">
      <c r="R2861" t="s">
        <v>4785</v>
      </c>
      <c r="S2861">
        <v>2447320</v>
      </c>
    </row>
    <row r="2862" spans="18:19" x14ac:dyDescent="0.3">
      <c r="R2862" t="s">
        <v>4786</v>
      </c>
      <c r="S2862">
        <v>627330</v>
      </c>
    </row>
    <row r="2863" spans="18:19" x14ac:dyDescent="0.3">
      <c r="R2863" t="s">
        <v>4787</v>
      </c>
      <c r="S2863">
        <v>70</v>
      </c>
    </row>
    <row r="2864" spans="18:19" x14ac:dyDescent="0.3">
      <c r="R2864" t="s">
        <v>4788</v>
      </c>
      <c r="S2864">
        <v>44560</v>
      </c>
    </row>
    <row r="2865" spans="18:19" x14ac:dyDescent="0.3">
      <c r="R2865" t="s">
        <v>4789</v>
      </c>
      <c r="S2865">
        <v>273840</v>
      </c>
    </row>
    <row r="2866" spans="18:19" x14ac:dyDescent="0.3">
      <c r="R2866" t="s">
        <v>4790</v>
      </c>
      <c r="S2866">
        <v>7170</v>
      </c>
    </row>
    <row r="2867" spans="18:19" x14ac:dyDescent="0.3">
      <c r="R2867" t="s">
        <v>4791</v>
      </c>
      <c r="S2867">
        <v>1808780</v>
      </c>
    </row>
    <row r="2868" spans="18:19" x14ac:dyDescent="0.3">
      <c r="R2868" t="s">
        <v>4792</v>
      </c>
      <c r="S2868">
        <v>115040</v>
      </c>
    </row>
    <row r="2869" spans="18:19" x14ac:dyDescent="0.3">
      <c r="R2869" t="s">
        <v>4793</v>
      </c>
      <c r="S2869">
        <v>21732070</v>
      </c>
    </row>
    <row r="2870" spans="18:19" x14ac:dyDescent="0.3">
      <c r="R2870" t="s">
        <v>4794</v>
      </c>
      <c r="S2870">
        <v>15800</v>
      </c>
    </row>
    <row r="2871" spans="18:19" x14ac:dyDescent="0.3">
      <c r="R2871" t="s">
        <v>4795</v>
      </c>
      <c r="S2871">
        <v>454520</v>
      </c>
    </row>
    <row r="2872" spans="18:19" x14ac:dyDescent="0.3">
      <c r="R2872" t="s">
        <v>4796</v>
      </c>
      <c r="S2872">
        <v>47360</v>
      </c>
    </row>
    <row r="2873" spans="18:19" x14ac:dyDescent="0.3">
      <c r="R2873" t="s">
        <v>4797</v>
      </c>
      <c r="S2873">
        <v>915370</v>
      </c>
    </row>
    <row r="2874" spans="18:19" x14ac:dyDescent="0.3">
      <c r="R2874" t="s">
        <v>4798</v>
      </c>
      <c r="S2874">
        <v>360</v>
      </c>
    </row>
    <row r="2875" spans="18:19" x14ac:dyDescent="0.3">
      <c r="R2875" t="s">
        <v>4799</v>
      </c>
      <c r="S2875">
        <v>53980</v>
      </c>
    </row>
    <row r="2876" spans="18:19" x14ac:dyDescent="0.3">
      <c r="R2876" t="s">
        <v>4800</v>
      </c>
      <c r="S2876">
        <v>271900</v>
      </c>
    </row>
    <row r="2877" spans="18:19" x14ac:dyDescent="0.3">
      <c r="R2877" t="s">
        <v>4801</v>
      </c>
      <c r="S2877">
        <v>294960</v>
      </c>
    </row>
    <row r="2878" spans="18:19" x14ac:dyDescent="0.3">
      <c r="R2878" t="s">
        <v>4802</v>
      </c>
      <c r="S2878">
        <v>1859390</v>
      </c>
    </row>
    <row r="2879" spans="18:19" x14ac:dyDescent="0.3">
      <c r="R2879" t="s">
        <v>4803</v>
      </c>
      <c r="S2879">
        <v>297520</v>
      </c>
    </row>
    <row r="2880" spans="18:19" x14ac:dyDescent="0.3">
      <c r="R2880" t="s">
        <v>4804</v>
      </c>
      <c r="S2880">
        <v>1037120</v>
      </c>
    </row>
    <row r="2881" spans="18:19" x14ac:dyDescent="0.3">
      <c r="R2881" t="s">
        <v>4805</v>
      </c>
      <c r="S2881">
        <v>0</v>
      </c>
    </row>
    <row r="2882" spans="18:19" x14ac:dyDescent="0.3">
      <c r="R2882" t="s">
        <v>4806</v>
      </c>
      <c r="S2882">
        <v>936840</v>
      </c>
    </row>
    <row r="2883" spans="18:19" x14ac:dyDescent="0.3">
      <c r="R2883" t="s">
        <v>4807</v>
      </c>
      <c r="S2883">
        <v>630</v>
      </c>
    </row>
    <row r="2884" spans="18:19" x14ac:dyDescent="0.3">
      <c r="R2884" t="s">
        <v>4808</v>
      </c>
      <c r="S2884">
        <v>476628</v>
      </c>
    </row>
    <row r="2885" spans="18:19" x14ac:dyDescent="0.3">
      <c r="R2885" t="s">
        <v>4809</v>
      </c>
      <c r="S2885">
        <v>13693560</v>
      </c>
    </row>
    <row r="2886" spans="18:19" x14ac:dyDescent="0.3">
      <c r="R2886" t="s">
        <v>4810</v>
      </c>
      <c r="S2886">
        <v>1016750</v>
      </c>
    </row>
    <row r="2887" spans="18:19" x14ac:dyDescent="0.3">
      <c r="R2887" t="s">
        <v>4811</v>
      </c>
      <c r="S2887">
        <v>1890</v>
      </c>
    </row>
    <row r="2888" spans="18:19" x14ac:dyDescent="0.3">
      <c r="R2888" t="s">
        <v>4812</v>
      </c>
      <c r="S2888">
        <v>3690</v>
      </c>
    </row>
    <row r="2889" spans="18:19" x14ac:dyDescent="0.3">
      <c r="R2889" t="s">
        <v>4813</v>
      </c>
      <c r="S2889">
        <v>169300</v>
      </c>
    </row>
    <row r="2890" spans="18:19" x14ac:dyDescent="0.3">
      <c r="R2890" t="s">
        <v>4814</v>
      </c>
      <c r="S2890">
        <v>1851500</v>
      </c>
    </row>
    <row r="2891" spans="18:19" x14ac:dyDescent="0.3">
      <c r="R2891" t="s">
        <v>4815</v>
      </c>
      <c r="S2891">
        <v>210620</v>
      </c>
    </row>
    <row r="2892" spans="18:19" x14ac:dyDescent="0.3">
      <c r="R2892" t="s">
        <v>4816</v>
      </c>
      <c r="S2892">
        <v>9470</v>
      </c>
    </row>
    <row r="2893" spans="18:19" x14ac:dyDescent="0.3">
      <c r="R2893" t="s">
        <v>4817</v>
      </c>
      <c r="S2893">
        <v>10227040</v>
      </c>
    </row>
    <row r="2894" spans="18:19" x14ac:dyDescent="0.3">
      <c r="R2894" t="s">
        <v>4818</v>
      </c>
      <c r="S2894">
        <v>17968390</v>
      </c>
    </row>
    <row r="2895" spans="18:19" x14ac:dyDescent="0.3">
      <c r="R2895" t="s">
        <v>4819</v>
      </c>
      <c r="S2895">
        <v>5969910</v>
      </c>
    </row>
    <row r="2896" spans="18:19" x14ac:dyDescent="0.3">
      <c r="R2896" t="s">
        <v>4820</v>
      </c>
      <c r="S2896">
        <v>3033250</v>
      </c>
    </row>
    <row r="2897" spans="18:19" x14ac:dyDescent="0.3">
      <c r="R2897" t="s">
        <v>4821</v>
      </c>
      <c r="S2897">
        <v>90630</v>
      </c>
    </row>
    <row r="2898" spans="18:19" x14ac:dyDescent="0.3">
      <c r="R2898" t="s">
        <v>4822</v>
      </c>
      <c r="S2898">
        <v>3434850</v>
      </c>
    </row>
    <row r="2899" spans="18:19" x14ac:dyDescent="0.3">
      <c r="R2899" t="s">
        <v>4823</v>
      </c>
      <c r="S2899">
        <v>54930</v>
      </c>
    </row>
    <row r="2900" spans="18:19" x14ac:dyDescent="0.3">
      <c r="R2900" t="s">
        <v>4824</v>
      </c>
      <c r="S2900">
        <v>700</v>
      </c>
    </row>
    <row r="2901" spans="18:19" x14ac:dyDescent="0.3">
      <c r="R2901" t="s">
        <v>4825</v>
      </c>
      <c r="S2901">
        <v>280</v>
      </c>
    </row>
    <row r="2902" spans="18:19" x14ac:dyDescent="0.3">
      <c r="R2902" t="s">
        <v>4826</v>
      </c>
      <c r="S2902">
        <v>49780</v>
      </c>
    </row>
    <row r="2903" spans="18:19" x14ac:dyDescent="0.3">
      <c r="R2903" t="s">
        <v>4827</v>
      </c>
      <c r="S2903">
        <v>590970</v>
      </c>
    </row>
    <row r="2904" spans="18:19" x14ac:dyDescent="0.3">
      <c r="R2904" t="s">
        <v>4828</v>
      </c>
      <c r="S2904">
        <v>2879200</v>
      </c>
    </row>
    <row r="2905" spans="18:19" x14ac:dyDescent="0.3">
      <c r="R2905" t="s">
        <v>4829</v>
      </c>
      <c r="S2905">
        <v>41080</v>
      </c>
    </row>
    <row r="2906" spans="18:19" x14ac:dyDescent="0.3">
      <c r="R2906" t="s">
        <v>4830</v>
      </c>
      <c r="S2906">
        <v>83630</v>
      </c>
    </row>
    <row r="2907" spans="18:19" x14ac:dyDescent="0.3">
      <c r="R2907" t="s">
        <v>4831</v>
      </c>
      <c r="S2907">
        <v>484980</v>
      </c>
    </row>
    <row r="2908" spans="18:19" x14ac:dyDescent="0.3">
      <c r="R2908" t="s">
        <v>4832</v>
      </c>
      <c r="S2908">
        <v>70</v>
      </c>
    </row>
    <row r="2909" spans="18:19" x14ac:dyDescent="0.3">
      <c r="R2909" t="s">
        <v>4833</v>
      </c>
      <c r="S2909">
        <v>350</v>
      </c>
    </row>
    <row r="2910" spans="18:19" x14ac:dyDescent="0.3">
      <c r="R2910" t="s">
        <v>4834</v>
      </c>
      <c r="S2910">
        <v>59750</v>
      </c>
    </row>
    <row r="2911" spans="18:19" x14ac:dyDescent="0.3">
      <c r="R2911" t="s">
        <v>4835</v>
      </c>
      <c r="S2911">
        <v>200100</v>
      </c>
    </row>
    <row r="2912" spans="18:19" x14ac:dyDescent="0.3">
      <c r="R2912" t="s">
        <v>4836</v>
      </c>
      <c r="S2912">
        <v>311340</v>
      </c>
    </row>
    <row r="2913" spans="18:19" x14ac:dyDescent="0.3">
      <c r="R2913" t="s">
        <v>4837</v>
      </c>
      <c r="S2913">
        <v>37610</v>
      </c>
    </row>
    <row r="2914" spans="18:19" x14ac:dyDescent="0.3">
      <c r="R2914" t="s">
        <v>4838</v>
      </c>
      <c r="S2914">
        <v>275900</v>
      </c>
    </row>
    <row r="2915" spans="18:19" x14ac:dyDescent="0.3">
      <c r="R2915" t="s">
        <v>4839</v>
      </c>
      <c r="S2915">
        <v>2299510</v>
      </c>
    </row>
    <row r="2916" spans="18:19" x14ac:dyDescent="0.3">
      <c r="R2916" t="s">
        <v>4840</v>
      </c>
      <c r="S2916">
        <v>542120</v>
      </c>
    </row>
    <row r="2917" spans="18:19" x14ac:dyDescent="0.3">
      <c r="R2917" t="s">
        <v>4841</v>
      </c>
      <c r="S2917">
        <v>5015090</v>
      </c>
    </row>
    <row r="2918" spans="18:19" x14ac:dyDescent="0.3">
      <c r="R2918" t="s">
        <v>4842</v>
      </c>
      <c r="S2918">
        <v>25550</v>
      </c>
    </row>
    <row r="2919" spans="18:19" x14ac:dyDescent="0.3">
      <c r="R2919" t="s">
        <v>4843</v>
      </c>
      <c r="S2919">
        <v>123970</v>
      </c>
    </row>
    <row r="2920" spans="18:19" x14ac:dyDescent="0.3">
      <c r="R2920" t="s">
        <v>4844</v>
      </c>
      <c r="S2920">
        <v>2570</v>
      </c>
    </row>
    <row r="2921" spans="18:19" x14ac:dyDescent="0.3">
      <c r="R2921" t="s">
        <v>4845</v>
      </c>
      <c r="S2921">
        <v>458890</v>
      </c>
    </row>
    <row r="2922" spans="18:19" x14ac:dyDescent="0.3">
      <c r="R2922" t="s">
        <v>4846</v>
      </c>
      <c r="S2922">
        <v>99490</v>
      </c>
    </row>
    <row r="2923" spans="18:19" x14ac:dyDescent="0.3">
      <c r="R2923" t="s">
        <v>4847</v>
      </c>
      <c r="S2923">
        <v>5122670</v>
      </c>
    </row>
    <row r="2924" spans="18:19" x14ac:dyDescent="0.3">
      <c r="R2924" t="s">
        <v>4848</v>
      </c>
      <c r="S2924">
        <v>875720</v>
      </c>
    </row>
    <row r="2925" spans="18:19" x14ac:dyDescent="0.3">
      <c r="R2925" t="s">
        <v>4849</v>
      </c>
      <c r="S2925">
        <v>238010</v>
      </c>
    </row>
    <row r="2926" spans="18:19" x14ac:dyDescent="0.3">
      <c r="R2926" t="s">
        <v>4850</v>
      </c>
      <c r="S2926">
        <v>2367050</v>
      </c>
    </row>
    <row r="2927" spans="18:19" x14ac:dyDescent="0.3">
      <c r="R2927" t="s">
        <v>4851</v>
      </c>
      <c r="S2927">
        <v>347620</v>
      </c>
    </row>
    <row r="2928" spans="18:19" x14ac:dyDescent="0.3">
      <c r="R2928" t="s">
        <v>4852</v>
      </c>
      <c r="S2928">
        <v>8481370</v>
      </c>
    </row>
    <row r="2929" spans="18:19" x14ac:dyDescent="0.3">
      <c r="R2929" t="s">
        <v>4853</v>
      </c>
      <c r="S2929">
        <v>300</v>
      </c>
    </row>
    <row r="2930" spans="18:19" x14ac:dyDescent="0.3">
      <c r="R2930" t="s">
        <v>4854</v>
      </c>
      <c r="S2930">
        <v>783930</v>
      </c>
    </row>
    <row r="2931" spans="18:19" x14ac:dyDescent="0.3">
      <c r="R2931" t="s">
        <v>4855</v>
      </c>
      <c r="S2931">
        <v>1904030</v>
      </c>
    </row>
    <row r="2932" spans="18:19" x14ac:dyDescent="0.3">
      <c r="R2932" t="s">
        <v>4856</v>
      </c>
      <c r="S2932">
        <v>230940</v>
      </c>
    </row>
    <row r="2933" spans="18:19" x14ac:dyDescent="0.3">
      <c r="R2933" t="s">
        <v>4857</v>
      </c>
      <c r="S2933">
        <v>5553</v>
      </c>
    </row>
    <row r="2934" spans="18:19" x14ac:dyDescent="0.3">
      <c r="R2934" t="s">
        <v>4858</v>
      </c>
      <c r="S2934">
        <v>4980360</v>
      </c>
    </row>
    <row r="2935" spans="18:19" x14ac:dyDescent="0.3">
      <c r="R2935" t="s">
        <v>4859</v>
      </c>
      <c r="S2935">
        <v>7650</v>
      </c>
    </row>
    <row r="2936" spans="18:19" x14ac:dyDescent="0.3">
      <c r="R2936" t="s">
        <v>4860</v>
      </c>
      <c r="S2936">
        <v>4760800</v>
      </c>
    </row>
    <row r="2937" spans="18:19" x14ac:dyDescent="0.3">
      <c r="R2937" t="s">
        <v>4861</v>
      </c>
      <c r="S2937">
        <v>283250</v>
      </c>
    </row>
    <row r="2938" spans="18:19" x14ac:dyDescent="0.3">
      <c r="R2938" t="s">
        <v>4862</v>
      </c>
      <c r="S2938">
        <v>67610</v>
      </c>
    </row>
    <row r="2939" spans="18:19" x14ac:dyDescent="0.3">
      <c r="R2939" t="s">
        <v>4863</v>
      </c>
      <c r="S2939">
        <v>1880</v>
      </c>
    </row>
    <row r="2940" spans="18:19" x14ac:dyDescent="0.3">
      <c r="R2940" t="s">
        <v>4864</v>
      </c>
      <c r="S2940">
        <v>13320</v>
      </c>
    </row>
    <row r="2941" spans="18:19" x14ac:dyDescent="0.3">
      <c r="R2941" t="s">
        <v>4865</v>
      </c>
      <c r="S2941">
        <v>135870</v>
      </c>
    </row>
    <row r="2942" spans="18:19" x14ac:dyDescent="0.3">
      <c r="R2942" t="s">
        <v>4866</v>
      </c>
      <c r="S2942">
        <v>90170</v>
      </c>
    </row>
    <row r="2943" spans="18:19" x14ac:dyDescent="0.3">
      <c r="R2943" t="s">
        <v>4867</v>
      </c>
      <c r="S2943">
        <v>172660</v>
      </c>
    </row>
    <row r="2944" spans="18:19" x14ac:dyDescent="0.3">
      <c r="R2944" t="s">
        <v>4868</v>
      </c>
      <c r="S2944">
        <v>36180</v>
      </c>
    </row>
    <row r="2945" spans="18:19" x14ac:dyDescent="0.3">
      <c r="R2945" t="s">
        <v>4869</v>
      </c>
      <c r="S2945">
        <v>274630</v>
      </c>
    </row>
    <row r="2946" spans="18:19" x14ac:dyDescent="0.3">
      <c r="R2946" t="s">
        <v>4870</v>
      </c>
      <c r="S2946">
        <v>133030</v>
      </c>
    </row>
    <row r="2947" spans="18:19" x14ac:dyDescent="0.3">
      <c r="R2947" t="s">
        <v>4871</v>
      </c>
      <c r="S2947">
        <v>2800</v>
      </c>
    </row>
    <row r="2948" spans="18:19" x14ac:dyDescent="0.3">
      <c r="R2948" t="s">
        <v>4872</v>
      </c>
      <c r="S2948">
        <v>5661520</v>
      </c>
    </row>
    <row r="2949" spans="18:19" x14ac:dyDescent="0.3">
      <c r="R2949" t="s">
        <v>4873</v>
      </c>
      <c r="S2949">
        <v>6799850</v>
      </c>
    </row>
    <row r="2950" spans="18:19" x14ac:dyDescent="0.3">
      <c r="R2950" t="s">
        <v>4874</v>
      </c>
      <c r="S2950">
        <v>1538520</v>
      </c>
    </row>
    <row r="2951" spans="18:19" x14ac:dyDescent="0.3">
      <c r="R2951" t="s">
        <v>4875</v>
      </c>
      <c r="S2951">
        <v>9840</v>
      </c>
    </row>
    <row r="2952" spans="18:19" x14ac:dyDescent="0.3">
      <c r="R2952" t="s">
        <v>4876</v>
      </c>
      <c r="S2952">
        <v>2635180</v>
      </c>
    </row>
    <row r="2953" spans="18:19" x14ac:dyDescent="0.3">
      <c r="R2953" t="s">
        <v>4877</v>
      </c>
      <c r="S2953">
        <v>176240</v>
      </c>
    </row>
    <row r="2954" spans="18:19" x14ac:dyDescent="0.3">
      <c r="R2954" t="s">
        <v>4878</v>
      </c>
      <c r="S2954">
        <v>851830</v>
      </c>
    </row>
    <row r="2955" spans="18:19" x14ac:dyDescent="0.3">
      <c r="R2955" t="s">
        <v>4879</v>
      </c>
      <c r="S2955">
        <v>25420</v>
      </c>
    </row>
    <row r="2956" spans="18:19" x14ac:dyDescent="0.3">
      <c r="R2956" t="s">
        <v>4880</v>
      </c>
      <c r="S2956">
        <v>3321680</v>
      </c>
    </row>
    <row r="2957" spans="18:19" x14ac:dyDescent="0.3">
      <c r="R2957" t="s">
        <v>4881</v>
      </c>
      <c r="S2957">
        <v>470</v>
      </c>
    </row>
    <row r="2958" spans="18:19" x14ac:dyDescent="0.3">
      <c r="R2958" t="s">
        <v>4882</v>
      </c>
      <c r="S2958">
        <v>631640</v>
      </c>
    </row>
    <row r="2959" spans="18:19" x14ac:dyDescent="0.3">
      <c r="R2959" t="s">
        <v>4883</v>
      </c>
      <c r="S2959">
        <v>294820</v>
      </c>
    </row>
    <row r="2960" spans="18:19" x14ac:dyDescent="0.3">
      <c r="R2960" t="s">
        <v>4884</v>
      </c>
      <c r="S2960">
        <v>211110</v>
      </c>
    </row>
    <row r="2961" spans="18:19" x14ac:dyDescent="0.3">
      <c r="R2961" t="s">
        <v>4885</v>
      </c>
      <c r="S2961">
        <v>659930</v>
      </c>
    </row>
    <row r="2962" spans="18:19" x14ac:dyDescent="0.3">
      <c r="R2962" t="s">
        <v>4886</v>
      </c>
      <c r="S2962">
        <v>2014760</v>
      </c>
    </row>
    <row r="2963" spans="18:19" x14ac:dyDescent="0.3">
      <c r="R2963" t="s">
        <v>4887</v>
      </c>
      <c r="S2963">
        <v>0</v>
      </c>
    </row>
    <row r="2964" spans="18:19" x14ac:dyDescent="0.3">
      <c r="R2964" t="s">
        <v>4888</v>
      </c>
      <c r="S2964">
        <v>312160</v>
      </c>
    </row>
    <row r="2965" spans="18:19" x14ac:dyDescent="0.3">
      <c r="R2965" t="s">
        <v>4889</v>
      </c>
      <c r="S2965">
        <v>13265570</v>
      </c>
    </row>
    <row r="2966" spans="18:19" x14ac:dyDescent="0.3">
      <c r="R2966" t="s">
        <v>4890</v>
      </c>
      <c r="S2966">
        <v>983210</v>
      </c>
    </row>
    <row r="2967" spans="18:19" x14ac:dyDescent="0.3">
      <c r="R2967" t="s">
        <v>4891</v>
      </c>
      <c r="S2967">
        <v>789870</v>
      </c>
    </row>
    <row r="2968" spans="18:19" x14ac:dyDescent="0.3">
      <c r="R2968" t="s">
        <v>4892</v>
      </c>
      <c r="S2968">
        <v>1463950</v>
      </c>
    </row>
    <row r="2969" spans="18:19" x14ac:dyDescent="0.3">
      <c r="R2969" t="s">
        <v>4893</v>
      </c>
      <c r="S2969">
        <v>136150</v>
      </c>
    </row>
    <row r="2970" spans="18:19" x14ac:dyDescent="0.3">
      <c r="R2970" t="s">
        <v>4894</v>
      </c>
      <c r="S2970">
        <v>5201</v>
      </c>
    </row>
    <row r="2971" spans="18:19" x14ac:dyDescent="0.3">
      <c r="R2971" t="s">
        <v>4895</v>
      </c>
      <c r="S2971">
        <v>1904240</v>
      </c>
    </row>
    <row r="2972" spans="18:19" x14ac:dyDescent="0.3">
      <c r="R2972" t="s">
        <v>4896</v>
      </c>
      <c r="S2972">
        <v>33940</v>
      </c>
    </row>
    <row r="2973" spans="18:19" x14ac:dyDescent="0.3">
      <c r="R2973" t="s">
        <v>4897</v>
      </c>
      <c r="S2973">
        <v>167730</v>
      </c>
    </row>
    <row r="2974" spans="18:19" x14ac:dyDescent="0.3">
      <c r="R2974" t="s">
        <v>4898</v>
      </c>
      <c r="S2974">
        <v>367200</v>
      </c>
    </row>
    <row r="2975" spans="18:19" x14ac:dyDescent="0.3">
      <c r="R2975" t="s">
        <v>4899</v>
      </c>
      <c r="S2975">
        <v>4590</v>
      </c>
    </row>
    <row r="2976" spans="18:19" x14ac:dyDescent="0.3">
      <c r="R2976" t="s">
        <v>4900</v>
      </c>
      <c r="S2976">
        <v>1442810</v>
      </c>
    </row>
    <row r="2977" spans="18:19" x14ac:dyDescent="0.3">
      <c r="R2977" t="s">
        <v>4901</v>
      </c>
      <c r="S2977">
        <v>1600</v>
      </c>
    </row>
    <row r="2978" spans="18:19" x14ac:dyDescent="0.3">
      <c r="R2978" t="s">
        <v>4902</v>
      </c>
      <c r="S2978">
        <v>1639300</v>
      </c>
    </row>
    <row r="2979" spans="18:19" x14ac:dyDescent="0.3">
      <c r="R2979" t="s">
        <v>4903</v>
      </c>
      <c r="S2979">
        <v>97730</v>
      </c>
    </row>
    <row r="2980" spans="18:19" x14ac:dyDescent="0.3">
      <c r="R2980" t="s">
        <v>4904</v>
      </c>
      <c r="S2980">
        <v>26690</v>
      </c>
    </row>
    <row r="2981" spans="18:19" x14ac:dyDescent="0.3">
      <c r="R2981" t="s">
        <v>4905</v>
      </c>
      <c r="S2981">
        <v>1046680</v>
      </c>
    </row>
    <row r="2982" spans="18:19" x14ac:dyDescent="0.3">
      <c r="R2982" t="s">
        <v>4906</v>
      </c>
      <c r="S2982">
        <v>1251230</v>
      </c>
    </row>
    <row r="2983" spans="18:19" x14ac:dyDescent="0.3">
      <c r="R2983" t="s">
        <v>4907</v>
      </c>
      <c r="S2983">
        <v>1479815</v>
      </c>
    </row>
    <row r="2984" spans="18:19" x14ac:dyDescent="0.3">
      <c r="R2984" t="s">
        <v>4908</v>
      </c>
      <c r="S2984">
        <v>405140</v>
      </c>
    </row>
    <row r="2985" spans="18:19" x14ac:dyDescent="0.3">
      <c r="R2985" t="s">
        <v>4909</v>
      </c>
      <c r="S2985">
        <v>1252940</v>
      </c>
    </row>
    <row r="2986" spans="18:19" x14ac:dyDescent="0.3">
      <c r="R2986" t="s">
        <v>4910</v>
      </c>
      <c r="S2986">
        <v>1991950</v>
      </c>
    </row>
    <row r="2987" spans="18:19" x14ac:dyDescent="0.3">
      <c r="R2987" t="s">
        <v>4911</v>
      </c>
      <c r="S2987">
        <v>3405280</v>
      </c>
    </row>
    <row r="2988" spans="18:19" x14ac:dyDescent="0.3">
      <c r="R2988" t="s">
        <v>4912</v>
      </c>
      <c r="S2988">
        <v>500040</v>
      </c>
    </row>
    <row r="2989" spans="18:19" x14ac:dyDescent="0.3">
      <c r="R2989" t="s">
        <v>4913</v>
      </c>
      <c r="S2989">
        <v>16609840</v>
      </c>
    </row>
    <row r="2990" spans="18:19" x14ac:dyDescent="0.3">
      <c r="R2990" t="s">
        <v>4914</v>
      </c>
      <c r="S2990">
        <v>417120</v>
      </c>
    </row>
    <row r="2991" spans="18:19" x14ac:dyDescent="0.3">
      <c r="R2991" t="s">
        <v>4915</v>
      </c>
      <c r="S2991">
        <v>444380</v>
      </c>
    </row>
    <row r="2992" spans="18:19" x14ac:dyDescent="0.3">
      <c r="R2992" t="s">
        <v>4916</v>
      </c>
      <c r="S2992">
        <v>1904530</v>
      </c>
    </row>
    <row r="2993" spans="18:19" x14ac:dyDescent="0.3">
      <c r="R2993" t="s">
        <v>4917</v>
      </c>
      <c r="S2993">
        <v>288470</v>
      </c>
    </row>
    <row r="2994" spans="18:19" x14ac:dyDescent="0.3">
      <c r="R2994" t="s">
        <v>4918</v>
      </c>
      <c r="S2994">
        <v>362520</v>
      </c>
    </row>
    <row r="2995" spans="18:19" x14ac:dyDescent="0.3">
      <c r="R2995" t="s">
        <v>4919</v>
      </c>
      <c r="S2995">
        <v>1756780</v>
      </c>
    </row>
    <row r="2996" spans="18:19" x14ac:dyDescent="0.3">
      <c r="R2996" t="s">
        <v>4920</v>
      </c>
      <c r="S2996">
        <v>218670</v>
      </c>
    </row>
    <row r="2997" spans="18:19" x14ac:dyDescent="0.3">
      <c r="R2997" t="s">
        <v>4921</v>
      </c>
      <c r="S2997">
        <v>420</v>
      </c>
    </row>
    <row r="2998" spans="18:19" x14ac:dyDescent="0.3">
      <c r="R2998" t="s">
        <v>4922</v>
      </c>
      <c r="S2998">
        <v>1144480</v>
      </c>
    </row>
    <row r="2999" spans="18:19" x14ac:dyDescent="0.3">
      <c r="R2999" t="s">
        <v>4923</v>
      </c>
      <c r="S2999">
        <v>4676470</v>
      </c>
    </row>
    <row r="3000" spans="18:19" x14ac:dyDescent="0.3">
      <c r="R3000" t="s">
        <v>4924</v>
      </c>
      <c r="S3000">
        <v>3420</v>
      </c>
    </row>
    <row r="3001" spans="18:19" x14ac:dyDescent="0.3">
      <c r="R3001" t="s">
        <v>4925</v>
      </c>
      <c r="S3001">
        <v>115240</v>
      </c>
    </row>
    <row r="3002" spans="18:19" x14ac:dyDescent="0.3">
      <c r="R3002" t="s">
        <v>4926</v>
      </c>
      <c r="S3002">
        <v>743390</v>
      </c>
    </row>
    <row r="3003" spans="18:19" x14ac:dyDescent="0.3">
      <c r="R3003" t="s">
        <v>4927</v>
      </c>
      <c r="S3003">
        <v>2581970</v>
      </c>
    </row>
    <row r="3004" spans="18:19" x14ac:dyDescent="0.3">
      <c r="R3004" t="s">
        <v>4928</v>
      </c>
      <c r="S3004">
        <v>917940</v>
      </c>
    </row>
    <row r="3005" spans="18:19" x14ac:dyDescent="0.3">
      <c r="R3005" t="s">
        <v>4929</v>
      </c>
      <c r="S3005">
        <v>33630</v>
      </c>
    </row>
    <row r="3006" spans="18:19" x14ac:dyDescent="0.3">
      <c r="R3006" t="s">
        <v>4930</v>
      </c>
      <c r="S3006">
        <v>2713630</v>
      </c>
    </row>
    <row r="3007" spans="18:19" x14ac:dyDescent="0.3">
      <c r="R3007" t="s">
        <v>4931</v>
      </c>
      <c r="S3007">
        <v>50060</v>
      </c>
    </row>
    <row r="3008" spans="18:19" x14ac:dyDescent="0.3">
      <c r="R3008" t="s">
        <v>4932</v>
      </c>
      <c r="S3008">
        <v>1696900</v>
      </c>
    </row>
    <row r="3009" spans="18:19" x14ac:dyDescent="0.3">
      <c r="R3009" t="s">
        <v>4933</v>
      </c>
      <c r="S3009">
        <v>41620</v>
      </c>
    </row>
    <row r="3010" spans="18:19" x14ac:dyDescent="0.3">
      <c r="R3010" t="s">
        <v>4934</v>
      </c>
      <c r="S3010">
        <v>2785570</v>
      </c>
    </row>
    <row r="3011" spans="18:19" x14ac:dyDescent="0.3">
      <c r="R3011" t="s">
        <v>4935</v>
      </c>
      <c r="S3011">
        <v>70530</v>
      </c>
    </row>
    <row r="3012" spans="18:19" x14ac:dyDescent="0.3">
      <c r="R3012" t="s">
        <v>4936</v>
      </c>
      <c r="S3012">
        <v>6163320</v>
      </c>
    </row>
    <row r="3013" spans="18:19" x14ac:dyDescent="0.3">
      <c r="R3013" t="s">
        <v>4937</v>
      </c>
      <c r="S3013">
        <v>3470</v>
      </c>
    </row>
    <row r="3014" spans="18:19" x14ac:dyDescent="0.3">
      <c r="R3014" t="s">
        <v>4938</v>
      </c>
      <c r="S3014">
        <v>1075260</v>
      </c>
    </row>
    <row r="3015" spans="18:19" x14ac:dyDescent="0.3">
      <c r="R3015" t="s">
        <v>4939</v>
      </c>
      <c r="S3015">
        <v>6878760</v>
      </c>
    </row>
    <row r="3016" spans="18:19" x14ac:dyDescent="0.3">
      <c r="R3016" t="s">
        <v>4940</v>
      </c>
      <c r="S3016">
        <v>114560</v>
      </c>
    </row>
    <row r="3017" spans="18:19" x14ac:dyDescent="0.3">
      <c r="R3017" t="s">
        <v>4941</v>
      </c>
      <c r="S3017">
        <v>853110</v>
      </c>
    </row>
    <row r="3018" spans="18:19" x14ac:dyDescent="0.3">
      <c r="R3018" t="s">
        <v>4942</v>
      </c>
      <c r="S3018">
        <v>24810</v>
      </c>
    </row>
    <row r="3019" spans="18:19" x14ac:dyDescent="0.3">
      <c r="R3019" t="s">
        <v>4943</v>
      </c>
      <c r="S3019">
        <v>2042670</v>
      </c>
    </row>
    <row r="3020" spans="18:19" x14ac:dyDescent="0.3">
      <c r="R3020" t="s">
        <v>4944</v>
      </c>
      <c r="S3020">
        <v>352970</v>
      </c>
    </row>
    <row r="3021" spans="18:19" x14ac:dyDescent="0.3">
      <c r="R3021" t="s">
        <v>4945</v>
      </c>
      <c r="S3021">
        <v>3810</v>
      </c>
    </row>
    <row r="3022" spans="18:19" x14ac:dyDescent="0.3">
      <c r="R3022" t="s">
        <v>4946</v>
      </c>
      <c r="S3022">
        <v>6050</v>
      </c>
    </row>
    <row r="3023" spans="18:19" x14ac:dyDescent="0.3">
      <c r="R3023" t="s">
        <v>4947</v>
      </c>
      <c r="S3023">
        <v>17870</v>
      </c>
    </row>
    <row r="3024" spans="18:19" x14ac:dyDescent="0.3">
      <c r="R3024" t="s">
        <v>4948</v>
      </c>
      <c r="S3024">
        <v>3573154</v>
      </c>
    </row>
    <row r="3025" spans="18:19" x14ac:dyDescent="0.3">
      <c r="R3025" t="s">
        <v>4949</v>
      </c>
      <c r="S3025">
        <v>251570</v>
      </c>
    </row>
    <row r="3026" spans="18:19" x14ac:dyDescent="0.3">
      <c r="R3026" t="s">
        <v>4950</v>
      </c>
      <c r="S3026">
        <v>266170</v>
      </c>
    </row>
    <row r="3027" spans="18:19" x14ac:dyDescent="0.3">
      <c r="R3027" t="s">
        <v>4951</v>
      </c>
      <c r="S3027">
        <v>276910</v>
      </c>
    </row>
    <row r="3028" spans="18:19" x14ac:dyDescent="0.3">
      <c r="R3028" t="s">
        <v>4952</v>
      </c>
      <c r="S3028">
        <v>18710010</v>
      </c>
    </row>
    <row r="3029" spans="18:19" x14ac:dyDescent="0.3">
      <c r="R3029" t="s">
        <v>4953</v>
      </c>
      <c r="S3029">
        <v>35210</v>
      </c>
    </row>
    <row r="3030" spans="18:19" x14ac:dyDescent="0.3">
      <c r="R3030" t="s">
        <v>4954</v>
      </c>
      <c r="S3030">
        <v>82520</v>
      </c>
    </row>
    <row r="3031" spans="18:19" x14ac:dyDescent="0.3">
      <c r="R3031" t="s">
        <v>4955</v>
      </c>
      <c r="S3031">
        <v>5965150</v>
      </c>
    </row>
    <row r="3032" spans="18:19" x14ac:dyDescent="0.3">
      <c r="R3032" t="s">
        <v>4956</v>
      </c>
      <c r="S3032">
        <v>398480</v>
      </c>
    </row>
    <row r="3033" spans="18:19" x14ac:dyDescent="0.3">
      <c r="R3033" t="s">
        <v>4957</v>
      </c>
      <c r="S3033">
        <v>273830</v>
      </c>
    </row>
    <row r="3034" spans="18:19" x14ac:dyDescent="0.3">
      <c r="R3034" t="s">
        <v>4958</v>
      </c>
      <c r="S3034">
        <v>157100</v>
      </c>
    </row>
    <row r="3035" spans="18:19" x14ac:dyDescent="0.3">
      <c r="R3035" t="s">
        <v>4959</v>
      </c>
      <c r="S3035">
        <v>10964470</v>
      </c>
    </row>
    <row r="3036" spans="18:19" x14ac:dyDescent="0.3">
      <c r="R3036" t="s">
        <v>4960</v>
      </c>
      <c r="S3036">
        <v>1208790</v>
      </c>
    </row>
    <row r="3037" spans="18:19" x14ac:dyDescent="0.3">
      <c r="R3037" t="s">
        <v>4961</v>
      </c>
      <c r="S3037">
        <v>157710</v>
      </c>
    </row>
    <row r="3038" spans="18:19" x14ac:dyDescent="0.3">
      <c r="R3038" t="s">
        <v>4962</v>
      </c>
      <c r="S3038">
        <v>9890480</v>
      </c>
    </row>
    <row r="3039" spans="18:19" x14ac:dyDescent="0.3">
      <c r="R3039" t="s">
        <v>4963</v>
      </c>
      <c r="S3039">
        <v>2910</v>
      </c>
    </row>
    <row r="3040" spans="18:19" x14ac:dyDescent="0.3">
      <c r="R3040" t="s">
        <v>4964</v>
      </c>
      <c r="S3040">
        <v>218890</v>
      </c>
    </row>
    <row r="3041" spans="18:19" x14ac:dyDescent="0.3">
      <c r="R3041" t="s">
        <v>4965</v>
      </c>
      <c r="S3041">
        <v>8611250</v>
      </c>
    </row>
    <row r="3042" spans="18:19" x14ac:dyDescent="0.3">
      <c r="R3042" t="s">
        <v>4966</v>
      </c>
      <c r="S3042">
        <v>4390</v>
      </c>
    </row>
    <row r="3043" spans="18:19" x14ac:dyDescent="0.3">
      <c r="R3043" t="s">
        <v>4967</v>
      </c>
      <c r="S3043">
        <v>79710</v>
      </c>
    </row>
    <row r="3044" spans="18:19" x14ac:dyDescent="0.3">
      <c r="R3044" t="s">
        <v>4968</v>
      </c>
      <c r="S3044">
        <v>261340</v>
      </c>
    </row>
    <row r="3045" spans="18:19" x14ac:dyDescent="0.3">
      <c r="R3045" t="s">
        <v>4969</v>
      </c>
      <c r="S3045">
        <v>69130</v>
      </c>
    </row>
    <row r="3046" spans="18:19" x14ac:dyDescent="0.3">
      <c r="R3046" t="s">
        <v>4970</v>
      </c>
      <c r="S3046">
        <v>94570</v>
      </c>
    </row>
    <row r="3047" spans="18:19" x14ac:dyDescent="0.3">
      <c r="R3047" t="s">
        <v>4971</v>
      </c>
      <c r="S3047">
        <v>81450</v>
      </c>
    </row>
    <row r="3048" spans="18:19" x14ac:dyDescent="0.3">
      <c r="R3048" t="s">
        <v>4972</v>
      </c>
      <c r="S3048">
        <v>12980</v>
      </c>
    </row>
    <row r="3049" spans="18:19" x14ac:dyDescent="0.3">
      <c r="R3049" t="s">
        <v>4973</v>
      </c>
      <c r="S3049">
        <v>78310</v>
      </c>
    </row>
    <row r="3050" spans="18:19" x14ac:dyDescent="0.3">
      <c r="R3050" t="s">
        <v>4974</v>
      </c>
      <c r="S3050">
        <v>5453910</v>
      </c>
    </row>
    <row r="3051" spans="18:19" x14ac:dyDescent="0.3">
      <c r="R3051" t="s">
        <v>4975</v>
      </c>
      <c r="S3051">
        <v>270370</v>
      </c>
    </row>
    <row r="3052" spans="18:19" x14ac:dyDescent="0.3">
      <c r="R3052" t="s">
        <v>4976</v>
      </c>
      <c r="S3052">
        <v>70</v>
      </c>
    </row>
    <row r="3053" spans="18:19" x14ac:dyDescent="0.3">
      <c r="R3053" t="s">
        <v>4977</v>
      </c>
      <c r="S3053">
        <v>418240</v>
      </c>
    </row>
    <row r="3054" spans="18:19" x14ac:dyDescent="0.3">
      <c r="R3054" t="s">
        <v>4978</v>
      </c>
      <c r="S3054">
        <v>63990</v>
      </c>
    </row>
    <row r="3055" spans="18:19" x14ac:dyDescent="0.3">
      <c r="R3055" t="s">
        <v>4979</v>
      </c>
      <c r="S3055">
        <v>143430</v>
      </c>
    </row>
    <row r="3056" spans="18:19" x14ac:dyDescent="0.3">
      <c r="R3056" t="s">
        <v>4980</v>
      </c>
      <c r="S3056">
        <v>270280</v>
      </c>
    </row>
    <row r="3057" spans="18:19" x14ac:dyDescent="0.3">
      <c r="R3057" t="s">
        <v>4981</v>
      </c>
      <c r="S3057">
        <v>1971730</v>
      </c>
    </row>
    <row r="3058" spans="18:19" x14ac:dyDescent="0.3">
      <c r="R3058" t="s">
        <v>4982</v>
      </c>
      <c r="S3058">
        <v>163040</v>
      </c>
    </row>
    <row r="3059" spans="18:19" x14ac:dyDescent="0.3">
      <c r="R3059" t="s">
        <v>4983</v>
      </c>
      <c r="S3059">
        <v>3450</v>
      </c>
    </row>
    <row r="3060" spans="18:19" x14ac:dyDescent="0.3">
      <c r="R3060" t="s">
        <v>4984</v>
      </c>
      <c r="S3060">
        <v>22870</v>
      </c>
    </row>
    <row r="3061" spans="18:19" x14ac:dyDescent="0.3">
      <c r="R3061" t="s">
        <v>4985</v>
      </c>
      <c r="S3061">
        <v>1452440</v>
      </c>
    </row>
    <row r="3062" spans="18:19" x14ac:dyDescent="0.3">
      <c r="R3062" t="s">
        <v>4986</v>
      </c>
      <c r="S3062">
        <v>79680</v>
      </c>
    </row>
    <row r="3063" spans="18:19" x14ac:dyDescent="0.3">
      <c r="R3063" t="s">
        <v>4987</v>
      </c>
      <c r="S3063">
        <v>84000</v>
      </c>
    </row>
    <row r="3064" spans="18:19" x14ac:dyDescent="0.3">
      <c r="R3064" t="s">
        <v>4988</v>
      </c>
      <c r="S3064">
        <v>667300</v>
      </c>
    </row>
    <row r="3065" spans="18:19" x14ac:dyDescent="0.3">
      <c r="R3065" t="s">
        <v>4989</v>
      </c>
      <c r="S3065">
        <v>7661170</v>
      </c>
    </row>
    <row r="3066" spans="18:19" x14ac:dyDescent="0.3">
      <c r="R3066" t="s">
        <v>4990</v>
      </c>
      <c r="S3066">
        <v>42020</v>
      </c>
    </row>
    <row r="3067" spans="18:19" x14ac:dyDescent="0.3">
      <c r="R3067" t="s">
        <v>4991</v>
      </c>
      <c r="S3067">
        <v>1943410</v>
      </c>
    </row>
    <row r="3068" spans="18:19" x14ac:dyDescent="0.3">
      <c r="R3068" t="s">
        <v>4992</v>
      </c>
      <c r="S3068">
        <v>189390</v>
      </c>
    </row>
    <row r="3069" spans="18:19" x14ac:dyDescent="0.3">
      <c r="R3069" t="s">
        <v>4993</v>
      </c>
      <c r="S3069">
        <v>249630</v>
      </c>
    </row>
    <row r="3070" spans="18:19" x14ac:dyDescent="0.3">
      <c r="R3070" t="s">
        <v>4994</v>
      </c>
      <c r="S3070">
        <v>247870</v>
      </c>
    </row>
    <row r="3071" spans="18:19" x14ac:dyDescent="0.3">
      <c r="R3071" t="s">
        <v>4995</v>
      </c>
      <c r="S3071">
        <v>588800</v>
      </c>
    </row>
    <row r="3072" spans="18:19" x14ac:dyDescent="0.3">
      <c r="R3072" t="s">
        <v>4996</v>
      </c>
      <c r="S3072">
        <v>12009000</v>
      </c>
    </row>
    <row r="3073" spans="18:19" x14ac:dyDescent="0.3">
      <c r="R3073" t="s">
        <v>4997</v>
      </c>
      <c r="S3073">
        <v>6540</v>
      </c>
    </row>
    <row r="3074" spans="18:19" x14ac:dyDescent="0.3">
      <c r="R3074" t="s">
        <v>4998</v>
      </c>
      <c r="S3074">
        <v>1456500</v>
      </c>
    </row>
    <row r="3075" spans="18:19" x14ac:dyDescent="0.3">
      <c r="R3075" t="s">
        <v>4999</v>
      </c>
      <c r="S3075">
        <v>99230</v>
      </c>
    </row>
    <row r="3076" spans="18:19" x14ac:dyDescent="0.3">
      <c r="R3076" t="s">
        <v>5000</v>
      </c>
      <c r="S3076">
        <v>1330</v>
      </c>
    </row>
    <row r="3077" spans="18:19" x14ac:dyDescent="0.3">
      <c r="R3077" t="s">
        <v>5001</v>
      </c>
      <c r="S3077">
        <v>984660</v>
      </c>
    </row>
    <row r="3078" spans="18:19" x14ac:dyDescent="0.3">
      <c r="R3078" t="s">
        <v>5002</v>
      </c>
      <c r="S3078">
        <v>22030</v>
      </c>
    </row>
    <row r="3079" spans="18:19" x14ac:dyDescent="0.3">
      <c r="R3079" t="s">
        <v>5003</v>
      </c>
      <c r="S3079">
        <v>135520</v>
      </c>
    </row>
    <row r="3080" spans="18:19" x14ac:dyDescent="0.3">
      <c r="R3080" t="s">
        <v>5004</v>
      </c>
      <c r="S3080">
        <v>4395250</v>
      </c>
    </row>
    <row r="3081" spans="18:19" x14ac:dyDescent="0.3">
      <c r="R3081" t="s">
        <v>5005</v>
      </c>
      <c r="S3081">
        <v>2043420</v>
      </c>
    </row>
    <row r="3082" spans="18:19" x14ac:dyDescent="0.3">
      <c r="R3082" t="s">
        <v>5006</v>
      </c>
      <c r="S3082">
        <v>393190</v>
      </c>
    </row>
    <row r="3083" spans="18:19" x14ac:dyDescent="0.3">
      <c r="R3083" t="s">
        <v>5007</v>
      </c>
      <c r="S3083">
        <v>664130</v>
      </c>
    </row>
    <row r="3084" spans="18:19" x14ac:dyDescent="0.3">
      <c r="R3084" t="s">
        <v>5008</v>
      </c>
      <c r="S3084">
        <v>2031200</v>
      </c>
    </row>
    <row r="3085" spans="18:19" x14ac:dyDescent="0.3">
      <c r="R3085" t="s">
        <v>5009</v>
      </c>
      <c r="S3085">
        <v>117710</v>
      </c>
    </row>
    <row r="3086" spans="18:19" x14ac:dyDescent="0.3">
      <c r="R3086" t="s">
        <v>5010</v>
      </c>
      <c r="S3086">
        <v>89120</v>
      </c>
    </row>
    <row r="3087" spans="18:19" x14ac:dyDescent="0.3">
      <c r="R3087" t="s">
        <v>5011</v>
      </c>
      <c r="S3087">
        <v>126400</v>
      </c>
    </row>
    <row r="3088" spans="18:19" x14ac:dyDescent="0.3">
      <c r="R3088" t="s">
        <v>5012</v>
      </c>
      <c r="S3088">
        <v>11240</v>
      </c>
    </row>
    <row r="3089" spans="18:19" x14ac:dyDescent="0.3">
      <c r="R3089" t="s">
        <v>5013</v>
      </c>
      <c r="S3089">
        <v>671780</v>
      </c>
    </row>
    <row r="3090" spans="18:19" x14ac:dyDescent="0.3">
      <c r="R3090" t="s">
        <v>5014</v>
      </c>
      <c r="S3090">
        <v>172560</v>
      </c>
    </row>
    <row r="3091" spans="18:19" x14ac:dyDescent="0.3">
      <c r="R3091" t="s">
        <v>5015</v>
      </c>
      <c r="S3091">
        <v>768490</v>
      </c>
    </row>
    <row r="3092" spans="18:19" x14ac:dyDescent="0.3">
      <c r="R3092" t="s">
        <v>5016</v>
      </c>
      <c r="S3092">
        <v>125830</v>
      </c>
    </row>
    <row r="3093" spans="18:19" x14ac:dyDescent="0.3">
      <c r="R3093" t="s">
        <v>5017</v>
      </c>
      <c r="S3093">
        <v>77770</v>
      </c>
    </row>
    <row r="3094" spans="18:19" x14ac:dyDescent="0.3">
      <c r="R3094" t="s">
        <v>5018</v>
      </c>
      <c r="S3094">
        <v>420</v>
      </c>
    </row>
    <row r="3095" spans="18:19" x14ac:dyDescent="0.3">
      <c r="R3095" t="s">
        <v>5019</v>
      </c>
      <c r="S3095">
        <v>166220</v>
      </c>
    </row>
    <row r="3096" spans="18:19" x14ac:dyDescent="0.3">
      <c r="R3096" t="s">
        <v>5020</v>
      </c>
      <c r="S3096">
        <v>596780</v>
      </c>
    </row>
    <row r="3097" spans="18:19" x14ac:dyDescent="0.3">
      <c r="R3097" t="s">
        <v>5021</v>
      </c>
      <c r="S3097">
        <v>2808210</v>
      </c>
    </row>
    <row r="3098" spans="18:19" x14ac:dyDescent="0.3">
      <c r="R3098" t="s">
        <v>5022</v>
      </c>
      <c r="S3098">
        <v>1708880</v>
      </c>
    </row>
    <row r="3099" spans="18:19" x14ac:dyDescent="0.3">
      <c r="R3099" t="s">
        <v>5023</v>
      </c>
      <c r="S3099">
        <v>202040</v>
      </c>
    </row>
    <row r="3100" spans="18:19" x14ac:dyDescent="0.3">
      <c r="R3100" t="s">
        <v>5024</v>
      </c>
      <c r="S3100">
        <v>40160</v>
      </c>
    </row>
    <row r="3101" spans="18:19" x14ac:dyDescent="0.3">
      <c r="R3101" t="s">
        <v>5025</v>
      </c>
      <c r="S3101">
        <v>12281300</v>
      </c>
    </row>
    <row r="3102" spans="18:19" x14ac:dyDescent="0.3">
      <c r="R3102" t="s">
        <v>5026</v>
      </c>
      <c r="S3102">
        <v>344000</v>
      </c>
    </row>
    <row r="3103" spans="18:19" x14ac:dyDescent="0.3">
      <c r="R3103" t="s">
        <v>5027</v>
      </c>
      <c r="S3103">
        <v>103390</v>
      </c>
    </row>
    <row r="3104" spans="18:19" x14ac:dyDescent="0.3">
      <c r="R3104" t="s">
        <v>5028</v>
      </c>
      <c r="S3104">
        <v>270750</v>
      </c>
    </row>
    <row r="3105" spans="18:19" x14ac:dyDescent="0.3">
      <c r="R3105" t="s">
        <v>5029</v>
      </c>
      <c r="S3105">
        <v>2105400</v>
      </c>
    </row>
    <row r="3106" spans="18:19" x14ac:dyDescent="0.3">
      <c r="R3106" t="s">
        <v>5030</v>
      </c>
      <c r="S3106">
        <v>32190</v>
      </c>
    </row>
    <row r="3107" spans="18:19" x14ac:dyDescent="0.3">
      <c r="R3107" t="s">
        <v>5031</v>
      </c>
      <c r="S3107">
        <v>417370</v>
      </c>
    </row>
    <row r="3108" spans="18:19" x14ac:dyDescent="0.3">
      <c r="R3108" t="s">
        <v>5032</v>
      </c>
      <c r="S3108">
        <v>140</v>
      </c>
    </row>
    <row r="3109" spans="18:19" x14ac:dyDescent="0.3">
      <c r="R3109" t="s">
        <v>5033</v>
      </c>
      <c r="S3109">
        <v>11500750</v>
      </c>
    </row>
    <row r="3110" spans="18:19" x14ac:dyDescent="0.3">
      <c r="R3110" t="s">
        <v>5034</v>
      </c>
      <c r="S3110">
        <v>16280</v>
      </c>
    </row>
    <row r="3111" spans="18:19" x14ac:dyDescent="0.3">
      <c r="R3111" t="s">
        <v>5035</v>
      </c>
      <c r="S3111">
        <v>0</v>
      </c>
    </row>
    <row r="3112" spans="18:19" x14ac:dyDescent="0.3">
      <c r="R3112" t="s">
        <v>5036</v>
      </c>
      <c r="S3112">
        <v>907430</v>
      </c>
    </row>
    <row r="3113" spans="18:19" x14ac:dyDescent="0.3">
      <c r="R3113" t="s">
        <v>5037</v>
      </c>
      <c r="S3113">
        <v>303920</v>
      </c>
    </row>
    <row r="3114" spans="18:19" x14ac:dyDescent="0.3">
      <c r="R3114" t="s">
        <v>5038</v>
      </c>
      <c r="S3114">
        <v>4065660</v>
      </c>
    </row>
    <row r="3115" spans="18:19" x14ac:dyDescent="0.3">
      <c r="R3115" t="s">
        <v>5039</v>
      </c>
      <c r="S3115">
        <v>0</v>
      </c>
    </row>
    <row r="3116" spans="18:19" x14ac:dyDescent="0.3">
      <c r="R3116" t="s">
        <v>5040</v>
      </c>
      <c r="S3116">
        <v>1681730</v>
      </c>
    </row>
    <row r="3117" spans="18:19" x14ac:dyDescent="0.3">
      <c r="R3117" t="s">
        <v>5041</v>
      </c>
      <c r="S3117">
        <v>103730</v>
      </c>
    </row>
    <row r="3118" spans="18:19" x14ac:dyDescent="0.3">
      <c r="R3118" t="s">
        <v>5042</v>
      </c>
      <c r="S3118">
        <v>0</v>
      </c>
    </row>
    <row r="3119" spans="18:19" x14ac:dyDescent="0.3">
      <c r="R3119" t="s">
        <v>5043</v>
      </c>
      <c r="S3119">
        <v>731270</v>
      </c>
    </row>
    <row r="3120" spans="18:19" x14ac:dyDescent="0.3">
      <c r="R3120" t="s">
        <v>5044</v>
      </c>
      <c r="S3120">
        <v>3465500</v>
      </c>
    </row>
    <row r="3121" spans="18:19" x14ac:dyDescent="0.3">
      <c r="R3121" t="s">
        <v>5045</v>
      </c>
      <c r="S3121">
        <v>17830</v>
      </c>
    </row>
    <row r="3122" spans="18:19" x14ac:dyDescent="0.3">
      <c r="R3122" t="s">
        <v>5046</v>
      </c>
      <c r="S3122">
        <v>1868010</v>
      </c>
    </row>
    <row r="3123" spans="18:19" x14ac:dyDescent="0.3">
      <c r="R3123" t="s">
        <v>5047</v>
      </c>
      <c r="S3123">
        <v>1993650</v>
      </c>
    </row>
    <row r="3124" spans="18:19" x14ac:dyDescent="0.3">
      <c r="R3124" t="s">
        <v>5048</v>
      </c>
      <c r="S3124">
        <v>35510</v>
      </c>
    </row>
    <row r="3125" spans="18:19" x14ac:dyDescent="0.3">
      <c r="R3125" t="s">
        <v>5049</v>
      </c>
      <c r="S3125">
        <v>66000</v>
      </c>
    </row>
    <row r="3126" spans="18:19" x14ac:dyDescent="0.3">
      <c r="R3126" t="s">
        <v>5050</v>
      </c>
      <c r="S3126">
        <v>1726000</v>
      </c>
    </row>
    <row r="3127" spans="18:19" x14ac:dyDescent="0.3">
      <c r="R3127" t="s">
        <v>5051</v>
      </c>
      <c r="S3127">
        <v>8203970</v>
      </c>
    </row>
    <row r="3128" spans="18:19" x14ac:dyDescent="0.3">
      <c r="R3128" t="s">
        <v>5052</v>
      </c>
      <c r="S3128">
        <v>280</v>
      </c>
    </row>
    <row r="3129" spans="18:19" x14ac:dyDescent="0.3">
      <c r="R3129" t="s">
        <v>5053</v>
      </c>
      <c r="S3129">
        <v>1860</v>
      </c>
    </row>
    <row r="3130" spans="18:19" x14ac:dyDescent="0.3">
      <c r="R3130" t="s">
        <v>5054</v>
      </c>
      <c r="S3130">
        <v>1380600</v>
      </c>
    </row>
    <row r="3131" spans="18:19" x14ac:dyDescent="0.3">
      <c r="R3131" t="s">
        <v>5055</v>
      </c>
      <c r="S3131">
        <v>31280</v>
      </c>
    </row>
    <row r="3132" spans="18:19" x14ac:dyDescent="0.3">
      <c r="R3132" t="s">
        <v>5056</v>
      </c>
      <c r="S3132">
        <v>2850</v>
      </c>
    </row>
    <row r="3133" spans="18:19" x14ac:dyDescent="0.3">
      <c r="R3133" t="s">
        <v>5057</v>
      </c>
      <c r="S3133">
        <v>41330</v>
      </c>
    </row>
    <row r="3134" spans="18:19" x14ac:dyDescent="0.3">
      <c r="R3134" t="s">
        <v>5058</v>
      </c>
      <c r="S3134">
        <v>6280</v>
      </c>
    </row>
    <row r="3135" spans="18:19" x14ac:dyDescent="0.3">
      <c r="R3135" t="s">
        <v>5059</v>
      </c>
      <c r="S3135">
        <v>194610</v>
      </c>
    </row>
    <row r="3136" spans="18:19" x14ac:dyDescent="0.3">
      <c r="R3136" t="s">
        <v>5060</v>
      </c>
      <c r="S3136">
        <v>327740</v>
      </c>
    </row>
    <row r="3137" spans="18:19" x14ac:dyDescent="0.3">
      <c r="R3137" t="s">
        <v>5061</v>
      </c>
      <c r="S3137">
        <v>184840</v>
      </c>
    </row>
    <row r="3138" spans="18:19" x14ac:dyDescent="0.3">
      <c r="R3138" t="s">
        <v>5062</v>
      </c>
      <c r="S3138">
        <v>2984610</v>
      </c>
    </row>
    <row r="3139" spans="18:19" x14ac:dyDescent="0.3">
      <c r="R3139" t="s">
        <v>5063</v>
      </c>
      <c r="S3139">
        <v>35310</v>
      </c>
    </row>
    <row r="3140" spans="18:19" x14ac:dyDescent="0.3">
      <c r="R3140" t="s">
        <v>5064</v>
      </c>
      <c r="S3140">
        <v>9000</v>
      </c>
    </row>
    <row r="3141" spans="18:19" x14ac:dyDescent="0.3">
      <c r="R3141" t="s">
        <v>5065</v>
      </c>
      <c r="S3141">
        <v>65380</v>
      </c>
    </row>
    <row r="3142" spans="18:19" x14ac:dyDescent="0.3">
      <c r="R3142" t="s">
        <v>5066</v>
      </c>
      <c r="S3142">
        <v>1188600</v>
      </c>
    </row>
    <row r="3143" spans="18:19" x14ac:dyDescent="0.3">
      <c r="R3143" t="s">
        <v>5067</v>
      </c>
      <c r="S3143">
        <v>7980</v>
      </c>
    </row>
    <row r="3144" spans="18:19" x14ac:dyDescent="0.3">
      <c r="R3144" t="s">
        <v>5068</v>
      </c>
      <c r="S3144">
        <v>0</v>
      </c>
    </row>
    <row r="3145" spans="18:19" x14ac:dyDescent="0.3">
      <c r="R3145" t="s">
        <v>5069</v>
      </c>
      <c r="S3145">
        <v>44860</v>
      </c>
    </row>
    <row r="3146" spans="18:19" x14ac:dyDescent="0.3">
      <c r="R3146" t="s">
        <v>5070</v>
      </c>
      <c r="S3146">
        <v>462320</v>
      </c>
    </row>
    <row r="3147" spans="18:19" x14ac:dyDescent="0.3">
      <c r="R3147" t="s">
        <v>5071</v>
      </c>
      <c r="S3147">
        <v>3650</v>
      </c>
    </row>
    <row r="3148" spans="18:19" x14ac:dyDescent="0.3">
      <c r="R3148" t="s">
        <v>5072</v>
      </c>
      <c r="S3148">
        <v>124170</v>
      </c>
    </row>
    <row r="3149" spans="18:19" x14ac:dyDescent="0.3">
      <c r="R3149" t="s">
        <v>5073</v>
      </c>
      <c r="S3149">
        <v>10820</v>
      </c>
    </row>
    <row r="3150" spans="18:19" x14ac:dyDescent="0.3">
      <c r="R3150" t="s">
        <v>5074</v>
      </c>
      <c r="S3150">
        <v>1374942</v>
      </c>
    </row>
    <row r="3151" spans="18:19" x14ac:dyDescent="0.3">
      <c r="R3151" t="s">
        <v>5075</v>
      </c>
      <c r="S3151">
        <v>1029740</v>
      </c>
    </row>
    <row r="3152" spans="18:19" x14ac:dyDescent="0.3">
      <c r="R3152" t="s">
        <v>5076</v>
      </c>
      <c r="S3152">
        <v>616144</v>
      </c>
    </row>
    <row r="3153" spans="18:19" x14ac:dyDescent="0.3">
      <c r="R3153" t="s">
        <v>5077</v>
      </c>
      <c r="S3153">
        <v>99550</v>
      </c>
    </row>
    <row r="3154" spans="18:19" x14ac:dyDescent="0.3">
      <c r="R3154" t="s">
        <v>5078</v>
      </c>
      <c r="S3154">
        <v>172190</v>
      </c>
    </row>
    <row r="3155" spans="18:19" x14ac:dyDescent="0.3">
      <c r="R3155" t="s">
        <v>5079</v>
      </c>
      <c r="S3155">
        <v>551990</v>
      </c>
    </row>
    <row r="3156" spans="18:19" x14ac:dyDescent="0.3">
      <c r="R3156" t="s">
        <v>5080</v>
      </c>
      <c r="S3156">
        <v>222250</v>
      </c>
    </row>
    <row r="3157" spans="18:19" x14ac:dyDescent="0.3">
      <c r="R3157" t="s">
        <v>5081</v>
      </c>
      <c r="S3157">
        <v>77000</v>
      </c>
    </row>
    <row r="3158" spans="18:19" x14ac:dyDescent="0.3">
      <c r="R3158" t="s">
        <v>5082</v>
      </c>
      <c r="S3158">
        <v>338560</v>
      </c>
    </row>
    <row r="3159" spans="18:19" x14ac:dyDescent="0.3">
      <c r="R3159" t="s">
        <v>5083</v>
      </c>
      <c r="S3159">
        <v>3287900</v>
      </c>
    </row>
    <row r="3160" spans="18:19" x14ac:dyDescent="0.3">
      <c r="R3160" t="s">
        <v>5084</v>
      </c>
      <c r="S3160">
        <v>0</v>
      </c>
    </row>
    <row r="3161" spans="18:19" x14ac:dyDescent="0.3">
      <c r="R3161" t="s">
        <v>5085</v>
      </c>
      <c r="S3161">
        <v>0</v>
      </c>
    </row>
    <row r="3162" spans="18:19" x14ac:dyDescent="0.3">
      <c r="R3162" t="s">
        <v>5086</v>
      </c>
      <c r="S3162">
        <v>428470</v>
      </c>
    </row>
    <row r="3163" spans="18:19" x14ac:dyDescent="0.3">
      <c r="R3163" t="s">
        <v>5087</v>
      </c>
      <c r="S3163">
        <v>695990</v>
      </c>
    </row>
    <row r="3164" spans="18:19" x14ac:dyDescent="0.3">
      <c r="R3164" t="s">
        <v>5088</v>
      </c>
      <c r="S3164">
        <v>2980710</v>
      </c>
    </row>
    <row r="3165" spans="18:19" x14ac:dyDescent="0.3">
      <c r="R3165" t="s">
        <v>5089</v>
      </c>
      <c r="S3165">
        <v>101890</v>
      </c>
    </row>
    <row r="3166" spans="18:19" x14ac:dyDescent="0.3">
      <c r="R3166" t="s">
        <v>5090</v>
      </c>
      <c r="S3166">
        <v>4630320</v>
      </c>
    </row>
    <row r="3167" spans="18:19" x14ac:dyDescent="0.3">
      <c r="R3167" t="s">
        <v>5091</v>
      </c>
      <c r="S3167">
        <v>345700</v>
      </c>
    </row>
    <row r="3168" spans="18:19" x14ac:dyDescent="0.3">
      <c r="R3168" t="s">
        <v>5092</v>
      </c>
      <c r="S3168">
        <v>2959230</v>
      </c>
    </row>
    <row r="3169" spans="18:19" x14ac:dyDescent="0.3">
      <c r="R3169" t="s">
        <v>5093</v>
      </c>
      <c r="S3169">
        <v>43640</v>
      </c>
    </row>
    <row r="3170" spans="18:19" x14ac:dyDescent="0.3">
      <c r="R3170" t="s">
        <v>5094</v>
      </c>
      <c r="S3170">
        <v>3795450</v>
      </c>
    </row>
    <row r="3171" spans="18:19" x14ac:dyDescent="0.3">
      <c r="R3171" t="s">
        <v>5095</v>
      </c>
      <c r="S3171">
        <v>467670</v>
      </c>
    </row>
    <row r="3172" spans="18:19" x14ac:dyDescent="0.3">
      <c r="R3172" t="s">
        <v>5096</v>
      </c>
      <c r="S3172">
        <v>570220</v>
      </c>
    </row>
    <row r="3173" spans="18:19" x14ac:dyDescent="0.3">
      <c r="R3173" t="s">
        <v>5097</v>
      </c>
      <c r="S3173">
        <v>43820</v>
      </c>
    </row>
    <row r="3174" spans="18:19" x14ac:dyDescent="0.3">
      <c r="R3174" t="s">
        <v>5098</v>
      </c>
      <c r="S3174">
        <v>1484140</v>
      </c>
    </row>
    <row r="3175" spans="18:19" x14ac:dyDescent="0.3">
      <c r="R3175" t="s">
        <v>5099</v>
      </c>
      <c r="S3175">
        <v>3193170</v>
      </c>
    </row>
    <row r="3176" spans="18:19" x14ac:dyDescent="0.3">
      <c r="R3176" t="s">
        <v>5100</v>
      </c>
      <c r="S3176">
        <v>431350</v>
      </c>
    </row>
    <row r="3177" spans="18:19" x14ac:dyDescent="0.3">
      <c r="R3177" t="s">
        <v>5101</v>
      </c>
      <c r="S3177">
        <v>160420</v>
      </c>
    </row>
    <row r="3178" spans="18:19" x14ac:dyDescent="0.3">
      <c r="R3178" t="s">
        <v>5102</v>
      </c>
      <c r="S3178">
        <v>590</v>
      </c>
    </row>
    <row r="3179" spans="18:19" x14ac:dyDescent="0.3">
      <c r="R3179" t="s">
        <v>5103</v>
      </c>
      <c r="S3179">
        <v>248900</v>
      </c>
    </row>
    <row r="3180" spans="18:19" x14ac:dyDescent="0.3">
      <c r="R3180" t="s">
        <v>5104</v>
      </c>
      <c r="S3180">
        <v>649460</v>
      </c>
    </row>
    <row r="3181" spans="18:19" x14ac:dyDescent="0.3">
      <c r="R3181" t="s">
        <v>5105</v>
      </c>
      <c r="S3181">
        <v>7180</v>
      </c>
    </row>
    <row r="3182" spans="18:19" x14ac:dyDescent="0.3">
      <c r="R3182" t="s">
        <v>5106</v>
      </c>
      <c r="S3182">
        <v>36170</v>
      </c>
    </row>
    <row r="3183" spans="18:19" x14ac:dyDescent="0.3">
      <c r="R3183" t="s">
        <v>5107</v>
      </c>
      <c r="S3183">
        <v>0</v>
      </c>
    </row>
    <row r="3184" spans="18:19" x14ac:dyDescent="0.3">
      <c r="R3184" t="s">
        <v>5108</v>
      </c>
      <c r="S3184">
        <v>4117090</v>
      </c>
    </row>
    <row r="3185" spans="18:19" x14ac:dyDescent="0.3">
      <c r="R3185" t="s">
        <v>5109</v>
      </c>
      <c r="S3185">
        <v>416940</v>
      </c>
    </row>
    <row r="3186" spans="18:19" x14ac:dyDescent="0.3">
      <c r="R3186" t="s">
        <v>5110</v>
      </c>
      <c r="S3186">
        <v>303980</v>
      </c>
    </row>
    <row r="3187" spans="18:19" x14ac:dyDescent="0.3">
      <c r="R3187" t="s">
        <v>5111</v>
      </c>
      <c r="S3187">
        <v>1301436</v>
      </c>
    </row>
    <row r="3188" spans="18:19" x14ac:dyDescent="0.3">
      <c r="R3188" t="s">
        <v>5112</v>
      </c>
      <c r="S3188">
        <v>118884270</v>
      </c>
    </row>
    <row r="3189" spans="18:19" x14ac:dyDescent="0.3">
      <c r="R3189" t="s">
        <v>5113</v>
      </c>
      <c r="S3189">
        <v>246380</v>
      </c>
    </row>
    <row r="3190" spans="18:19" x14ac:dyDescent="0.3">
      <c r="R3190" t="s">
        <v>5114</v>
      </c>
      <c r="S3190">
        <v>70</v>
      </c>
    </row>
    <row r="3191" spans="18:19" x14ac:dyDescent="0.3">
      <c r="R3191" t="s">
        <v>5115</v>
      </c>
      <c r="S3191">
        <v>1172430</v>
      </c>
    </row>
    <row r="3192" spans="18:19" x14ac:dyDescent="0.3">
      <c r="R3192" t="s">
        <v>5116</v>
      </c>
      <c r="S3192">
        <v>3218300</v>
      </c>
    </row>
    <row r="3193" spans="18:19" x14ac:dyDescent="0.3">
      <c r="R3193" t="s">
        <v>5117</v>
      </c>
      <c r="S3193">
        <v>110710</v>
      </c>
    </row>
    <row r="3194" spans="18:19" x14ac:dyDescent="0.3">
      <c r="R3194" t="s">
        <v>5118</v>
      </c>
      <c r="S3194">
        <v>740</v>
      </c>
    </row>
    <row r="3195" spans="18:19" x14ac:dyDescent="0.3">
      <c r="R3195" t="s">
        <v>5119</v>
      </c>
      <c r="S3195">
        <v>2730</v>
      </c>
    </row>
    <row r="3196" spans="18:19" x14ac:dyDescent="0.3">
      <c r="R3196" t="s">
        <v>5120</v>
      </c>
      <c r="S3196">
        <v>900370</v>
      </c>
    </row>
    <row r="3197" spans="18:19" x14ac:dyDescent="0.3">
      <c r="R3197" t="s">
        <v>5121</v>
      </c>
      <c r="S3197">
        <v>4494530</v>
      </c>
    </row>
    <row r="3198" spans="18:19" x14ac:dyDescent="0.3">
      <c r="R3198" t="s">
        <v>5122</v>
      </c>
      <c r="S3198">
        <v>17200</v>
      </c>
    </row>
    <row r="3199" spans="18:19" x14ac:dyDescent="0.3">
      <c r="R3199" t="s">
        <v>5123</v>
      </c>
      <c r="S3199">
        <v>287590</v>
      </c>
    </row>
    <row r="3200" spans="18:19" x14ac:dyDescent="0.3">
      <c r="R3200" t="s">
        <v>5124</v>
      </c>
      <c r="S3200">
        <v>1266420</v>
      </c>
    </row>
    <row r="3201" spans="18:19" x14ac:dyDescent="0.3">
      <c r="R3201" t="s">
        <v>5125</v>
      </c>
      <c r="S3201">
        <v>407340</v>
      </c>
    </row>
    <row r="3202" spans="18:19" x14ac:dyDescent="0.3">
      <c r="R3202" t="s">
        <v>5126</v>
      </c>
      <c r="S3202">
        <v>24890</v>
      </c>
    </row>
    <row r="3203" spans="18:19" x14ac:dyDescent="0.3">
      <c r="R3203" t="s">
        <v>5127</v>
      </c>
      <c r="S3203">
        <v>465700</v>
      </c>
    </row>
    <row r="3204" spans="18:19" x14ac:dyDescent="0.3">
      <c r="R3204" t="s">
        <v>5128</v>
      </c>
      <c r="S3204">
        <v>196210</v>
      </c>
    </row>
    <row r="3205" spans="18:19" x14ac:dyDescent="0.3">
      <c r="R3205" t="s">
        <v>5129</v>
      </c>
      <c r="S3205">
        <v>218100</v>
      </c>
    </row>
    <row r="3206" spans="18:19" x14ac:dyDescent="0.3">
      <c r="R3206" t="s">
        <v>5130</v>
      </c>
      <c r="S3206">
        <v>856580</v>
      </c>
    </row>
    <row r="3207" spans="18:19" x14ac:dyDescent="0.3">
      <c r="R3207" t="s">
        <v>5131</v>
      </c>
      <c r="S3207">
        <v>140</v>
      </c>
    </row>
    <row r="3208" spans="18:19" x14ac:dyDescent="0.3">
      <c r="R3208" t="s">
        <v>5132</v>
      </c>
      <c r="S3208">
        <v>1499410</v>
      </c>
    </row>
    <row r="3209" spans="18:19" x14ac:dyDescent="0.3">
      <c r="R3209" t="s">
        <v>5133</v>
      </c>
      <c r="S3209">
        <v>192230</v>
      </c>
    </row>
    <row r="3210" spans="18:19" x14ac:dyDescent="0.3">
      <c r="R3210" t="s">
        <v>5134</v>
      </c>
      <c r="S3210">
        <v>191960</v>
      </c>
    </row>
    <row r="3211" spans="18:19" x14ac:dyDescent="0.3">
      <c r="R3211" t="s">
        <v>5135</v>
      </c>
      <c r="S3211">
        <v>1487080</v>
      </c>
    </row>
    <row r="3212" spans="18:19" x14ac:dyDescent="0.3">
      <c r="R3212" t="s">
        <v>5136</v>
      </c>
      <c r="S3212">
        <v>986360</v>
      </c>
    </row>
    <row r="3213" spans="18:19" x14ac:dyDescent="0.3">
      <c r="R3213" t="s">
        <v>5137</v>
      </c>
      <c r="S3213">
        <v>260830</v>
      </c>
    </row>
    <row r="3214" spans="18:19" x14ac:dyDescent="0.3">
      <c r="R3214" t="s">
        <v>5138</v>
      </c>
      <c r="S3214">
        <v>0</v>
      </c>
    </row>
    <row r="3215" spans="18:19" x14ac:dyDescent="0.3">
      <c r="R3215" t="s">
        <v>5139</v>
      </c>
      <c r="S3215">
        <v>1050</v>
      </c>
    </row>
    <row r="3216" spans="18:19" x14ac:dyDescent="0.3">
      <c r="R3216" t="s">
        <v>5140</v>
      </c>
      <c r="S3216">
        <v>940740</v>
      </c>
    </row>
    <row r="3217" spans="18:19" x14ac:dyDescent="0.3">
      <c r="R3217" t="s">
        <v>5141</v>
      </c>
      <c r="S3217">
        <v>66780</v>
      </c>
    </row>
    <row r="3218" spans="18:19" x14ac:dyDescent="0.3">
      <c r="R3218" t="s">
        <v>5142</v>
      </c>
      <c r="S3218">
        <v>35670</v>
      </c>
    </row>
    <row r="3219" spans="18:19" x14ac:dyDescent="0.3">
      <c r="R3219" t="s">
        <v>5143</v>
      </c>
      <c r="S3219">
        <v>270010</v>
      </c>
    </row>
    <row r="3220" spans="18:19" x14ac:dyDescent="0.3">
      <c r="R3220" t="s">
        <v>5144</v>
      </c>
      <c r="S3220">
        <v>7748620</v>
      </c>
    </row>
    <row r="3221" spans="18:19" x14ac:dyDescent="0.3">
      <c r="R3221" t="s">
        <v>5145</v>
      </c>
      <c r="S3221">
        <v>289040</v>
      </c>
    </row>
    <row r="3222" spans="18:19" x14ac:dyDescent="0.3">
      <c r="R3222" t="s">
        <v>5146</v>
      </c>
      <c r="S3222">
        <v>925910</v>
      </c>
    </row>
    <row r="3223" spans="18:19" x14ac:dyDescent="0.3">
      <c r="R3223" t="s">
        <v>5147</v>
      </c>
      <c r="S3223">
        <v>1202080</v>
      </c>
    </row>
    <row r="3224" spans="18:19" x14ac:dyDescent="0.3">
      <c r="R3224" t="s">
        <v>5148</v>
      </c>
      <c r="S3224">
        <v>30903370</v>
      </c>
    </row>
    <row r="3225" spans="18:19" x14ac:dyDescent="0.3">
      <c r="R3225" t="s">
        <v>5149</v>
      </c>
      <c r="S3225">
        <v>480160</v>
      </c>
    </row>
    <row r="3226" spans="18:19" x14ac:dyDescent="0.3">
      <c r="R3226" t="s">
        <v>5150</v>
      </c>
      <c r="S3226">
        <v>140780</v>
      </c>
    </row>
    <row r="3227" spans="18:19" x14ac:dyDescent="0.3">
      <c r="R3227" t="s">
        <v>5151</v>
      </c>
      <c r="S3227">
        <v>172440</v>
      </c>
    </row>
    <row r="3228" spans="18:19" x14ac:dyDescent="0.3">
      <c r="R3228" t="s">
        <v>5152</v>
      </c>
      <c r="S3228">
        <v>30330</v>
      </c>
    </row>
    <row r="3229" spans="18:19" x14ac:dyDescent="0.3">
      <c r="R3229" t="s">
        <v>5153</v>
      </c>
      <c r="S3229">
        <v>130900</v>
      </c>
    </row>
    <row r="3230" spans="18:19" x14ac:dyDescent="0.3">
      <c r="R3230" t="s">
        <v>5154</v>
      </c>
      <c r="S3230">
        <v>1266840</v>
      </c>
    </row>
    <row r="3231" spans="18:19" x14ac:dyDescent="0.3">
      <c r="R3231" t="s">
        <v>5155</v>
      </c>
      <c r="S3231">
        <v>60180</v>
      </c>
    </row>
    <row r="3232" spans="18:19" x14ac:dyDescent="0.3">
      <c r="R3232" t="s">
        <v>5156</v>
      </c>
      <c r="S3232">
        <v>767650</v>
      </c>
    </row>
    <row r="3233" spans="18:19" x14ac:dyDescent="0.3">
      <c r="R3233" t="s">
        <v>5157</v>
      </c>
      <c r="S3233">
        <v>26310</v>
      </c>
    </row>
    <row r="3234" spans="18:19" x14ac:dyDescent="0.3">
      <c r="R3234" t="s">
        <v>5158</v>
      </c>
      <c r="S3234">
        <v>569900</v>
      </c>
    </row>
    <row r="3235" spans="18:19" x14ac:dyDescent="0.3">
      <c r="R3235" t="s">
        <v>5159</v>
      </c>
      <c r="S3235">
        <v>209030</v>
      </c>
    </row>
    <row r="3236" spans="18:19" x14ac:dyDescent="0.3">
      <c r="R3236" t="s">
        <v>5160</v>
      </c>
      <c r="S3236">
        <v>832420</v>
      </c>
    </row>
    <row r="3237" spans="18:19" x14ac:dyDescent="0.3">
      <c r="R3237" t="s">
        <v>5161</v>
      </c>
      <c r="S3237">
        <v>2515610</v>
      </c>
    </row>
    <row r="3238" spans="18:19" x14ac:dyDescent="0.3">
      <c r="R3238" t="s">
        <v>5162</v>
      </c>
      <c r="S3238">
        <v>4323200</v>
      </c>
    </row>
    <row r="3239" spans="18:19" x14ac:dyDescent="0.3">
      <c r="R3239" t="s">
        <v>5163</v>
      </c>
      <c r="S3239">
        <v>165770</v>
      </c>
    </row>
    <row r="3240" spans="18:19" x14ac:dyDescent="0.3">
      <c r="R3240" t="s">
        <v>5164</v>
      </c>
      <c r="S3240">
        <v>8400820</v>
      </c>
    </row>
    <row r="3241" spans="18:19" x14ac:dyDescent="0.3">
      <c r="R3241" t="s">
        <v>5165</v>
      </c>
      <c r="S3241">
        <v>7250</v>
      </c>
    </row>
    <row r="3242" spans="18:19" x14ac:dyDescent="0.3">
      <c r="R3242" t="s">
        <v>5166</v>
      </c>
      <c r="S3242">
        <v>17530</v>
      </c>
    </row>
    <row r="3243" spans="18:19" x14ac:dyDescent="0.3">
      <c r="R3243" t="s">
        <v>5167</v>
      </c>
      <c r="S3243">
        <v>10970</v>
      </c>
    </row>
    <row r="3244" spans="18:19" x14ac:dyDescent="0.3">
      <c r="R3244" t="s">
        <v>5168</v>
      </c>
      <c r="S3244">
        <v>18490</v>
      </c>
    </row>
    <row r="3245" spans="18:19" x14ac:dyDescent="0.3">
      <c r="R3245" t="s">
        <v>5169</v>
      </c>
      <c r="S3245">
        <v>1215480</v>
      </c>
    </row>
    <row r="3246" spans="18:19" x14ac:dyDescent="0.3">
      <c r="R3246" t="s">
        <v>5170</v>
      </c>
      <c r="S3246">
        <v>2327620</v>
      </c>
    </row>
    <row r="3247" spans="18:19" x14ac:dyDescent="0.3">
      <c r="R3247" t="s">
        <v>5171</v>
      </c>
      <c r="S3247">
        <v>325930</v>
      </c>
    </row>
    <row r="3248" spans="18:19" x14ac:dyDescent="0.3">
      <c r="R3248" t="s">
        <v>5172</v>
      </c>
      <c r="S3248">
        <v>8097600</v>
      </c>
    </row>
    <row r="3249" spans="18:19" x14ac:dyDescent="0.3">
      <c r="R3249" t="s">
        <v>5173</v>
      </c>
      <c r="S3249">
        <v>53830</v>
      </c>
    </row>
    <row r="3250" spans="18:19" x14ac:dyDescent="0.3">
      <c r="R3250" t="s">
        <v>5174</v>
      </c>
      <c r="S3250">
        <v>2861810</v>
      </c>
    </row>
    <row r="3251" spans="18:19" x14ac:dyDescent="0.3">
      <c r="R3251" t="s">
        <v>5175</v>
      </c>
      <c r="S3251">
        <v>0</v>
      </c>
    </row>
    <row r="3252" spans="18:19" x14ac:dyDescent="0.3">
      <c r="R3252" t="s">
        <v>5176</v>
      </c>
      <c r="S3252">
        <v>388110</v>
      </c>
    </row>
    <row r="3253" spans="18:19" x14ac:dyDescent="0.3">
      <c r="R3253" t="s">
        <v>5177</v>
      </c>
      <c r="S3253">
        <v>150</v>
      </c>
    </row>
    <row r="3254" spans="18:19" x14ac:dyDescent="0.3">
      <c r="R3254" t="s">
        <v>5178</v>
      </c>
      <c r="S3254">
        <v>323310</v>
      </c>
    </row>
    <row r="3255" spans="18:19" x14ac:dyDescent="0.3">
      <c r="R3255" t="s">
        <v>5179</v>
      </c>
      <c r="S3255">
        <v>234170</v>
      </c>
    </row>
    <row r="3256" spans="18:19" x14ac:dyDescent="0.3">
      <c r="R3256" t="s">
        <v>5180</v>
      </c>
      <c r="S3256">
        <v>680</v>
      </c>
    </row>
    <row r="3257" spans="18:19" x14ac:dyDescent="0.3">
      <c r="R3257" t="s">
        <v>5181</v>
      </c>
      <c r="S3257">
        <v>1690</v>
      </c>
    </row>
    <row r="3258" spans="18:19" x14ac:dyDescent="0.3">
      <c r="R3258" t="s">
        <v>5182</v>
      </c>
      <c r="S3258">
        <v>3820</v>
      </c>
    </row>
    <row r="3259" spans="18:19" x14ac:dyDescent="0.3">
      <c r="R3259" t="s">
        <v>5183</v>
      </c>
      <c r="S3259">
        <v>1400</v>
      </c>
    </row>
    <row r="3260" spans="18:19" x14ac:dyDescent="0.3">
      <c r="R3260" t="s">
        <v>5184</v>
      </c>
      <c r="S3260">
        <v>5120</v>
      </c>
    </row>
    <row r="3261" spans="18:19" x14ac:dyDescent="0.3">
      <c r="R3261" t="s">
        <v>5185</v>
      </c>
      <c r="S3261">
        <v>858150</v>
      </c>
    </row>
    <row r="3262" spans="18:19" x14ac:dyDescent="0.3">
      <c r="R3262" t="s">
        <v>5186</v>
      </c>
      <c r="S3262">
        <v>27360</v>
      </c>
    </row>
    <row r="3263" spans="18:19" x14ac:dyDescent="0.3">
      <c r="R3263" t="s">
        <v>5187</v>
      </c>
      <c r="S3263">
        <v>61820</v>
      </c>
    </row>
    <row r="3264" spans="18:19" x14ac:dyDescent="0.3">
      <c r="R3264" t="s">
        <v>5188</v>
      </c>
      <c r="S3264">
        <v>350</v>
      </c>
    </row>
    <row r="3265" spans="18:19" x14ac:dyDescent="0.3">
      <c r="R3265" t="s">
        <v>5189</v>
      </c>
      <c r="S3265">
        <v>9758320</v>
      </c>
    </row>
    <row r="3266" spans="18:19" x14ac:dyDescent="0.3">
      <c r="R3266" t="s">
        <v>5190</v>
      </c>
      <c r="S3266">
        <v>303480</v>
      </c>
    </row>
    <row r="3267" spans="18:19" x14ac:dyDescent="0.3">
      <c r="R3267" t="s">
        <v>5191</v>
      </c>
      <c r="S3267">
        <v>9210</v>
      </c>
    </row>
    <row r="3268" spans="18:19" x14ac:dyDescent="0.3">
      <c r="R3268" t="s">
        <v>5192</v>
      </c>
      <c r="S3268">
        <v>3040</v>
      </c>
    </row>
    <row r="3269" spans="18:19" x14ac:dyDescent="0.3">
      <c r="R3269" t="s">
        <v>5193</v>
      </c>
      <c r="S3269">
        <v>141730</v>
      </c>
    </row>
    <row r="3270" spans="18:19" x14ac:dyDescent="0.3">
      <c r="R3270" t="s">
        <v>5194</v>
      </c>
      <c r="S3270">
        <v>0</v>
      </c>
    </row>
    <row r="3271" spans="18:19" x14ac:dyDescent="0.3">
      <c r="R3271" t="s">
        <v>5195</v>
      </c>
      <c r="S3271">
        <v>6180</v>
      </c>
    </row>
    <row r="3272" spans="18:19" x14ac:dyDescent="0.3">
      <c r="R3272" t="s">
        <v>5196</v>
      </c>
      <c r="S3272">
        <v>67100</v>
      </c>
    </row>
    <row r="3273" spans="18:19" x14ac:dyDescent="0.3">
      <c r="R3273" t="s">
        <v>5197</v>
      </c>
      <c r="S3273">
        <v>24365240</v>
      </c>
    </row>
    <row r="3274" spans="18:19" x14ac:dyDescent="0.3">
      <c r="R3274" t="s">
        <v>5198</v>
      </c>
      <c r="S3274">
        <v>3281040</v>
      </c>
    </row>
    <row r="3275" spans="18:19" x14ac:dyDescent="0.3">
      <c r="R3275" t="s">
        <v>5199</v>
      </c>
      <c r="S3275">
        <v>7210</v>
      </c>
    </row>
    <row r="3276" spans="18:19" x14ac:dyDescent="0.3">
      <c r="R3276" t="s">
        <v>5200</v>
      </c>
      <c r="S3276">
        <v>560</v>
      </c>
    </row>
    <row r="3277" spans="18:19" x14ac:dyDescent="0.3">
      <c r="R3277" t="s">
        <v>5201</v>
      </c>
      <c r="S3277">
        <v>66420</v>
      </c>
    </row>
    <row r="3278" spans="18:19" x14ac:dyDescent="0.3">
      <c r="R3278" t="s">
        <v>5202</v>
      </c>
      <c r="S3278">
        <v>35300</v>
      </c>
    </row>
    <row r="3279" spans="18:19" x14ac:dyDescent="0.3">
      <c r="R3279" t="s">
        <v>5203</v>
      </c>
      <c r="S3279">
        <v>3247910</v>
      </c>
    </row>
    <row r="3280" spans="18:19" x14ac:dyDescent="0.3">
      <c r="R3280" t="s">
        <v>5204</v>
      </c>
      <c r="S3280">
        <v>1594470</v>
      </c>
    </row>
    <row r="3281" spans="18:19" x14ac:dyDescent="0.3">
      <c r="R3281" t="s">
        <v>5205</v>
      </c>
      <c r="S3281">
        <v>1286900</v>
      </c>
    </row>
    <row r="3282" spans="18:19" x14ac:dyDescent="0.3">
      <c r="R3282" t="s">
        <v>5206</v>
      </c>
      <c r="S3282">
        <v>363550</v>
      </c>
    </row>
    <row r="3283" spans="18:19" x14ac:dyDescent="0.3">
      <c r="R3283" t="s">
        <v>5207</v>
      </c>
      <c r="S3283">
        <v>554090</v>
      </c>
    </row>
    <row r="3284" spans="18:19" x14ac:dyDescent="0.3">
      <c r="R3284" t="s">
        <v>5208</v>
      </c>
      <c r="S3284">
        <v>52880</v>
      </c>
    </row>
    <row r="3285" spans="18:19" x14ac:dyDescent="0.3">
      <c r="R3285" t="s">
        <v>5209</v>
      </c>
      <c r="S3285">
        <v>2235490</v>
      </c>
    </row>
    <row r="3286" spans="18:19" x14ac:dyDescent="0.3">
      <c r="R3286" t="s">
        <v>5210</v>
      </c>
      <c r="S3286">
        <v>1920280</v>
      </c>
    </row>
    <row r="3287" spans="18:19" x14ac:dyDescent="0.3">
      <c r="R3287" t="s">
        <v>5211</v>
      </c>
      <c r="S3287">
        <v>112430</v>
      </c>
    </row>
    <row r="3288" spans="18:19" x14ac:dyDescent="0.3">
      <c r="R3288" t="s">
        <v>5212</v>
      </c>
      <c r="S3288">
        <v>636333</v>
      </c>
    </row>
    <row r="3289" spans="18:19" x14ac:dyDescent="0.3">
      <c r="R3289" t="s">
        <v>5213</v>
      </c>
      <c r="S3289">
        <v>7826990</v>
      </c>
    </row>
    <row r="3290" spans="18:19" x14ac:dyDescent="0.3">
      <c r="R3290" t="s">
        <v>5214</v>
      </c>
      <c r="S3290">
        <v>691600</v>
      </c>
    </row>
    <row r="3291" spans="18:19" x14ac:dyDescent="0.3">
      <c r="R3291" t="s">
        <v>5215</v>
      </c>
      <c r="S3291">
        <v>947750</v>
      </c>
    </row>
    <row r="3292" spans="18:19" x14ac:dyDescent="0.3">
      <c r="R3292" t="s">
        <v>5216</v>
      </c>
      <c r="S3292">
        <v>98140</v>
      </c>
    </row>
    <row r="3293" spans="18:19" x14ac:dyDescent="0.3">
      <c r="R3293" t="s">
        <v>5217</v>
      </c>
      <c r="S3293">
        <v>303090</v>
      </c>
    </row>
    <row r="3294" spans="18:19" x14ac:dyDescent="0.3">
      <c r="R3294" t="s">
        <v>5218</v>
      </c>
      <c r="S3294">
        <v>0</v>
      </c>
    </row>
    <row r="3295" spans="18:19" x14ac:dyDescent="0.3">
      <c r="R3295" t="s">
        <v>5219</v>
      </c>
      <c r="S3295">
        <v>1610130</v>
      </c>
    </row>
    <row r="3296" spans="18:19" x14ac:dyDescent="0.3">
      <c r="R3296" t="s">
        <v>5220</v>
      </c>
      <c r="S3296">
        <v>78790</v>
      </c>
    </row>
    <row r="3297" spans="18:19" x14ac:dyDescent="0.3">
      <c r="R3297" t="s">
        <v>5221</v>
      </c>
      <c r="S3297">
        <v>1001650</v>
      </c>
    </row>
    <row r="3298" spans="18:19" x14ac:dyDescent="0.3">
      <c r="R3298" t="s">
        <v>5222</v>
      </c>
      <c r="S3298">
        <v>841360</v>
      </c>
    </row>
    <row r="3299" spans="18:19" x14ac:dyDescent="0.3">
      <c r="R3299" t="s">
        <v>5223</v>
      </c>
      <c r="S3299">
        <v>21618780</v>
      </c>
    </row>
    <row r="3300" spans="18:19" x14ac:dyDescent="0.3">
      <c r="R3300" t="s">
        <v>5224</v>
      </c>
      <c r="S3300">
        <v>6430</v>
      </c>
    </row>
    <row r="3301" spans="18:19" x14ac:dyDescent="0.3">
      <c r="R3301" t="s">
        <v>5225</v>
      </c>
      <c r="S3301">
        <v>3180</v>
      </c>
    </row>
    <row r="3302" spans="18:19" x14ac:dyDescent="0.3">
      <c r="R3302" t="s">
        <v>5226</v>
      </c>
      <c r="S3302">
        <v>17130</v>
      </c>
    </row>
    <row r="3303" spans="18:19" x14ac:dyDescent="0.3">
      <c r="R3303" t="s">
        <v>5227</v>
      </c>
      <c r="S3303">
        <v>244070</v>
      </c>
    </row>
    <row r="3304" spans="18:19" x14ac:dyDescent="0.3">
      <c r="R3304" t="s">
        <v>5228</v>
      </c>
      <c r="S3304">
        <v>890</v>
      </c>
    </row>
    <row r="3305" spans="18:19" x14ac:dyDescent="0.3">
      <c r="R3305" t="s">
        <v>5229</v>
      </c>
      <c r="S3305">
        <v>490</v>
      </c>
    </row>
    <row r="3306" spans="18:19" x14ac:dyDescent="0.3">
      <c r="R3306" t="s">
        <v>5230</v>
      </c>
      <c r="S3306">
        <v>861300</v>
      </c>
    </row>
    <row r="3307" spans="18:19" x14ac:dyDescent="0.3">
      <c r="R3307" t="s">
        <v>5231</v>
      </c>
      <c r="S3307">
        <v>784080</v>
      </c>
    </row>
    <row r="3308" spans="18:19" x14ac:dyDescent="0.3">
      <c r="R3308" t="s">
        <v>5232</v>
      </c>
      <c r="S3308">
        <v>838300</v>
      </c>
    </row>
    <row r="3309" spans="18:19" x14ac:dyDescent="0.3">
      <c r="R3309" t="s">
        <v>5233</v>
      </c>
      <c r="S3309">
        <v>1680</v>
      </c>
    </row>
    <row r="3310" spans="18:19" x14ac:dyDescent="0.3">
      <c r="R3310" t="s">
        <v>5234</v>
      </c>
      <c r="S3310">
        <v>260</v>
      </c>
    </row>
    <row r="3311" spans="18:19" x14ac:dyDescent="0.3">
      <c r="R3311" t="s">
        <v>5235</v>
      </c>
      <c r="S3311">
        <v>180820</v>
      </c>
    </row>
    <row r="3312" spans="18:19" x14ac:dyDescent="0.3">
      <c r="R3312" t="s">
        <v>5236</v>
      </c>
      <c r="S3312">
        <v>184270</v>
      </c>
    </row>
    <row r="3313" spans="18:19" x14ac:dyDescent="0.3">
      <c r="R3313" t="s">
        <v>5237</v>
      </c>
      <c r="S3313">
        <v>2596560</v>
      </c>
    </row>
    <row r="3314" spans="18:19" x14ac:dyDescent="0.3">
      <c r="R3314" t="s">
        <v>5238</v>
      </c>
      <c r="S3314">
        <v>528620</v>
      </c>
    </row>
    <row r="3315" spans="18:19" x14ac:dyDescent="0.3">
      <c r="R3315" t="s">
        <v>5239</v>
      </c>
      <c r="S3315">
        <v>154480</v>
      </c>
    </row>
    <row r="3316" spans="18:19" x14ac:dyDescent="0.3">
      <c r="R3316" t="s">
        <v>5240</v>
      </c>
      <c r="S3316">
        <v>10490</v>
      </c>
    </row>
    <row r="3317" spans="18:19" x14ac:dyDescent="0.3">
      <c r="R3317" t="s">
        <v>5241</v>
      </c>
      <c r="S3317">
        <v>431530</v>
      </c>
    </row>
    <row r="3318" spans="18:19" x14ac:dyDescent="0.3">
      <c r="R3318" t="s">
        <v>5242</v>
      </c>
      <c r="S3318">
        <v>627270</v>
      </c>
    </row>
    <row r="3319" spans="18:19" x14ac:dyDescent="0.3">
      <c r="R3319" t="s">
        <v>5243</v>
      </c>
      <c r="S3319">
        <v>870</v>
      </c>
    </row>
    <row r="3320" spans="18:19" x14ac:dyDescent="0.3">
      <c r="R3320" t="s">
        <v>5244</v>
      </c>
      <c r="S3320">
        <v>1987550</v>
      </c>
    </row>
    <row r="3321" spans="18:19" x14ac:dyDescent="0.3">
      <c r="R3321" t="s">
        <v>5245</v>
      </c>
      <c r="S3321">
        <v>210</v>
      </c>
    </row>
    <row r="3322" spans="18:19" x14ac:dyDescent="0.3">
      <c r="R3322" t="s">
        <v>5246</v>
      </c>
      <c r="S3322">
        <v>3640</v>
      </c>
    </row>
    <row r="3323" spans="18:19" x14ac:dyDescent="0.3">
      <c r="R3323" t="s">
        <v>5247</v>
      </c>
      <c r="S3323">
        <v>19730</v>
      </c>
    </row>
    <row r="3324" spans="18:19" x14ac:dyDescent="0.3">
      <c r="R3324" t="s">
        <v>5248</v>
      </c>
      <c r="S3324">
        <v>133340</v>
      </c>
    </row>
    <row r="3325" spans="18:19" x14ac:dyDescent="0.3">
      <c r="R3325" t="s">
        <v>5249</v>
      </c>
      <c r="S3325">
        <v>482470</v>
      </c>
    </row>
    <row r="3326" spans="18:19" x14ac:dyDescent="0.3">
      <c r="R3326" t="s">
        <v>5250</v>
      </c>
      <c r="S3326">
        <v>958310</v>
      </c>
    </row>
    <row r="3327" spans="18:19" x14ac:dyDescent="0.3">
      <c r="R3327" t="s">
        <v>5251</v>
      </c>
      <c r="S3327">
        <v>15285350</v>
      </c>
    </row>
    <row r="3328" spans="18:19" x14ac:dyDescent="0.3">
      <c r="R3328" t="s">
        <v>5252</v>
      </c>
      <c r="S3328">
        <v>355300</v>
      </c>
    </row>
    <row r="3329" spans="18:19" x14ac:dyDescent="0.3">
      <c r="R3329" t="s">
        <v>5253</v>
      </c>
      <c r="S3329">
        <v>511960</v>
      </c>
    </row>
    <row r="3330" spans="18:19" x14ac:dyDescent="0.3">
      <c r="R3330" t="s">
        <v>5254</v>
      </c>
      <c r="S3330">
        <v>1387680</v>
      </c>
    </row>
    <row r="3331" spans="18:19" x14ac:dyDescent="0.3">
      <c r="R3331" t="s">
        <v>5255</v>
      </c>
      <c r="S3331">
        <v>472710</v>
      </c>
    </row>
    <row r="3332" spans="18:19" x14ac:dyDescent="0.3">
      <c r="R3332" t="s">
        <v>5256</v>
      </c>
      <c r="S3332">
        <v>0</v>
      </c>
    </row>
    <row r="3333" spans="18:19" x14ac:dyDescent="0.3">
      <c r="R3333" t="s">
        <v>5257</v>
      </c>
      <c r="S3333">
        <v>683490</v>
      </c>
    </row>
    <row r="3334" spans="18:19" x14ac:dyDescent="0.3">
      <c r="R3334" t="s">
        <v>5258</v>
      </c>
      <c r="S3334">
        <v>360</v>
      </c>
    </row>
    <row r="3335" spans="18:19" x14ac:dyDescent="0.3">
      <c r="R3335" t="s">
        <v>5259</v>
      </c>
      <c r="S3335">
        <v>52990</v>
      </c>
    </row>
    <row r="3336" spans="18:19" x14ac:dyDescent="0.3">
      <c r="R3336" t="s">
        <v>5260</v>
      </c>
      <c r="S3336">
        <v>438810</v>
      </c>
    </row>
    <row r="3337" spans="18:19" x14ac:dyDescent="0.3">
      <c r="R3337" t="s">
        <v>5261</v>
      </c>
      <c r="S3337">
        <v>415900</v>
      </c>
    </row>
    <row r="3338" spans="18:19" x14ac:dyDescent="0.3">
      <c r="R3338" t="s">
        <v>5262</v>
      </c>
      <c r="S3338">
        <v>37820</v>
      </c>
    </row>
    <row r="3339" spans="18:19" x14ac:dyDescent="0.3">
      <c r="R3339" t="s">
        <v>5263</v>
      </c>
      <c r="S3339">
        <v>123780</v>
      </c>
    </row>
    <row r="3340" spans="18:19" x14ac:dyDescent="0.3">
      <c r="R3340" t="s">
        <v>5264</v>
      </c>
      <c r="S3340">
        <v>6902630</v>
      </c>
    </row>
    <row r="3341" spans="18:19" x14ac:dyDescent="0.3">
      <c r="R3341" t="s">
        <v>5265</v>
      </c>
      <c r="S3341">
        <v>650</v>
      </c>
    </row>
    <row r="3342" spans="18:19" x14ac:dyDescent="0.3">
      <c r="R3342" t="s">
        <v>5266</v>
      </c>
      <c r="S3342">
        <v>64610</v>
      </c>
    </row>
    <row r="3343" spans="18:19" x14ac:dyDescent="0.3">
      <c r="R3343" t="s">
        <v>5267</v>
      </c>
      <c r="S3343">
        <v>14802580</v>
      </c>
    </row>
    <row r="3344" spans="18:19" x14ac:dyDescent="0.3">
      <c r="R3344" t="s">
        <v>5268</v>
      </c>
      <c r="S3344">
        <v>3000510</v>
      </c>
    </row>
    <row r="3345" spans="18:19" x14ac:dyDescent="0.3">
      <c r="R3345" t="s">
        <v>5269</v>
      </c>
      <c r="S3345">
        <v>9740</v>
      </c>
    </row>
    <row r="3346" spans="18:19" x14ac:dyDescent="0.3">
      <c r="R3346" t="s">
        <v>5270</v>
      </c>
      <c r="S3346">
        <v>11160</v>
      </c>
    </row>
    <row r="3347" spans="18:19" x14ac:dyDescent="0.3">
      <c r="R3347" t="s">
        <v>5271</v>
      </c>
      <c r="S3347">
        <v>1020</v>
      </c>
    </row>
    <row r="3348" spans="18:19" x14ac:dyDescent="0.3">
      <c r="R3348" t="s">
        <v>5272</v>
      </c>
      <c r="S3348">
        <v>343620</v>
      </c>
    </row>
    <row r="3349" spans="18:19" x14ac:dyDescent="0.3">
      <c r="R3349" t="s">
        <v>5273</v>
      </c>
      <c r="S3349">
        <v>48960</v>
      </c>
    </row>
    <row r="3350" spans="18:19" x14ac:dyDescent="0.3">
      <c r="R3350" t="s">
        <v>5274</v>
      </c>
      <c r="S3350">
        <v>391660</v>
      </c>
    </row>
    <row r="3351" spans="18:19" x14ac:dyDescent="0.3">
      <c r="R3351" t="s">
        <v>5275</v>
      </c>
      <c r="S3351">
        <v>356620</v>
      </c>
    </row>
    <row r="3352" spans="18:19" x14ac:dyDescent="0.3">
      <c r="R3352" t="s">
        <v>5276</v>
      </c>
      <c r="S3352">
        <v>450</v>
      </c>
    </row>
    <row r="3353" spans="18:19" x14ac:dyDescent="0.3">
      <c r="R3353" t="s">
        <v>5277</v>
      </c>
      <c r="S3353">
        <v>794030</v>
      </c>
    </row>
    <row r="3354" spans="18:19" x14ac:dyDescent="0.3">
      <c r="R3354" t="s">
        <v>5278</v>
      </c>
      <c r="S3354">
        <v>4965580</v>
      </c>
    </row>
    <row r="3355" spans="18:19" x14ac:dyDescent="0.3">
      <c r="R3355" t="s">
        <v>5279</v>
      </c>
      <c r="S3355">
        <v>413640</v>
      </c>
    </row>
    <row r="3356" spans="18:19" x14ac:dyDescent="0.3">
      <c r="R3356" t="s">
        <v>5280</v>
      </c>
      <c r="S3356">
        <v>104660</v>
      </c>
    </row>
    <row r="3357" spans="18:19" x14ac:dyDescent="0.3">
      <c r="R3357" t="s">
        <v>5281</v>
      </c>
      <c r="S3357">
        <v>11050</v>
      </c>
    </row>
    <row r="3358" spans="18:19" x14ac:dyDescent="0.3">
      <c r="R3358" t="s">
        <v>5282</v>
      </c>
      <c r="S3358">
        <v>89240</v>
      </c>
    </row>
    <row r="3359" spans="18:19" x14ac:dyDescent="0.3">
      <c r="R3359" t="s">
        <v>5283</v>
      </c>
      <c r="S3359">
        <v>8660</v>
      </c>
    </row>
    <row r="3360" spans="18:19" x14ac:dyDescent="0.3">
      <c r="R3360" t="s">
        <v>5284</v>
      </c>
      <c r="S3360">
        <v>129710</v>
      </c>
    </row>
    <row r="3361" spans="18:19" x14ac:dyDescent="0.3">
      <c r="R3361" t="s">
        <v>5285</v>
      </c>
      <c r="S3361">
        <v>13583940</v>
      </c>
    </row>
    <row r="3362" spans="18:19" x14ac:dyDescent="0.3">
      <c r="R3362" t="s">
        <v>5286</v>
      </c>
      <c r="S3362">
        <v>229900</v>
      </c>
    </row>
    <row r="3363" spans="18:19" x14ac:dyDescent="0.3">
      <c r="R3363" t="s">
        <v>5287</v>
      </c>
      <c r="S3363">
        <v>185030</v>
      </c>
    </row>
    <row r="3364" spans="18:19" x14ac:dyDescent="0.3">
      <c r="R3364" t="s">
        <v>5288</v>
      </c>
      <c r="S3364">
        <v>7190450</v>
      </c>
    </row>
    <row r="3365" spans="18:19" x14ac:dyDescent="0.3">
      <c r="R3365" t="s">
        <v>5289</v>
      </c>
      <c r="S3365">
        <v>63760</v>
      </c>
    </row>
    <row r="3366" spans="18:19" x14ac:dyDescent="0.3">
      <c r="R3366" t="s">
        <v>5290</v>
      </c>
      <c r="S3366">
        <v>105690</v>
      </c>
    </row>
    <row r="3367" spans="18:19" x14ac:dyDescent="0.3">
      <c r="R3367" t="s">
        <v>5291</v>
      </c>
      <c r="S3367">
        <v>4990</v>
      </c>
    </row>
    <row r="3368" spans="18:19" x14ac:dyDescent="0.3">
      <c r="R3368" t="s">
        <v>5292</v>
      </c>
      <c r="S3368">
        <v>690</v>
      </c>
    </row>
    <row r="3369" spans="18:19" x14ac:dyDescent="0.3">
      <c r="R3369" t="s">
        <v>5293</v>
      </c>
      <c r="S3369">
        <v>980460</v>
      </c>
    </row>
    <row r="3370" spans="18:19" x14ac:dyDescent="0.3">
      <c r="R3370" t="s">
        <v>5294</v>
      </c>
      <c r="S3370">
        <v>68290</v>
      </c>
    </row>
    <row r="3371" spans="18:19" x14ac:dyDescent="0.3">
      <c r="R3371" t="s">
        <v>5295</v>
      </c>
      <c r="S3371">
        <v>2394900</v>
      </c>
    </row>
    <row r="3372" spans="18:19" x14ac:dyDescent="0.3">
      <c r="R3372" t="s">
        <v>5296</v>
      </c>
      <c r="S3372">
        <v>4040</v>
      </c>
    </row>
    <row r="3373" spans="18:19" x14ac:dyDescent="0.3">
      <c r="R3373" t="s">
        <v>5297</v>
      </c>
      <c r="S3373">
        <v>0</v>
      </c>
    </row>
    <row r="3374" spans="18:19" x14ac:dyDescent="0.3">
      <c r="R3374" t="s">
        <v>5298</v>
      </c>
      <c r="S3374">
        <v>249730</v>
      </c>
    </row>
    <row r="3375" spans="18:19" x14ac:dyDescent="0.3">
      <c r="R3375" t="s">
        <v>5299</v>
      </c>
      <c r="S3375">
        <v>3550530</v>
      </c>
    </row>
    <row r="3376" spans="18:19" x14ac:dyDescent="0.3">
      <c r="R3376" t="s">
        <v>5300</v>
      </c>
      <c r="S3376">
        <v>139900</v>
      </c>
    </row>
    <row r="3377" spans="18:19" x14ac:dyDescent="0.3">
      <c r="R3377" t="s">
        <v>5301</v>
      </c>
      <c r="S3377">
        <v>0</v>
      </c>
    </row>
    <row r="3378" spans="18:19" x14ac:dyDescent="0.3">
      <c r="R3378" t="s">
        <v>5302</v>
      </c>
      <c r="S3378">
        <v>63990</v>
      </c>
    </row>
    <row r="3379" spans="18:19" x14ac:dyDescent="0.3">
      <c r="R3379" t="s">
        <v>5303</v>
      </c>
      <c r="S3379">
        <v>46150</v>
      </c>
    </row>
    <row r="3380" spans="18:19" x14ac:dyDescent="0.3">
      <c r="R3380" t="s">
        <v>5304</v>
      </c>
      <c r="S3380">
        <v>962650</v>
      </c>
    </row>
    <row r="3381" spans="18:19" x14ac:dyDescent="0.3">
      <c r="R3381" t="s">
        <v>5305</v>
      </c>
      <c r="S3381">
        <v>567740</v>
      </c>
    </row>
    <row r="3382" spans="18:19" x14ac:dyDescent="0.3">
      <c r="R3382" t="s">
        <v>5306</v>
      </c>
      <c r="S3382">
        <v>199320</v>
      </c>
    </row>
    <row r="3383" spans="18:19" x14ac:dyDescent="0.3">
      <c r="R3383" t="s">
        <v>5307</v>
      </c>
      <c r="S3383">
        <v>104710</v>
      </c>
    </row>
    <row r="3384" spans="18:19" x14ac:dyDescent="0.3">
      <c r="R3384" t="s">
        <v>5308</v>
      </c>
      <c r="S3384">
        <v>1988200</v>
      </c>
    </row>
    <row r="3385" spans="18:19" x14ac:dyDescent="0.3">
      <c r="R3385" t="s">
        <v>5309</v>
      </c>
      <c r="S3385">
        <v>28060</v>
      </c>
    </row>
    <row r="3386" spans="18:19" x14ac:dyDescent="0.3">
      <c r="R3386" t="s">
        <v>5310</v>
      </c>
      <c r="S3386">
        <v>2637260</v>
      </c>
    </row>
    <row r="3387" spans="18:19" x14ac:dyDescent="0.3">
      <c r="R3387" t="s">
        <v>5311</v>
      </c>
      <c r="S3387">
        <v>194360</v>
      </c>
    </row>
    <row r="3388" spans="18:19" x14ac:dyDescent="0.3">
      <c r="R3388" t="s">
        <v>5312</v>
      </c>
      <c r="S3388">
        <v>264790</v>
      </c>
    </row>
    <row r="3389" spans="18:19" x14ac:dyDescent="0.3">
      <c r="R3389" t="s">
        <v>5313</v>
      </c>
      <c r="S3389">
        <v>364400</v>
      </c>
    </row>
    <row r="3390" spans="18:19" x14ac:dyDescent="0.3">
      <c r="R3390" t="s">
        <v>5314</v>
      </c>
      <c r="S3390">
        <v>89520</v>
      </c>
    </row>
    <row r="3391" spans="18:19" x14ac:dyDescent="0.3">
      <c r="R3391" t="s">
        <v>5315</v>
      </c>
      <c r="S3391">
        <v>918290</v>
      </c>
    </row>
    <row r="3392" spans="18:19" x14ac:dyDescent="0.3">
      <c r="R3392" t="s">
        <v>5316</v>
      </c>
      <c r="S3392">
        <v>70</v>
      </c>
    </row>
    <row r="3393" spans="18:19" x14ac:dyDescent="0.3">
      <c r="R3393" t="s">
        <v>5317</v>
      </c>
      <c r="S3393">
        <v>9310</v>
      </c>
    </row>
    <row r="3394" spans="18:19" x14ac:dyDescent="0.3">
      <c r="R3394" t="s">
        <v>5318</v>
      </c>
      <c r="S3394">
        <v>173270</v>
      </c>
    </row>
    <row r="3395" spans="18:19" x14ac:dyDescent="0.3">
      <c r="R3395" t="s">
        <v>5319</v>
      </c>
      <c r="S3395">
        <v>152280</v>
      </c>
    </row>
    <row r="3396" spans="18:19" x14ac:dyDescent="0.3">
      <c r="R3396" t="s">
        <v>5320</v>
      </c>
      <c r="S3396">
        <v>157150</v>
      </c>
    </row>
    <row r="3397" spans="18:19" x14ac:dyDescent="0.3">
      <c r="R3397" t="s">
        <v>5321</v>
      </c>
      <c r="S3397">
        <v>0</v>
      </c>
    </row>
    <row r="3398" spans="18:19" x14ac:dyDescent="0.3">
      <c r="R3398" t="s">
        <v>5322</v>
      </c>
      <c r="S3398">
        <v>1080100</v>
      </c>
    </row>
    <row r="3399" spans="18:19" x14ac:dyDescent="0.3">
      <c r="R3399" t="s">
        <v>5323</v>
      </c>
      <c r="S3399">
        <v>601420</v>
      </c>
    </row>
    <row r="3400" spans="18:19" x14ac:dyDescent="0.3">
      <c r="R3400" t="s">
        <v>5324</v>
      </c>
      <c r="S3400">
        <v>172750</v>
      </c>
    </row>
    <row r="3401" spans="18:19" x14ac:dyDescent="0.3">
      <c r="R3401" t="s">
        <v>5325</v>
      </c>
      <c r="S3401">
        <v>807430</v>
      </c>
    </row>
    <row r="3402" spans="18:19" x14ac:dyDescent="0.3">
      <c r="R3402" t="s">
        <v>5326</v>
      </c>
      <c r="S3402">
        <v>638160</v>
      </c>
    </row>
    <row r="3403" spans="18:19" x14ac:dyDescent="0.3">
      <c r="R3403" t="s">
        <v>5327</v>
      </c>
      <c r="S3403">
        <v>8707950</v>
      </c>
    </row>
    <row r="3404" spans="18:19" x14ac:dyDescent="0.3">
      <c r="R3404" t="s">
        <v>5328</v>
      </c>
      <c r="S3404">
        <v>209980</v>
      </c>
    </row>
    <row r="3405" spans="18:19" x14ac:dyDescent="0.3">
      <c r="R3405" t="s">
        <v>5329</v>
      </c>
      <c r="S3405">
        <v>70</v>
      </c>
    </row>
    <row r="3406" spans="18:19" x14ac:dyDescent="0.3">
      <c r="R3406" t="s">
        <v>5330</v>
      </c>
      <c r="S3406">
        <v>691040</v>
      </c>
    </row>
    <row r="3407" spans="18:19" x14ac:dyDescent="0.3">
      <c r="R3407" t="s">
        <v>5331</v>
      </c>
      <c r="S3407">
        <v>461020</v>
      </c>
    </row>
    <row r="3408" spans="18:19" x14ac:dyDescent="0.3">
      <c r="R3408" t="s">
        <v>5332</v>
      </c>
      <c r="S3408">
        <v>680660</v>
      </c>
    </row>
    <row r="3409" spans="18:19" x14ac:dyDescent="0.3">
      <c r="R3409" t="s">
        <v>5333</v>
      </c>
      <c r="S3409">
        <v>0</v>
      </c>
    </row>
    <row r="3410" spans="18:19" x14ac:dyDescent="0.3">
      <c r="R3410" t="s">
        <v>5334</v>
      </c>
      <c r="S3410">
        <v>11726390</v>
      </c>
    </row>
    <row r="3411" spans="18:19" x14ac:dyDescent="0.3">
      <c r="R3411" t="s">
        <v>5335</v>
      </c>
      <c r="S3411">
        <v>291683</v>
      </c>
    </row>
    <row r="3412" spans="18:19" x14ac:dyDescent="0.3">
      <c r="R3412" t="s">
        <v>5336</v>
      </c>
      <c r="S3412">
        <v>37203070</v>
      </c>
    </row>
    <row r="3413" spans="18:19" x14ac:dyDescent="0.3">
      <c r="R3413" t="s">
        <v>5337</v>
      </c>
      <c r="S3413">
        <v>8504320</v>
      </c>
    </row>
    <row r="3414" spans="18:19" x14ac:dyDescent="0.3">
      <c r="R3414" t="s">
        <v>5338</v>
      </c>
      <c r="S3414">
        <v>122410</v>
      </c>
    </row>
    <row r="3415" spans="18:19" x14ac:dyDescent="0.3">
      <c r="R3415" t="s">
        <v>5339</v>
      </c>
      <c r="S3415">
        <v>3120</v>
      </c>
    </row>
    <row r="3416" spans="18:19" x14ac:dyDescent="0.3">
      <c r="R3416" t="s">
        <v>5340</v>
      </c>
      <c r="S3416">
        <v>224210</v>
      </c>
    </row>
    <row r="3417" spans="18:19" x14ac:dyDescent="0.3">
      <c r="R3417" t="s">
        <v>5341</v>
      </c>
      <c r="S3417">
        <v>403870</v>
      </c>
    </row>
    <row r="3418" spans="18:19" x14ac:dyDescent="0.3">
      <c r="R3418" t="s">
        <v>5342</v>
      </c>
      <c r="S3418">
        <v>1550</v>
      </c>
    </row>
    <row r="3419" spans="18:19" x14ac:dyDescent="0.3">
      <c r="R3419" t="s">
        <v>5343</v>
      </c>
      <c r="S3419">
        <v>2376760</v>
      </c>
    </row>
    <row r="3420" spans="18:19" x14ac:dyDescent="0.3">
      <c r="R3420" t="s">
        <v>5344</v>
      </c>
      <c r="S3420">
        <v>18630</v>
      </c>
    </row>
    <row r="3421" spans="18:19" x14ac:dyDescent="0.3">
      <c r="R3421" t="s">
        <v>5345</v>
      </c>
      <c r="S3421">
        <v>2930</v>
      </c>
    </row>
    <row r="3422" spans="18:19" x14ac:dyDescent="0.3">
      <c r="R3422" t="s">
        <v>5346</v>
      </c>
      <c r="S3422">
        <v>32170</v>
      </c>
    </row>
    <row r="3423" spans="18:19" x14ac:dyDescent="0.3">
      <c r="R3423" t="s">
        <v>5347</v>
      </c>
      <c r="S3423">
        <v>30410</v>
      </c>
    </row>
    <row r="3424" spans="18:19" x14ac:dyDescent="0.3">
      <c r="R3424" t="s">
        <v>5348</v>
      </c>
      <c r="S3424">
        <v>1970</v>
      </c>
    </row>
    <row r="3425" spans="18:19" x14ac:dyDescent="0.3">
      <c r="R3425" t="s">
        <v>5349</v>
      </c>
      <c r="S3425">
        <v>1666070</v>
      </c>
    </row>
    <row r="3426" spans="18:19" x14ac:dyDescent="0.3">
      <c r="R3426" t="s">
        <v>5350</v>
      </c>
      <c r="S3426">
        <v>2800</v>
      </c>
    </row>
    <row r="3427" spans="18:19" x14ac:dyDescent="0.3">
      <c r="R3427" t="s">
        <v>5351</v>
      </c>
      <c r="S3427">
        <v>1345930</v>
      </c>
    </row>
    <row r="3428" spans="18:19" x14ac:dyDescent="0.3">
      <c r="R3428" t="s">
        <v>5352</v>
      </c>
      <c r="S3428">
        <v>67970</v>
      </c>
    </row>
    <row r="3429" spans="18:19" x14ac:dyDescent="0.3">
      <c r="R3429" t="s">
        <v>5353</v>
      </c>
      <c r="S3429">
        <v>7320</v>
      </c>
    </row>
    <row r="3430" spans="18:19" x14ac:dyDescent="0.3">
      <c r="R3430" t="s">
        <v>5354</v>
      </c>
      <c r="S3430">
        <v>3704550</v>
      </c>
    </row>
    <row r="3431" spans="18:19" x14ac:dyDescent="0.3">
      <c r="R3431" t="s">
        <v>5355</v>
      </c>
      <c r="S3431">
        <v>95940</v>
      </c>
    </row>
    <row r="3432" spans="18:19" x14ac:dyDescent="0.3">
      <c r="R3432" t="s">
        <v>5356</v>
      </c>
      <c r="S3432">
        <v>1670</v>
      </c>
    </row>
    <row r="3433" spans="18:19" x14ac:dyDescent="0.3">
      <c r="R3433" t="s">
        <v>5357</v>
      </c>
      <c r="S3433">
        <v>128720</v>
      </c>
    </row>
    <row r="3434" spans="18:19" x14ac:dyDescent="0.3">
      <c r="R3434" t="s">
        <v>5358</v>
      </c>
      <c r="S3434">
        <v>1331580</v>
      </c>
    </row>
    <row r="3435" spans="18:19" x14ac:dyDescent="0.3">
      <c r="R3435" t="s">
        <v>5359</v>
      </c>
      <c r="S3435">
        <v>496930</v>
      </c>
    </row>
    <row r="3436" spans="18:19" x14ac:dyDescent="0.3">
      <c r="R3436" t="s">
        <v>5360</v>
      </c>
      <c r="S3436">
        <v>277320</v>
      </c>
    </row>
    <row r="3437" spans="18:19" x14ac:dyDescent="0.3">
      <c r="R3437" t="s">
        <v>5361</v>
      </c>
      <c r="S3437">
        <v>823768</v>
      </c>
    </row>
    <row r="3438" spans="18:19" x14ac:dyDescent="0.3">
      <c r="R3438" t="s">
        <v>5362</v>
      </c>
      <c r="S3438">
        <v>1780</v>
      </c>
    </row>
    <row r="3439" spans="18:19" x14ac:dyDescent="0.3">
      <c r="R3439" t="s">
        <v>5363</v>
      </c>
      <c r="S3439">
        <v>1050</v>
      </c>
    </row>
    <row r="3440" spans="18:19" x14ac:dyDescent="0.3">
      <c r="R3440" t="s">
        <v>5364</v>
      </c>
      <c r="S3440">
        <v>1983970</v>
      </c>
    </row>
    <row r="3441" spans="18:19" x14ac:dyDescent="0.3">
      <c r="R3441" t="s">
        <v>5365</v>
      </c>
      <c r="S3441">
        <v>34900</v>
      </c>
    </row>
    <row r="3442" spans="18:19" x14ac:dyDescent="0.3">
      <c r="R3442" t="s">
        <v>5366</v>
      </c>
      <c r="S3442">
        <v>7190</v>
      </c>
    </row>
    <row r="3443" spans="18:19" x14ac:dyDescent="0.3">
      <c r="R3443" t="s">
        <v>5367</v>
      </c>
      <c r="S3443">
        <v>26150</v>
      </c>
    </row>
    <row r="3444" spans="18:19" x14ac:dyDescent="0.3">
      <c r="R3444" t="s">
        <v>5368</v>
      </c>
      <c r="S3444">
        <v>4342560</v>
      </c>
    </row>
    <row r="3445" spans="18:19" x14ac:dyDescent="0.3">
      <c r="R3445" t="s">
        <v>5369</v>
      </c>
      <c r="S3445">
        <v>206520</v>
      </c>
    </row>
    <row r="3446" spans="18:19" x14ac:dyDescent="0.3">
      <c r="R3446" t="s">
        <v>5370</v>
      </c>
      <c r="S3446">
        <v>705380</v>
      </c>
    </row>
    <row r="3447" spans="18:19" x14ac:dyDescent="0.3">
      <c r="R3447" t="s">
        <v>5371</v>
      </c>
      <c r="S3447">
        <v>17840</v>
      </c>
    </row>
    <row r="3448" spans="18:19" x14ac:dyDescent="0.3">
      <c r="R3448" t="s">
        <v>5372</v>
      </c>
      <c r="S3448">
        <v>11700</v>
      </c>
    </row>
    <row r="3449" spans="18:19" x14ac:dyDescent="0.3">
      <c r="R3449" t="s">
        <v>5373</v>
      </c>
      <c r="S3449">
        <v>1269750</v>
      </c>
    </row>
    <row r="3450" spans="18:19" x14ac:dyDescent="0.3">
      <c r="R3450" t="s">
        <v>5374</v>
      </c>
      <c r="S3450">
        <v>5893150</v>
      </c>
    </row>
    <row r="3451" spans="18:19" x14ac:dyDescent="0.3">
      <c r="R3451" t="s">
        <v>5375</v>
      </c>
      <c r="S3451">
        <v>3110</v>
      </c>
    </row>
    <row r="3452" spans="18:19" x14ac:dyDescent="0.3">
      <c r="R3452" t="s">
        <v>5376</v>
      </c>
      <c r="S3452">
        <v>6080</v>
      </c>
    </row>
    <row r="3453" spans="18:19" x14ac:dyDescent="0.3">
      <c r="R3453" t="s">
        <v>5377</v>
      </c>
      <c r="S3453">
        <v>4078360</v>
      </c>
    </row>
    <row r="3454" spans="18:19" x14ac:dyDescent="0.3">
      <c r="R3454" t="s">
        <v>5378</v>
      </c>
      <c r="S3454">
        <v>13813600</v>
      </c>
    </row>
    <row r="3455" spans="18:19" x14ac:dyDescent="0.3">
      <c r="R3455" t="s">
        <v>5379</v>
      </c>
      <c r="S3455">
        <v>127920</v>
      </c>
    </row>
    <row r="3456" spans="18:19" x14ac:dyDescent="0.3">
      <c r="R3456" t="s">
        <v>5380</v>
      </c>
      <c r="S3456">
        <v>232860</v>
      </c>
    </row>
    <row r="3457" spans="18:19" x14ac:dyDescent="0.3">
      <c r="R3457" t="s">
        <v>5381</v>
      </c>
      <c r="S3457">
        <v>0</v>
      </c>
    </row>
    <row r="3458" spans="18:19" x14ac:dyDescent="0.3">
      <c r="R3458" t="s">
        <v>5382</v>
      </c>
      <c r="S3458">
        <v>2164090</v>
      </c>
    </row>
    <row r="3459" spans="18:19" x14ac:dyDescent="0.3">
      <c r="R3459" t="s">
        <v>5383</v>
      </c>
      <c r="S3459">
        <v>2220</v>
      </c>
    </row>
    <row r="3460" spans="18:19" x14ac:dyDescent="0.3">
      <c r="R3460" t="s">
        <v>5384</v>
      </c>
      <c r="S3460">
        <v>2560</v>
      </c>
    </row>
    <row r="3461" spans="18:19" x14ac:dyDescent="0.3">
      <c r="R3461" t="s">
        <v>5385</v>
      </c>
      <c r="S3461">
        <v>2640</v>
      </c>
    </row>
    <row r="3462" spans="18:19" x14ac:dyDescent="0.3">
      <c r="R3462" t="s">
        <v>5386</v>
      </c>
      <c r="S3462">
        <v>1349010</v>
      </c>
    </row>
    <row r="3463" spans="18:19" x14ac:dyDescent="0.3">
      <c r="R3463" t="s">
        <v>5387</v>
      </c>
      <c r="S3463">
        <v>322860</v>
      </c>
    </row>
    <row r="3464" spans="18:19" x14ac:dyDescent="0.3">
      <c r="R3464" t="s">
        <v>5388</v>
      </c>
      <c r="S3464">
        <v>385940</v>
      </c>
    </row>
    <row r="3465" spans="18:19" x14ac:dyDescent="0.3">
      <c r="R3465" t="s">
        <v>5389</v>
      </c>
      <c r="S3465">
        <v>645124</v>
      </c>
    </row>
    <row r="3466" spans="18:19" x14ac:dyDescent="0.3">
      <c r="R3466" t="s">
        <v>5390</v>
      </c>
      <c r="S3466">
        <v>210060</v>
      </c>
    </row>
    <row r="3467" spans="18:19" x14ac:dyDescent="0.3">
      <c r="R3467" t="s">
        <v>5391</v>
      </c>
      <c r="S3467">
        <v>309450</v>
      </c>
    </row>
    <row r="3468" spans="18:19" x14ac:dyDescent="0.3">
      <c r="R3468" t="s">
        <v>5392</v>
      </c>
      <c r="S3468">
        <v>1110</v>
      </c>
    </row>
    <row r="3469" spans="18:19" x14ac:dyDescent="0.3">
      <c r="R3469" t="s">
        <v>5393</v>
      </c>
      <c r="S3469">
        <v>741200</v>
      </c>
    </row>
    <row r="3470" spans="18:19" x14ac:dyDescent="0.3">
      <c r="R3470" t="s">
        <v>5394</v>
      </c>
      <c r="S3470">
        <v>1303010</v>
      </c>
    </row>
    <row r="3471" spans="18:19" x14ac:dyDescent="0.3">
      <c r="R3471" t="s">
        <v>5395</v>
      </c>
      <c r="S3471">
        <v>3123730</v>
      </c>
    </row>
    <row r="3472" spans="18:19" x14ac:dyDescent="0.3">
      <c r="R3472" t="s">
        <v>5396</v>
      </c>
      <c r="S3472">
        <v>53340</v>
      </c>
    </row>
    <row r="3473" spans="18:19" x14ac:dyDescent="0.3">
      <c r="R3473" t="s">
        <v>5397</v>
      </c>
      <c r="S3473">
        <v>217650</v>
      </c>
    </row>
    <row r="3474" spans="18:19" x14ac:dyDescent="0.3">
      <c r="R3474" t="s">
        <v>5398</v>
      </c>
      <c r="S3474">
        <v>19300</v>
      </c>
    </row>
    <row r="3475" spans="18:19" x14ac:dyDescent="0.3">
      <c r="R3475" t="s">
        <v>5399</v>
      </c>
      <c r="S3475">
        <v>16000</v>
      </c>
    </row>
    <row r="3476" spans="18:19" x14ac:dyDescent="0.3">
      <c r="R3476" t="s">
        <v>5400</v>
      </c>
      <c r="S3476">
        <v>3993320</v>
      </c>
    </row>
    <row r="3477" spans="18:19" x14ac:dyDescent="0.3">
      <c r="R3477" t="s">
        <v>5401</v>
      </c>
      <c r="S3477">
        <v>129160</v>
      </c>
    </row>
    <row r="3478" spans="18:19" x14ac:dyDescent="0.3">
      <c r="R3478" t="s">
        <v>5402</v>
      </c>
      <c r="S3478">
        <v>0</v>
      </c>
    </row>
    <row r="3479" spans="18:19" x14ac:dyDescent="0.3">
      <c r="R3479" t="s">
        <v>5403</v>
      </c>
      <c r="S3479">
        <v>11380</v>
      </c>
    </row>
    <row r="3480" spans="18:19" x14ac:dyDescent="0.3">
      <c r="R3480" t="s">
        <v>5404</v>
      </c>
      <c r="S3480">
        <v>180620</v>
      </c>
    </row>
    <row r="3481" spans="18:19" x14ac:dyDescent="0.3">
      <c r="R3481" t="s">
        <v>5405</v>
      </c>
      <c r="S3481">
        <v>3880</v>
      </c>
    </row>
    <row r="3482" spans="18:19" x14ac:dyDescent="0.3">
      <c r="R3482" t="s">
        <v>5406</v>
      </c>
      <c r="S3482">
        <v>549870</v>
      </c>
    </row>
    <row r="3483" spans="18:19" x14ac:dyDescent="0.3">
      <c r="R3483" t="s">
        <v>5407</v>
      </c>
      <c r="S3483">
        <v>317640</v>
      </c>
    </row>
    <row r="3484" spans="18:19" x14ac:dyDescent="0.3">
      <c r="R3484" t="s">
        <v>5408</v>
      </c>
      <c r="S3484">
        <v>508630</v>
      </c>
    </row>
    <row r="3485" spans="18:19" x14ac:dyDescent="0.3">
      <c r="R3485" t="s">
        <v>5409</v>
      </c>
      <c r="S3485">
        <v>187750</v>
      </c>
    </row>
    <row r="3486" spans="18:19" x14ac:dyDescent="0.3">
      <c r="R3486" t="s">
        <v>5410</v>
      </c>
      <c r="S3486">
        <v>3780780</v>
      </c>
    </row>
    <row r="3487" spans="18:19" x14ac:dyDescent="0.3">
      <c r="R3487" t="s">
        <v>5411</v>
      </c>
      <c r="S3487">
        <v>327431</v>
      </c>
    </row>
    <row r="3488" spans="18:19" x14ac:dyDescent="0.3">
      <c r="R3488" t="s">
        <v>5412</v>
      </c>
      <c r="S3488">
        <v>145300</v>
      </c>
    </row>
    <row r="3489" spans="18:19" x14ac:dyDescent="0.3">
      <c r="R3489" t="s">
        <v>5413</v>
      </c>
      <c r="S3489">
        <v>2141110</v>
      </c>
    </row>
    <row r="3490" spans="18:19" x14ac:dyDescent="0.3">
      <c r="R3490" t="s">
        <v>5414</v>
      </c>
      <c r="S3490">
        <v>28700</v>
      </c>
    </row>
    <row r="3491" spans="18:19" x14ac:dyDescent="0.3">
      <c r="R3491" t="s">
        <v>5415</v>
      </c>
      <c r="S3491">
        <v>57190</v>
      </c>
    </row>
    <row r="3492" spans="18:19" x14ac:dyDescent="0.3">
      <c r="R3492" t="s">
        <v>5416</v>
      </c>
      <c r="S3492">
        <v>459070</v>
      </c>
    </row>
    <row r="3493" spans="18:19" x14ac:dyDescent="0.3">
      <c r="R3493" t="s">
        <v>5417</v>
      </c>
      <c r="S3493">
        <v>7694150</v>
      </c>
    </row>
    <row r="3494" spans="18:19" x14ac:dyDescent="0.3">
      <c r="R3494" t="s">
        <v>5418</v>
      </c>
      <c r="S3494">
        <v>408690</v>
      </c>
    </row>
    <row r="3495" spans="18:19" x14ac:dyDescent="0.3">
      <c r="R3495" t="s">
        <v>5419</v>
      </c>
      <c r="S3495">
        <v>95610</v>
      </c>
    </row>
    <row r="3496" spans="18:19" x14ac:dyDescent="0.3">
      <c r="R3496" t="s">
        <v>5420</v>
      </c>
      <c r="S3496">
        <v>134590</v>
      </c>
    </row>
    <row r="3497" spans="18:19" x14ac:dyDescent="0.3">
      <c r="R3497" t="s">
        <v>5421</v>
      </c>
      <c r="S3497">
        <v>1247900</v>
      </c>
    </row>
    <row r="3498" spans="18:19" x14ac:dyDescent="0.3">
      <c r="R3498" t="s">
        <v>5422</v>
      </c>
      <c r="S3498">
        <v>23180</v>
      </c>
    </row>
    <row r="3499" spans="18:19" x14ac:dyDescent="0.3">
      <c r="R3499" t="s">
        <v>5423</v>
      </c>
      <c r="S3499">
        <v>2450570</v>
      </c>
    </row>
    <row r="3500" spans="18:19" x14ac:dyDescent="0.3">
      <c r="R3500" t="s">
        <v>5424</v>
      </c>
      <c r="S3500">
        <v>6910</v>
      </c>
    </row>
    <row r="3501" spans="18:19" x14ac:dyDescent="0.3">
      <c r="R3501" t="s">
        <v>5425</v>
      </c>
      <c r="S3501">
        <v>15424200</v>
      </c>
    </row>
    <row r="3502" spans="18:19" x14ac:dyDescent="0.3">
      <c r="R3502" t="s">
        <v>5426</v>
      </c>
      <c r="S3502">
        <v>19804040</v>
      </c>
    </row>
    <row r="3503" spans="18:19" x14ac:dyDescent="0.3">
      <c r="R3503" t="s">
        <v>5427</v>
      </c>
      <c r="S3503">
        <v>374630</v>
      </c>
    </row>
    <row r="3504" spans="18:19" x14ac:dyDescent="0.3">
      <c r="R3504" t="s">
        <v>5428</v>
      </c>
      <c r="S3504">
        <v>53320</v>
      </c>
    </row>
    <row r="3505" spans="18:19" x14ac:dyDescent="0.3">
      <c r="R3505" t="s">
        <v>5429</v>
      </c>
      <c r="S3505">
        <v>1196400</v>
      </c>
    </row>
    <row r="3506" spans="18:19" x14ac:dyDescent="0.3">
      <c r="R3506" t="s">
        <v>5430</v>
      </c>
      <c r="S3506">
        <v>20620</v>
      </c>
    </row>
    <row r="3507" spans="18:19" x14ac:dyDescent="0.3">
      <c r="R3507" t="s">
        <v>5431</v>
      </c>
      <c r="S3507">
        <v>222830</v>
      </c>
    </row>
    <row r="3508" spans="18:19" x14ac:dyDescent="0.3">
      <c r="R3508" t="s">
        <v>5432</v>
      </c>
      <c r="S3508">
        <v>490030</v>
      </c>
    </row>
    <row r="3509" spans="18:19" x14ac:dyDescent="0.3">
      <c r="R3509" t="s">
        <v>5433</v>
      </c>
      <c r="S3509">
        <v>213260</v>
      </c>
    </row>
    <row r="3510" spans="18:19" x14ac:dyDescent="0.3">
      <c r="R3510" t="s">
        <v>5434</v>
      </c>
      <c r="S3510">
        <v>2085590</v>
      </c>
    </row>
    <row r="3511" spans="18:19" x14ac:dyDescent="0.3">
      <c r="R3511" t="s">
        <v>5435</v>
      </c>
      <c r="S3511">
        <v>25530</v>
      </c>
    </row>
    <row r="3512" spans="18:19" x14ac:dyDescent="0.3">
      <c r="R3512" t="s">
        <v>5436</v>
      </c>
      <c r="S3512">
        <v>630</v>
      </c>
    </row>
    <row r="3513" spans="18:19" x14ac:dyDescent="0.3">
      <c r="R3513" t="s">
        <v>5437</v>
      </c>
      <c r="S3513">
        <v>307920</v>
      </c>
    </row>
    <row r="3514" spans="18:19" x14ac:dyDescent="0.3">
      <c r="R3514" t="s">
        <v>5438</v>
      </c>
      <c r="S3514">
        <v>355860</v>
      </c>
    </row>
    <row r="3515" spans="18:19" x14ac:dyDescent="0.3">
      <c r="R3515" t="s">
        <v>5439</v>
      </c>
      <c r="S3515">
        <v>33840</v>
      </c>
    </row>
    <row r="3516" spans="18:19" x14ac:dyDescent="0.3">
      <c r="R3516" t="s">
        <v>5440</v>
      </c>
      <c r="S3516">
        <v>840</v>
      </c>
    </row>
    <row r="3517" spans="18:19" x14ac:dyDescent="0.3">
      <c r="R3517" t="s">
        <v>5441</v>
      </c>
      <c r="S3517">
        <v>634880</v>
      </c>
    </row>
    <row r="3518" spans="18:19" x14ac:dyDescent="0.3">
      <c r="R3518" t="s">
        <v>5442</v>
      </c>
      <c r="S3518">
        <v>404800</v>
      </c>
    </row>
    <row r="3519" spans="18:19" x14ac:dyDescent="0.3">
      <c r="R3519" t="s">
        <v>5443</v>
      </c>
      <c r="S3519">
        <v>0</v>
      </c>
    </row>
    <row r="3520" spans="18:19" x14ac:dyDescent="0.3">
      <c r="R3520" t="s">
        <v>5444</v>
      </c>
      <c r="S3520">
        <v>198420</v>
      </c>
    </row>
    <row r="3521" spans="18:19" x14ac:dyDescent="0.3">
      <c r="R3521" t="s">
        <v>5445</v>
      </c>
      <c r="S3521">
        <v>914690</v>
      </c>
    </row>
    <row r="3522" spans="18:19" x14ac:dyDescent="0.3">
      <c r="R3522" t="s">
        <v>5446</v>
      </c>
      <c r="S3522">
        <v>845720</v>
      </c>
    </row>
    <row r="3523" spans="18:19" x14ac:dyDescent="0.3">
      <c r="R3523" t="s">
        <v>5447</v>
      </c>
      <c r="S3523">
        <v>171550</v>
      </c>
    </row>
    <row r="3524" spans="18:19" x14ac:dyDescent="0.3">
      <c r="R3524" t="s">
        <v>5448</v>
      </c>
      <c r="S3524">
        <v>881980</v>
      </c>
    </row>
    <row r="3525" spans="18:19" x14ac:dyDescent="0.3">
      <c r="R3525" t="s">
        <v>5449</v>
      </c>
      <c r="S3525">
        <v>179380</v>
      </c>
    </row>
    <row r="3526" spans="18:19" x14ac:dyDescent="0.3">
      <c r="R3526" t="s">
        <v>5450</v>
      </c>
      <c r="S3526">
        <v>3237930</v>
      </c>
    </row>
    <row r="3527" spans="18:19" x14ac:dyDescent="0.3">
      <c r="R3527" t="s">
        <v>5451</v>
      </c>
      <c r="S3527">
        <v>4337320</v>
      </c>
    </row>
    <row r="3528" spans="18:19" x14ac:dyDescent="0.3">
      <c r="R3528" t="s">
        <v>5452</v>
      </c>
      <c r="S3528">
        <v>126600</v>
      </c>
    </row>
    <row r="3529" spans="18:19" x14ac:dyDescent="0.3">
      <c r="R3529" t="s">
        <v>5453</v>
      </c>
      <c r="S3529">
        <v>8170</v>
      </c>
    </row>
    <row r="3530" spans="18:19" x14ac:dyDescent="0.3">
      <c r="R3530" t="s">
        <v>5454</v>
      </c>
      <c r="S3530">
        <v>39680</v>
      </c>
    </row>
    <row r="3531" spans="18:19" x14ac:dyDescent="0.3">
      <c r="R3531" t="s">
        <v>5455</v>
      </c>
      <c r="S3531">
        <v>452400</v>
      </c>
    </row>
    <row r="3532" spans="18:19" x14ac:dyDescent="0.3">
      <c r="R3532" t="s">
        <v>5456</v>
      </c>
      <c r="S3532">
        <v>52460</v>
      </c>
    </row>
    <row r="3533" spans="18:19" x14ac:dyDescent="0.3">
      <c r="R3533" t="s">
        <v>5457</v>
      </c>
      <c r="S3533">
        <v>62540</v>
      </c>
    </row>
    <row r="3534" spans="18:19" x14ac:dyDescent="0.3">
      <c r="R3534" t="s">
        <v>5458</v>
      </c>
      <c r="S3534">
        <v>1327480</v>
      </c>
    </row>
    <row r="3535" spans="18:19" x14ac:dyDescent="0.3">
      <c r="R3535" t="s">
        <v>5459</v>
      </c>
      <c r="S3535">
        <v>56180</v>
      </c>
    </row>
    <row r="3536" spans="18:19" x14ac:dyDescent="0.3">
      <c r="R3536" t="s">
        <v>5460</v>
      </c>
      <c r="S3536">
        <v>4636960</v>
      </c>
    </row>
    <row r="3537" spans="18:19" x14ac:dyDescent="0.3">
      <c r="R3537" t="s">
        <v>5461</v>
      </c>
      <c r="S3537">
        <v>349400</v>
      </c>
    </row>
    <row r="3538" spans="18:19" x14ac:dyDescent="0.3">
      <c r="R3538" t="s">
        <v>5462</v>
      </c>
      <c r="S3538">
        <v>21000</v>
      </c>
    </row>
    <row r="3539" spans="18:19" x14ac:dyDescent="0.3">
      <c r="R3539" t="s">
        <v>5463</v>
      </c>
      <c r="S3539">
        <v>914460</v>
      </c>
    </row>
    <row r="3540" spans="18:19" x14ac:dyDescent="0.3">
      <c r="R3540" t="s">
        <v>5464</v>
      </c>
      <c r="S3540">
        <v>520</v>
      </c>
    </row>
    <row r="3541" spans="18:19" x14ac:dyDescent="0.3">
      <c r="R3541" t="s">
        <v>5465</v>
      </c>
      <c r="S3541">
        <v>88920</v>
      </c>
    </row>
    <row r="3542" spans="18:19" x14ac:dyDescent="0.3">
      <c r="R3542" t="s">
        <v>5466</v>
      </c>
      <c r="S3542">
        <v>131230</v>
      </c>
    </row>
    <row r="3543" spans="18:19" x14ac:dyDescent="0.3">
      <c r="R3543" t="s">
        <v>5467</v>
      </c>
      <c r="S3543">
        <v>35300</v>
      </c>
    </row>
    <row r="3544" spans="18:19" x14ac:dyDescent="0.3">
      <c r="R3544" t="s">
        <v>5468</v>
      </c>
      <c r="S3544">
        <v>3484780</v>
      </c>
    </row>
    <row r="3545" spans="18:19" x14ac:dyDescent="0.3">
      <c r="R3545" t="s">
        <v>5469</v>
      </c>
      <c r="S3545">
        <v>0</v>
      </c>
    </row>
    <row r="3546" spans="18:19" x14ac:dyDescent="0.3">
      <c r="R3546" t="s">
        <v>5470</v>
      </c>
      <c r="S3546">
        <v>0</v>
      </c>
    </row>
    <row r="3547" spans="18:19" x14ac:dyDescent="0.3">
      <c r="R3547" t="s">
        <v>5471</v>
      </c>
      <c r="S3547">
        <v>92190</v>
      </c>
    </row>
    <row r="3548" spans="18:19" x14ac:dyDescent="0.3">
      <c r="R3548" t="s">
        <v>5472</v>
      </c>
      <c r="S3548">
        <v>115610</v>
      </c>
    </row>
    <row r="3549" spans="18:19" x14ac:dyDescent="0.3">
      <c r="R3549" t="s">
        <v>5473</v>
      </c>
      <c r="S3549">
        <v>8447980</v>
      </c>
    </row>
    <row r="3550" spans="18:19" x14ac:dyDescent="0.3">
      <c r="R3550" t="s">
        <v>5474</v>
      </c>
      <c r="S3550">
        <v>158870</v>
      </c>
    </row>
    <row r="3551" spans="18:19" x14ac:dyDescent="0.3">
      <c r="R3551" t="s">
        <v>5475</v>
      </c>
      <c r="S3551">
        <v>95510</v>
      </c>
    </row>
    <row r="3552" spans="18:19" x14ac:dyDescent="0.3">
      <c r="R3552" t="s">
        <v>5476</v>
      </c>
      <c r="S3552">
        <v>38710</v>
      </c>
    </row>
    <row r="3553" spans="18:19" x14ac:dyDescent="0.3">
      <c r="R3553" t="s">
        <v>5477</v>
      </c>
      <c r="S3553">
        <v>2452210</v>
      </c>
    </row>
    <row r="3554" spans="18:19" x14ac:dyDescent="0.3">
      <c r="R3554" t="s">
        <v>5478</v>
      </c>
      <c r="S3554">
        <v>109783</v>
      </c>
    </row>
    <row r="3555" spans="18:19" x14ac:dyDescent="0.3">
      <c r="R3555" t="s">
        <v>5479</v>
      </c>
      <c r="S3555">
        <v>176710</v>
      </c>
    </row>
    <row r="3556" spans="18:19" x14ac:dyDescent="0.3">
      <c r="R3556" t="s">
        <v>5480</v>
      </c>
      <c r="S3556">
        <v>232860</v>
      </c>
    </row>
    <row r="3557" spans="18:19" x14ac:dyDescent="0.3">
      <c r="R3557" t="s">
        <v>5481</v>
      </c>
      <c r="S3557">
        <v>20790</v>
      </c>
    </row>
    <row r="3558" spans="18:19" x14ac:dyDescent="0.3">
      <c r="R3558" t="s">
        <v>5482</v>
      </c>
      <c r="S3558">
        <v>17690</v>
      </c>
    </row>
    <row r="3559" spans="18:19" x14ac:dyDescent="0.3">
      <c r="R3559" t="s">
        <v>5483</v>
      </c>
      <c r="S3559">
        <v>2553310</v>
      </c>
    </row>
    <row r="3560" spans="18:19" x14ac:dyDescent="0.3">
      <c r="R3560" t="s">
        <v>5484</v>
      </c>
      <c r="S3560">
        <v>48270</v>
      </c>
    </row>
    <row r="3561" spans="18:19" x14ac:dyDescent="0.3">
      <c r="R3561" t="s">
        <v>5485</v>
      </c>
      <c r="S3561">
        <v>955680</v>
      </c>
    </row>
    <row r="3562" spans="18:19" x14ac:dyDescent="0.3">
      <c r="R3562" t="s">
        <v>5486</v>
      </c>
      <c r="S3562">
        <v>67130</v>
      </c>
    </row>
    <row r="3563" spans="18:19" x14ac:dyDescent="0.3">
      <c r="R3563" t="s">
        <v>5487</v>
      </c>
      <c r="S3563">
        <v>940</v>
      </c>
    </row>
    <row r="3564" spans="18:19" x14ac:dyDescent="0.3">
      <c r="R3564" t="s">
        <v>5488</v>
      </c>
      <c r="S3564">
        <v>1470</v>
      </c>
    </row>
    <row r="3565" spans="18:19" x14ac:dyDescent="0.3">
      <c r="R3565" t="s">
        <v>5489</v>
      </c>
      <c r="S3565">
        <v>965310</v>
      </c>
    </row>
    <row r="3566" spans="18:19" x14ac:dyDescent="0.3">
      <c r="R3566" t="s">
        <v>5490</v>
      </c>
      <c r="S3566">
        <v>13790</v>
      </c>
    </row>
    <row r="3567" spans="18:19" x14ac:dyDescent="0.3">
      <c r="R3567" t="s">
        <v>5491</v>
      </c>
      <c r="S3567">
        <v>45750</v>
      </c>
    </row>
    <row r="3568" spans="18:19" x14ac:dyDescent="0.3">
      <c r="R3568" t="s">
        <v>5492</v>
      </c>
      <c r="S3568">
        <v>660000</v>
      </c>
    </row>
    <row r="3569" spans="18:19" x14ac:dyDescent="0.3">
      <c r="R3569" t="s">
        <v>5493</v>
      </c>
      <c r="S3569">
        <v>396380</v>
      </c>
    </row>
    <row r="3570" spans="18:19" x14ac:dyDescent="0.3">
      <c r="R3570" t="s">
        <v>5494</v>
      </c>
      <c r="S3570">
        <v>388790</v>
      </c>
    </row>
    <row r="3571" spans="18:19" x14ac:dyDescent="0.3">
      <c r="R3571" t="s">
        <v>5495</v>
      </c>
      <c r="S3571">
        <v>178280</v>
      </c>
    </row>
    <row r="3572" spans="18:19" x14ac:dyDescent="0.3">
      <c r="R3572" t="s">
        <v>5496</v>
      </c>
      <c r="S3572">
        <v>418200</v>
      </c>
    </row>
    <row r="3573" spans="18:19" x14ac:dyDescent="0.3">
      <c r="R3573" t="s">
        <v>5497</v>
      </c>
      <c r="S3573">
        <v>1470</v>
      </c>
    </row>
    <row r="3574" spans="18:19" x14ac:dyDescent="0.3">
      <c r="R3574" t="s">
        <v>5498</v>
      </c>
      <c r="S3574">
        <v>70</v>
      </c>
    </row>
    <row r="3575" spans="18:19" x14ac:dyDescent="0.3">
      <c r="R3575" t="s">
        <v>5499</v>
      </c>
      <c r="S3575">
        <v>2031560</v>
      </c>
    </row>
    <row r="3576" spans="18:19" x14ac:dyDescent="0.3">
      <c r="R3576" t="s">
        <v>5500</v>
      </c>
      <c r="S3576">
        <v>193350</v>
      </c>
    </row>
    <row r="3577" spans="18:19" x14ac:dyDescent="0.3">
      <c r="R3577" t="s">
        <v>5501</v>
      </c>
      <c r="S3577">
        <v>270420</v>
      </c>
    </row>
    <row r="3578" spans="18:19" x14ac:dyDescent="0.3">
      <c r="R3578" t="s">
        <v>5502</v>
      </c>
      <c r="S3578">
        <v>172230</v>
      </c>
    </row>
    <row r="3579" spans="18:19" x14ac:dyDescent="0.3">
      <c r="R3579" t="s">
        <v>5503</v>
      </c>
      <c r="S3579">
        <v>590630</v>
      </c>
    </row>
    <row r="3580" spans="18:19" x14ac:dyDescent="0.3">
      <c r="R3580" t="s">
        <v>5504</v>
      </c>
      <c r="S3580">
        <v>1130150</v>
      </c>
    </row>
    <row r="3581" spans="18:19" x14ac:dyDescent="0.3">
      <c r="R3581" t="s">
        <v>5505</v>
      </c>
      <c r="S3581">
        <v>0</v>
      </c>
    </row>
    <row r="3582" spans="18:19" x14ac:dyDescent="0.3">
      <c r="R3582" t="s">
        <v>5506</v>
      </c>
      <c r="S3582">
        <v>352660</v>
      </c>
    </row>
    <row r="3583" spans="18:19" x14ac:dyDescent="0.3">
      <c r="R3583" t="s">
        <v>5507</v>
      </c>
      <c r="S3583">
        <v>251350</v>
      </c>
    </row>
    <row r="3584" spans="18:19" x14ac:dyDescent="0.3">
      <c r="R3584" t="s">
        <v>5508</v>
      </c>
      <c r="S3584">
        <v>6808460</v>
      </c>
    </row>
    <row r="3585" spans="18:19" x14ac:dyDescent="0.3">
      <c r="R3585" t="s">
        <v>5509</v>
      </c>
      <c r="S3585">
        <v>12340</v>
      </c>
    </row>
    <row r="3586" spans="18:19" x14ac:dyDescent="0.3">
      <c r="R3586" t="s">
        <v>5510</v>
      </c>
      <c r="S3586">
        <v>1968910</v>
      </c>
    </row>
    <row r="3587" spans="18:19" x14ac:dyDescent="0.3">
      <c r="R3587" t="s">
        <v>5511</v>
      </c>
      <c r="S3587">
        <v>2234890</v>
      </c>
    </row>
    <row r="3588" spans="18:19" x14ac:dyDescent="0.3">
      <c r="R3588" t="s">
        <v>5512</v>
      </c>
      <c r="S3588">
        <v>526370</v>
      </c>
    </row>
    <row r="3589" spans="18:19" x14ac:dyDescent="0.3">
      <c r="R3589" t="s">
        <v>5513</v>
      </c>
      <c r="S3589">
        <v>1622060</v>
      </c>
    </row>
    <row r="3590" spans="18:19" x14ac:dyDescent="0.3">
      <c r="R3590" t="s">
        <v>5514</v>
      </c>
      <c r="S3590">
        <v>164110</v>
      </c>
    </row>
    <row r="3591" spans="18:19" x14ac:dyDescent="0.3">
      <c r="R3591" t="s">
        <v>5515</v>
      </c>
      <c r="S3591">
        <v>25880</v>
      </c>
    </row>
    <row r="3592" spans="18:19" x14ac:dyDescent="0.3">
      <c r="R3592" t="s">
        <v>5516</v>
      </c>
      <c r="S3592">
        <v>2334680</v>
      </c>
    </row>
    <row r="3593" spans="18:19" x14ac:dyDescent="0.3">
      <c r="R3593" t="s">
        <v>5517</v>
      </c>
      <c r="S3593">
        <v>1423030</v>
      </c>
    </row>
    <row r="3594" spans="18:19" x14ac:dyDescent="0.3">
      <c r="R3594" t="s">
        <v>5518</v>
      </c>
      <c r="S3594">
        <v>17800</v>
      </c>
    </row>
    <row r="3595" spans="18:19" x14ac:dyDescent="0.3">
      <c r="R3595" t="s">
        <v>5519</v>
      </c>
      <c r="S3595">
        <v>30970</v>
      </c>
    </row>
    <row r="3596" spans="18:19" x14ac:dyDescent="0.3">
      <c r="R3596" t="s">
        <v>5520</v>
      </c>
      <c r="S3596">
        <v>52870</v>
      </c>
    </row>
    <row r="3597" spans="18:19" x14ac:dyDescent="0.3">
      <c r="R3597" t="s">
        <v>5521</v>
      </c>
      <c r="S3597">
        <v>35120</v>
      </c>
    </row>
    <row r="3598" spans="18:19" x14ac:dyDescent="0.3">
      <c r="R3598" t="s">
        <v>5522</v>
      </c>
      <c r="S3598">
        <v>740910</v>
      </c>
    </row>
    <row r="3599" spans="18:19" x14ac:dyDescent="0.3">
      <c r="R3599" t="s">
        <v>5523</v>
      </c>
      <c r="S3599">
        <v>33360</v>
      </c>
    </row>
    <row r="3600" spans="18:19" x14ac:dyDescent="0.3">
      <c r="R3600" t="s">
        <v>5524</v>
      </c>
      <c r="S3600">
        <v>2180</v>
      </c>
    </row>
    <row r="3601" spans="18:19" x14ac:dyDescent="0.3">
      <c r="R3601" t="s">
        <v>5525</v>
      </c>
      <c r="S3601">
        <v>461150</v>
      </c>
    </row>
    <row r="3602" spans="18:19" x14ac:dyDescent="0.3">
      <c r="R3602" t="s">
        <v>5526</v>
      </c>
      <c r="S3602">
        <v>910470</v>
      </c>
    </row>
    <row r="3603" spans="18:19" x14ac:dyDescent="0.3">
      <c r="R3603" t="s">
        <v>5527</v>
      </c>
      <c r="S3603">
        <v>436610</v>
      </c>
    </row>
    <row r="3604" spans="18:19" x14ac:dyDescent="0.3">
      <c r="R3604" t="s">
        <v>5528</v>
      </c>
      <c r="S3604">
        <v>1831280</v>
      </c>
    </row>
    <row r="3605" spans="18:19" x14ac:dyDescent="0.3">
      <c r="R3605" t="s">
        <v>5529</v>
      </c>
      <c r="S3605">
        <v>28310</v>
      </c>
    </row>
    <row r="3606" spans="18:19" x14ac:dyDescent="0.3">
      <c r="R3606" t="s">
        <v>5530</v>
      </c>
      <c r="S3606">
        <v>650</v>
      </c>
    </row>
    <row r="3607" spans="18:19" x14ac:dyDescent="0.3">
      <c r="R3607" t="s">
        <v>5531</v>
      </c>
      <c r="S3607">
        <v>18950</v>
      </c>
    </row>
    <row r="3608" spans="18:19" x14ac:dyDescent="0.3">
      <c r="R3608" t="s">
        <v>5532</v>
      </c>
      <c r="S3608">
        <v>5992720</v>
      </c>
    </row>
    <row r="3609" spans="18:19" x14ac:dyDescent="0.3">
      <c r="R3609" t="s">
        <v>5533</v>
      </c>
      <c r="S3609">
        <v>1430</v>
      </c>
    </row>
    <row r="3610" spans="18:19" x14ac:dyDescent="0.3">
      <c r="R3610" t="s">
        <v>5534</v>
      </c>
      <c r="S3610">
        <v>2579180</v>
      </c>
    </row>
    <row r="3611" spans="18:19" x14ac:dyDescent="0.3">
      <c r="R3611" t="s">
        <v>5535</v>
      </c>
      <c r="S3611">
        <v>150</v>
      </c>
    </row>
    <row r="3612" spans="18:19" x14ac:dyDescent="0.3">
      <c r="R3612" t="s">
        <v>5536</v>
      </c>
      <c r="S3612">
        <v>274780</v>
      </c>
    </row>
    <row r="3613" spans="18:19" x14ac:dyDescent="0.3">
      <c r="R3613" t="s">
        <v>5537</v>
      </c>
      <c r="S3613">
        <v>534700</v>
      </c>
    </row>
    <row r="3614" spans="18:19" x14ac:dyDescent="0.3">
      <c r="R3614" t="s">
        <v>5538</v>
      </c>
      <c r="S3614">
        <v>303010</v>
      </c>
    </row>
    <row r="3615" spans="18:19" x14ac:dyDescent="0.3">
      <c r="R3615" t="s">
        <v>5539</v>
      </c>
      <c r="S3615">
        <v>4023710</v>
      </c>
    </row>
    <row r="3616" spans="18:19" x14ac:dyDescent="0.3">
      <c r="R3616" t="s">
        <v>5540</v>
      </c>
      <c r="S3616">
        <v>31170</v>
      </c>
    </row>
    <row r="3617" spans="18:19" x14ac:dyDescent="0.3">
      <c r="R3617" t="s">
        <v>5541</v>
      </c>
      <c r="S3617">
        <v>1354920</v>
      </c>
    </row>
    <row r="3618" spans="18:19" x14ac:dyDescent="0.3">
      <c r="R3618" t="s">
        <v>5542</v>
      </c>
      <c r="S3618">
        <v>113240</v>
      </c>
    </row>
    <row r="3619" spans="18:19" x14ac:dyDescent="0.3">
      <c r="R3619" t="s">
        <v>5543</v>
      </c>
      <c r="S3619">
        <v>83540</v>
      </c>
    </row>
    <row r="3620" spans="18:19" x14ac:dyDescent="0.3">
      <c r="R3620" t="s">
        <v>5544</v>
      </c>
      <c r="S3620">
        <v>321670</v>
      </c>
    </row>
    <row r="3621" spans="18:19" x14ac:dyDescent="0.3">
      <c r="R3621" t="s">
        <v>5545</v>
      </c>
      <c r="S3621">
        <v>2558020</v>
      </c>
    </row>
    <row r="3622" spans="18:19" x14ac:dyDescent="0.3">
      <c r="R3622" t="s">
        <v>5546</v>
      </c>
      <c r="S3622">
        <v>887320</v>
      </c>
    </row>
    <row r="3623" spans="18:19" x14ac:dyDescent="0.3">
      <c r="R3623" t="s">
        <v>5547</v>
      </c>
      <c r="S3623">
        <v>4093450</v>
      </c>
    </row>
    <row r="3624" spans="18:19" x14ac:dyDescent="0.3">
      <c r="R3624" t="s">
        <v>5548</v>
      </c>
      <c r="S3624">
        <v>856170</v>
      </c>
    </row>
    <row r="3625" spans="18:19" x14ac:dyDescent="0.3">
      <c r="R3625" t="s">
        <v>5549</v>
      </c>
      <c r="S3625">
        <v>61460</v>
      </c>
    </row>
    <row r="3626" spans="18:19" x14ac:dyDescent="0.3">
      <c r="R3626" t="s">
        <v>5550</v>
      </c>
      <c r="S3626">
        <v>980650</v>
      </c>
    </row>
    <row r="3627" spans="18:19" x14ac:dyDescent="0.3">
      <c r="R3627" t="s">
        <v>5551</v>
      </c>
      <c r="S3627">
        <v>191580</v>
      </c>
    </row>
    <row r="3628" spans="18:19" x14ac:dyDescent="0.3">
      <c r="R3628" t="s">
        <v>5552</v>
      </c>
      <c r="S3628">
        <v>1489240</v>
      </c>
    </row>
    <row r="3629" spans="18:19" x14ac:dyDescent="0.3">
      <c r="R3629" t="s">
        <v>5553</v>
      </c>
      <c r="S3629">
        <v>9672440</v>
      </c>
    </row>
    <row r="3630" spans="18:19" x14ac:dyDescent="0.3">
      <c r="R3630" t="s">
        <v>5554</v>
      </c>
      <c r="S3630">
        <v>12040</v>
      </c>
    </row>
    <row r="3631" spans="18:19" x14ac:dyDescent="0.3">
      <c r="R3631" t="s">
        <v>5555</v>
      </c>
      <c r="S3631">
        <v>79800</v>
      </c>
    </row>
    <row r="3632" spans="18:19" x14ac:dyDescent="0.3">
      <c r="R3632" t="s">
        <v>5556</v>
      </c>
      <c r="S3632">
        <v>45020</v>
      </c>
    </row>
    <row r="3633" spans="18:19" x14ac:dyDescent="0.3">
      <c r="R3633" t="s">
        <v>5557</v>
      </c>
      <c r="S3633">
        <v>208910</v>
      </c>
    </row>
    <row r="3634" spans="18:19" x14ac:dyDescent="0.3">
      <c r="R3634" t="s">
        <v>5558</v>
      </c>
      <c r="S3634">
        <v>1280</v>
      </c>
    </row>
    <row r="3635" spans="18:19" x14ac:dyDescent="0.3">
      <c r="R3635" t="s">
        <v>5559</v>
      </c>
      <c r="S3635">
        <v>637620</v>
      </c>
    </row>
    <row r="3636" spans="18:19" x14ac:dyDescent="0.3">
      <c r="R3636" t="s">
        <v>5560</v>
      </c>
      <c r="S3636">
        <v>3880</v>
      </c>
    </row>
    <row r="3637" spans="18:19" x14ac:dyDescent="0.3">
      <c r="R3637" t="s">
        <v>5561</v>
      </c>
      <c r="S3637">
        <v>418600</v>
      </c>
    </row>
    <row r="3638" spans="18:19" x14ac:dyDescent="0.3">
      <c r="R3638" t="s">
        <v>5562</v>
      </c>
      <c r="S3638">
        <v>43840</v>
      </c>
    </row>
    <row r="3639" spans="18:19" x14ac:dyDescent="0.3">
      <c r="R3639" t="s">
        <v>5563</v>
      </c>
      <c r="S3639">
        <v>124370</v>
      </c>
    </row>
    <row r="3640" spans="18:19" x14ac:dyDescent="0.3">
      <c r="R3640" t="s">
        <v>5564</v>
      </c>
      <c r="S3640">
        <v>0</v>
      </c>
    </row>
    <row r="3641" spans="18:19" x14ac:dyDescent="0.3">
      <c r="R3641" t="s">
        <v>5565</v>
      </c>
      <c r="S3641">
        <v>241900</v>
      </c>
    </row>
    <row r="3642" spans="18:19" x14ac:dyDescent="0.3">
      <c r="R3642" t="s">
        <v>5566</v>
      </c>
      <c r="S3642">
        <v>49890</v>
      </c>
    </row>
    <row r="3643" spans="18:19" x14ac:dyDescent="0.3">
      <c r="R3643" t="s">
        <v>5567</v>
      </c>
      <c r="S3643">
        <v>323690</v>
      </c>
    </row>
    <row r="3644" spans="18:19" x14ac:dyDescent="0.3">
      <c r="R3644" t="s">
        <v>5568</v>
      </c>
      <c r="S3644">
        <v>432670</v>
      </c>
    </row>
    <row r="3645" spans="18:19" x14ac:dyDescent="0.3">
      <c r="R3645" t="s">
        <v>5569</v>
      </c>
      <c r="S3645">
        <v>177350</v>
      </c>
    </row>
    <row r="3646" spans="18:19" x14ac:dyDescent="0.3">
      <c r="R3646" t="s">
        <v>5570</v>
      </c>
      <c r="S3646">
        <v>150360</v>
      </c>
    </row>
    <row r="3647" spans="18:19" x14ac:dyDescent="0.3">
      <c r="R3647" t="s">
        <v>5571</v>
      </c>
      <c r="S3647">
        <v>14003890</v>
      </c>
    </row>
    <row r="3648" spans="18:19" x14ac:dyDescent="0.3">
      <c r="R3648" t="s">
        <v>5572</v>
      </c>
      <c r="S3648">
        <v>937480</v>
      </c>
    </row>
    <row r="3649" spans="18:19" x14ac:dyDescent="0.3">
      <c r="R3649" t="s">
        <v>5573</v>
      </c>
      <c r="S3649">
        <v>140770</v>
      </c>
    </row>
    <row r="3650" spans="18:19" x14ac:dyDescent="0.3">
      <c r="R3650" t="s">
        <v>5574</v>
      </c>
      <c r="S3650">
        <v>6480</v>
      </c>
    </row>
    <row r="3651" spans="18:19" x14ac:dyDescent="0.3">
      <c r="R3651" t="s">
        <v>5575</v>
      </c>
      <c r="S3651">
        <v>10736910</v>
      </c>
    </row>
    <row r="3652" spans="18:19" x14ac:dyDescent="0.3">
      <c r="R3652" t="s">
        <v>5576</v>
      </c>
      <c r="S3652">
        <v>5726590</v>
      </c>
    </row>
    <row r="3653" spans="18:19" x14ac:dyDescent="0.3">
      <c r="R3653" t="s">
        <v>5577</v>
      </c>
      <c r="S3653">
        <v>1094760</v>
      </c>
    </row>
    <row r="3654" spans="18:19" x14ac:dyDescent="0.3">
      <c r="R3654" t="s">
        <v>5578</v>
      </c>
      <c r="S3654">
        <v>1130</v>
      </c>
    </row>
    <row r="3655" spans="18:19" x14ac:dyDescent="0.3">
      <c r="R3655" t="s">
        <v>5579</v>
      </c>
      <c r="S3655">
        <v>29040</v>
      </c>
    </row>
    <row r="3656" spans="18:19" x14ac:dyDescent="0.3">
      <c r="R3656" t="s">
        <v>5580</v>
      </c>
      <c r="S3656">
        <v>830</v>
      </c>
    </row>
    <row r="3657" spans="18:19" x14ac:dyDescent="0.3">
      <c r="R3657" t="s">
        <v>5581</v>
      </c>
      <c r="S3657">
        <v>74690</v>
      </c>
    </row>
    <row r="3658" spans="18:19" x14ac:dyDescent="0.3">
      <c r="R3658" t="s">
        <v>5582</v>
      </c>
      <c r="S3658">
        <v>1510</v>
      </c>
    </row>
    <row r="3659" spans="18:19" x14ac:dyDescent="0.3">
      <c r="R3659" t="s">
        <v>5583</v>
      </c>
      <c r="S3659">
        <v>167140</v>
      </c>
    </row>
    <row r="3660" spans="18:19" x14ac:dyDescent="0.3">
      <c r="R3660" t="s">
        <v>5584</v>
      </c>
      <c r="S3660">
        <v>638420</v>
      </c>
    </row>
    <row r="3661" spans="18:19" x14ac:dyDescent="0.3">
      <c r="R3661" t="s">
        <v>5585</v>
      </c>
      <c r="S3661">
        <v>70770</v>
      </c>
    </row>
    <row r="3662" spans="18:19" x14ac:dyDescent="0.3">
      <c r="R3662" t="s">
        <v>5586</v>
      </c>
      <c r="S3662">
        <v>17100</v>
      </c>
    </row>
    <row r="3663" spans="18:19" x14ac:dyDescent="0.3">
      <c r="R3663" t="s">
        <v>5587</v>
      </c>
      <c r="S3663">
        <v>2106690</v>
      </c>
    </row>
    <row r="3664" spans="18:19" x14ac:dyDescent="0.3">
      <c r="R3664" t="s">
        <v>5588</v>
      </c>
      <c r="S3664">
        <v>93600</v>
      </c>
    </row>
    <row r="3665" spans="18:19" x14ac:dyDescent="0.3">
      <c r="R3665" t="s">
        <v>5589</v>
      </c>
      <c r="S3665">
        <v>1194160</v>
      </c>
    </row>
    <row r="3666" spans="18:19" x14ac:dyDescent="0.3">
      <c r="R3666" t="s">
        <v>5590</v>
      </c>
      <c r="S3666">
        <v>2400100</v>
      </c>
    </row>
    <row r="3667" spans="18:19" x14ac:dyDescent="0.3">
      <c r="R3667" t="s">
        <v>5591</v>
      </c>
      <c r="S3667">
        <v>4050</v>
      </c>
    </row>
    <row r="3668" spans="18:19" x14ac:dyDescent="0.3">
      <c r="R3668" t="s">
        <v>5592</v>
      </c>
      <c r="S3668">
        <v>2986530</v>
      </c>
    </row>
    <row r="3669" spans="18:19" x14ac:dyDescent="0.3">
      <c r="R3669" t="s">
        <v>5593</v>
      </c>
      <c r="S3669">
        <v>173830</v>
      </c>
    </row>
    <row r="3670" spans="18:19" x14ac:dyDescent="0.3">
      <c r="R3670" t="s">
        <v>5594</v>
      </c>
      <c r="S3670">
        <v>19524</v>
      </c>
    </row>
    <row r="3671" spans="18:19" x14ac:dyDescent="0.3">
      <c r="R3671" t="s">
        <v>5595</v>
      </c>
      <c r="S3671">
        <v>1648690</v>
      </c>
    </row>
    <row r="3672" spans="18:19" x14ac:dyDescent="0.3">
      <c r="R3672" t="s">
        <v>5596</v>
      </c>
      <c r="S3672">
        <v>85760</v>
      </c>
    </row>
    <row r="3673" spans="18:19" x14ac:dyDescent="0.3">
      <c r="R3673" t="s">
        <v>5597</v>
      </c>
      <c r="S3673">
        <v>1790</v>
      </c>
    </row>
    <row r="3674" spans="18:19" x14ac:dyDescent="0.3">
      <c r="R3674" t="s">
        <v>5598</v>
      </c>
      <c r="S3674">
        <v>2364650</v>
      </c>
    </row>
    <row r="3675" spans="18:19" x14ac:dyDescent="0.3">
      <c r="R3675" t="s">
        <v>5599</v>
      </c>
      <c r="S3675">
        <v>16800</v>
      </c>
    </row>
    <row r="3676" spans="18:19" x14ac:dyDescent="0.3">
      <c r="R3676" t="s">
        <v>5600</v>
      </c>
      <c r="S3676">
        <v>1598280</v>
      </c>
    </row>
    <row r="3677" spans="18:19" x14ac:dyDescent="0.3">
      <c r="R3677" t="s">
        <v>5601</v>
      </c>
      <c r="S3677">
        <v>90130</v>
      </c>
    </row>
    <row r="3678" spans="18:19" x14ac:dyDescent="0.3">
      <c r="R3678" t="s">
        <v>5602</v>
      </c>
      <c r="S3678">
        <v>14490</v>
      </c>
    </row>
    <row r="3679" spans="18:19" x14ac:dyDescent="0.3">
      <c r="R3679" t="s">
        <v>5603</v>
      </c>
      <c r="S3679">
        <v>4510</v>
      </c>
    </row>
    <row r="3680" spans="18:19" x14ac:dyDescent="0.3">
      <c r="R3680" t="s">
        <v>5604</v>
      </c>
      <c r="S3680">
        <v>6150</v>
      </c>
    </row>
    <row r="3681" spans="18:19" x14ac:dyDescent="0.3">
      <c r="R3681" t="s">
        <v>5605</v>
      </c>
      <c r="S3681">
        <v>1048630</v>
      </c>
    </row>
    <row r="3682" spans="18:19" x14ac:dyDescent="0.3">
      <c r="R3682" t="s">
        <v>5606</v>
      </c>
      <c r="S3682">
        <v>381730</v>
      </c>
    </row>
    <row r="3683" spans="18:19" x14ac:dyDescent="0.3">
      <c r="R3683" t="s">
        <v>5607</v>
      </c>
      <c r="S3683">
        <v>1535500</v>
      </c>
    </row>
    <row r="3684" spans="18:19" x14ac:dyDescent="0.3">
      <c r="R3684" t="s">
        <v>5608</v>
      </c>
      <c r="S3684">
        <v>1540310</v>
      </c>
    </row>
    <row r="3685" spans="18:19" x14ac:dyDescent="0.3">
      <c r="R3685" t="s">
        <v>5609</v>
      </c>
      <c r="S3685">
        <v>1968450</v>
      </c>
    </row>
    <row r="3686" spans="18:19" x14ac:dyDescent="0.3">
      <c r="R3686" t="s">
        <v>5610</v>
      </c>
      <c r="S3686">
        <v>528470</v>
      </c>
    </row>
    <row r="3687" spans="18:19" x14ac:dyDescent="0.3">
      <c r="R3687" t="s">
        <v>5611</v>
      </c>
      <c r="S3687">
        <v>8870</v>
      </c>
    </row>
    <row r="3688" spans="18:19" x14ac:dyDescent="0.3">
      <c r="R3688" t="s">
        <v>5612</v>
      </c>
      <c r="S3688">
        <v>44275190</v>
      </c>
    </row>
    <row r="3689" spans="18:19" x14ac:dyDescent="0.3">
      <c r="R3689" t="s">
        <v>5613</v>
      </c>
      <c r="S3689">
        <v>2155520</v>
      </c>
    </row>
    <row r="3690" spans="18:19" x14ac:dyDescent="0.3">
      <c r="R3690" t="s">
        <v>5614</v>
      </c>
      <c r="S3690">
        <v>70</v>
      </c>
    </row>
    <row r="3691" spans="18:19" x14ac:dyDescent="0.3">
      <c r="R3691" t="s">
        <v>5615</v>
      </c>
      <c r="S3691">
        <v>11770</v>
      </c>
    </row>
    <row r="3692" spans="18:19" x14ac:dyDescent="0.3">
      <c r="R3692" t="s">
        <v>5616</v>
      </c>
      <c r="S3692">
        <v>30830</v>
      </c>
    </row>
    <row r="3693" spans="18:19" x14ac:dyDescent="0.3">
      <c r="R3693" t="s">
        <v>5617</v>
      </c>
      <c r="S3693">
        <v>310</v>
      </c>
    </row>
    <row r="3694" spans="18:19" x14ac:dyDescent="0.3">
      <c r="R3694" t="s">
        <v>5618</v>
      </c>
      <c r="S3694">
        <v>852090</v>
      </c>
    </row>
    <row r="3695" spans="18:19" x14ac:dyDescent="0.3">
      <c r="R3695" t="s">
        <v>5619</v>
      </c>
      <c r="S3695">
        <v>2360450</v>
      </c>
    </row>
    <row r="3696" spans="18:19" x14ac:dyDescent="0.3">
      <c r="R3696" t="s">
        <v>5620</v>
      </c>
      <c r="S3696">
        <v>90250</v>
      </c>
    </row>
    <row r="3697" spans="18:19" x14ac:dyDescent="0.3">
      <c r="R3697" t="s">
        <v>5621</v>
      </c>
      <c r="S3697">
        <v>107270</v>
      </c>
    </row>
    <row r="3698" spans="18:19" x14ac:dyDescent="0.3">
      <c r="R3698" t="s">
        <v>5622</v>
      </c>
      <c r="S3698">
        <v>36120</v>
      </c>
    </row>
    <row r="3699" spans="18:19" x14ac:dyDescent="0.3">
      <c r="R3699" t="s">
        <v>5623</v>
      </c>
      <c r="S3699">
        <v>445620</v>
      </c>
    </row>
    <row r="3700" spans="18:19" x14ac:dyDescent="0.3">
      <c r="R3700" t="s">
        <v>5624</v>
      </c>
      <c r="S3700">
        <v>80390</v>
      </c>
    </row>
    <row r="3701" spans="18:19" x14ac:dyDescent="0.3">
      <c r="R3701" t="s">
        <v>5625</v>
      </c>
      <c r="S3701">
        <v>151230</v>
      </c>
    </row>
    <row r="3702" spans="18:19" x14ac:dyDescent="0.3">
      <c r="R3702" t="s">
        <v>5626</v>
      </c>
      <c r="S3702">
        <v>750060</v>
      </c>
    </row>
    <row r="3703" spans="18:19" x14ac:dyDescent="0.3">
      <c r="R3703" t="s">
        <v>5627</v>
      </c>
      <c r="S3703">
        <v>60710</v>
      </c>
    </row>
    <row r="3704" spans="18:19" x14ac:dyDescent="0.3">
      <c r="R3704" t="s">
        <v>5628</v>
      </c>
      <c r="S3704">
        <v>2480990</v>
      </c>
    </row>
    <row r="3705" spans="18:19" x14ac:dyDescent="0.3">
      <c r="R3705" t="s">
        <v>5629</v>
      </c>
      <c r="S3705">
        <v>100</v>
      </c>
    </row>
    <row r="3706" spans="18:19" x14ac:dyDescent="0.3">
      <c r="R3706" t="s">
        <v>5630</v>
      </c>
      <c r="S3706">
        <v>480050</v>
      </c>
    </row>
    <row r="3707" spans="18:19" x14ac:dyDescent="0.3">
      <c r="R3707" t="s">
        <v>5631</v>
      </c>
      <c r="S3707">
        <v>8820</v>
      </c>
    </row>
    <row r="3708" spans="18:19" x14ac:dyDescent="0.3">
      <c r="R3708" t="s">
        <v>5632</v>
      </c>
      <c r="S3708">
        <v>291670</v>
      </c>
    </row>
    <row r="3709" spans="18:19" x14ac:dyDescent="0.3">
      <c r="R3709" t="s">
        <v>5633</v>
      </c>
      <c r="S3709">
        <v>60760</v>
      </c>
    </row>
    <row r="3710" spans="18:19" x14ac:dyDescent="0.3">
      <c r="R3710" t="s">
        <v>5634</v>
      </c>
      <c r="S3710">
        <v>612970</v>
      </c>
    </row>
    <row r="3711" spans="18:19" x14ac:dyDescent="0.3">
      <c r="R3711" t="s">
        <v>5635</v>
      </c>
      <c r="S3711">
        <v>1953720</v>
      </c>
    </row>
    <row r="3712" spans="18:19" x14ac:dyDescent="0.3">
      <c r="R3712" t="s">
        <v>5636</v>
      </c>
      <c r="S3712">
        <v>58430</v>
      </c>
    </row>
    <row r="3713" spans="18:19" x14ac:dyDescent="0.3">
      <c r="R3713" t="s">
        <v>5637</v>
      </c>
      <c r="S3713">
        <v>312080</v>
      </c>
    </row>
    <row r="3714" spans="18:19" x14ac:dyDescent="0.3">
      <c r="R3714" t="s">
        <v>5638</v>
      </c>
      <c r="S3714">
        <v>223100</v>
      </c>
    </row>
    <row r="3715" spans="18:19" x14ac:dyDescent="0.3">
      <c r="R3715" t="s">
        <v>5639</v>
      </c>
      <c r="S3715">
        <v>453690</v>
      </c>
    </row>
    <row r="3716" spans="18:19" x14ac:dyDescent="0.3">
      <c r="R3716" t="s">
        <v>5640</v>
      </c>
      <c r="S3716">
        <v>161010</v>
      </c>
    </row>
    <row r="3717" spans="18:19" x14ac:dyDescent="0.3">
      <c r="R3717" t="s">
        <v>5641</v>
      </c>
      <c r="S3717">
        <v>1819900</v>
      </c>
    </row>
    <row r="3718" spans="18:19" x14ac:dyDescent="0.3">
      <c r="R3718" t="s">
        <v>5642</v>
      </c>
      <c r="S3718">
        <v>200080</v>
      </c>
    </row>
    <row r="3719" spans="18:19" x14ac:dyDescent="0.3">
      <c r="R3719" t="s">
        <v>5643</v>
      </c>
      <c r="S3719">
        <v>344790</v>
      </c>
    </row>
    <row r="3720" spans="18:19" x14ac:dyDescent="0.3">
      <c r="R3720" t="s">
        <v>5644</v>
      </c>
      <c r="S3720">
        <v>17580</v>
      </c>
    </row>
    <row r="3721" spans="18:19" x14ac:dyDescent="0.3">
      <c r="R3721" t="s">
        <v>5645</v>
      </c>
      <c r="S3721">
        <v>0</v>
      </c>
    </row>
    <row r="3722" spans="18:19" x14ac:dyDescent="0.3">
      <c r="R3722" t="s">
        <v>5646</v>
      </c>
      <c r="S3722">
        <v>802110</v>
      </c>
    </row>
    <row r="3723" spans="18:19" x14ac:dyDescent="0.3">
      <c r="R3723" t="s">
        <v>5647</v>
      </c>
      <c r="S3723">
        <v>76800</v>
      </c>
    </row>
    <row r="3724" spans="18:19" x14ac:dyDescent="0.3">
      <c r="R3724" t="s">
        <v>5648</v>
      </c>
      <c r="S3724">
        <v>392650</v>
      </c>
    </row>
    <row r="3725" spans="18:19" x14ac:dyDescent="0.3">
      <c r="R3725" t="s">
        <v>5649</v>
      </c>
      <c r="S3725">
        <v>409360</v>
      </c>
    </row>
    <row r="3726" spans="18:19" x14ac:dyDescent="0.3">
      <c r="R3726" t="s">
        <v>5650</v>
      </c>
      <c r="S3726">
        <v>1920620</v>
      </c>
    </row>
    <row r="3727" spans="18:19" x14ac:dyDescent="0.3">
      <c r="R3727" t="s">
        <v>5651</v>
      </c>
      <c r="S3727">
        <v>2252970</v>
      </c>
    </row>
    <row r="3728" spans="18:19" x14ac:dyDescent="0.3">
      <c r="R3728" t="s">
        <v>5652</v>
      </c>
      <c r="S3728">
        <v>220750</v>
      </c>
    </row>
    <row r="3729" spans="18:19" x14ac:dyDescent="0.3">
      <c r="R3729" t="s">
        <v>5653</v>
      </c>
      <c r="S3729">
        <v>58460</v>
      </c>
    </row>
    <row r="3730" spans="18:19" x14ac:dyDescent="0.3">
      <c r="R3730" t="s">
        <v>5654</v>
      </c>
      <c r="S3730">
        <v>0</v>
      </c>
    </row>
    <row r="3731" spans="18:19" x14ac:dyDescent="0.3">
      <c r="R3731" t="s">
        <v>5655</v>
      </c>
      <c r="S3731">
        <v>16570</v>
      </c>
    </row>
    <row r="3732" spans="18:19" x14ac:dyDescent="0.3">
      <c r="R3732" t="s">
        <v>5656</v>
      </c>
      <c r="S3732">
        <v>1298920</v>
      </c>
    </row>
    <row r="3733" spans="18:19" x14ac:dyDescent="0.3">
      <c r="R3733" t="s">
        <v>5657</v>
      </c>
      <c r="S3733">
        <v>30610</v>
      </c>
    </row>
    <row r="3734" spans="18:19" x14ac:dyDescent="0.3">
      <c r="R3734" t="s">
        <v>5658</v>
      </c>
      <c r="S3734">
        <v>1288980</v>
      </c>
    </row>
    <row r="3735" spans="18:19" x14ac:dyDescent="0.3">
      <c r="R3735" t="s">
        <v>5659</v>
      </c>
      <c r="S3735">
        <v>473310</v>
      </c>
    </row>
    <row r="3736" spans="18:19" x14ac:dyDescent="0.3">
      <c r="R3736" t="s">
        <v>5660</v>
      </c>
      <c r="S3736">
        <v>7980</v>
      </c>
    </row>
    <row r="3737" spans="18:19" x14ac:dyDescent="0.3">
      <c r="R3737" t="s">
        <v>5661</v>
      </c>
      <c r="S3737">
        <v>0</v>
      </c>
    </row>
    <row r="3738" spans="18:19" x14ac:dyDescent="0.3">
      <c r="R3738" t="s">
        <v>5662</v>
      </c>
      <c r="S3738">
        <v>7238080</v>
      </c>
    </row>
    <row r="3739" spans="18:19" x14ac:dyDescent="0.3">
      <c r="R3739" t="s">
        <v>5663</v>
      </c>
      <c r="S3739">
        <v>132180</v>
      </c>
    </row>
    <row r="3740" spans="18:19" x14ac:dyDescent="0.3">
      <c r="R3740" t="s">
        <v>5664</v>
      </c>
      <c r="S3740">
        <v>88680</v>
      </c>
    </row>
    <row r="3741" spans="18:19" x14ac:dyDescent="0.3">
      <c r="R3741" t="s">
        <v>5665</v>
      </c>
      <c r="S3741">
        <v>11290</v>
      </c>
    </row>
    <row r="3742" spans="18:19" x14ac:dyDescent="0.3">
      <c r="R3742" t="s">
        <v>5666</v>
      </c>
      <c r="S3742">
        <v>191110</v>
      </c>
    </row>
    <row r="3743" spans="18:19" x14ac:dyDescent="0.3">
      <c r="R3743" t="s">
        <v>5667</v>
      </c>
      <c r="S3743">
        <v>32910</v>
      </c>
    </row>
    <row r="3744" spans="18:19" x14ac:dyDescent="0.3">
      <c r="R3744" t="s">
        <v>5668</v>
      </c>
      <c r="S3744">
        <v>11260</v>
      </c>
    </row>
    <row r="3745" spans="18:19" x14ac:dyDescent="0.3">
      <c r="R3745" t="s">
        <v>5669</v>
      </c>
      <c r="S3745">
        <v>673430</v>
      </c>
    </row>
    <row r="3746" spans="18:19" x14ac:dyDescent="0.3">
      <c r="R3746" t="s">
        <v>5670</v>
      </c>
      <c r="S3746">
        <v>508450</v>
      </c>
    </row>
    <row r="3747" spans="18:19" x14ac:dyDescent="0.3">
      <c r="R3747" t="s">
        <v>5671</v>
      </c>
      <c r="S3747">
        <v>6320</v>
      </c>
    </row>
    <row r="3748" spans="18:19" x14ac:dyDescent="0.3">
      <c r="R3748" t="s">
        <v>5672</v>
      </c>
      <c r="S3748">
        <v>483340</v>
      </c>
    </row>
    <row r="3749" spans="18:19" x14ac:dyDescent="0.3">
      <c r="R3749" t="s">
        <v>5673</v>
      </c>
      <c r="S3749">
        <v>3020</v>
      </c>
    </row>
    <row r="3750" spans="18:19" x14ac:dyDescent="0.3">
      <c r="R3750" t="s">
        <v>5674</v>
      </c>
      <c r="S3750">
        <v>434990</v>
      </c>
    </row>
    <row r="3751" spans="18:19" x14ac:dyDescent="0.3">
      <c r="R3751" t="s">
        <v>5675</v>
      </c>
      <c r="S3751">
        <v>55110</v>
      </c>
    </row>
    <row r="3752" spans="18:19" x14ac:dyDescent="0.3">
      <c r="R3752" t="s">
        <v>5676</v>
      </c>
      <c r="S3752">
        <v>38250</v>
      </c>
    </row>
    <row r="3753" spans="18:19" x14ac:dyDescent="0.3">
      <c r="R3753" t="s">
        <v>5677</v>
      </c>
      <c r="S3753">
        <v>1828970</v>
      </c>
    </row>
    <row r="3754" spans="18:19" x14ac:dyDescent="0.3">
      <c r="R3754" t="s">
        <v>5678</v>
      </c>
      <c r="S3754">
        <v>702490</v>
      </c>
    </row>
    <row r="3755" spans="18:19" x14ac:dyDescent="0.3">
      <c r="R3755" t="s">
        <v>5679</v>
      </c>
      <c r="S3755">
        <v>2510</v>
      </c>
    </row>
    <row r="3756" spans="18:19" x14ac:dyDescent="0.3">
      <c r="R3756" t="s">
        <v>5680</v>
      </c>
      <c r="S3756">
        <v>2214690</v>
      </c>
    </row>
    <row r="3757" spans="18:19" x14ac:dyDescent="0.3">
      <c r="R3757" t="s">
        <v>5681</v>
      </c>
      <c r="S3757">
        <v>3520</v>
      </c>
    </row>
    <row r="3758" spans="18:19" x14ac:dyDescent="0.3">
      <c r="R3758" t="s">
        <v>5682</v>
      </c>
      <c r="S3758">
        <v>14520</v>
      </c>
    </row>
    <row r="3759" spans="18:19" x14ac:dyDescent="0.3">
      <c r="R3759" t="s">
        <v>5683</v>
      </c>
      <c r="S3759">
        <v>3428500</v>
      </c>
    </row>
    <row r="3760" spans="18:19" x14ac:dyDescent="0.3">
      <c r="R3760" t="s">
        <v>5684</v>
      </c>
      <c r="S3760">
        <v>2157560</v>
      </c>
    </row>
    <row r="3761" spans="18:19" x14ac:dyDescent="0.3">
      <c r="R3761" t="s">
        <v>5685</v>
      </c>
      <c r="S3761">
        <v>959040</v>
      </c>
    </row>
    <row r="3762" spans="18:19" x14ac:dyDescent="0.3">
      <c r="R3762" t="s">
        <v>5686</v>
      </c>
      <c r="S3762">
        <v>151070</v>
      </c>
    </row>
    <row r="3763" spans="18:19" x14ac:dyDescent="0.3">
      <c r="R3763" t="s">
        <v>5687</v>
      </c>
      <c r="S3763">
        <v>250</v>
      </c>
    </row>
    <row r="3764" spans="18:19" x14ac:dyDescent="0.3">
      <c r="R3764" t="s">
        <v>5688</v>
      </c>
      <c r="S3764">
        <v>1980140</v>
      </c>
    </row>
    <row r="3765" spans="18:19" x14ac:dyDescent="0.3">
      <c r="R3765" t="s">
        <v>5689</v>
      </c>
      <c r="S3765">
        <v>2482540</v>
      </c>
    </row>
    <row r="3766" spans="18:19" x14ac:dyDescent="0.3">
      <c r="R3766" t="s">
        <v>5690</v>
      </c>
      <c r="S3766">
        <v>1228140</v>
      </c>
    </row>
    <row r="3767" spans="18:19" x14ac:dyDescent="0.3">
      <c r="R3767" t="s">
        <v>5691</v>
      </c>
      <c r="S3767">
        <v>2462880</v>
      </c>
    </row>
    <row r="3768" spans="18:19" x14ac:dyDescent="0.3">
      <c r="R3768" t="s">
        <v>5692</v>
      </c>
      <c r="S3768">
        <v>1705940</v>
      </c>
    </row>
    <row r="3769" spans="18:19" x14ac:dyDescent="0.3">
      <c r="R3769" t="s">
        <v>5693</v>
      </c>
      <c r="S3769">
        <v>503220</v>
      </c>
    </row>
    <row r="3770" spans="18:19" x14ac:dyDescent="0.3">
      <c r="R3770" t="s">
        <v>5694</v>
      </c>
      <c r="S3770">
        <v>293590</v>
      </c>
    </row>
    <row r="3771" spans="18:19" x14ac:dyDescent="0.3">
      <c r="R3771" t="s">
        <v>5695</v>
      </c>
      <c r="S3771">
        <v>895730</v>
      </c>
    </row>
    <row r="3772" spans="18:19" x14ac:dyDescent="0.3">
      <c r="R3772" t="s">
        <v>5696</v>
      </c>
      <c r="S3772">
        <v>32590</v>
      </c>
    </row>
    <row r="3773" spans="18:19" x14ac:dyDescent="0.3">
      <c r="R3773" t="s">
        <v>5697</v>
      </c>
      <c r="S3773">
        <v>58810</v>
      </c>
    </row>
    <row r="3774" spans="18:19" x14ac:dyDescent="0.3">
      <c r="R3774" t="s">
        <v>5698</v>
      </c>
      <c r="S3774">
        <v>16410</v>
      </c>
    </row>
    <row r="3775" spans="18:19" x14ac:dyDescent="0.3">
      <c r="R3775" t="s">
        <v>5699</v>
      </c>
      <c r="S3775">
        <v>1304140</v>
      </c>
    </row>
    <row r="3776" spans="18:19" x14ac:dyDescent="0.3">
      <c r="R3776" t="s">
        <v>5700</v>
      </c>
      <c r="S3776">
        <v>1719470</v>
      </c>
    </row>
    <row r="3777" spans="18:19" x14ac:dyDescent="0.3">
      <c r="R3777" t="s">
        <v>5701</v>
      </c>
      <c r="S3777">
        <v>3740</v>
      </c>
    </row>
    <row r="3778" spans="18:19" x14ac:dyDescent="0.3">
      <c r="R3778" t="s">
        <v>5702</v>
      </c>
      <c r="S3778">
        <v>2472150</v>
      </c>
    </row>
    <row r="3779" spans="18:19" x14ac:dyDescent="0.3">
      <c r="R3779" t="s">
        <v>5703</v>
      </c>
      <c r="S3779">
        <v>620940</v>
      </c>
    </row>
    <row r="3780" spans="18:19" x14ac:dyDescent="0.3">
      <c r="R3780" t="s">
        <v>5704</v>
      </c>
      <c r="S3780">
        <v>788260</v>
      </c>
    </row>
    <row r="3781" spans="18:19" x14ac:dyDescent="0.3">
      <c r="R3781" t="s">
        <v>5705</v>
      </c>
      <c r="S3781">
        <v>221140</v>
      </c>
    </row>
    <row r="3782" spans="18:19" x14ac:dyDescent="0.3">
      <c r="R3782" t="s">
        <v>5706</v>
      </c>
      <c r="S3782">
        <v>252110</v>
      </c>
    </row>
    <row r="3783" spans="18:19" x14ac:dyDescent="0.3">
      <c r="R3783" t="s">
        <v>5707</v>
      </c>
      <c r="S3783">
        <v>1752870</v>
      </c>
    </row>
    <row r="3784" spans="18:19" x14ac:dyDescent="0.3">
      <c r="R3784" t="s">
        <v>5708</v>
      </c>
      <c r="S3784">
        <v>180430</v>
      </c>
    </row>
    <row r="3785" spans="18:19" x14ac:dyDescent="0.3">
      <c r="R3785" t="s">
        <v>5709</v>
      </c>
      <c r="S3785">
        <v>529740</v>
      </c>
    </row>
    <row r="3786" spans="18:19" x14ac:dyDescent="0.3">
      <c r="R3786" t="s">
        <v>5710</v>
      </c>
      <c r="S3786">
        <v>2871130</v>
      </c>
    </row>
    <row r="3787" spans="18:19" x14ac:dyDescent="0.3">
      <c r="R3787" t="s">
        <v>5711</v>
      </c>
      <c r="S3787">
        <v>546580</v>
      </c>
    </row>
    <row r="3788" spans="18:19" x14ac:dyDescent="0.3">
      <c r="R3788" t="s">
        <v>5712</v>
      </c>
      <c r="S3788">
        <v>350</v>
      </c>
    </row>
    <row r="3789" spans="18:19" x14ac:dyDescent="0.3">
      <c r="R3789" t="s">
        <v>5713</v>
      </c>
      <c r="S3789">
        <v>61730</v>
      </c>
    </row>
    <row r="3790" spans="18:19" x14ac:dyDescent="0.3">
      <c r="R3790" t="s">
        <v>5714</v>
      </c>
      <c r="S3790">
        <v>72020</v>
      </c>
    </row>
    <row r="3791" spans="18:19" x14ac:dyDescent="0.3">
      <c r="R3791" t="s">
        <v>5715</v>
      </c>
      <c r="S3791">
        <v>183970</v>
      </c>
    </row>
    <row r="3792" spans="18:19" x14ac:dyDescent="0.3">
      <c r="R3792" t="s">
        <v>5716</v>
      </c>
      <c r="S3792">
        <v>625550</v>
      </c>
    </row>
    <row r="3793" spans="18:19" x14ac:dyDescent="0.3">
      <c r="R3793" t="s">
        <v>5717</v>
      </c>
      <c r="S3793">
        <v>236000</v>
      </c>
    </row>
    <row r="3794" spans="18:19" x14ac:dyDescent="0.3">
      <c r="R3794" t="s">
        <v>5718</v>
      </c>
      <c r="S3794">
        <v>6775820</v>
      </c>
    </row>
    <row r="3795" spans="18:19" x14ac:dyDescent="0.3">
      <c r="R3795" t="s">
        <v>5719</v>
      </c>
      <c r="S3795">
        <v>57570</v>
      </c>
    </row>
    <row r="3796" spans="18:19" x14ac:dyDescent="0.3">
      <c r="R3796" t="s">
        <v>5720</v>
      </c>
      <c r="S3796">
        <v>17220</v>
      </c>
    </row>
    <row r="3797" spans="18:19" x14ac:dyDescent="0.3">
      <c r="R3797" t="s">
        <v>5721</v>
      </c>
      <c r="S3797">
        <v>39390</v>
      </c>
    </row>
    <row r="3798" spans="18:19" x14ac:dyDescent="0.3">
      <c r="R3798" t="s">
        <v>5722</v>
      </c>
      <c r="S3798">
        <v>32430</v>
      </c>
    </row>
    <row r="3799" spans="18:19" x14ac:dyDescent="0.3">
      <c r="R3799" t="s">
        <v>5723</v>
      </c>
      <c r="S3799">
        <v>0</v>
      </c>
    </row>
    <row r="3800" spans="18:19" x14ac:dyDescent="0.3">
      <c r="R3800" t="s">
        <v>5724</v>
      </c>
      <c r="S3800">
        <v>227730</v>
      </c>
    </row>
    <row r="3801" spans="18:19" x14ac:dyDescent="0.3">
      <c r="R3801" t="s">
        <v>5725</v>
      </c>
      <c r="S3801">
        <v>281430</v>
      </c>
    </row>
    <row r="3802" spans="18:19" x14ac:dyDescent="0.3">
      <c r="R3802" t="s">
        <v>5726</v>
      </c>
      <c r="S3802">
        <v>2183320</v>
      </c>
    </row>
    <row r="3803" spans="18:19" x14ac:dyDescent="0.3">
      <c r="R3803" t="s">
        <v>5727</v>
      </c>
      <c r="S3803">
        <v>227680</v>
      </c>
    </row>
    <row r="3804" spans="18:19" x14ac:dyDescent="0.3">
      <c r="R3804" t="s">
        <v>5728</v>
      </c>
      <c r="S3804">
        <v>205350</v>
      </c>
    </row>
    <row r="3805" spans="18:19" x14ac:dyDescent="0.3">
      <c r="R3805" t="s">
        <v>5729</v>
      </c>
      <c r="S3805">
        <v>36300</v>
      </c>
    </row>
    <row r="3806" spans="18:19" x14ac:dyDescent="0.3">
      <c r="R3806" t="s">
        <v>5730</v>
      </c>
      <c r="S3806">
        <v>1150</v>
      </c>
    </row>
    <row r="3807" spans="18:19" x14ac:dyDescent="0.3">
      <c r="R3807" t="s">
        <v>5731</v>
      </c>
      <c r="S3807">
        <v>14620</v>
      </c>
    </row>
    <row r="3808" spans="18:19" x14ac:dyDescent="0.3">
      <c r="R3808" t="s">
        <v>5732</v>
      </c>
      <c r="S3808">
        <v>166260</v>
      </c>
    </row>
    <row r="3809" spans="18:19" x14ac:dyDescent="0.3">
      <c r="R3809" t="s">
        <v>5733</v>
      </c>
      <c r="S3809">
        <v>570</v>
      </c>
    </row>
    <row r="3810" spans="18:19" x14ac:dyDescent="0.3">
      <c r="R3810" t="s">
        <v>5734</v>
      </c>
      <c r="S3810">
        <v>1667520</v>
      </c>
    </row>
    <row r="3811" spans="18:19" x14ac:dyDescent="0.3">
      <c r="R3811" t="s">
        <v>5735</v>
      </c>
      <c r="S3811">
        <v>2352610</v>
      </c>
    </row>
    <row r="3812" spans="18:19" x14ac:dyDescent="0.3">
      <c r="R3812" t="s">
        <v>5736</v>
      </c>
      <c r="S3812">
        <v>120820</v>
      </c>
    </row>
    <row r="3813" spans="18:19" x14ac:dyDescent="0.3">
      <c r="R3813" t="s">
        <v>5737</v>
      </c>
      <c r="S3813">
        <v>468460</v>
      </c>
    </row>
    <row r="3814" spans="18:19" x14ac:dyDescent="0.3">
      <c r="R3814" t="s">
        <v>5738</v>
      </c>
      <c r="S3814">
        <v>1860</v>
      </c>
    </row>
    <row r="3815" spans="18:19" x14ac:dyDescent="0.3">
      <c r="R3815" t="s">
        <v>5739</v>
      </c>
      <c r="S3815">
        <v>2911650</v>
      </c>
    </row>
    <row r="3816" spans="18:19" x14ac:dyDescent="0.3">
      <c r="R3816" t="s">
        <v>5740</v>
      </c>
      <c r="S3816">
        <v>517640</v>
      </c>
    </row>
    <row r="3817" spans="18:19" x14ac:dyDescent="0.3">
      <c r="R3817" t="s">
        <v>5741</v>
      </c>
      <c r="S3817">
        <v>980</v>
      </c>
    </row>
    <row r="3818" spans="18:19" x14ac:dyDescent="0.3">
      <c r="R3818" t="s">
        <v>5742</v>
      </c>
      <c r="S3818">
        <v>336990</v>
      </c>
    </row>
    <row r="3819" spans="18:19" x14ac:dyDescent="0.3">
      <c r="R3819" t="s">
        <v>5743</v>
      </c>
      <c r="S3819">
        <v>3192800</v>
      </c>
    </row>
    <row r="3820" spans="18:19" x14ac:dyDescent="0.3">
      <c r="R3820" t="s">
        <v>5744</v>
      </c>
      <c r="S3820">
        <v>532010</v>
      </c>
    </row>
    <row r="3821" spans="18:19" x14ac:dyDescent="0.3">
      <c r="R3821" t="s">
        <v>5745</v>
      </c>
      <c r="S3821">
        <v>312040</v>
      </c>
    </row>
    <row r="3822" spans="18:19" x14ac:dyDescent="0.3">
      <c r="R3822" t="s">
        <v>5746</v>
      </c>
      <c r="S3822">
        <v>280</v>
      </c>
    </row>
    <row r="3823" spans="18:19" x14ac:dyDescent="0.3">
      <c r="R3823" t="s">
        <v>5747</v>
      </c>
      <c r="S3823">
        <v>80570</v>
      </c>
    </row>
    <row r="3824" spans="18:19" x14ac:dyDescent="0.3">
      <c r="R3824" t="s">
        <v>5748</v>
      </c>
      <c r="S3824">
        <v>840340</v>
      </c>
    </row>
    <row r="3825" spans="18:19" x14ac:dyDescent="0.3">
      <c r="R3825" t="s">
        <v>5749</v>
      </c>
      <c r="S3825">
        <v>1460760</v>
      </c>
    </row>
    <row r="3826" spans="18:19" x14ac:dyDescent="0.3">
      <c r="R3826" t="s">
        <v>5750</v>
      </c>
      <c r="S3826">
        <v>1624450</v>
      </c>
    </row>
    <row r="3827" spans="18:19" x14ac:dyDescent="0.3">
      <c r="R3827" t="s">
        <v>5751</v>
      </c>
      <c r="S3827">
        <v>4195340</v>
      </c>
    </row>
    <row r="3828" spans="18:19" x14ac:dyDescent="0.3">
      <c r="R3828" t="s">
        <v>5752</v>
      </c>
      <c r="S3828">
        <v>262060</v>
      </c>
    </row>
    <row r="3829" spans="18:19" x14ac:dyDescent="0.3">
      <c r="R3829" t="s">
        <v>5753</v>
      </c>
      <c r="S3829">
        <v>37420</v>
      </c>
    </row>
    <row r="3830" spans="18:19" x14ac:dyDescent="0.3">
      <c r="R3830" t="s">
        <v>5754</v>
      </c>
      <c r="S3830">
        <v>134710</v>
      </c>
    </row>
    <row r="3831" spans="18:19" x14ac:dyDescent="0.3">
      <c r="R3831" t="s">
        <v>5755</v>
      </c>
      <c r="S3831">
        <v>1545850</v>
      </c>
    </row>
    <row r="3832" spans="18:19" x14ac:dyDescent="0.3">
      <c r="R3832" t="s">
        <v>5756</v>
      </c>
      <c r="S3832">
        <v>25580</v>
      </c>
    </row>
    <row r="3833" spans="18:19" x14ac:dyDescent="0.3">
      <c r="R3833" t="s">
        <v>5757</v>
      </c>
      <c r="S3833">
        <v>240860</v>
      </c>
    </row>
    <row r="3834" spans="18:19" x14ac:dyDescent="0.3">
      <c r="R3834" t="s">
        <v>5758</v>
      </c>
      <c r="S3834">
        <v>108280</v>
      </c>
    </row>
    <row r="3835" spans="18:19" x14ac:dyDescent="0.3">
      <c r="R3835" t="s">
        <v>5759</v>
      </c>
      <c r="S3835">
        <v>2445610</v>
      </c>
    </row>
    <row r="3836" spans="18:19" x14ac:dyDescent="0.3">
      <c r="R3836" t="s">
        <v>5760</v>
      </c>
      <c r="S3836">
        <v>260</v>
      </c>
    </row>
    <row r="3837" spans="18:19" x14ac:dyDescent="0.3">
      <c r="R3837" t="s">
        <v>5761</v>
      </c>
      <c r="S3837">
        <v>1820</v>
      </c>
    </row>
    <row r="3838" spans="18:19" x14ac:dyDescent="0.3">
      <c r="R3838" t="s">
        <v>5762</v>
      </c>
      <c r="S3838">
        <v>595770</v>
      </c>
    </row>
    <row r="3839" spans="18:19" x14ac:dyDescent="0.3">
      <c r="R3839" t="s">
        <v>5763</v>
      </c>
      <c r="S3839">
        <v>8310</v>
      </c>
    </row>
    <row r="3840" spans="18:19" x14ac:dyDescent="0.3">
      <c r="R3840" t="s">
        <v>5764</v>
      </c>
      <c r="S3840">
        <v>140</v>
      </c>
    </row>
    <row r="3841" spans="18:19" x14ac:dyDescent="0.3">
      <c r="R3841" t="s">
        <v>5765</v>
      </c>
      <c r="S3841">
        <v>793500</v>
      </c>
    </row>
    <row r="3842" spans="18:19" x14ac:dyDescent="0.3">
      <c r="R3842" t="s">
        <v>5766</v>
      </c>
      <c r="S3842">
        <v>569430</v>
      </c>
    </row>
    <row r="3843" spans="18:19" x14ac:dyDescent="0.3">
      <c r="R3843" t="s">
        <v>5767</v>
      </c>
      <c r="S3843">
        <v>16870</v>
      </c>
    </row>
    <row r="3844" spans="18:19" x14ac:dyDescent="0.3">
      <c r="R3844" t="s">
        <v>5768</v>
      </c>
      <c r="S3844">
        <v>321470</v>
      </c>
    </row>
    <row r="3845" spans="18:19" x14ac:dyDescent="0.3">
      <c r="R3845" t="s">
        <v>5769</v>
      </c>
      <c r="S3845">
        <v>14660</v>
      </c>
    </row>
    <row r="3846" spans="18:19" x14ac:dyDescent="0.3">
      <c r="R3846" t="s">
        <v>5770</v>
      </c>
      <c r="S3846">
        <v>47330</v>
      </c>
    </row>
    <row r="3847" spans="18:19" x14ac:dyDescent="0.3">
      <c r="R3847" t="s">
        <v>5771</v>
      </c>
      <c r="S3847">
        <v>4730</v>
      </c>
    </row>
    <row r="3848" spans="18:19" x14ac:dyDescent="0.3">
      <c r="R3848" t="s">
        <v>5772</v>
      </c>
      <c r="S3848">
        <v>356230</v>
      </c>
    </row>
    <row r="3849" spans="18:19" x14ac:dyDescent="0.3">
      <c r="R3849" t="s">
        <v>5773</v>
      </c>
      <c r="S3849">
        <v>0</v>
      </c>
    </row>
    <row r="3850" spans="18:19" x14ac:dyDescent="0.3">
      <c r="R3850" t="s">
        <v>5774</v>
      </c>
      <c r="S3850">
        <v>6050</v>
      </c>
    </row>
    <row r="3851" spans="18:19" x14ac:dyDescent="0.3">
      <c r="R3851" t="s">
        <v>5775</v>
      </c>
      <c r="S3851">
        <v>15370</v>
      </c>
    </row>
    <row r="3852" spans="18:19" x14ac:dyDescent="0.3">
      <c r="R3852" t="s">
        <v>5776</v>
      </c>
      <c r="S3852">
        <v>38790</v>
      </c>
    </row>
    <row r="3853" spans="18:19" x14ac:dyDescent="0.3">
      <c r="R3853" t="s">
        <v>5777</v>
      </c>
      <c r="S3853">
        <v>1056500</v>
      </c>
    </row>
    <row r="3854" spans="18:19" x14ac:dyDescent="0.3">
      <c r="R3854" t="s">
        <v>5778</v>
      </c>
      <c r="S3854">
        <v>833310</v>
      </c>
    </row>
    <row r="3855" spans="18:19" x14ac:dyDescent="0.3">
      <c r="R3855" t="s">
        <v>5779</v>
      </c>
      <c r="S3855">
        <v>39520</v>
      </c>
    </row>
    <row r="3856" spans="18:19" x14ac:dyDescent="0.3">
      <c r="R3856" t="s">
        <v>5780</v>
      </c>
      <c r="S3856">
        <v>20624160</v>
      </c>
    </row>
    <row r="3857" spans="18:19" x14ac:dyDescent="0.3">
      <c r="R3857" t="s">
        <v>5781</v>
      </c>
      <c r="S3857">
        <v>1540</v>
      </c>
    </row>
    <row r="3858" spans="18:19" x14ac:dyDescent="0.3">
      <c r="R3858" t="s">
        <v>5782</v>
      </c>
      <c r="S3858">
        <v>75440</v>
      </c>
    </row>
    <row r="3859" spans="18:19" x14ac:dyDescent="0.3">
      <c r="R3859" t="s">
        <v>5783</v>
      </c>
      <c r="S3859">
        <v>91810</v>
      </c>
    </row>
    <row r="3860" spans="18:19" x14ac:dyDescent="0.3">
      <c r="R3860" t="s">
        <v>5784</v>
      </c>
      <c r="S3860">
        <v>451980</v>
      </c>
    </row>
    <row r="3861" spans="18:19" x14ac:dyDescent="0.3">
      <c r="R3861" t="s">
        <v>5785</v>
      </c>
      <c r="S3861">
        <v>24110</v>
      </c>
    </row>
    <row r="3862" spans="18:19" x14ac:dyDescent="0.3">
      <c r="R3862" t="s">
        <v>5786</v>
      </c>
      <c r="S3862">
        <v>3490</v>
      </c>
    </row>
    <row r="3863" spans="18:19" x14ac:dyDescent="0.3">
      <c r="R3863" t="s">
        <v>5787</v>
      </c>
      <c r="S3863">
        <v>653070</v>
      </c>
    </row>
    <row r="3864" spans="18:19" x14ac:dyDescent="0.3">
      <c r="R3864" t="s">
        <v>5788</v>
      </c>
      <c r="S3864">
        <v>335010</v>
      </c>
    </row>
    <row r="3865" spans="18:19" x14ac:dyDescent="0.3">
      <c r="R3865" t="s">
        <v>5789</v>
      </c>
      <c r="S3865">
        <v>3828730</v>
      </c>
    </row>
    <row r="3866" spans="18:19" x14ac:dyDescent="0.3">
      <c r="R3866" t="s">
        <v>5790</v>
      </c>
      <c r="S3866">
        <v>19420</v>
      </c>
    </row>
    <row r="3867" spans="18:19" x14ac:dyDescent="0.3">
      <c r="R3867" t="s">
        <v>5791</v>
      </c>
      <c r="S3867">
        <v>0</v>
      </c>
    </row>
    <row r="3868" spans="18:19" x14ac:dyDescent="0.3">
      <c r="R3868" t="s">
        <v>5792</v>
      </c>
      <c r="S3868">
        <v>569890</v>
      </c>
    </row>
    <row r="3869" spans="18:19" x14ac:dyDescent="0.3">
      <c r="R3869" t="s">
        <v>5793</v>
      </c>
      <c r="S3869">
        <v>3941650</v>
      </c>
    </row>
    <row r="3870" spans="18:19" x14ac:dyDescent="0.3">
      <c r="R3870" t="s">
        <v>5794</v>
      </c>
      <c r="S3870">
        <v>4006350</v>
      </c>
    </row>
    <row r="3871" spans="18:19" x14ac:dyDescent="0.3">
      <c r="R3871" t="s">
        <v>5795</v>
      </c>
      <c r="S3871">
        <v>745510</v>
      </c>
    </row>
    <row r="3872" spans="18:19" x14ac:dyDescent="0.3">
      <c r="R3872" t="s">
        <v>5796</v>
      </c>
      <c r="S3872">
        <v>0</v>
      </c>
    </row>
    <row r="3873" spans="18:19" x14ac:dyDescent="0.3">
      <c r="R3873" t="s">
        <v>5797</v>
      </c>
      <c r="S3873">
        <v>1842520</v>
      </c>
    </row>
    <row r="3874" spans="18:19" x14ac:dyDescent="0.3">
      <c r="R3874" t="s">
        <v>5798</v>
      </c>
      <c r="S3874">
        <v>420330</v>
      </c>
    </row>
    <row r="3875" spans="18:19" x14ac:dyDescent="0.3">
      <c r="R3875" t="s">
        <v>5799</v>
      </c>
      <c r="S3875">
        <v>187620</v>
      </c>
    </row>
    <row r="3876" spans="18:19" x14ac:dyDescent="0.3">
      <c r="R3876" t="s">
        <v>5800</v>
      </c>
      <c r="S3876">
        <v>298210</v>
      </c>
    </row>
    <row r="3877" spans="18:19" x14ac:dyDescent="0.3">
      <c r="R3877" t="s">
        <v>5801</v>
      </c>
      <c r="S3877">
        <v>529890</v>
      </c>
    </row>
    <row r="3878" spans="18:19" x14ac:dyDescent="0.3">
      <c r="R3878" t="s">
        <v>5802</v>
      </c>
      <c r="S3878">
        <v>46420</v>
      </c>
    </row>
    <row r="3879" spans="18:19" x14ac:dyDescent="0.3">
      <c r="R3879" t="s">
        <v>5803</v>
      </c>
      <c r="S3879">
        <v>1356030</v>
      </c>
    </row>
    <row r="3880" spans="18:19" x14ac:dyDescent="0.3">
      <c r="R3880" t="s">
        <v>5804</v>
      </c>
      <c r="S3880">
        <v>3421950</v>
      </c>
    </row>
    <row r="3881" spans="18:19" x14ac:dyDescent="0.3">
      <c r="R3881" t="s">
        <v>5805</v>
      </c>
      <c r="S3881">
        <v>430520</v>
      </c>
    </row>
    <row r="3882" spans="18:19" x14ac:dyDescent="0.3">
      <c r="R3882" t="s">
        <v>5806</v>
      </c>
      <c r="S3882">
        <v>691890</v>
      </c>
    </row>
    <row r="3883" spans="18:19" x14ac:dyDescent="0.3">
      <c r="R3883" t="s">
        <v>5807</v>
      </c>
      <c r="S3883">
        <v>787180</v>
      </c>
    </row>
    <row r="3884" spans="18:19" x14ac:dyDescent="0.3">
      <c r="R3884" t="s">
        <v>5808</v>
      </c>
      <c r="S3884">
        <v>1156130</v>
      </c>
    </row>
    <row r="3885" spans="18:19" x14ac:dyDescent="0.3">
      <c r="R3885" t="s">
        <v>5809</v>
      </c>
      <c r="S3885">
        <v>1428420</v>
      </c>
    </row>
    <row r="3886" spans="18:19" x14ac:dyDescent="0.3">
      <c r="R3886" t="s">
        <v>5810</v>
      </c>
      <c r="S3886">
        <v>62540</v>
      </c>
    </row>
    <row r="3887" spans="18:19" x14ac:dyDescent="0.3">
      <c r="R3887" t="s">
        <v>5811</v>
      </c>
      <c r="S3887">
        <v>0</v>
      </c>
    </row>
    <row r="3888" spans="18:19" x14ac:dyDescent="0.3">
      <c r="R3888" t="s">
        <v>5812</v>
      </c>
      <c r="S3888">
        <v>1120140</v>
      </c>
    </row>
    <row r="3889" spans="18:19" x14ac:dyDescent="0.3">
      <c r="R3889" t="s">
        <v>5813</v>
      </c>
      <c r="S3889">
        <v>1016120</v>
      </c>
    </row>
    <row r="3890" spans="18:19" x14ac:dyDescent="0.3">
      <c r="R3890" t="s">
        <v>5814</v>
      </c>
      <c r="S3890">
        <v>21890</v>
      </c>
    </row>
    <row r="3891" spans="18:19" x14ac:dyDescent="0.3">
      <c r="R3891" t="s">
        <v>5815</v>
      </c>
      <c r="S3891">
        <v>12020</v>
      </c>
    </row>
    <row r="3892" spans="18:19" x14ac:dyDescent="0.3">
      <c r="R3892" t="s">
        <v>5816</v>
      </c>
      <c r="S3892">
        <v>1156500</v>
      </c>
    </row>
    <row r="3893" spans="18:19" x14ac:dyDescent="0.3">
      <c r="R3893" t="s">
        <v>5817</v>
      </c>
      <c r="S3893">
        <v>14938</v>
      </c>
    </row>
    <row r="3894" spans="18:19" x14ac:dyDescent="0.3">
      <c r="R3894" t="s">
        <v>5818</v>
      </c>
      <c r="S3894">
        <v>1396420</v>
      </c>
    </row>
    <row r="3895" spans="18:19" x14ac:dyDescent="0.3">
      <c r="R3895" t="s">
        <v>5819</v>
      </c>
      <c r="S3895">
        <v>28140</v>
      </c>
    </row>
    <row r="3896" spans="18:19" x14ac:dyDescent="0.3">
      <c r="R3896" t="s">
        <v>5820</v>
      </c>
      <c r="S3896">
        <v>790580</v>
      </c>
    </row>
    <row r="3897" spans="18:19" x14ac:dyDescent="0.3">
      <c r="R3897" t="s">
        <v>5821</v>
      </c>
      <c r="S3897">
        <v>1506550</v>
      </c>
    </row>
    <row r="3898" spans="18:19" x14ac:dyDescent="0.3">
      <c r="R3898" t="s">
        <v>5822</v>
      </c>
      <c r="S3898">
        <v>105900</v>
      </c>
    </row>
    <row r="3899" spans="18:19" x14ac:dyDescent="0.3">
      <c r="R3899" t="s">
        <v>5823</v>
      </c>
      <c r="S3899">
        <v>4200</v>
      </c>
    </row>
    <row r="3900" spans="18:19" x14ac:dyDescent="0.3">
      <c r="R3900" t="s">
        <v>5824</v>
      </c>
      <c r="S3900">
        <v>82920</v>
      </c>
    </row>
    <row r="3901" spans="18:19" x14ac:dyDescent="0.3">
      <c r="R3901" t="s">
        <v>5825</v>
      </c>
      <c r="S3901">
        <v>5870040</v>
      </c>
    </row>
    <row r="3902" spans="18:19" x14ac:dyDescent="0.3">
      <c r="R3902" t="s">
        <v>5826</v>
      </c>
      <c r="S3902">
        <v>552850</v>
      </c>
    </row>
    <row r="3903" spans="18:19" x14ac:dyDescent="0.3">
      <c r="R3903" t="s">
        <v>5827</v>
      </c>
      <c r="S3903">
        <v>19010</v>
      </c>
    </row>
    <row r="3904" spans="18:19" x14ac:dyDescent="0.3">
      <c r="R3904" t="s">
        <v>5828</v>
      </c>
      <c r="S3904">
        <v>456340</v>
      </c>
    </row>
    <row r="3905" spans="18:19" x14ac:dyDescent="0.3">
      <c r="R3905" t="s">
        <v>5829</v>
      </c>
      <c r="S3905">
        <v>1890</v>
      </c>
    </row>
    <row r="3906" spans="18:19" x14ac:dyDescent="0.3">
      <c r="R3906" t="s">
        <v>5830</v>
      </c>
      <c r="S3906">
        <v>0</v>
      </c>
    </row>
    <row r="3907" spans="18:19" x14ac:dyDescent="0.3">
      <c r="R3907" t="s">
        <v>5831</v>
      </c>
      <c r="S3907">
        <v>1408100</v>
      </c>
    </row>
    <row r="3908" spans="18:19" x14ac:dyDescent="0.3">
      <c r="R3908" t="s">
        <v>5832</v>
      </c>
      <c r="S3908">
        <v>69570</v>
      </c>
    </row>
    <row r="3909" spans="18:19" x14ac:dyDescent="0.3">
      <c r="R3909" t="s">
        <v>5833</v>
      </c>
      <c r="S3909">
        <v>188420</v>
      </c>
    </row>
    <row r="3910" spans="18:19" x14ac:dyDescent="0.3">
      <c r="R3910" t="s">
        <v>5834</v>
      </c>
      <c r="S3910">
        <v>91010</v>
      </c>
    </row>
    <row r="3911" spans="18:19" x14ac:dyDescent="0.3">
      <c r="R3911" t="s">
        <v>5835</v>
      </c>
      <c r="S3911">
        <v>291740</v>
      </c>
    </row>
    <row r="3912" spans="18:19" x14ac:dyDescent="0.3">
      <c r="R3912" t="s">
        <v>5836</v>
      </c>
      <c r="S3912">
        <v>280020</v>
      </c>
    </row>
    <row r="3913" spans="18:19" x14ac:dyDescent="0.3">
      <c r="R3913" t="s">
        <v>5837</v>
      </c>
      <c r="S3913">
        <v>2740</v>
      </c>
    </row>
    <row r="3914" spans="18:19" x14ac:dyDescent="0.3">
      <c r="R3914" t="s">
        <v>5838</v>
      </c>
      <c r="S3914">
        <v>2388160</v>
      </c>
    </row>
    <row r="3915" spans="18:19" x14ac:dyDescent="0.3">
      <c r="R3915" t="s">
        <v>5839</v>
      </c>
      <c r="S3915">
        <v>737580</v>
      </c>
    </row>
    <row r="3916" spans="18:19" x14ac:dyDescent="0.3">
      <c r="R3916" t="s">
        <v>5840</v>
      </c>
      <c r="S3916">
        <v>641980</v>
      </c>
    </row>
    <row r="3917" spans="18:19" x14ac:dyDescent="0.3">
      <c r="R3917" t="s">
        <v>5841</v>
      </c>
      <c r="S3917">
        <v>4432530</v>
      </c>
    </row>
    <row r="3918" spans="18:19" x14ac:dyDescent="0.3">
      <c r="R3918" t="s">
        <v>5842</v>
      </c>
      <c r="S3918">
        <v>430</v>
      </c>
    </row>
    <row r="3919" spans="18:19" x14ac:dyDescent="0.3">
      <c r="R3919" t="s">
        <v>5843</v>
      </c>
      <c r="S3919">
        <v>0</v>
      </c>
    </row>
    <row r="3920" spans="18:19" x14ac:dyDescent="0.3">
      <c r="R3920" t="s">
        <v>5844</v>
      </c>
      <c r="S3920">
        <v>45590</v>
      </c>
    </row>
    <row r="3921" spans="18:19" x14ac:dyDescent="0.3">
      <c r="R3921" t="s">
        <v>5845</v>
      </c>
      <c r="S3921">
        <v>231590</v>
      </c>
    </row>
    <row r="3922" spans="18:19" x14ac:dyDescent="0.3">
      <c r="R3922" t="s">
        <v>5846</v>
      </c>
      <c r="S3922">
        <v>467320</v>
      </c>
    </row>
    <row r="3923" spans="18:19" x14ac:dyDescent="0.3">
      <c r="R3923" t="s">
        <v>5847</v>
      </c>
      <c r="S3923">
        <v>596580</v>
      </c>
    </row>
    <row r="3924" spans="18:19" x14ac:dyDescent="0.3">
      <c r="R3924" t="s">
        <v>5848</v>
      </c>
      <c r="S3924">
        <v>3493040</v>
      </c>
    </row>
    <row r="3925" spans="18:19" x14ac:dyDescent="0.3">
      <c r="R3925" t="s">
        <v>5849</v>
      </c>
      <c r="S3925">
        <v>184140</v>
      </c>
    </row>
    <row r="3926" spans="18:19" x14ac:dyDescent="0.3">
      <c r="R3926" t="s">
        <v>5850</v>
      </c>
      <c r="S3926">
        <v>1749360</v>
      </c>
    </row>
    <row r="3927" spans="18:19" x14ac:dyDescent="0.3">
      <c r="R3927" t="s">
        <v>5851</v>
      </c>
      <c r="S3927">
        <v>15580</v>
      </c>
    </row>
    <row r="3928" spans="18:19" x14ac:dyDescent="0.3">
      <c r="R3928" t="s">
        <v>5852</v>
      </c>
      <c r="S3928">
        <v>70560</v>
      </c>
    </row>
    <row r="3929" spans="18:19" x14ac:dyDescent="0.3">
      <c r="R3929" t="s">
        <v>5853</v>
      </c>
      <c r="S3929">
        <v>379760</v>
      </c>
    </row>
    <row r="3930" spans="18:19" x14ac:dyDescent="0.3">
      <c r="R3930" t="s">
        <v>5854</v>
      </c>
      <c r="S3930">
        <v>0</v>
      </c>
    </row>
    <row r="3931" spans="18:19" x14ac:dyDescent="0.3">
      <c r="R3931" t="s">
        <v>5855</v>
      </c>
      <c r="S3931">
        <v>7850</v>
      </c>
    </row>
    <row r="3932" spans="18:19" x14ac:dyDescent="0.3">
      <c r="R3932" t="s">
        <v>5856</v>
      </c>
      <c r="S3932">
        <v>18802290</v>
      </c>
    </row>
    <row r="3933" spans="18:19" x14ac:dyDescent="0.3">
      <c r="R3933" t="s">
        <v>5857</v>
      </c>
      <c r="S3933">
        <v>76350</v>
      </c>
    </row>
    <row r="3934" spans="18:19" x14ac:dyDescent="0.3">
      <c r="R3934" t="s">
        <v>5858</v>
      </c>
      <c r="S3934">
        <v>1410400</v>
      </c>
    </row>
    <row r="3935" spans="18:19" x14ac:dyDescent="0.3">
      <c r="R3935" t="s">
        <v>5859</v>
      </c>
      <c r="S3935">
        <v>21280</v>
      </c>
    </row>
    <row r="3936" spans="18:19" x14ac:dyDescent="0.3">
      <c r="R3936" t="s">
        <v>5860</v>
      </c>
      <c r="S3936">
        <v>1874940</v>
      </c>
    </row>
    <row r="3937" spans="18:19" x14ac:dyDescent="0.3">
      <c r="R3937" t="s">
        <v>5861</v>
      </c>
      <c r="S3937">
        <v>922610</v>
      </c>
    </row>
    <row r="3938" spans="18:19" x14ac:dyDescent="0.3">
      <c r="R3938" t="s">
        <v>5862</v>
      </c>
      <c r="S3938">
        <v>0</v>
      </c>
    </row>
    <row r="3939" spans="18:19" x14ac:dyDescent="0.3">
      <c r="R3939" t="s">
        <v>5863</v>
      </c>
      <c r="S3939">
        <v>45440</v>
      </c>
    </row>
    <row r="3940" spans="18:19" x14ac:dyDescent="0.3">
      <c r="R3940" t="s">
        <v>5864</v>
      </c>
      <c r="S3940">
        <v>1066790</v>
      </c>
    </row>
    <row r="3941" spans="18:19" x14ac:dyDescent="0.3">
      <c r="R3941" t="s">
        <v>5865</v>
      </c>
      <c r="S3941">
        <v>57610</v>
      </c>
    </row>
    <row r="3942" spans="18:19" x14ac:dyDescent="0.3">
      <c r="R3942" t="s">
        <v>5866</v>
      </c>
      <c r="S3942">
        <v>30310</v>
      </c>
    </row>
    <row r="3943" spans="18:19" x14ac:dyDescent="0.3">
      <c r="R3943" t="s">
        <v>5867</v>
      </c>
      <c r="S3943">
        <v>1371410</v>
      </c>
    </row>
    <row r="3944" spans="18:19" x14ac:dyDescent="0.3">
      <c r="R3944" t="s">
        <v>5868</v>
      </c>
      <c r="S3944">
        <v>182130</v>
      </c>
    </row>
    <row r="3945" spans="18:19" x14ac:dyDescent="0.3">
      <c r="R3945" t="s">
        <v>5869</v>
      </c>
      <c r="S3945">
        <v>335320</v>
      </c>
    </row>
    <row r="3946" spans="18:19" x14ac:dyDescent="0.3">
      <c r="R3946" t="s">
        <v>5870</v>
      </c>
      <c r="S3946">
        <v>4590</v>
      </c>
    </row>
    <row r="3947" spans="18:19" x14ac:dyDescent="0.3">
      <c r="R3947" t="s">
        <v>5871</v>
      </c>
      <c r="S3947">
        <v>8107200</v>
      </c>
    </row>
    <row r="3948" spans="18:19" x14ac:dyDescent="0.3">
      <c r="R3948" t="s">
        <v>5872</v>
      </c>
      <c r="S3948">
        <v>7863740</v>
      </c>
    </row>
    <row r="3949" spans="18:19" x14ac:dyDescent="0.3">
      <c r="R3949" t="s">
        <v>5873</v>
      </c>
      <c r="S3949">
        <v>462600</v>
      </c>
    </row>
    <row r="3950" spans="18:19" x14ac:dyDescent="0.3">
      <c r="R3950" t="s">
        <v>5874</v>
      </c>
      <c r="S3950">
        <v>88880</v>
      </c>
    </row>
    <row r="3951" spans="18:19" x14ac:dyDescent="0.3">
      <c r="R3951" t="s">
        <v>5875</v>
      </c>
      <c r="S3951">
        <v>397080</v>
      </c>
    </row>
    <row r="3952" spans="18:19" x14ac:dyDescent="0.3">
      <c r="R3952" t="s">
        <v>5876</v>
      </c>
      <c r="S3952">
        <v>5040</v>
      </c>
    </row>
    <row r="3953" spans="18:19" x14ac:dyDescent="0.3">
      <c r="R3953" t="s">
        <v>5877</v>
      </c>
      <c r="S3953">
        <v>6960</v>
      </c>
    </row>
    <row r="3954" spans="18:19" x14ac:dyDescent="0.3">
      <c r="R3954" t="s">
        <v>5878</v>
      </c>
      <c r="S3954">
        <v>710080</v>
      </c>
    </row>
    <row r="3955" spans="18:19" x14ac:dyDescent="0.3">
      <c r="R3955" t="s">
        <v>5879</v>
      </c>
      <c r="S3955">
        <v>62280</v>
      </c>
    </row>
    <row r="3956" spans="18:19" x14ac:dyDescent="0.3">
      <c r="R3956" t="s">
        <v>5880</v>
      </c>
      <c r="S3956">
        <v>530</v>
      </c>
    </row>
    <row r="3957" spans="18:19" x14ac:dyDescent="0.3">
      <c r="R3957" t="s">
        <v>5881</v>
      </c>
      <c r="S3957">
        <v>266870</v>
      </c>
    </row>
    <row r="3958" spans="18:19" x14ac:dyDescent="0.3">
      <c r="R3958" t="s">
        <v>5882</v>
      </c>
      <c r="S3958">
        <v>18060</v>
      </c>
    </row>
    <row r="3959" spans="18:19" x14ac:dyDescent="0.3">
      <c r="R3959" t="s">
        <v>5883</v>
      </c>
      <c r="S3959">
        <v>0</v>
      </c>
    </row>
    <row r="3960" spans="18:19" x14ac:dyDescent="0.3">
      <c r="R3960" t="s">
        <v>5884</v>
      </c>
      <c r="S3960">
        <v>635010</v>
      </c>
    </row>
    <row r="3961" spans="18:19" x14ac:dyDescent="0.3">
      <c r="R3961" t="s">
        <v>5885</v>
      </c>
      <c r="S3961">
        <v>22040</v>
      </c>
    </row>
    <row r="3962" spans="18:19" x14ac:dyDescent="0.3">
      <c r="R3962" t="s">
        <v>5886</v>
      </c>
      <c r="S3962">
        <v>319990</v>
      </c>
    </row>
    <row r="3963" spans="18:19" x14ac:dyDescent="0.3">
      <c r="R3963" t="s">
        <v>5887</v>
      </c>
      <c r="S3963">
        <v>22730</v>
      </c>
    </row>
    <row r="3964" spans="18:19" x14ac:dyDescent="0.3">
      <c r="R3964" t="s">
        <v>5888</v>
      </c>
      <c r="S3964">
        <v>950900</v>
      </c>
    </row>
    <row r="3965" spans="18:19" x14ac:dyDescent="0.3">
      <c r="R3965" t="s">
        <v>5889</v>
      </c>
      <c r="S3965">
        <v>7830</v>
      </c>
    </row>
    <row r="3966" spans="18:19" x14ac:dyDescent="0.3">
      <c r="R3966" t="s">
        <v>5890</v>
      </c>
      <c r="S3966">
        <v>290</v>
      </c>
    </row>
    <row r="3967" spans="18:19" x14ac:dyDescent="0.3">
      <c r="R3967" t="s">
        <v>5891</v>
      </c>
      <c r="S3967">
        <v>974720</v>
      </c>
    </row>
    <row r="3968" spans="18:19" x14ac:dyDescent="0.3">
      <c r="R3968" t="s">
        <v>5892</v>
      </c>
      <c r="S3968">
        <v>245170</v>
      </c>
    </row>
    <row r="3969" spans="18:19" x14ac:dyDescent="0.3">
      <c r="R3969" t="s">
        <v>5893</v>
      </c>
      <c r="S3969">
        <v>372790</v>
      </c>
    </row>
    <row r="3970" spans="18:19" x14ac:dyDescent="0.3">
      <c r="R3970" t="s">
        <v>5894</v>
      </c>
      <c r="S3970">
        <v>42350</v>
      </c>
    </row>
    <row r="3971" spans="18:19" x14ac:dyDescent="0.3">
      <c r="R3971" t="s">
        <v>5895</v>
      </c>
      <c r="S3971">
        <v>0</v>
      </c>
    </row>
    <row r="3972" spans="18:19" x14ac:dyDescent="0.3">
      <c r="R3972" t="s">
        <v>5896</v>
      </c>
      <c r="S3972">
        <v>871350</v>
      </c>
    </row>
    <row r="3973" spans="18:19" x14ac:dyDescent="0.3">
      <c r="R3973" t="s">
        <v>5897</v>
      </c>
      <c r="S3973">
        <v>28890</v>
      </c>
    </row>
    <row r="3974" spans="18:19" x14ac:dyDescent="0.3">
      <c r="R3974" t="s">
        <v>5898</v>
      </c>
      <c r="S3974">
        <v>599650</v>
      </c>
    </row>
    <row r="3975" spans="18:19" x14ac:dyDescent="0.3">
      <c r="R3975" t="s">
        <v>5899</v>
      </c>
      <c r="S3975">
        <v>215009</v>
      </c>
    </row>
    <row r="3976" spans="18:19" x14ac:dyDescent="0.3">
      <c r="R3976" t="s">
        <v>5900</v>
      </c>
      <c r="S3976">
        <v>2609010</v>
      </c>
    </row>
    <row r="3977" spans="18:19" x14ac:dyDescent="0.3">
      <c r="R3977" t="s">
        <v>5901</v>
      </c>
      <c r="S3977">
        <v>54430</v>
      </c>
    </row>
    <row r="3978" spans="18:19" x14ac:dyDescent="0.3">
      <c r="R3978" t="s">
        <v>5902</v>
      </c>
      <c r="S3978">
        <v>11930</v>
      </c>
    </row>
    <row r="3979" spans="18:19" x14ac:dyDescent="0.3">
      <c r="R3979" t="s">
        <v>5903</v>
      </c>
      <c r="S3979">
        <v>571200</v>
      </c>
    </row>
    <row r="3980" spans="18:19" x14ac:dyDescent="0.3">
      <c r="R3980" t="s">
        <v>5904</v>
      </c>
      <c r="S3980">
        <v>12030</v>
      </c>
    </row>
    <row r="3981" spans="18:19" x14ac:dyDescent="0.3">
      <c r="R3981" t="s">
        <v>5905</v>
      </c>
      <c r="S3981">
        <v>3266280</v>
      </c>
    </row>
    <row r="3982" spans="18:19" x14ac:dyDescent="0.3">
      <c r="R3982" t="s">
        <v>5906</v>
      </c>
      <c r="S3982">
        <v>2390</v>
      </c>
    </row>
    <row r="3983" spans="18:19" x14ac:dyDescent="0.3">
      <c r="R3983" t="s">
        <v>5907</v>
      </c>
      <c r="S3983">
        <v>843440</v>
      </c>
    </row>
    <row r="3984" spans="18:19" x14ac:dyDescent="0.3">
      <c r="R3984" t="s">
        <v>5908</v>
      </c>
      <c r="S3984">
        <v>440130</v>
      </c>
    </row>
    <row r="3985" spans="18:19" x14ac:dyDescent="0.3">
      <c r="R3985" t="s">
        <v>5909</v>
      </c>
      <c r="S3985">
        <v>112030</v>
      </c>
    </row>
    <row r="3986" spans="18:19" x14ac:dyDescent="0.3">
      <c r="R3986" t="s">
        <v>5910</v>
      </c>
      <c r="S3986">
        <v>691650</v>
      </c>
    </row>
    <row r="3987" spans="18:19" x14ac:dyDescent="0.3">
      <c r="R3987" t="s">
        <v>5911</v>
      </c>
      <c r="S3987">
        <v>90620</v>
      </c>
    </row>
    <row r="3988" spans="18:19" x14ac:dyDescent="0.3">
      <c r="R3988" t="s">
        <v>5912</v>
      </c>
      <c r="S3988">
        <v>75124</v>
      </c>
    </row>
    <row r="3989" spans="18:19" x14ac:dyDescent="0.3">
      <c r="R3989" t="s">
        <v>5913</v>
      </c>
      <c r="S3989">
        <v>62590</v>
      </c>
    </row>
    <row r="3990" spans="18:19" x14ac:dyDescent="0.3">
      <c r="R3990" t="s">
        <v>5914</v>
      </c>
      <c r="S3990">
        <v>1225780</v>
      </c>
    </row>
    <row r="3991" spans="18:19" x14ac:dyDescent="0.3">
      <c r="R3991" t="s">
        <v>5915</v>
      </c>
      <c r="S3991">
        <v>9932600</v>
      </c>
    </row>
    <row r="3992" spans="18:19" x14ac:dyDescent="0.3">
      <c r="R3992" t="s">
        <v>5916</v>
      </c>
      <c r="S3992">
        <v>2906130</v>
      </c>
    </row>
    <row r="3993" spans="18:19" x14ac:dyDescent="0.3">
      <c r="R3993" t="s">
        <v>5917</v>
      </c>
      <c r="S3993">
        <v>980</v>
      </c>
    </row>
    <row r="3994" spans="18:19" x14ac:dyDescent="0.3">
      <c r="R3994" t="s">
        <v>5918</v>
      </c>
      <c r="S3994">
        <v>942040</v>
      </c>
    </row>
    <row r="3995" spans="18:19" x14ac:dyDescent="0.3">
      <c r="R3995" t="s">
        <v>5919</v>
      </c>
      <c r="S3995">
        <v>1460810</v>
      </c>
    </row>
    <row r="3996" spans="18:19" x14ac:dyDescent="0.3">
      <c r="R3996" t="s">
        <v>5920</v>
      </c>
      <c r="S3996">
        <v>681330</v>
      </c>
    </row>
    <row r="3997" spans="18:19" x14ac:dyDescent="0.3">
      <c r="R3997" t="s">
        <v>5921</v>
      </c>
      <c r="S3997">
        <v>1810</v>
      </c>
    </row>
    <row r="3998" spans="18:19" x14ac:dyDescent="0.3">
      <c r="R3998" t="s">
        <v>5922</v>
      </c>
      <c r="S3998">
        <v>952510</v>
      </c>
    </row>
    <row r="3999" spans="18:19" x14ac:dyDescent="0.3">
      <c r="R3999" t="s">
        <v>5923</v>
      </c>
      <c r="S3999">
        <v>12660</v>
      </c>
    </row>
    <row r="4000" spans="18:19" x14ac:dyDescent="0.3">
      <c r="R4000" t="s">
        <v>5924</v>
      </c>
      <c r="S4000">
        <v>2205550</v>
      </c>
    </row>
    <row r="4001" spans="18:19" x14ac:dyDescent="0.3">
      <c r="R4001" t="s">
        <v>5925</v>
      </c>
      <c r="S4001">
        <v>3904300</v>
      </c>
    </row>
    <row r="4002" spans="18:19" x14ac:dyDescent="0.3">
      <c r="R4002" t="s">
        <v>5926</v>
      </c>
      <c r="S4002">
        <v>518770</v>
      </c>
    </row>
    <row r="4003" spans="18:19" x14ac:dyDescent="0.3">
      <c r="R4003" t="s">
        <v>5927</v>
      </c>
      <c r="S4003">
        <v>1294370</v>
      </c>
    </row>
    <row r="4004" spans="18:19" x14ac:dyDescent="0.3">
      <c r="R4004" t="s">
        <v>5928</v>
      </c>
      <c r="S4004">
        <v>129470</v>
      </c>
    </row>
    <row r="4005" spans="18:19" x14ac:dyDescent="0.3">
      <c r="R4005" t="s">
        <v>5929</v>
      </c>
      <c r="S4005">
        <v>8300</v>
      </c>
    </row>
    <row r="4006" spans="18:19" x14ac:dyDescent="0.3">
      <c r="R4006" t="s">
        <v>5930</v>
      </c>
      <c r="S4006">
        <v>4450</v>
      </c>
    </row>
    <row r="4007" spans="18:19" x14ac:dyDescent="0.3">
      <c r="R4007" t="s">
        <v>5931</v>
      </c>
      <c r="S4007">
        <v>266700</v>
      </c>
    </row>
    <row r="4008" spans="18:19" x14ac:dyDescent="0.3">
      <c r="R4008" t="s">
        <v>5932</v>
      </c>
      <c r="S4008">
        <v>98820</v>
      </c>
    </row>
    <row r="4009" spans="18:19" x14ac:dyDescent="0.3">
      <c r="R4009" t="s">
        <v>5933</v>
      </c>
      <c r="S4009">
        <v>7344000</v>
      </c>
    </row>
    <row r="4010" spans="18:19" x14ac:dyDescent="0.3">
      <c r="R4010" t="s">
        <v>5934</v>
      </c>
      <c r="S4010">
        <v>1009160</v>
      </c>
    </row>
    <row r="4011" spans="18:19" x14ac:dyDescent="0.3">
      <c r="R4011" t="s">
        <v>5935</v>
      </c>
      <c r="S4011">
        <v>1528480</v>
      </c>
    </row>
    <row r="4012" spans="18:19" x14ac:dyDescent="0.3">
      <c r="R4012" t="s">
        <v>5936</v>
      </c>
      <c r="S4012">
        <v>135380</v>
      </c>
    </row>
    <row r="4013" spans="18:19" x14ac:dyDescent="0.3">
      <c r="R4013" t="s">
        <v>5937</v>
      </c>
      <c r="S4013">
        <v>24923610</v>
      </c>
    </row>
    <row r="4014" spans="18:19" x14ac:dyDescent="0.3">
      <c r="R4014" t="s">
        <v>5938</v>
      </c>
      <c r="S4014">
        <v>0</v>
      </c>
    </row>
    <row r="4015" spans="18:19" x14ac:dyDescent="0.3">
      <c r="R4015" t="s">
        <v>5939</v>
      </c>
      <c r="S4015">
        <v>737550</v>
      </c>
    </row>
    <row r="4016" spans="18:19" x14ac:dyDescent="0.3">
      <c r="R4016" t="s">
        <v>5940</v>
      </c>
      <c r="S4016">
        <v>15443270</v>
      </c>
    </row>
    <row r="4017" spans="18:19" x14ac:dyDescent="0.3">
      <c r="R4017" t="s">
        <v>5941</v>
      </c>
      <c r="S4017">
        <v>8940</v>
      </c>
    </row>
    <row r="4018" spans="18:19" x14ac:dyDescent="0.3">
      <c r="R4018" t="s">
        <v>5942</v>
      </c>
      <c r="S4018">
        <v>720</v>
      </c>
    </row>
    <row r="4019" spans="18:19" x14ac:dyDescent="0.3">
      <c r="R4019" t="s">
        <v>5943</v>
      </c>
      <c r="S4019">
        <v>2320230</v>
      </c>
    </row>
    <row r="4020" spans="18:19" x14ac:dyDescent="0.3">
      <c r="R4020" t="s">
        <v>5944</v>
      </c>
      <c r="S4020">
        <v>996810</v>
      </c>
    </row>
    <row r="4021" spans="18:19" x14ac:dyDescent="0.3">
      <c r="R4021" t="s">
        <v>5945</v>
      </c>
      <c r="S4021">
        <v>97770</v>
      </c>
    </row>
    <row r="4022" spans="18:19" x14ac:dyDescent="0.3">
      <c r="R4022" t="s">
        <v>5946</v>
      </c>
      <c r="S4022">
        <v>299790</v>
      </c>
    </row>
    <row r="4023" spans="18:19" x14ac:dyDescent="0.3">
      <c r="R4023" t="s">
        <v>5947</v>
      </c>
      <c r="S4023">
        <v>5276880</v>
      </c>
    </row>
    <row r="4024" spans="18:19" x14ac:dyDescent="0.3">
      <c r="R4024" t="s">
        <v>5948</v>
      </c>
      <c r="S4024">
        <v>453360</v>
      </c>
    </row>
    <row r="4025" spans="18:19" x14ac:dyDescent="0.3">
      <c r="R4025" t="s">
        <v>5949</v>
      </c>
      <c r="S4025">
        <v>3680</v>
      </c>
    </row>
    <row r="4026" spans="18:19" x14ac:dyDescent="0.3">
      <c r="R4026" t="s">
        <v>5950</v>
      </c>
      <c r="S4026">
        <v>1115920</v>
      </c>
    </row>
    <row r="4027" spans="18:19" x14ac:dyDescent="0.3">
      <c r="R4027" t="s">
        <v>5951</v>
      </c>
      <c r="S4027">
        <v>1741750</v>
      </c>
    </row>
    <row r="4028" spans="18:19" x14ac:dyDescent="0.3">
      <c r="R4028" t="s">
        <v>5952</v>
      </c>
      <c r="S4028">
        <v>826710</v>
      </c>
    </row>
    <row r="4029" spans="18:19" x14ac:dyDescent="0.3">
      <c r="R4029" t="s">
        <v>5953</v>
      </c>
      <c r="S4029">
        <v>1411280</v>
      </c>
    </row>
    <row r="4030" spans="18:19" x14ac:dyDescent="0.3">
      <c r="R4030" t="s">
        <v>5954</v>
      </c>
      <c r="S4030">
        <v>222700</v>
      </c>
    </row>
    <row r="4031" spans="18:19" x14ac:dyDescent="0.3">
      <c r="R4031" t="s">
        <v>5955</v>
      </c>
      <c r="S4031">
        <v>443320</v>
      </c>
    </row>
    <row r="4032" spans="18:19" x14ac:dyDescent="0.3">
      <c r="R4032" t="s">
        <v>5956</v>
      </c>
      <c r="S4032">
        <v>57190</v>
      </c>
    </row>
    <row r="4033" spans="18:19" x14ac:dyDescent="0.3">
      <c r="R4033" t="s">
        <v>5957</v>
      </c>
      <c r="S4033">
        <v>0</v>
      </c>
    </row>
    <row r="4034" spans="18:19" x14ac:dyDescent="0.3">
      <c r="R4034" t="s">
        <v>5958</v>
      </c>
      <c r="S4034">
        <v>10609090</v>
      </c>
    </row>
    <row r="4035" spans="18:19" x14ac:dyDescent="0.3">
      <c r="R4035" t="s">
        <v>5959</v>
      </c>
      <c r="S4035">
        <v>1048450</v>
      </c>
    </row>
    <row r="4036" spans="18:19" x14ac:dyDescent="0.3">
      <c r="R4036" t="s">
        <v>5960</v>
      </c>
      <c r="S4036">
        <v>1187150</v>
      </c>
    </row>
    <row r="4037" spans="18:19" x14ac:dyDescent="0.3">
      <c r="R4037" t="s">
        <v>5961</v>
      </c>
      <c r="S4037">
        <v>553360</v>
      </c>
    </row>
    <row r="4038" spans="18:19" x14ac:dyDescent="0.3">
      <c r="R4038" t="s">
        <v>5962</v>
      </c>
      <c r="S4038">
        <v>47040</v>
      </c>
    </row>
    <row r="4039" spans="18:19" x14ac:dyDescent="0.3">
      <c r="R4039" t="s">
        <v>5963</v>
      </c>
      <c r="S4039">
        <v>76980</v>
      </c>
    </row>
    <row r="4040" spans="18:19" x14ac:dyDescent="0.3">
      <c r="R4040" t="s">
        <v>5964</v>
      </c>
      <c r="S4040">
        <v>626990</v>
      </c>
    </row>
    <row r="4041" spans="18:19" x14ac:dyDescent="0.3">
      <c r="R4041" t="s">
        <v>5965</v>
      </c>
      <c r="S4041">
        <v>292949</v>
      </c>
    </row>
    <row r="4042" spans="18:19" x14ac:dyDescent="0.3">
      <c r="R4042" t="s">
        <v>5966</v>
      </c>
      <c r="S4042">
        <v>31460290</v>
      </c>
    </row>
    <row r="4043" spans="18:19" x14ac:dyDescent="0.3">
      <c r="R4043" t="s">
        <v>5967</v>
      </c>
      <c r="S4043">
        <v>238680</v>
      </c>
    </row>
    <row r="4044" spans="18:19" x14ac:dyDescent="0.3">
      <c r="R4044" t="s">
        <v>5968</v>
      </c>
      <c r="S4044">
        <v>55510</v>
      </c>
    </row>
    <row r="4045" spans="18:19" x14ac:dyDescent="0.3">
      <c r="R4045" t="s">
        <v>5969</v>
      </c>
      <c r="S4045">
        <v>2186820</v>
      </c>
    </row>
    <row r="4046" spans="18:19" x14ac:dyDescent="0.3">
      <c r="R4046" t="s">
        <v>5970</v>
      </c>
      <c r="S4046">
        <v>393420</v>
      </c>
    </row>
    <row r="4047" spans="18:19" x14ac:dyDescent="0.3">
      <c r="R4047" t="s">
        <v>5971</v>
      </c>
      <c r="S4047">
        <v>557450</v>
      </c>
    </row>
    <row r="4048" spans="18:19" x14ac:dyDescent="0.3">
      <c r="R4048" t="s">
        <v>5972</v>
      </c>
      <c r="S4048">
        <v>7390</v>
      </c>
    </row>
    <row r="4049" spans="18:19" x14ac:dyDescent="0.3">
      <c r="R4049" t="s">
        <v>5973</v>
      </c>
      <c r="S4049">
        <v>4557820</v>
      </c>
    </row>
    <row r="4050" spans="18:19" x14ac:dyDescent="0.3">
      <c r="R4050" t="s">
        <v>5974</v>
      </c>
      <c r="S4050">
        <v>1018320</v>
      </c>
    </row>
    <row r="4051" spans="18:19" x14ac:dyDescent="0.3">
      <c r="R4051" t="s">
        <v>5975</v>
      </c>
      <c r="S4051">
        <v>1400</v>
      </c>
    </row>
    <row r="4052" spans="18:19" x14ac:dyDescent="0.3">
      <c r="R4052" t="s">
        <v>5976</v>
      </c>
      <c r="S4052">
        <v>0</v>
      </c>
    </row>
    <row r="4053" spans="18:19" x14ac:dyDescent="0.3">
      <c r="R4053" t="s">
        <v>5977</v>
      </c>
      <c r="S4053">
        <v>49500</v>
      </c>
    </row>
    <row r="4054" spans="18:19" x14ac:dyDescent="0.3">
      <c r="R4054" t="s">
        <v>5978</v>
      </c>
      <c r="S4054">
        <v>1493630</v>
      </c>
    </row>
    <row r="4055" spans="18:19" x14ac:dyDescent="0.3">
      <c r="R4055" t="s">
        <v>5979</v>
      </c>
      <c r="S4055">
        <v>148970</v>
      </c>
    </row>
    <row r="4056" spans="18:19" x14ac:dyDescent="0.3">
      <c r="R4056" t="s">
        <v>5980</v>
      </c>
      <c r="S4056">
        <v>90650</v>
      </c>
    </row>
    <row r="4057" spans="18:19" x14ac:dyDescent="0.3">
      <c r="R4057" t="s">
        <v>5981</v>
      </c>
      <c r="S4057">
        <v>2723800</v>
      </c>
    </row>
    <row r="4058" spans="18:19" x14ac:dyDescent="0.3">
      <c r="R4058" t="s">
        <v>5982</v>
      </c>
      <c r="S4058">
        <v>452690</v>
      </c>
    </row>
    <row r="4059" spans="18:19" x14ac:dyDescent="0.3">
      <c r="R4059" t="s">
        <v>5983</v>
      </c>
      <c r="S4059">
        <v>120950</v>
      </c>
    </row>
    <row r="4060" spans="18:19" x14ac:dyDescent="0.3">
      <c r="R4060" t="s">
        <v>5984</v>
      </c>
      <c r="S4060">
        <v>121780</v>
      </c>
    </row>
    <row r="4061" spans="18:19" x14ac:dyDescent="0.3">
      <c r="R4061" t="s">
        <v>5985</v>
      </c>
      <c r="S4061">
        <v>270070</v>
      </c>
    </row>
    <row r="4062" spans="18:19" x14ac:dyDescent="0.3">
      <c r="R4062" t="s">
        <v>5986</v>
      </c>
      <c r="S4062">
        <v>4879780</v>
      </c>
    </row>
    <row r="4063" spans="18:19" x14ac:dyDescent="0.3">
      <c r="R4063" t="s">
        <v>5987</v>
      </c>
      <c r="S4063">
        <v>15561810</v>
      </c>
    </row>
    <row r="4064" spans="18:19" x14ac:dyDescent="0.3">
      <c r="R4064" t="s">
        <v>5988</v>
      </c>
      <c r="S4064">
        <v>76803040</v>
      </c>
    </row>
    <row r="4065" spans="18:19" x14ac:dyDescent="0.3">
      <c r="R4065" t="s">
        <v>5989</v>
      </c>
      <c r="S4065">
        <v>19482350</v>
      </c>
    </row>
    <row r="4066" spans="18:19" x14ac:dyDescent="0.3">
      <c r="R4066" t="s">
        <v>5990</v>
      </c>
      <c r="S4066">
        <v>298230</v>
      </c>
    </row>
    <row r="4067" spans="18:19" x14ac:dyDescent="0.3">
      <c r="R4067" t="s">
        <v>5991</v>
      </c>
      <c r="S4067">
        <v>92450</v>
      </c>
    </row>
    <row r="4068" spans="18:19" x14ac:dyDescent="0.3">
      <c r="R4068" t="s">
        <v>5992</v>
      </c>
      <c r="S4068">
        <v>48410</v>
      </c>
    </row>
    <row r="4069" spans="18:19" x14ac:dyDescent="0.3">
      <c r="R4069" t="s">
        <v>5993</v>
      </c>
      <c r="S4069">
        <v>172820</v>
      </c>
    </row>
    <row r="4070" spans="18:19" x14ac:dyDescent="0.3">
      <c r="R4070" t="s">
        <v>5994</v>
      </c>
      <c r="S4070">
        <v>1400</v>
      </c>
    </row>
    <row r="4071" spans="18:19" x14ac:dyDescent="0.3">
      <c r="R4071" t="s">
        <v>5995</v>
      </c>
      <c r="S4071">
        <v>59822</v>
      </c>
    </row>
    <row r="4072" spans="18:19" x14ac:dyDescent="0.3">
      <c r="R4072" t="s">
        <v>5996</v>
      </c>
      <c r="S4072">
        <v>128660</v>
      </c>
    </row>
    <row r="4073" spans="18:19" x14ac:dyDescent="0.3">
      <c r="R4073" t="s">
        <v>5997</v>
      </c>
      <c r="S4073">
        <v>5310</v>
      </c>
    </row>
    <row r="4074" spans="18:19" x14ac:dyDescent="0.3">
      <c r="R4074" t="s">
        <v>5998</v>
      </c>
      <c r="S4074">
        <v>334760</v>
      </c>
    </row>
    <row r="4075" spans="18:19" x14ac:dyDescent="0.3">
      <c r="R4075" t="s">
        <v>5999</v>
      </c>
      <c r="S4075">
        <v>5170</v>
      </c>
    </row>
    <row r="4076" spans="18:19" x14ac:dyDescent="0.3">
      <c r="R4076" t="s">
        <v>6000</v>
      </c>
      <c r="S4076">
        <v>201580</v>
      </c>
    </row>
    <row r="4077" spans="18:19" x14ac:dyDescent="0.3">
      <c r="R4077" t="s">
        <v>6001</v>
      </c>
      <c r="S4077">
        <v>9691860</v>
      </c>
    </row>
    <row r="4078" spans="18:19" x14ac:dyDescent="0.3">
      <c r="R4078" t="s">
        <v>6002</v>
      </c>
      <c r="S4078">
        <v>6980</v>
      </c>
    </row>
    <row r="4079" spans="18:19" x14ac:dyDescent="0.3">
      <c r="R4079" t="s">
        <v>6003</v>
      </c>
      <c r="S4079">
        <v>294940</v>
      </c>
    </row>
    <row r="4080" spans="18:19" x14ac:dyDescent="0.3">
      <c r="R4080" t="s">
        <v>6004</v>
      </c>
      <c r="S4080">
        <v>1184940</v>
      </c>
    </row>
    <row r="4081" spans="18:19" x14ac:dyDescent="0.3">
      <c r="R4081" t="s">
        <v>6005</v>
      </c>
      <c r="S4081">
        <v>2520</v>
      </c>
    </row>
    <row r="4082" spans="18:19" x14ac:dyDescent="0.3">
      <c r="R4082" t="s">
        <v>6006</v>
      </c>
      <c r="S4082">
        <v>31160</v>
      </c>
    </row>
    <row r="4083" spans="18:19" x14ac:dyDescent="0.3">
      <c r="R4083" t="s">
        <v>6007</v>
      </c>
      <c r="S4083">
        <v>3635020</v>
      </c>
    </row>
    <row r="4084" spans="18:19" x14ac:dyDescent="0.3">
      <c r="R4084" t="s">
        <v>6008</v>
      </c>
      <c r="S4084">
        <v>3547930</v>
      </c>
    </row>
    <row r="4085" spans="18:19" x14ac:dyDescent="0.3">
      <c r="R4085" t="s">
        <v>6009</v>
      </c>
      <c r="S4085">
        <v>909090</v>
      </c>
    </row>
    <row r="4086" spans="18:19" x14ac:dyDescent="0.3">
      <c r="R4086" t="s">
        <v>6010</v>
      </c>
      <c r="S4086">
        <v>97370</v>
      </c>
    </row>
    <row r="4087" spans="18:19" x14ac:dyDescent="0.3">
      <c r="R4087" t="s">
        <v>6011</v>
      </c>
      <c r="S4087">
        <v>1752190</v>
      </c>
    </row>
    <row r="4088" spans="18:19" x14ac:dyDescent="0.3">
      <c r="R4088" t="s">
        <v>6012</v>
      </c>
      <c r="S4088">
        <v>3057640</v>
      </c>
    </row>
    <row r="4089" spans="18:19" x14ac:dyDescent="0.3">
      <c r="R4089" t="s">
        <v>6013</v>
      </c>
      <c r="S4089">
        <v>1848470</v>
      </c>
    </row>
    <row r="4090" spans="18:19" x14ac:dyDescent="0.3">
      <c r="R4090" t="s">
        <v>6014</v>
      </c>
      <c r="S4090">
        <v>4430</v>
      </c>
    </row>
    <row r="4091" spans="18:19" x14ac:dyDescent="0.3">
      <c r="R4091" t="s">
        <v>6015</v>
      </c>
      <c r="S4091">
        <v>300540</v>
      </c>
    </row>
    <row r="4092" spans="18:19" x14ac:dyDescent="0.3">
      <c r="R4092" t="s">
        <v>6016</v>
      </c>
      <c r="S4092">
        <v>417280</v>
      </c>
    </row>
    <row r="4093" spans="18:19" x14ac:dyDescent="0.3">
      <c r="R4093" t="s">
        <v>6017</v>
      </c>
      <c r="S4093">
        <v>0</v>
      </c>
    </row>
    <row r="4094" spans="18:19" x14ac:dyDescent="0.3">
      <c r="R4094" t="s">
        <v>6018</v>
      </c>
      <c r="S4094">
        <v>9120</v>
      </c>
    </row>
    <row r="4095" spans="18:19" x14ac:dyDescent="0.3">
      <c r="R4095" t="s">
        <v>6019</v>
      </c>
      <c r="S4095">
        <v>328460</v>
      </c>
    </row>
    <row r="4096" spans="18:19" x14ac:dyDescent="0.3">
      <c r="R4096" t="s">
        <v>6020</v>
      </c>
      <c r="S4096">
        <v>231420</v>
      </c>
    </row>
    <row r="4097" spans="18:19" x14ac:dyDescent="0.3">
      <c r="R4097" t="s">
        <v>6021</v>
      </c>
      <c r="S4097">
        <v>173790</v>
      </c>
    </row>
    <row r="4098" spans="18:19" x14ac:dyDescent="0.3">
      <c r="R4098" t="s">
        <v>6022</v>
      </c>
      <c r="S4098">
        <v>7893250</v>
      </c>
    </row>
    <row r="4099" spans="18:19" x14ac:dyDescent="0.3">
      <c r="R4099" t="s">
        <v>6023</v>
      </c>
      <c r="S4099">
        <v>140</v>
      </c>
    </row>
    <row r="4100" spans="18:19" x14ac:dyDescent="0.3">
      <c r="R4100" t="s">
        <v>6024</v>
      </c>
      <c r="S4100">
        <v>144070</v>
      </c>
    </row>
    <row r="4101" spans="18:19" x14ac:dyDescent="0.3">
      <c r="R4101" t="s">
        <v>6025</v>
      </c>
      <c r="S4101">
        <v>266490</v>
      </c>
    </row>
    <row r="4102" spans="18:19" x14ac:dyDescent="0.3">
      <c r="R4102" t="s">
        <v>6026</v>
      </c>
      <c r="S4102">
        <v>1947540</v>
      </c>
    </row>
    <row r="4103" spans="18:19" x14ac:dyDescent="0.3">
      <c r="R4103" t="s">
        <v>6027</v>
      </c>
      <c r="S4103">
        <v>8440850</v>
      </c>
    </row>
    <row r="4104" spans="18:19" x14ac:dyDescent="0.3">
      <c r="R4104" t="s">
        <v>6028</v>
      </c>
      <c r="S4104">
        <v>17660</v>
      </c>
    </row>
    <row r="4105" spans="18:19" x14ac:dyDescent="0.3">
      <c r="R4105" t="s">
        <v>6029</v>
      </c>
      <c r="S4105">
        <v>551667</v>
      </c>
    </row>
    <row r="4106" spans="18:19" x14ac:dyDescent="0.3">
      <c r="R4106" t="s">
        <v>6030</v>
      </c>
      <c r="S4106">
        <v>404260</v>
      </c>
    </row>
    <row r="4107" spans="18:19" x14ac:dyDescent="0.3">
      <c r="R4107" t="s">
        <v>6031</v>
      </c>
      <c r="S4107">
        <v>20570</v>
      </c>
    </row>
    <row r="4108" spans="18:19" x14ac:dyDescent="0.3">
      <c r="R4108" t="s">
        <v>6032</v>
      </c>
      <c r="S4108">
        <v>1280</v>
      </c>
    </row>
    <row r="4109" spans="18:19" x14ac:dyDescent="0.3">
      <c r="R4109" t="s">
        <v>6033</v>
      </c>
      <c r="S4109">
        <v>16910</v>
      </c>
    </row>
    <row r="4110" spans="18:19" x14ac:dyDescent="0.3">
      <c r="R4110" t="s">
        <v>6034</v>
      </c>
      <c r="S4110">
        <v>46830</v>
      </c>
    </row>
    <row r="4111" spans="18:19" x14ac:dyDescent="0.3">
      <c r="R4111" t="s">
        <v>6035</v>
      </c>
      <c r="S4111">
        <v>714580</v>
      </c>
    </row>
    <row r="4112" spans="18:19" x14ac:dyDescent="0.3">
      <c r="R4112" t="s">
        <v>6036</v>
      </c>
      <c r="S4112">
        <v>929250</v>
      </c>
    </row>
    <row r="4113" spans="18:19" x14ac:dyDescent="0.3">
      <c r="R4113" t="s">
        <v>6037</v>
      </c>
      <c r="S4113">
        <v>11510</v>
      </c>
    </row>
    <row r="4114" spans="18:19" x14ac:dyDescent="0.3">
      <c r="R4114" t="s">
        <v>6038</v>
      </c>
      <c r="S4114">
        <v>108540</v>
      </c>
    </row>
    <row r="4115" spans="18:19" x14ac:dyDescent="0.3">
      <c r="R4115" t="s">
        <v>6039</v>
      </c>
      <c r="S4115">
        <v>48720</v>
      </c>
    </row>
    <row r="4116" spans="18:19" x14ac:dyDescent="0.3">
      <c r="R4116" t="s">
        <v>6040</v>
      </c>
      <c r="S4116">
        <v>28320</v>
      </c>
    </row>
    <row r="4117" spans="18:19" x14ac:dyDescent="0.3">
      <c r="R4117" t="s">
        <v>6041</v>
      </c>
      <c r="S4117">
        <v>170</v>
      </c>
    </row>
    <row r="4118" spans="18:19" x14ac:dyDescent="0.3">
      <c r="R4118" t="s">
        <v>6042</v>
      </c>
      <c r="S4118">
        <v>384460</v>
      </c>
    </row>
    <row r="4119" spans="18:19" x14ac:dyDescent="0.3">
      <c r="R4119" t="s">
        <v>6043</v>
      </c>
      <c r="S4119">
        <v>11310</v>
      </c>
    </row>
    <row r="4120" spans="18:19" x14ac:dyDescent="0.3">
      <c r="R4120" t="s">
        <v>6044</v>
      </c>
      <c r="S4120">
        <v>2150490</v>
      </c>
    </row>
    <row r="4121" spans="18:19" x14ac:dyDescent="0.3">
      <c r="R4121" t="s">
        <v>6045</v>
      </c>
      <c r="S4121">
        <v>137600</v>
      </c>
    </row>
    <row r="4122" spans="18:19" x14ac:dyDescent="0.3">
      <c r="R4122" t="s">
        <v>6046</v>
      </c>
      <c r="S4122">
        <v>246150</v>
      </c>
    </row>
    <row r="4123" spans="18:19" x14ac:dyDescent="0.3">
      <c r="R4123" t="s">
        <v>6047</v>
      </c>
      <c r="S4123">
        <v>2838940</v>
      </c>
    </row>
    <row r="4124" spans="18:19" x14ac:dyDescent="0.3">
      <c r="R4124" t="s">
        <v>6048</v>
      </c>
      <c r="S4124">
        <v>54570</v>
      </c>
    </row>
    <row r="4125" spans="18:19" x14ac:dyDescent="0.3">
      <c r="R4125" t="s">
        <v>6049</v>
      </c>
      <c r="S4125">
        <v>1004240</v>
      </c>
    </row>
    <row r="4126" spans="18:19" x14ac:dyDescent="0.3">
      <c r="R4126" t="s">
        <v>6050</v>
      </c>
      <c r="S4126">
        <v>153690</v>
      </c>
    </row>
    <row r="4127" spans="18:19" x14ac:dyDescent="0.3">
      <c r="R4127" t="s">
        <v>6051</v>
      </c>
      <c r="S4127">
        <v>3358290</v>
      </c>
    </row>
    <row r="4128" spans="18:19" x14ac:dyDescent="0.3">
      <c r="R4128" t="s">
        <v>6052</v>
      </c>
      <c r="S4128">
        <v>14589820</v>
      </c>
    </row>
    <row r="4129" spans="18:19" x14ac:dyDescent="0.3">
      <c r="R4129" t="s">
        <v>6053</v>
      </c>
      <c r="S4129">
        <v>61947560</v>
      </c>
    </row>
    <row r="4130" spans="18:19" x14ac:dyDescent="0.3">
      <c r="R4130" t="s">
        <v>6054</v>
      </c>
      <c r="S4130">
        <v>27130760</v>
      </c>
    </row>
    <row r="4131" spans="18:19" x14ac:dyDescent="0.3">
      <c r="R4131" t="s">
        <v>6055</v>
      </c>
      <c r="S4131">
        <v>56114050</v>
      </c>
    </row>
    <row r="4132" spans="18:19" x14ac:dyDescent="0.3">
      <c r="R4132" t="s">
        <v>6056</v>
      </c>
      <c r="S4132">
        <v>106780</v>
      </c>
    </row>
    <row r="4133" spans="18:19" x14ac:dyDescent="0.3">
      <c r="R4133" t="s">
        <v>6057</v>
      </c>
      <c r="S4133">
        <v>6400</v>
      </c>
    </row>
    <row r="4134" spans="18:19" x14ac:dyDescent="0.3">
      <c r="R4134" t="s">
        <v>6058</v>
      </c>
      <c r="S4134">
        <v>1260</v>
      </c>
    </row>
    <row r="4135" spans="18:19" x14ac:dyDescent="0.3">
      <c r="R4135" t="s">
        <v>6059</v>
      </c>
      <c r="S4135">
        <v>9060</v>
      </c>
    </row>
    <row r="4136" spans="18:19" x14ac:dyDescent="0.3">
      <c r="R4136" t="s">
        <v>6060</v>
      </c>
      <c r="S4136">
        <v>27790</v>
      </c>
    </row>
    <row r="4137" spans="18:19" x14ac:dyDescent="0.3">
      <c r="R4137" t="s">
        <v>6061</v>
      </c>
      <c r="S4137">
        <v>255590</v>
      </c>
    </row>
    <row r="4138" spans="18:19" x14ac:dyDescent="0.3">
      <c r="R4138" t="s">
        <v>6062</v>
      </c>
      <c r="S4138">
        <v>361640</v>
      </c>
    </row>
    <row r="4139" spans="18:19" x14ac:dyDescent="0.3">
      <c r="R4139" t="s">
        <v>6063</v>
      </c>
      <c r="S4139">
        <v>12517970</v>
      </c>
    </row>
    <row r="4140" spans="18:19" x14ac:dyDescent="0.3">
      <c r="R4140" t="s">
        <v>6064</v>
      </c>
      <c r="S4140">
        <v>290510</v>
      </c>
    </row>
    <row r="4141" spans="18:19" x14ac:dyDescent="0.3">
      <c r="R4141" t="s">
        <v>6065</v>
      </c>
      <c r="S4141">
        <v>178540</v>
      </c>
    </row>
    <row r="4142" spans="18:19" x14ac:dyDescent="0.3">
      <c r="R4142" t="s">
        <v>6066</v>
      </c>
      <c r="S4142">
        <v>178410</v>
      </c>
    </row>
    <row r="4143" spans="18:19" x14ac:dyDescent="0.3">
      <c r="R4143" t="s">
        <v>6067</v>
      </c>
      <c r="S4143">
        <v>7487720</v>
      </c>
    </row>
    <row r="4144" spans="18:19" x14ac:dyDescent="0.3">
      <c r="R4144" t="s">
        <v>6068</v>
      </c>
      <c r="S4144">
        <v>20580</v>
      </c>
    </row>
    <row r="4145" spans="18:19" x14ac:dyDescent="0.3">
      <c r="R4145" t="s">
        <v>6069</v>
      </c>
      <c r="S4145">
        <v>109230</v>
      </c>
    </row>
    <row r="4146" spans="18:19" x14ac:dyDescent="0.3">
      <c r="R4146" t="s">
        <v>6070</v>
      </c>
      <c r="S4146">
        <v>4750940</v>
      </c>
    </row>
    <row r="4147" spans="18:19" x14ac:dyDescent="0.3">
      <c r="R4147" t="s">
        <v>6071</v>
      </c>
      <c r="S4147">
        <v>220</v>
      </c>
    </row>
    <row r="4148" spans="18:19" x14ac:dyDescent="0.3">
      <c r="R4148" t="s">
        <v>6072</v>
      </c>
      <c r="S4148">
        <v>280690</v>
      </c>
    </row>
    <row r="4149" spans="18:19" x14ac:dyDescent="0.3">
      <c r="R4149" t="s">
        <v>6073</v>
      </c>
      <c r="S4149">
        <v>4550</v>
      </c>
    </row>
    <row r="4150" spans="18:19" x14ac:dyDescent="0.3">
      <c r="R4150" t="s">
        <v>6074</v>
      </c>
      <c r="S4150">
        <v>2670</v>
      </c>
    </row>
    <row r="4151" spans="18:19" x14ac:dyDescent="0.3">
      <c r="R4151" t="s">
        <v>6075</v>
      </c>
      <c r="S4151">
        <v>164560</v>
      </c>
    </row>
    <row r="4152" spans="18:19" x14ac:dyDescent="0.3">
      <c r="R4152" t="s">
        <v>6076</v>
      </c>
      <c r="S4152">
        <v>725990</v>
      </c>
    </row>
    <row r="4153" spans="18:19" x14ac:dyDescent="0.3">
      <c r="R4153" t="s">
        <v>6077</v>
      </c>
      <c r="S4153">
        <v>299180</v>
      </c>
    </row>
    <row r="4154" spans="18:19" x14ac:dyDescent="0.3">
      <c r="R4154" t="s">
        <v>6078</v>
      </c>
      <c r="S4154">
        <v>101380</v>
      </c>
    </row>
    <row r="4155" spans="18:19" x14ac:dyDescent="0.3">
      <c r="R4155" t="s">
        <v>6079</v>
      </c>
      <c r="S4155">
        <v>415610</v>
      </c>
    </row>
    <row r="4156" spans="18:19" x14ac:dyDescent="0.3">
      <c r="R4156" t="s">
        <v>6080</v>
      </c>
      <c r="S4156">
        <v>159670</v>
      </c>
    </row>
    <row r="4157" spans="18:19" x14ac:dyDescent="0.3">
      <c r="R4157" t="s">
        <v>6081</v>
      </c>
      <c r="S4157">
        <v>721790</v>
      </c>
    </row>
    <row r="4158" spans="18:19" x14ac:dyDescent="0.3">
      <c r="R4158" t="s">
        <v>6082</v>
      </c>
      <c r="S4158">
        <v>640500</v>
      </c>
    </row>
    <row r="4159" spans="18:19" x14ac:dyDescent="0.3">
      <c r="R4159" t="s">
        <v>6083</v>
      </c>
      <c r="S4159">
        <v>364580</v>
      </c>
    </row>
    <row r="4160" spans="18:19" x14ac:dyDescent="0.3">
      <c r="R4160" t="s">
        <v>6084</v>
      </c>
      <c r="S4160">
        <v>193580</v>
      </c>
    </row>
    <row r="4161" spans="18:19" x14ac:dyDescent="0.3">
      <c r="R4161" t="s">
        <v>6085</v>
      </c>
      <c r="S4161">
        <v>518250</v>
      </c>
    </row>
    <row r="4162" spans="18:19" x14ac:dyDescent="0.3">
      <c r="R4162" t="s">
        <v>6086</v>
      </c>
      <c r="S4162">
        <v>37390</v>
      </c>
    </row>
    <row r="4163" spans="18:19" x14ac:dyDescent="0.3">
      <c r="R4163" t="s">
        <v>6087</v>
      </c>
      <c r="S4163">
        <v>241640</v>
      </c>
    </row>
    <row r="4164" spans="18:19" x14ac:dyDescent="0.3">
      <c r="R4164" t="s">
        <v>6088</v>
      </c>
      <c r="S4164">
        <v>7310560</v>
      </c>
    </row>
    <row r="4165" spans="18:19" x14ac:dyDescent="0.3">
      <c r="R4165" t="s">
        <v>6089</v>
      </c>
      <c r="S4165">
        <v>17368210</v>
      </c>
    </row>
    <row r="4166" spans="18:19" x14ac:dyDescent="0.3">
      <c r="R4166" t="s">
        <v>6090</v>
      </c>
      <c r="S4166">
        <v>1814610</v>
      </c>
    </row>
    <row r="4167" spans="18:19" x14ac:dyDescent="0.3">
      <c r="R4167" t="s">
        <v>6091</v>
      </c>
      <c r="S4167">
        <v>3465840</v>
      </c>
    </row>
    <row r="4168" spans="18:19" x14ac:dyDescent="0.3">
      <c r="R4168" t="s">
        <v>6092</v>
      </c>
      <c r="S4168">
        <v>36080</v>
      </c>
    </row>
    <row r="4169" spans="18:19" x14ac:dyDescent="0.3">
      <c r="R4169" t="s">
        <v>6093</v>
      </c>
      <c r="S4169">
        <v>567270</v>
      </c>
    </row>
    <row r="4170" spans="18:19" x14ac:dyDescent="0.3">
      <c r="R4170" t="s">
        <v>6094</v>
      </c>
      <c r="S4170">
        <v>29410</v>
      </c>
    </row>
    <row r="4171" spans="18:19" x14ac:dyDescent="0.3">
      <c r="R4171" t="s">
        <v>6095</v>
      </c>
      <c r="S4171">
        <v>297130</v>
      </c>
    </row>
    <row r="4172" spans="18:19" x14ac:dyDescent="0.3">
      <c r="R4172" t="s">
        <v>6096</v>
      </c>
      <c r="S4172">
        <v>130330</v>
      </c>
    </row>
    <row r="4173" spans="18:19" x14ac:dyDescent="0.3">
      <c r="R4173" t="s">
        <v>6097</v>
      </c>
      <c r="S4173">
        <v>1781550</v>
      </c>
    </row>
    <row r="4174" spans="18:19" x14ac:dyDescent="0.3">
      <c r="R4174" t="s">
        <v>6098</v>
      </c>
      <c r="S4174">
        <v>127710</v>
      </c>
    </row>
    <row r="4175" spans="18:19" x14ac:dyDescent="0.3">
      <c r="R4175" t="s">
        <v>6099</v>
      </c>
      <c r="S4175">
        <v>3950</v>
      </c>
    </row>
    <row r="4176" spans="18:19" x14ac:dyDescent="0.3">
      <c r="R4176" t="s">
        <v>6100</v>
      </c>
      <c r="S4176">
        <v>32400</v>
      </c>
    </row>
    <row r="4177" spans="18:19" x14ac:dyDescent="0.3">
      <c r="R4177" t="s">
        <v>6101</v>
      </c>
      <c r="S4177">
        <v>166200</v>
      </c>
    </row>
    <row r="4178" spans="18:19" x14ac:dyDescent="0.3">
      <c r="R4178" t="s">
        <v>6102</v>
      </c>
      <c r="S4178">
        <v>5420</v>
      </c>
    </row>
    <row r="4179" spans="18:19" x14ac:dyDescent="0.3">
      <c r="R4179" t="s">
        <v>6103</v>
      </c>
      <c r="S4179">
        <v>27623</v>
      </c>
    </row>
    <row r="4180" spans="18:19" x14ac:dyDescent="0.3">
      <c r="R4180" t="s">
        <v>6104</v>
      </c>
      <c r="S4180">
        <v>174550</v>
      </c>
    </row>
    <row r="4181" spans="18:19" x14ac:dyDescent="0.3">
      <c r="R4181" t="s">
        <v>6105</v>
      </c>
      <c r="S4181">
        <v>1119320</v>
      </c>
    </row>
    <row r="4182" spans="18:19" x14ac:dyDescent="0.3">
      <c r="R4182" t="s">
        <v>6106</v>
      </c>
      <c r="S4182">
        <v>0</v>
      </c>
    </row>
    <row r="4183" spans="18:19" x14ac:dyDescent="0.3">
      <c r="R4183" t="s">
        <v>6107</v>
      </c>
      <c r="S4183">
        <v>448530</v>
      </c>
    </row>
    <row r="4184" spans="18:19" x14ac:dyDescent="0.3">
      <c r="R4184" t="s">
        <v>6108</v>
      </c>
      <c r="S4184">
        <v>542320</v>
      </c>
    </row>
    <row r="4185" spans="18:19" x14ac:dyDescent="0.3">
      <c r="R4185" t="s">
        <v>6109</v>
      </c>
      <c r="S4185">
        <v>170600</v>
      </c>
    </row>
    <row r="4186" spans="18:19" x14ac:dyDescent="0.3">
      <c r="R4186" t="s">
        <v>6110</v>
      </c>
      <c r="S4186">
        <v>57740</v>
      </c>
    </row>
    <row r="4187" spans="18:19" x14ac:dyDescent="0.3">
      <c r="R4187" t="s">
        <v>6111</v>
      </c>
      <c r="S4187">
        <v>832490</v>
      </c>
    </row>
    <row r="4188" spans="18:19" x14ac:dyDescent="0.3">
      <c r="R4188" t="s">
        <v>6112</v>
      </c>
      <c r="S4188">
        <v>1415190</v>
      </c>
    </row>
    <row r="4189" spans="18:19" x14ac:dyDescent="0.3">
      <c r="R4189" t="s">
        <v>6113</v>
      </c>
      <c r="S4189">
        <v>1505310</v>
      </c>
    </row>
    <row r="4190" spans="18:19" x14ac:dyDescent="0.3">
      <c r="R4190" t="s">
        <v>6114</v>
      </c>
      <c r="S4190">
        <v>2020410</v>
      </c>
    </row>
    <row r="4191" spans="18:19" x14ac:dyDescent="0.3">
      <c r="R4191" t="s">
        <v>6115</v>
      </c>
      <c r="S4191">
        <v>14348360</v>
      </c>
    </row>
    <row r="4192" spans="18:19" x14ac:dyDescent="0.3">
      <c r="R4192" t="s">
        <v>6116</v>
      </c>
      <c r="S4192">
        <v>2596550</v>
      </c>
    </row>
    <row r="4193" spans="18:19" x14ac:dyDescent="0.3">
      <c r="R4193" t="s">
        <v>6117</v>
      </c>
      <c r="S4193">
        <v>96500</v>
      </c>
    </row>
    <row r="4194" spans="18:19" x14ac:dyDescent="0.3">
      <c r="R4194" t="s">
        <v>6118</v>
      </c>
      <c r="S4194">
        <v>10765520</v>
      </c>
    </row>
    <row r="4195" spans="18:19" x14ac:dyDescent="0.3">
      <c r="R4195" t="s">
        <v>6119</v>
      </c>
      <c r="S4195">
        <v>276720</v>
      </c>
    </row>
    <row r="4196" spans="18:19" x14ac:dyDescent="0.3">
      <c r="R4196" t="s">
        <v>6120</v>
      </c>
      <c r="S4196">
        <v>65220</v>
      </c>
    </row>
    <row r="4197" spans="18:19" x14ac:dyDescent="0.3">
      <c r="R4197" t="s">
        <v>6121</v>
      </c>
      <c r="S4197">
        <v>21440</v>
      </c>
    </row>
    <row r="4198" spans="18:19" x14ac:dyDescent="0.3">
      <c r="R4198" t="s">
        <v>6122</v>
      </c>
      <c r="S4198">
        <v>60</v>
      </c>
    </row>
    <row r="4199" spans="18:19" x14ac:dyDescent="0.3">
      <c r="R4199" t="s">
        <v>6123</v>
      </c>
      <c r="S4199">
        <v>49210</v>
      </c>
    </row>
    <row r="4200" spans="18:19" x14ac:dyDescent="0.3">
      <c r="R4200" t="s">
        <v>6124</v>
      </c>
      <c r="S4200">
        <v>4360</v>
      </c>
    </row>
    <row r="4201" spans="18:19" x14ac:dyDescent="0.3">
      <c r="R4201" t="s">
        <v>6125</v>
      </c>
      <c r="S4201">
        <v>32460</v>
      </c>
    </row>
    <row r="4202" spans="18:19" x14ac:dyDescent="0.3">
      <c r="R4202" t="s">
        <v>6126</v>
      </c>
      <c r="S4202">
        <v>4500</v>
      </c>
    </row>
    <row r="4203" spans="18:19" x14ac:dyDescent="0.3">
      <c r="R4203" t="s">
        <v>6127</v>
      </c>
      <c r="S4203">
        <v>909580</v>
      </c>
    </row>
    <row r="4204" spans="18:19" x14ac:dyDescent="0.3">
      <c r="R4204" t="s">
        <v>6128</v>
      </c>
      <c r="S4204">
        <v>321700</v>
      </c>
    </row>
    <row r="4205" spans="18:19" x14ac:dyDescent="0.3">
      <c r="R4205" t="s">
        <v>6129</v>
      </c>
      <c r="S4205">
        <v>644720</v>
      </c>
    </row>
    <row r="4206" spans="18:19" x14ac:dyDescent="0.3">
      <c r="R4206" t="s">
        <v>6130</v>
      </c>
      <c r="S4206">
        <v>291440</v>
      </c>
    </row>
    <row r="4207" spans="18:19" x14ac:dyDescent="0.3">
      <c r="R4207" t="s">
        <v>6131</v>
      </c>
      <c r="S4207">
        <v>12777810</v>
      </c>
    </row>
    <row r="4208" spans="18:19" x14ac:dyDescent="0.3">
      <c r="R4208" t="s">
        <v>6132</v>
      </c>
      <c r="S4208">
        <v>503420</v>
      </c>
    </row>
    <row r="4209" spans="18:19" x14ac:dyDescent="0.3">
      <c r="R4209" t="s">
        <v>6133</v>
      </c>
      <c r="S4209">
        <v>805990</v>
      </c>
    </row>
    <row r="4210" spans="18:19" x14ac:dyDescent="0.3">
      <c r="R4210" t="s">
        <v>6134</v>
      </c>
      <c r="S4210">
        <v>158050</v>
      </c>
    </row>
    <row r="4211" spans="18:19" x14ac:dyDescent="0.3">
      <c r="R4211" t="s">
        <v>6135</v>
      </c>
      <c r="S4211">
        <v>613950</v>
      </c>
    </row>
    <row r="4212" spans="18:19" x14ac:dyDescent="0.3">
      <c r="R4212" t="s">
        <v>6136</v>
      </c>
      <c r="S4212">
        <v>103610</v>
      </c>
    </row>
    <row r="4213" spans="18:19" x14ac:dyDescent="0.3">
      <c r="R4213" t="s">
        <v>6137</v>
      </c>
      <c r="S4213">
        <v>2599450</v>
      </c>
    </row>
    <row r="4214" spans="18:19" x14ac:dyDescent="0.3">
      <c r="R4214" t="s">
        <v>6138</v>
      </c>
      <c r="S4214">
        <v>1290780</v>
      </c>
    </row>
    <row r="4215" spans="18:19" x14ac:dyDescent="0.3">
      <c r="R4215" t="s">
        <v>6139</v>
      </c>
      <c r="S4215">
        <v>733370</v>
      </c>
    </row>
    <row r="4216" spans="18:19" x14ac:dyDescent="0.3">
      <c r="R4216" t="s">
        <v>6140</v>
      </c>
      <c r="S4216">
        <v>5886220</v>
      </c>
    </row>
    <row r="4217" spans="18:19" x14ac:dyDescent="0.3">
      <c r="R4217" t="s">
        <v>6141</v>
      </c>
      <c r="S4217">
        <v>1316620</v>
      </c>
    </row>
    <row r="4218" spans="18:19" x14ac:dyDescent="0.3">
      <c r="R4218" t="s">
        <v>6142</v>
      </c>
      <c r="S4218">
        <v>140990</v>
      </c>
    </row>
    <row r="4219" spans="18:19" x14ac:dyDescent="0.3">
      <c r="R4219" t="s">
        <v>6143</v>
      </c>
      <c r="S4219">
        <v>58850</v>
      </c>
    </row>
    <row r="4220" spans="18:19" x14ac:dyDescent="0.3">
      <c r="R4220" t="s">
        <v>6144</v>
      </c>
      <c r="S4220">
        <v>817080</v>
      </c>
    </row>
    <row r="4221" spans="18:19" x14ac:dyDescent="0.3">
      <c r="R4221" t="s">
        <v>6145</v>
      </c>
      <c r="S4221">
        <v>1358480</v>
      </c>
    </row>
    <row r="4222" spans="18:19" x14ac:dyDescent="0.3">
      <c r="R4222" t="s">
        <v>6146</v>
      </c>
      <c r="S4222">
        <v>160850</v>
      </c>
    </row>
    <row r="4223" spans="18:19" x14ac:dyDescent="0.3">
      <c r="R4223" t="s">
        <v>6147</v>
      </c>
      <c r="S4223">
        <v>395880</v>
      </c>
    </row>
    <row r="4224" spans="18:19" x14ac:dyDescent="0.3">
      <c r="R4224" t="s">
        <v>6148</v>
      </c>
      <c r="S4224">
        <v>11200</v>
      </c>
    </row>
    <row r="4225" spans="18:19" x14ac:dyDescent="0.3">
      <c r="R4225" t="s">
        <v>6149</v>
      </c>
      <c r="S4225">
        <v>782880</v>
      </c>
    </row>
    <row r="4226" spans="18:19" x14ac:dyDescent="0.3">
      <c r="R4226" t="s">
        <v>6150</v>
      </c>
      <c r="S4226">
        <v>287360</v>
      </c>
    </row>
    <row r="4227" spans="18:19" x14ac:dyDescent="0.3">
      <c r="R4227" t="s">
        <v>6151</v>
      </c>
      <c r="S4227">
        <v>1680</v>
      </c>
    </row>
    <row r="4228" spans="18:19" x14ac:dyDescent="0.3">
      <c r="R4228" t="s">
        <v>6152</v>
      </c>
      <c r="S4228">
        <v>223960</v>
      </c>
    </row>
    <row r="4229" spans="18:19" x14ac:dyDescent="0.3">
      <c r="R4229" t="s">
        <v>6153</v>
      </c>
      <c r="S4229">
        <v>908080</v>
      </c>
    </row>
    <row r="4230" spans="18:19" x14ac:dyDescent="0.3">
      <c r="R4230" t="s">
        <v>6154</v>
      </c>
      <c r="S4230">
        <v>239830</v>
      </c>
    </row>
    <row r="4231" spans="18:19" x14ac:dyDescent="0.3">
      <c r="R4231" t="s">
        <v>6155</v>
      </c>
      <c r="S4231">
        <v>213470</v>
      </c>
    </row>
    <row r="4232" spans="18:19" x14ac:dyDescent="0.3">
      <c r="R4232" t="s">
        <v>6156</v>
      </c>
      <c r="S4232">
        <v>117340</v>
      </c>
    </row>
    <row r="4233" spans="18:19" x14ac:dyDescent="0.3">
      <c r="R4233" t="s">
        <v>6157</v>
      </c>
      <c r="S4233">
        <v>123490</v>
      </c>
    </row>
    <row r="4234" spans="18:19" x14ac:dyDescent="0.3">
      <c r="R4234" t="s">
        <v>6158</v>
      </c>
      <c r="S4234">
        <v>27120</v>
      </c>
    </row>
    <row r="4235" spans="18:19" x14ac:dyDescent="0.3">
      <c r="R4235" t="s">
        <v>6159</v>
      </c>
      <c r="S4235">
        <v>235240</v>
      </c>
    </row>
    <row r="4236" spans="18:19" x14ac:dyDescent="0.3">
      <c r="R4236" t="s">
        <v>6160</v>
      </c>
      <c r="S4236">
        <v>44570</v>
      </c>
    </row>
    <row r="4237" spans="18:19" x14ac:dyDescent="0.3">
      <c r="R4237" t="s">
        <v>6161</v>
      </c>
      <c r="S4237">
        <v>16940</v>
      </c>
    </row>
    <row r="4238" spans="18:19" x14ac:dyDescent="0.3">
      <c r="R4238" t="s">
        <v>6162</v>
      </c>
      <c r="S4238">
        <v>18660</v>
      </c>
    </row>
    <row r="4239" spans="18:19" x14ac:dyDescent="0.3">
      <c r="R4239" t="s">
        <v>6163</v>
      </c>
      <c r="S4239">
        <v>4500</v>
      </c>
    </row>
    <row r="4240" spans="18:19" x14ac:dyDescent="0.3">
      <c r="R4240" t="s">
        <v>6164</v>
      </c>
      <c r="S4240">
        <v>886850</v>
      </c>
    </row>
    <row r="4241" spans="18:19" x14ac:dyDescent="0.3">
      <c r="R4241" t="s">
        <v>6165</v>
      </c>
      <c r="S4241">
        <v>221920</v>
      </c>
    </row>
    <row r="4242" spans="18:19" x14ac:dyDescent="0.3">
      <c r="R4242" t="s">
        <v>6166</v>
      </c>
      <c r="S4242">
        <v>432220</v>
      </c>
    </row>
    <row r="4243" spans="18:19" x14ac:dyDescent="0.3">
      <c r="R4243" t="s">
        <v>6167</v>
      </c>
      <c r="S4243">
        <v>580</v>
      </c>
    </row>
    <row r="4244" spans="18:19" x14ac:dyDescent="0.3">
      <c r="R4244" t="s">
        <v>6168</v>
      </c>
      <c r="S4244">
        <v>2180680</v>
      </c>
    </row>
    <row r="4245" spans="18:19" x14ac:dyDescent="0.3">
      <c r="R4245" t="s">
        <v>6169</v>
      </c>
      <c r="S4245">
        <v>39658</v>
      </c>
    </row>
    <row r="4246" spans="18:19" x14ac:dyDescent="0.3">
      <c r="R4246" t="s">
        <v>6170</v>
      </c>
      <c r="S4246">
        <v>12160</v>
      </c>
    </row>
    <row r="4247" spans="18:19" x14ac:dyDescent="0.3">
      <c r="R4247" t="s">
        <v>6171</v>
      </c>
      <c r="S4247">
        <v>206940</v>
      </c>
    </row>
    <row r="4248" spans="18:19" x14ac:dyDescent="0.3">
      <c r="R4248" t="s">
        <v>6172</v>
      </c>
      <c r="S4248">
        <v>270</v>
      </c>
    </row>
    <row r="4249" spans="18:19" x14ac:dyDescent="0.3">
      <c r="R4249" t="s">
        <v>6173</v>
      </c>
      <c r="S4249">
        <v>72416550</v>
      </c>
    </row>
    <row r="4250" spans="18:19" x14ac:dyDescent="0.3">
      <c r="R4250" t="s">
        <v>6174</v>
      </c>
      <c r="S4250">
        <v>618600</v>
      </c>
    </row>
    <row r="4251" spans="18:19" x14ac:dyDescent="0.3">
      <c r="R4251" t="s">
        <v>6175</v>
      </c>
      <c r="S4251">
        <v>541050</v>
      </c>
    </row>
    <row r="4252" spans="18:19" x14ac:dyDescent="0.3">
      <c r="R4252" t="s">
        <v>6176</v>
      </c>
      <c r="S4252">
        <v>210</v>
      </c>
    </row>
    <row r="4253" spans="18:19" x14ac:dyDescent="0.3">
      <c r="R4253" t="s">
        <v>6177</v>
      </c>
      <c r="S4253">
        <v>4130190</v>
      </c>
    </row>
    <row r="4254" spans="18:19" x14ac:dyDescent="0.3">
      <c r="R4254" t="s">
        <v>6178</v>
      </c>
      <c r="S4254">
        <v>260</v>
      </c>
    </row>
    <row r="4255" spans="18:19" x14ac:dyDescent="0.3">
      <c r="R4255" t="s">
        <v>6179</v>
      </c>
      <c r="S4255">
        <v>2295670</v>
      </c>
    </row>
    <row r="4256" spans="18:19" x14ac:dyDescent="0.3">
      <c r="R4256" t="s">
        <v>6180</v>
      </c>
      <c r="S4256">
        <v>1210</v>
      </c>
    </row>
    <row r="4257" spans="18:19" x14ac:dyDescent="0.3">
      <c r="R4257" t="s">
        <v>6181</v>
      </c>
      <c r="S4257">
        <v>14740</v>
      </c>
    </row>
    <row r="4258" spans="18:19" x14ac:dyDescent="0.3">
      <c r="R4258" t="s">
        <v>6182</v>
      </c>
      <c r="S4258">
        <v>336000</v>
      </c>
    </row>
    <row r="4259" spans="18:19" x14ac:dyDescent="0.3">
      <c r="R4259" t="s">
        <v>6183</v>
      </c>
      <c r="S4259">
        <v>840</v>
      </c>
    </row>
    <row r="4260" spans="18:19" x14ac:dyDescent="0.3">
      <c r="R4260" t="s">
        <v>6184</v>
      </c>
      <c r="S4260">
        <v>350</v>
      </c>
    </row>
    <row r="4261" spans="18:19" x14ac:dyDescent="0.3">
      <c r="R4261" t="s">
        <v>6185</v>
      </c>
      <c r="S4261">
        <v>1449540</v>
      </c>
    </row>
    <row r="4262" spans="18:19" x14ac:dyDescent="0.3">
      <c r="R4262" t="s">
        <v>6186</v>
      </c>
      <c r="S4262">
        <v>1587530</v>
      </c>
    </row>
    <row r="4263" spans="18:19" x14ac:dyDescent="0.3">
      <c r="R4263" t="s">
        <v>6187</v>
      </c>
      <c r="S4263">
        <v>676720</v>
      </c>
    </row>
    <row r="4264" spans="18:19" x14ac:dyDescent="0.3">
      <c r="R4264" t="s">
        <v>6188</v>
      </c>
      <c r="S4264">
        <v>1577820</v>
      </c>
    </row>
    <row r="4265" spans="18:19" x14ac:dyDescent="0.3">
      <c r="R4265" t="s">
        <v>6189</v>
      </c>
      <c r="S4265">
        <v>261060</v>
      </c>
    </row>
    <row r="4266" spans="18:19" x14ac:dyDescent="0.3">
      <c r="R4266" t="s">
        <v>6190</v>
      </c>
      <c r="S4266">
        <v>1254950</v>
      </c>
    </row>
    <row r="4267" spans="18:19" x14ac:dyDescent="0.3">
      <c r="R4267" t="s">
        <v>6191</v>
      </c>
      <c r="S4267">
        <v>23990</v>
      </c>
    </row>
    <row r="4268" spans="18:19" x14ac:dyDescent="0.3">
      <c r="R4268" t="s">
        <v>6192</v>
      </c>
      <c r="S4268">
        <v>1211360</v>
      </c>
    </row>
    <row r="4269" spans="18:19" x14ac:dyDescent="0.3">
      <c r="R4269" t="s">
        <v>6193</v>
      </c>
      <c r="S4269">
        <v>140</v>
      </c>
    </row>
    <row r="4270" spans="18:19" x14ac:dyDescent="0.3">
      <c r="R4270" t="s">
        <v>6194</v>
      </c>
      <c r="S4270">
        <v>280420</v>
      </c>
    </row>
    <row r="4271" spans="18:19" x14ac:dyDescent="0.3">
      <c r="R4271" t="s">
        <v>6195</v>
      </c>
      <c r="S4271">
        <v>465370</v>
      </c>
    </row>
    <row r="4272" spans="18:19" x14ac:dyDescent="0.3">
      <c r="R4272" t="s">
        <v>6196</v>
      </c>
      <c r="S4272">
        <v>1836680</v>
      </c>
    </row>
    <row r="4273" spans="18:19" x14ac:dyDescent="0.3">
      <c r="R4273" t="s">
        <v>6197</v>
      </c>
      <c r="S4273">
        <v>351340</v>
      </c>
    </row>
    <row r="4274" spans="18:19" x14ac:dyDescent="0.3">
      <c r="R4274" t="s">
        <v>6198</v>
      </c>
      <c r="S4274">
        <v>425040</v>
      </c>
    </row>
    <row r="4275" spans="18:19" x14ac:dyDescent="0.3">
      <c r="R4275" t="s">
        <v>6199</v>
      </c>
      <c r="S4275">
        <v>6300</v>
      </c>
    </row>
    <row r="4276" spans="18:19" x14ac:dyDescent="0.3">
      <c r="R4276" t="s">
        <v>6200</v>
      </c>
      <c r="S4276">
        <v>8969800</v>
      </c>
    </row>
    <row r="4277" spans="18:19" x14ac:dyDescent="0.3">
      <c r="R4277" t="s">
        <v>6201</v>
      </c>
      <c r="S4277">
        <v>300</v>
      </c>
    </row>
    <row r="4278" spans="18:19" x14ac:dyDescent="0.3">
      <c r="R4278" t="s">
        <v>6202</v>
      </c>
      <c r="S4278">
        <v>6590</v>
      </c>
    </row>
    <row r="4279" spans="18:19" x14ac:dyDescent="0.3">
      <c r="R4279" t="s">
        <v>6203</v>
      </c>
      <c r="S4279">
        <v>70</v>
      </c>
    </row>
    <row r="4280" spans="18:19" x14ac:dyDescent="0.3">
      <c r="R4280" t="s">
        <v>6204</v>
      </c>
      <c r="S4280">
        <v>1148870</v>
      </c>
    </row>
    <row r="4281" spans="18:19" x14ac:dyDescent="0.3">
      <c r="R4281" t="s">
        <v>6205</v>
      </c>
      <c r="S4281">
        <v>2900</v>
      </c>
    </row>
    <row r="4282" spans="18:19" x14ac:dyDescent="0.3">
      <c r="R4282" t="s">
        <v>6206</v>
      </c>
      <c r="S4282">
        <v>350</v>
      </c>
    </row>
    <row r="4283" spans="18:19" x14ac:dyDescent="0.3">
      <c r="R4283" t="s">
        <v>6207</v>
      </c>
      <c r="S4283">
        <v>555810</v>
      </c>
    </row>
    <row r="4284" spans="18:19" x14ac:dyDescent="0.3">
      <c r="R4284" t="s">
        <v>6208</v>
      </c>
      <c r="S4284">
        <v>170</v>
      </c>
    </row>
    <row r="4285" spans="18:19" x14ac:dyDescent="0.3">
      <c r="R4285" t="s">
        <v>6209</v>
      </c>
      <c r="S4285">
        <v>715570</v>
      </c>
    </row>
    <row r="4286" spans="18:19" x14ac:dyDescent="0.3">
      <c r="R4286" t="s">
        <v>6210</v>
      </c>
      <c r="S4286">
        <v>2824560</v>
      </c>
    </row>
    <row r="4287" spans="18:19" x14ac:dyDescent="0.3">
      <c r="R4287" t="s">
        <v>6211</v>
      </c>
      <c r="S4287">
        <v>27710</v>
      </c>
    </row>
    <row r="4288" spans="18:19" x14ac:dyDescent="0.3">
      <c r="R4288" t="s">
        <v>6212</v>
      </c>
      <c r="S4288">
        <v>85010</v>
      </c>
    </row>
    <row r="4289" spans="18:19" x14ac:dyDescent="0.3">
      <c r="R4289" t="s">
        <v>6213</v>
      </c>
      <c r="S4289">
        <v>12350</v>
      </c>
    </row>
    <row r="4290" spans="18:19" x14ac:dyDescent="0.3">
      <c r="R4290" t="s">
        <v>6214</v>
      </c>
      <c r="S4290">
        <v>451460</v>
      </c>
    </row>
    <row r="4291" spans="18:19" x14ac:dyDescent="0.3">
      <c r="R4291" t="s">
        <v>6215</v>
      </c>
      <c r="S4291">
        <v>2350</v>
      </c>
    </row>
    <row r="4292" spans="18:19" x14ac:dyDescent="0.3">
      <c r="R4292" t="s">
        <v>6216</v>
      </c>
      <c r="S4292">
        <v>6105320</v>
      </c>
    </row>
    <row r="4293" spans="18:19" x14ac:dyDescent="0.3">
      <c r="R4293" t="s">
        <v>6217</v>
      </c>
      <c r="S4293">
        <v>1240900</v>
      </c>
    </row>
    <row r="4294" spans="18:19" x14ac:dyDescent="0.3">
      <c r="R4294" t="s">
        <v>6218</v>
      </c>
      <c r="S4294">
        <v>45860</v>
      </c>
    </row>
    <row r="4295" spans="18:19" x14ac:dyDescent="0.3">
      <c r="R4295" t="s">
        <v>6219</v>
      </c>
      <c r="S4295">
        <v>9500</v>
      </c>
    </row>
    <row r="4296" spans="18:19" x14ac:dyDescent="0.3">
      <c r="R4296" t="s">
        <v>6220</v>
      </c>
      <c r="S4296">
        <v>5600</v>
      </c>
    </row>
    <row r="4297" spans="18:19" x14ac:dyDescent="0.3">
      <c r="R4297" t="s">
        <v>6221</v>
      </c>
      <c r="S4297">
        <v>1344400</v>
      </c>
    </row>
    <row r="4298" spans="18:19" x14ac:dyDescent="0.3">
      <c r="R4298" t="s">
        <v>6222</v>
      </c>
      <c r="S4298">
        <v>27500</v>
      </c>
    </row>
    <row r="4299" spans="18:19" x14ac:dyDescent="0.3">
      <c r="R4299" t="s">
        <v>6223</v>
      </c>
      <c r="S4299">
        <v>3939490</v>
      </c>
    </row>
    <row r="4300" spans="18:19" x14ac:dyDescent="0.3">
      <c r="R4300" t="s">
        <v>6224</v>
      </c>
      <c r="S4300">
        <v>921320</v>
      </c>
    </row>
    <row r="4301" spans="18:19" x14ac:dyDescent="0.3">
      <c r="R4301" t="s">
        <v>6225</v>
      </c>
      <c r="S4301">
        <v>526310</v>
      </c>
    </row>
    <row r="4302" spans="18:19" x14ac:dyDescent="0.3">
      <c r="R4302" t="s">
        <v>6226</v>
      </c>
      <c r="S4302">
        <v>1699570</v>
      </c>
    </row>
    <row r="4303" spans="18:19" x14ac:dyDescent="0.3">
      <c r="R4303" t="s">
        <v>6227</v>
      </c>
      <c r="S4303">
        <v>382170</v>
      </c>
    </row>
    <row r="4304" spans="18:19" x14ac:dyDescent="0.3">
      <c r="R4304" t="s">
        <v>6228</v>
      </c>
      <c r="S4304">
        <v>489630</v>
      </c>
    </row>
    <row r="4305" spans="18:19" x14ac:dyDescent="0.3">
      <c r="R4305" t="s">
        <v>6229</v>
      </c>
      <c r="S4305">
        <v>49980</v>
      </c>
    </row>
    <row r="4306" spans="18:19" x14ac:dyDescent="0.3">
      <c r="R4306" t="s">
        <v>6230</v>
      </c>
      <c r="S4306">
        <v>257140</v>
      </c>
    </row>
    <row r="4307" spans="18:19" x14ac:dyDescent="0.3">
      <c r="R4307" t="s">
        <v>6231</v>
      </c>
      <c r="S4307">
        <v>156360</v>
      </c>
    </row>
    <row r="4308" spans="18:19" x14ac:dyDescent="0.3">
      <c r="R4308" t="s">
        <v>6232</v>
      </c>
      <c r="S4308">
        <v>112360</v>
      </c>
    </row>
    <row r="4309" spans="18:19" x14ac:dyDescent="0.3">
      <c r="R4309" t="s">
        <v>6233</v>
      </c>
      <c r="S4309">
        <v>12731710</v>
      </c>
    </row>
    <row r="4310" spans="18:19" x14ac:dyDescent="0.3">
      <c r="R4310" t="s">
        <v>6234</v>
      </c>
      <c r="S4310">
        <v>2739920</v>
      </c>
    </row>
    <row r="4311" spans="18:19" x14ac:dyDescent="0.3">
      <c r="R4311" t="s">
        <v>6235</v>
      </c>
      <c r="S4311">
        <v>97010</v>
      </c>
    </row>
    <row r="4312" spans="18:19" x14ac:dyDescent="0.3">
      <c r="R4312" t="s">
        <v>6236</v>
      </c>
      <c r="S4312">
        <v>6640</v>
      </c>
    </row>
    <row r="4313" spans="18:19" x14ac:dyDescent="0.3">
      <c r="R4313" t="s">
        <v>6237</v>
      </c>
      <c r="S4313">
        <v>495780</v>
      </c>
    </row>
    <row r="4314" spans="18:19" x14ac:dyDescent="0.3">
      <c r="R4314" t="s">
        <v>6238</v>
      </c>
      <c r="S4314">
        <v>1739530</v>
      </c>
    </row>
    <row r="4315" spans="18:19" x14ac:dyDescent="0.3">
      <c r="R4315" t="s">
        <v>6239</v>
      </c>
      <c r="S4315">
        <v>620940</v>
      </c>
    </row>
    <row r="4316" spans="18:19" x14ac:dyDescent="0.3">
      <c r="R4316" t="s">
        <v>6240</v>
      </c>
      <c r="S4316">
        <v>559300</v>
      </c>
    </row>
    <row r="4317" spans="18:19" x14ac:dyDescent="0.3">
      <c r="R4317" t="s">
        <v>6241</v>
      </c>
      <c r="S4317">
        <v>110276</v>
      </c>
    </row>
    <row r="4318" spans="18:19" x14ac:dyDescent="0.3">
      <c r="R4318" t="s">
        <v>6242</v>
      </c>
      <c r="S4318">
        <v>692430</v>
      </c>
    </row>
    <row r="4319" spans="18:19" x14ac:dyDescent="0.3">
      <c r="R4319" t="s">
        <v>6243</v>
      </c>
      <c r="S4319">
        <v>318340</v>
      </c>
    </row>
    <row r="4320" spans="18:19" x14ac:dyDescent="0.3">
      <c r="R4320" t="s">
        <v>6244</v>
      </c>
      <c r="S4320">
        <v>128480</v>
      </c>
    </row>
    <row r="4321" spans="18:19" x14ac:dyDescent="0.3">
      <c r="R4321" t="s">
        <v>6245</v>
      </c>
      <c r="S4321">
        <v>21830</v>
      </c>
    </row>
    <row r="4322" spans="18:19" x14ac:dyDescent="0.3">
      <c r="R4322" t="s">
        <v>6246</v>
      </c>
      <c r="S4322">
        <v>770</v>
      </c>
    </row>
    <row r="4323" spans="18:19" x14ac:dyDescent="0.3">
      <c r="R4323" t="s">
        <v>6247</v>
      </c>
      <c r="S4323">
        <v>7710</v>
      </c>
    </row>
    <row r="4324" spans="18:19" x14ac:dyDescent="0.3">
      <c r="R4324" t="s">
        <v>6248</v>
      </c>
      <c r="S4324">
        <v>3527080</v>
      </c>
    </row>
    <row r="4325" spans="18:19" x14ac:dyDescent="0.3">
      <c r="R4325" t="s">
        <v>6249</v>
      </c>
      <c r="S4325">
        <v>29330</v>
      </c>
    </row>
    <row r="4326" spans="18:19" x14ac:dyDescent="0.3">
      <c r="R4326" t="s">
        <v>6250</v>
      </c>
      <c r="S4326">
        <v>110890</v>
      </c>
    </row>
    <row r="4327" spans="18:19" x14ac:dyDescent="0.3">
      <c r="R4327" t="s">
        <v>6251</v>
      </c>
      <c r="S4327">
        <v>2465430</v>
      </c>
    </row>
    <row r="4328" spans="18:19" x14ac:dyDescent="0.3">
      <c r="R4328" t="s">
        <v>6252</v>
      </c>
      <c r="S4328">
        <v>430070</v>
      </c>
    </row>
    <row r="4329" spans="18:19" x14ac:dyDescent="0.3">
      <c r="R4329" t="s">
        <v>6253</v>
      </c>
      <c r="S4329">
        <v>4612140</v>
      </c>
    </row>
    <row r="4330" spans="18:19" x14ac:dyDescent="0.3">
      <c r="R4330" t="s">
        <v>6254</v>
      </c>
      <c r="S4330">
        <v>2350</v>
      </c>
    </row>
    <row r="4331" spans="18:19" x14ac:dyDescent="0.3">
      <c r="R4331" t="s">
        <v>6255</v>
      </c>
      <c r="S4331">
        <v>0</v>
      </c>
    </row>
    <row r="4332" spans="18:19" x14ac:dyDescent="0.3">
      <c r="R4332" t="s">
        <v>6256</v>
      </c>
      <c r="S4332">
        <v>9085880</v>
      </c>
    </row>
    <row r="4333" spans="18:19" x14ac:dyDescent="0.3">
      <c r="R4333" t="s">
        <v>6257</v>
      </c>
      <c r="S4333">
        <v>42550</v>
      </c>
    </row>
    <row r="4334" spans="18:19" x14ac:dyDescent="0.3">
      <c r="R4334" t="s">
        <v>6258</v>
      </c>
      <c r="S4334">
        <v>11040</v>
      </c>
    </row>
    <row r="4335" spans="18:19" x14ac:dyDescent="0.3">
      <c r="R4335" t="s">
        <v>6259</v>
      </c>
      <c r="S4335">
        <v>1288880</v>
      </c>
    </row>
    <row r="4336" spans="18:19" x14ac:dyDescent="0.3">
      <c r="R4336" t="s">
        <v>6260</v>
      </c>
      <c r="S4336">
        <v>28950</v>
      </c>
    </row>
    <row r="4337" spans="18:19" x14ac:dyDescent="0.3">
      <c r="R4337" t="s">
        <v>6261</v>
      </c>
      <c r="S4337">
        <v>611010</v>
      </c>
    </row>
    <row r="4338" spans="18:19" x14ac:dyDescent="0.3">
      <c r="R4338" t="s">
        <v>6262</v>
      </c>
      <c r="S4338">
        <v>918380</v>
      </c>
    </row>
    <row r="4339" spans="18:19" x14ac:dyDescent="0.3">
      <c r="R4339" t="s">
        <v>6263</v>
      </c>
      <c r="S4339">
        <v>2360810</v>
      </c>
    </row>
    <row r="4340" spans="18:19" x14ac:dyDescent="0.3">
      <c r="R4340" t="s">
        <v>6264</v>
      </c>
      <c r="S4340">
        <v>2061920</v>
      </c>
    </row>
    <row r="4341" spans="18:19" x14ac:dyDescent="0.3">
      <c r="R4341" t="s">
        <v>6265</v>
      </c>
      <c r="S4341">
        <v>97250</v>
      </c>
    </row>
    <row r="4342" spans="18:19" x14ac:dyDescent="0.3">
      <c r="R4342" t="s">
        <v>6266</v>
      </c>
      <c r="S4342">
        <v>1084220</v>
      </c>
    </row>
    <row r="4343" spans="18:19" x14ac:dyDescent="0.3">
      <c r="R4343" t="s">
        <v>6267</v>
      </c>
      <c r="S4343">
        <v>313590</v>
      </c>
    </row>
    <row r="4344" spans="18:19" x14ac:dyDescent="0.3">
      <c r="R4344" t="s">
        <v>6268</v>
      </c>
      <c r="S4344">
        <v>73230</v>
      </c>
    </row>
    <row r="4345" spans="18:19" x14ac:dyDescent="0.3">
      <c r="R4345" t="s">
        <v>6269</v>
      </c>
      <c r="S4345">
        <v>156070</v>
      </c>
    </row>
    <row r="4346" spans="18:19" x14ac:dyDescent="0.3">
      <c r="R4346" t="s">
        <v>6270</v>
      </c>
      <c r="S4346">
        <v>240040</v>
      </c>
    </row>
    <row r="4347" spans="18:19" x14ac:dyDescent="0.3">
      <c r="R4347" t="s">
        <v>6271</v>
      </c>
      <c r="S4347">
        <v>380</v>
      </c>
    </row>
    <row r="4348" spans="18:19" x14ac:dyDescent="0.3">
      <c r="R4348" t="s">
        <v>6272</v>
      </c>
      <c r="S4348">
        <v>0</v>
      </c>
    </row>
    <row r="4349" spans="18:19" x14ac:dyDescent="0.3">
      <c r="R4349" t="s">
        <v>6273</v>
      </c>
      <c r="S4349">
        <v>629310</v>
      </c>
    </row>
    <row r="4350" spans="18:19" x14ac:dyDescent="0.3">
      <c r="R4350" t="s">
        <v>6274</v>
      </c>
      <c r="S4350">
        <v>1456660</v>
      </c>
    </row>
    <row r="4351" spans="18:19" x14ac:dyDescent="0.3">
      <c r="R4351" t="s">
        <v>6275</v>
      </c>
      <c r="S4351">
        <v>2658450</v>
      </c>
    </row>
    <row r="4352" spans="18:19" x14ac:dyDescent="0.3">
      <c r="R4352" t="s">
        <v>6276</v>
      </c>
      <c r="S4352">
        <v>272690</v>
      </c>
    </row>
    <row r="4353" spans="18:19" x14ac:dyDescent="0.3">
      <c r="R4353" t="s">
        <v>6277</v>
      </c>
      <c r="S4353">
        <v>25455</v>
      </c>
    </row>
    <row r="4354" spans="18:19" x14ac:dyDescent="0.3">
      <c r="R4354" t="s">
        <v>6278</v>
      </c>
      <c r="S4354">
        <v>0</v>
      </c>
    </row>
    <row r="4355" spans="18:19" x14ac:dyDescent="0.3">
      <c r="R4355" t="s">
        <v>6279</v>
      </c>
      <c r="S4355">
        <v>172300</v>
      </c>
    </row>
    <row r="4356" spans="18:19" x14ac:dyDescent="0.3">
      <c r="R4356" t="s">
        <v>6280</v>
      </c>
      <c r="S4356">
        <v>4794140</v>
      </c>
    </row>
    <row r="4357" spans="18:19" x14ac:dyDescent="0.3">
      <c r="R4357" t="s">
        <v>6281</v>
      </c>
      <c r="S4357">
        <v>182500</v>
      </c>
    </row>
    <row r="4358" spans="18:19" x14ac:dyDescent="0.3">
      <c r="R4358" t="s">
        <v>6282</v>
      </c>
      <c r="S4358">
        <v>35074300</v>
      </c>
    </row>
    <row r="4359" spans="18:19" x14ac:dyDescent="0.3">
      <c r="R4359" t="s">
        <v>6283</v>
      </c>
      <c r="S4359">
        <v>339960</v>
      </c>
    </row>
    <row r="4360" spans="18:19" x14ac:dyDescent="0.3">
      <c r="R4360" t="s">
        <v>6284</v>
      </c>
      <c r="S4360">
        <v>1054190</v>
      </c>
    </row>
    <row r="4361" spans="18:19" x14ac:dyDescent="0.3">
      <c r="R4361" t="s">
        <v>6285</v>
      </c>
      <c r="S4361">
        <v>2004250</v>
      </c>
    </row>
    <row r="4362" spans="18:19" x14ac:dyDescent="0.3">
      <c r="R4362" t="s">
        <v>6286</v>
      </c>
      <c r="S4362">
        <v>1219870</v>
      </c>
    </row>
    <row r="4363" spans="18:19" x14ac:dyDescent="0.3">
      <c r="R4363" t="s">
        <v>6287</v>
      </c>
      <c r="S4363">
        <v>952610</v>
      </c>
    </row>
    <row r="4364" spans="18:19" x14ac:dyDescent="0.3">
      <c r="R4364" t="s">
        <v>6288</v>
      </c>
      <c r="S4364">
        <v>722560</v>
      </c>
    </row>
    <row r="4365" spans="18:19" x14ac:dyDescent="0.3">
      <c r="R4365" t="s">
        <v>6289</v>
      </c>
      <c r="S4365">
        <v>249420</v>
      </c>
    </row>
    <row r="4366" spans="18:19" x14ac:dyDescent="0.3">
      <c r="R4366" t="s">
        <v>6290</v>
      </c>
      <c r="S4366">
        <v>375090</v>
      </c>
    </row>
    <row r="4367" spans="18:19" x14ac:dyDescent="0.3">
      <c r="R4367" t="s">
        <v>6291</v>
      </c>
      <c r="S4367">
        <v>15496470</v>
      </c>
    </row>
    <row r="4368" spans="18:19" x14ac:dyDescent="0.3">
      <c r="R4368" t="s">
        <v>6292</v>
      </c>
      <c r="S4368">
        <v>1322010</v>
      </c>
    </row>
    <row r="4369" spans="18:19" x14ac:dyDescent="0.3">
      <c r="R4369" t="s">
        <v>6293</v>
      </c>
      <c r="S4369">
        <v>1690090</v>
      </c>
    </row>
    <row r="4370" spans="18:19" x14ac:dyDescent="0.3">
      <c r="R4370" t="s">
        <v>6294</v>
      </c>
      <c r="S4370">
        <v>0</v>
      </c>
    </row>
    <row r="4371" spans="18:19" x14ac:dyDescent="0.3">
      <c r="R4371" t="s">
        <v>6295</v>
      </c>
      <c r="S4371">
        <v>1573570</v>
      </c>
    </row>
    <row r="4372" spans="18:19" x14ac:dyDescent="0.3">
      <c r="R4372" t="s">
        <v>6296</v>
      </c>
      <c r="S4372">
        <v>6772050</v>
      </c>
    </row>
    <row r="4373" spans="18:19" x14ac:dyDescent="0.3">
      <c r="R4373" t="s">
        <v>6297</v>
      </c>
      <c r="S4373">
        <v>268660</v>
      </c>
    </row>
    <row r="4374" spans="18:19" x14ac:dyDescent="0.3">
      <c r="R4374" t="s">
        <v>6298</v>
      </c>
      <c r="S4374">
        <v>66720</v>
      </c>
    </row>
    <row r="4375" spans="18:19" x14ac:dyDescent="0.3">
      <c r="R4375" t="s">
        <v>6299</v>
      </c>
      <c r="S4375">
        <v>127790</v>
      </c>
    </row>
    <row r="4376" spans="18:19" x14ac:dyDescent="0.3">
      <c r="R4376" t="s">
        <v>6300</v>
      </c>
      <c r="S4376">
        <v>1498680</v>
      </c>
    </row>
    <row r="4377" spans="18:19" x14ac:dyDescent="0.3">
      <c r="R4377" t="s">
        <v>6301</v>
      </c>
      <c r="S4377">
        <v>5331500</v>
      </c>
    </row>
    <row r="4378" spans="18:19" x14ac:dyDescent="0.3">
      <c r="R4378" t="s">
        <v>6302</v>
      </c>
      <c r="S4378">
        <v>8078290</v>
      </c>
    </row>
    <row r="4379" spans="18:19" x14ac:dyDescent="0.3">
      <c r="R4379" t="s">
        <v>6303</v>
      </c>
      <c r="S4379">
        <v>1362770</v>
      </c>
    </row>
    <row r="4380" spans="18:19" x14ac:dyDescent="0.3">
      <c r="R4380" t="s">
        <v>6304</v>
      </c>
      <c r="S4380">
        <v>849840</v>
      </c>
    </row>
    <row r="4381" spans="18:19" x14ac:dyDescent="0.3">
      <c r="R4381" t="s">
        <v>6305</v>
      </c>
      <c r="S4381">
        <v>1529280</v>
      </c>
    </row>
    <row r="4382" spans="18:19" x14ac:dyDescent="0.3">
      <c r="R4382" t="s">
        <v>6306</v>
      </c>
      <c r="S4382">
        <v>30864800</v>
      </c>
    </row>
    <row r="4383" spans="18:19" x14ac:dyDescent="0.3">
      <c r="R4383" t="s">
        <v>6307</v>
      </c>
      <c r="S4383">
        <v>92650</v>
      </c>
    </row>
    <row r="4384" spans="18:19" x14ac:dyDescent="0.3">
      <c r="R4384" t="s">
        <v>6308</v>
      </c>
      <c r="S4384">
        <v>3660</v>
      </c>
    </row>
    <row r="4385" spans="18:19" x14ac:dyDescent="0.3">
      <c r="R4385" t="s">
        <v>6309</v>
      </c>
      <c r="S4385">
        <v>182160</v>
      </c>
    </row>
    <row r="4386" spans="18:19" x14ac:dyDescent="0.3">
      <c r="R4386" t="s">
        <v>6310</v>
      </c>
      <c r="S4386">
        <v>13224550</v>
      </c>
    </row>
    <row r="4387" spans="18:19" x14ac:dyDescent="0.3">
      <c r="R4387" t="s">
        <v>6311</v>
      </c>
      <c r="S4387">
        <v>1570530</v>
      </c>
    </row>
    <row r="4388" spans="18:19" x14ac:dyDescent="0.3">
      <c r="R4388" t="s">
        <v>6312</v>
      </c>
      <c r="S4388">
        <v>77095420</v>
      </c>
    </row>
    <row r="4389" spans="18:19" x14ac:dyDescent="0.3">
      <c r="R4389" t="s">
        <v>6313</v>
      </c>
      <c r="S4389">
        <v>127600</v>
      </c>
    </row>
    <row r="4390" spans="18:19" x14ac:dyDescent="0.3">
      <c r="R4390" t="s">
        <v>6314</v>
      </c>
      <c r="S4390">
        <v>810040</v>
      </c>
    </row>
    <row r="4391" spans="18:19" x14ac:dyDescent="0.3">
      <c r="R4391" t="s">
        <v>6315</v>
      </c>
      <c r="S4391">
        <v>5277680</v>
      </c>
    </row>
    <row r="4392" spans="18:19" x14ac:dyDescent="0.3">
      <c r="R4392" t="s">
        <v>6316</v>
      </c>
      <c r="S4392">
        <v>339990</v>
      </c>
    </row>
    <row r="4393" spans="18:19" x14ac:dyDescent="0.3">
      <c r="R4393" t="s">
        <v>6317</v>
      </c>
      <c r="S4393">
        <v>186690</v>
      </c>
    </row>
    <row r="4394" spans="18:19" x14ac:dyDescent="0.3">
      <c r="R4394" t="s">
        <v>6318</v>
      </c>
      <c r="S4394">
        <v>60</v>
      </c>
    </row>
    <row r="4395" spans="18:19" x14ac:dyDescent="0.3">
      <c r="R4395" t="s">
        <v>6319</v>
      </c>
      <c r="S4395">
        <v>13820</v>
      </c>
    </row>
    <row r="4396" spans="18:19" x14ac:dyDescent="0.3">
      <c r="R4396" t="s">
        <v>6320</v>
      </c>
      <c r="S4396">
        <v>18110</v>
      </c>
    </row>
    <row r="4397" spans="18:19" x14ac:dyDescent="0.3">
      <c r="R4397" t="s">
        <v>6321</v>
      </c>
      <c r="S4397">
        <v>1967580</v>
      </c>
    </row>
    <row r="4398" spans="18:19" x14ac:dyDescent="0.3">
      <c r="R4398" t="s">
        <v>6322</v>
      </c>
      <c r="S4398">
        <v>2471390</v>
      </c>
    </row>
    <row r="4399" spans="18:19" x14ac:dyDescent="0.3">
      <c r="R4399" t="s">
        <v>6323</v>
      </c>
      <c r="S4399">
        <v>160538590</v>
      </c>
    </row>
    <row r="4400" spans="18:19" x14ac:dyDescent="0.3">
      <c r="R4400" t="s">
        <v>6324</v>
      </c>
      <c r="S4400">
        <v>1825050</v>
      </c>
    </row>
    <row r="4401" spans="18:19" x14ac:dyDescent="0.3">
      <c r="R4401" t="s">
        <v>6325</v>
      </c>
      <c r="S4401">
        <v>128865</v>
      </c>
    </row>
    <row r="4402" spans="18:19" x14ac:dyDescent="0.3">
      <c r="R4402" t="s">
        <v>6326</v>
      </c>
      <c r="S4402">
        <v>748600</v>
      </c>
    </row>
    <row r="4403" spans="18:19" x14ac:dyDescent="0.3">
      <c r="R4403" t="s">
        <v>6327</v>
      </c>
      <c r="S4403">
        <v>970830</v>
      </c>
    </row>
    <row r="4404" spans="18:19" x14ac:dyDescent="0.3">
      <c r="R4404" t="s">
        <v>6328</v>
      </c>
      <c r="S4404">
        <v>937720</v>
      </c>
    </row>
    <row r="4405" spans="18:19" x14ac:dyDescent="0.3">
      <c r="R4405" t="s">
        <v>6329</v>
      </c>
      <c r="S4405">
        <v>2555440</v>
      </c>
    </row>
    <row r="4406" spans="18:19" x14ac:dyDescent="0.3">
      <c r="R4406" t="s">
        <v>6330</v>
      </c>
      <c r="S4406">
        <v>89598735</v>
      </c>
    </row>
    <row r="4407" spans="18:19" x14ac:dyDescent="0.3">
      <c r="R4407" t="s">
        <v>6331</v>
      </c>
      <c r="S4407">
        <v>1266585</v>
      </c>
    </row>
    <row r="4408" spans="18:19" x14ac:dyDescent="0.3">
      <c r="R4408" t="s">
        <v>6332</v>
      </c>
      <c r="S4408">
        <v>1479160</v>
      </c>
    </row>
    <row r="4409" spans="18:19" x14ac:dyDescent="0.3">
      <c r="R4409" t="s">
        <v>6333</v>
      </c>
      <c r="S4409">
        <v>2679760</v>
      </c>
    </row>
    <row r="4410" spans="18:19" x14ac:dyDescent="0.3">
      <c r="R4410" t="s">
        <v>6334</v>
      </c>
      <c r="S4410">
        <v>7462030</v>
      </c>
    </row>
    <row r="4411" spans="18:19" x14ac:dyDescent="0.3">
      <c r="R4411" t="s">
        <v>6335</v>
      </c>
      <c r="S4411">
        <v>23450</v>
      </c>
    </row>
    <row r="4412" spans="18:19" x14ac:dyDescent="0.3">
      <c r="R4412" t="s">
        <v>6336</v>
      </c>
      <c r="S4412">
        <v>3087990</v>
      </c>
    </row>
    <row r="4413" spans="18:19" x14ac:dyDescent="0.3">
      <c r="R4413" t="s">
        <v>6337</v>
      </c>
      <c r="S4413">
        <v>18310</v>
      </c>
    </row>
    <row r="4414" spans="18:19" x14ac:dyDescent="0.3">
      <c r="R4414" t="s">
        <v>6338</v>
      </c>
      <c r="S4414">
        <v>215281415</v>
      </c>
    </row>
    <row r="4415" spans="18:19" x14ac:dyDescent="0.3">
      <c r="R4415" t="s">
        <v>6339</v>
      </c>
      <c r="S4415">
        <v>89120</v>
      </c>
    </row>
    <row r="4416" spans="18:19" x14ac:dyDescent="0.3">
      <c r="R4416" t="s">
        <v>6340</v>
      </c>
      <c r="S4416">
        <v>259150</v>
      </c>
    </row>
    <row r="4417" spans="18:19" x14ac:dyDescent="0.3">
      <c r="R4417" t="s">
        <v>6341</v>
      </c>
      <c r="S4417">
        <v>4297500</v>
      </c>
    </row>
    <row r="4418" spans="18:19" x14ac:dyDescent="0.3">
      <c r="R4418" t="s">
        <v>6342</v>
      </c>
      <c r="S4418">
        <v>910420</v>
      </c>
    </row>
    <row r="4419" spans="18:19" x14ac:dyDescent="0.3">
      <c r="R4419" t="s">
        <v>6343</v>
      </c>
      <c r="S4419">
        <v>72390</v>
      </c>
    </row>
    <row r="4420" spans="18:19" x14ac:dyDescent="0.3">
      <c r="R4420" t="s">
        <v>6344</v>
      </c>
      <c r="S4420">
        <v>42310</v>
      </c>
    </row>
    <row r="4421" spans="18:19" x14ac:dyDescent="0.3">
      <c r="R4421" t="s">
        <v>6345</v>
      </c>
      <c r="S4421">
        <v>2961250</v>
      </c>
    </row>
    <row r="4422" spans="18:19" x14ac:dyDescent="0.3">
      <c r="R4422" t="s">
        <v>6346</v>
      </c>
      <c r="S4422">
        <v>4349115</v>
      </c>
    </row>
    <row r="4423" spans="18:19" x14ac:dyDescent="0.3">
      <c r="R4423" t="s">
        <v>6347</v>
      </c>
      <c r="S4423">
        <v>34360</v>
      </c>
    </row>
    <row r="4424" spans="18:19" x14ac:dyDescent="0.3">
      <c r="R4424" t="s">
        <v>6348</v>
      </c>
      <c r="S4424">
        <v>140340</v>
      </c>
    </row>
    <row r="4425" spans="18:19" x14ac:dyDescent="0.3">
      <c r="R4425" t="s">
        <v>6349</v>
      </c>
      <c r="S4425">
        <v>694340</v>
      </c>
    </row>
    <row r="4426" spans="18:19" x14ac:dyDescent="0.3">
      <c r="R4426" t="s">
        <v>6350</v>
      </c>
      <c r="S4426">
        <v>64590</v>
      </c>
    </row>
    <row r="4427" spans="18:19" x14ac:dyDescent="0.3">
      <c r="R4427" t="s">
        <v>6351</v>
      </c>
      <c r="S4427">
        <v>591650</v>
      </c>
    </row>
    <row r="4428" spans="18:19" x14ac:dyDescent="0.3">
      <c r="R4428" t="s">
        <v>6352</v>
      </c>
      <c r="S4428">
        <v>6436290</v>
      </c>
    </row>
    <row r="4429" spans="18:19" x14ac:dyDescent="0.3">
      <c r="R4429" t="s">
        <v>6353</v>
      </c>
      <c r="S4429">
        <v>999880</v>
      </c>
    </row>
    <row r="4430" spans="18:19" x14ac:dyDescent="0.3">
      <c r="R4430" t="s">
        <v>6354</v>
      </c>
      <c r="S4430">
        <v>237410</v>
      </c>
    </row>
    <row r="4431" spans="18:19" x14ac:dyDescent="0.3">
      <c r="R4431" t="s">
        <v>6355</v>
      </c>
      <c r="S4431">
        <v>231370</v>
      </c>
    </row>
    <row r="4432" spans="18:19" x14ac:dyDescent="0.3">
      <c r="R4432" t="s">
        <v>6356</v>
      </c>
      <c r="S4432">
        <v>462420</v>
      </c>
    </row>
    <row r="4433" spans="18:19" x14ac:dyDescent="0.3">
      <c r="R4433" t="s">
        <v>6357</v>
      </c>
      <c r="S4433">
        <v>1166945</v>
      </c>
    </row>
    <row r="4434" spans="18:19" x14ac:dyDescent="0.3">
      <c r="R4434" t="s">
        <v>6358</v>
      </c>
      <c r="S4434">
        <v>162610</v>
      </c>
    </row>
    <row r="4435" spans="18:19" x14ac:dyDescent="0.3">
      <c r="R4435" t="s">
        <v>6359</v>
      </c>
      <c r="S4435">
        <v>3267410</v>
      </c>
    </row>
    <row r="4436" spans="18:19" x14ac:dyDescent="0.3">
      <c r="R4436" t="s">
        <v>6360</v>
      </c>
      <c r="S4436">
        <v>77068900</v>
      </c>
    </row>
    <row r="4437" spans="18:19" x14ac:dyDescent="0.3">
      <c r="R4437" t="s">
        <v>6361</v>
      </c>
      <c r="S4437">
        <v>349960</v>
      </c>
    </row>
    <row r="4438" spans="18:19" x14ac:dyDescent="0.3">
      <c r="R4438" t="s">
        <v>6362</v>
      </c>
      <c r="S4438">
        <v>23280</v>
      </c>
    </row>
    <row r="4439" spans="18:19" x14ac:dyDescent="0.3">
      <c r="R4439" t="s">
        <v>6363</v>
      </c>
      <c r="S4439">
        <v>290990</v>
      </c>
    </row>
    <row r="4440" spans="18:19" x14ac:dyDescent="0.3">
      <c r="R4440" t="s">
        <v>6364</v>
      </c>
      <c r="S4440">
        <v>243560</v>
      </c>
    </row>
    <row r="4441" spans="18:19" x14ac:dyDescent="0.3">
      <c r="R4441" t="s">
        <v>6365</v>
      </c>
      <c r="S4441">
        <v>42718600</v>
      </c>
    </row>
    <row r="4442" spans="18:19" x14ac:dyDescent="0.3">
      <c r="R4442" t="s">
        <v>6366</v>
      </c>
      <c r="S4442">
        <v>1512690</v>
      </c>
    </row>
    <row r="4443" spans="18:19" x14ac:dyDescent="0.3">
      <c r="R4443" t="s">
        <v>6367</v>
      </c>
      <c r="S4443">
        <v>1012060</v>
      </c>
    </row>
    <row r="4444" spans="18:19" x14ac:dyDescent="0.3">
      <c r="R4444" t="s">
        <v>6368</v>
      </c>
      <c r="S4444">
        <v>799490</v>
      </c>
    </row>
    <row r="4445" spans="18:19" x14ac:dyDescent="0.3">
      <c r="R4445" t="s">
        <v>6369</v>
      </c>
      <c r="S4445">
        <v>9765</v>
      </c>
    </row>
    <row r="4446" spans="18:19" x14ac:dyDescent="0.3">
      <c r="R4446" t="s">
        <v>6370</v>
      </c>
      <c r="S4446">
        <v>622950</v>
      </c>
    </row>
    <row r="4447" spans="18:19" x14ac:dyDescent="0.3">
      <c r="R4447" t="s">
        <v>6371</v>
      </c>
      <c r="S4447">
        <v>16050</v>
      </c>
    </row>
    <row r="4448" spans="18:19" x14ac:dyDescent="0.3">
      <c r="R4448" t="s">
        <v>6372</v>
      </c>
      <c r="S4448">
        <v>65070</v>
      </c>
    </row>
    <row r="4449" spans="18:19" x14ac:dyDescent="0.3">
      <c r="R4449" t="s">
        <v>6373</v>
      </c>
      <c r="S4449">
        <v>236470</v>
      </c>
    </row>
    <row r="4450" spans="18:19" x14ac:dyDescent="0.3">
      <c r="R4450" t="s">
        <v>6374</v>
      </c>
      <c r="S4450">
        <v>0</v>
      </c>
    </row>
    <row r="4451" spans="18:19" x14ac:dyDescent="0.3">
      <c r="R4451" t="s">
        <v>6375</v>
      </c>
      <c r="S4451">
        <v>636550</v>
      </c>
    </row>
    <row r="4452" spans="18:19" x14ac:dyDescent="0.3">
      <c r="R4452" t="s">
        <v>6376</v>
      </c>
      <c r="S4452">
        <v>4698050</v>
      </c>
    </row>
    <row r="4453" spans="18:19" x14ac:dyDescent="0.3">
      <c r="R4453" t="s">
        <v>6377</v>
      </c>
      <c r="S4453">
        <v>623620</v>
      </c>
    </row>
    <row r="4454" spans="18:19" x14ac:dyDescent="0.3">
      <c r="R4454" t="s">
        <v>6378</v>
      </c>
      <c r="S4454">
        <v>248240</v>
      </c>
    </row>
    <row r="4455" spans="18:19" x14ac:dyDescent="0.3">
      <c r="R4455" t="s">
        <v>6379</v>
      </c>
      <c r="S4455">
        <v>66469630</v>
      </c>
    </row>
    <row r="4456" spans="18:19" x14ac:dyDescent="0.3">
      <c r="R4456" t="s">
        <v>6380</v>
      </c>
      <c r="S4456">
        <v>54854940</v>
      </c>
    </row>
    <row r="4457" spans="18:19" x14ac:dyDescent="0.3">
      <c r="R4457" t="s">
        <v>6381</v>
      </c>
      <c r="S4457">
        <v>119069210</v>
      </c>
    </row>
    <row r="4458" spans="18:19" x14ac:dyDescent="0.3">
      <c r="R4458" t="s">
        <v>6382</v>
      </c>
      <c r="S4458">
        <v>461570</v>
      </c>
    </row>
    <row r="4459" spans="18:19" x14ac:dyDescent="0.3">
      <c r="R4459" t="s">
        <v>6383</v>
      </c>
      <c r="S4459">
        <v>334870</v>
      </c>
    </row>
    <row r="4460" spans="18:19" x14ac:dyDescent="0.3">
      <c r="R4460" t="s">
        <v>6384</v>
      </c>
      <c r="S4460">
        <v>162520</v>
      </c>
    </row>
    <row r="4461" spans="18:19" x14ac:dyDescent="0.3">
      <c r="R4461" t="s">
        <v>6385</v>
      </c>
      <c r="S4461">
        <v>581210</v>
      </c>
    </row>
    <row r="4462" spans="18:19" x14ac:dyDescent="0.3">
      <c r="R4462" t="s">
        <v>6386</v>
      </c>
      <c r="S4462">
        <v>0</v>
      </c>
    </row>
    <row r="4463" spans="18:19" x14ac:dyDescent="0.3">
      <c r="R4463" t="s">
        <v>6387</v>
      </c>
      <c r="S4463">
        <v>29529070</v>
      </c>
    </row>
    <row r="4464" spans="18:19" x14ac:dyDescent="0.3">
      <c r="R4464" t="s">
        <v>6388</v>
      </c>
      <c r="S4464">
        <v>8192420</v>
      </c>
    </row>
    <row r="4465" spans="18:19" x14ac:dyDescent="0.3">
      <c r="R4465" t="s">
        <v>6389</v>
      </c>
      <c r="S4465">
        <v>18293110</v>
      </c>
    </row>
    <row r="4466" spans="18:19" x14ac:dyDescent="0.3">
      <c r="R4466" t="s">
        <v>6390</v>
      </c>
      <c r="S4466">
        <v>363680</v>
      </c>
    </row>
    <row r="4467" spans="18:19" x14ac:dyDescent="0.3">
      <c r="R4467" t="s">
        <v>6391</v>
      </c>
      <c r="S4467">
        <v>572490</v>
      </c>
    </row>
    <row r="4468" spans="18:19" x14ac:dyDescent="0.3">
      <c r="R4468" t="s">
        <v>6392</v>
      </c>
      <c r="S4468">
        <v>545180</v>
      </c>
    </row>
    <row r="4469" spans="18:19" x14ac:dyDescent="0.3">
      <c r="R4469" t="s">
        <v>6393</v>
      </c>
      <c r="S4469">
        <v>838320</v>
      </c>
    </row>
    <row r="4470" spans="18:19" x14ac:dyDescent="0.3">
      <c r="R4470" t="s">
        <v>6394</v>
      </c>
      <c r="S4470">
        <v>196860</v>
      </c>
    </row>
    <row r="4471" spans="18:19" x14ac:dyDescent="0.3">
      <c r="R4471" t="s">
        <v>6395</v>
      </c>
      <c r="S4471">
        <v>9336480</v>
      </c>
    </row>
    <row r="4472" spans="18:19" x14ac:dyDescent="0.3">
      <c r="R4472" t="s">
        <v>6396</v>
      </c>
      <c r="S4472">
        <v>236710</v>
      </c>
    </row>
    <row r="4473" spans="18:19" x14ac:dyDescent="0.3">
      <c r="R4473" t="s">
        <v>6397</v>
      </c>
      <c r="S4473">
        <v>8184300</v>
      </c>
    </row>
    <row r="4474" spans="18:19" x14ac:dyDescent="0.3">
      <c r="R4474" t="s">
        <v>6398</v>
      </c>
      <c r="S4474">
        <v>463090</v>
      </c>
    </row>
    <row r="4475" spans="18:19" x14ac:dyDescent="0.3">
      <c r="R4475" t="s">
        <v>6399</v>
      </c>
      <c r="S4475">
        <v>1087200</v>
      </c>
    </row>
    <row r="4476" spans="18:19" x14ac:dyDescent="0.3">
      <c r="R4476" t="s">
        <v>6400</v>
      </c>
      <c r="S4476">
        <v>13975290</v>
      </c>
    </row>
    <row r="4477" spans="18:19" x14ac:dyDescent="0.3">
      <c r="R4477" t="s">
        <v>6401</v>
      </c>
      <c r="S4477">
        <v>453570</v>
      </c>
    </row>
    <row r="4478" spans="18:19" x14ac:dyDescent="0.3">
      <c r="R4478" t="s">
        <v>6402</v>
      </c>
      <c r="S4478">
        <v>343200</v>
      </c>
    </row>
    <row r="4479" spans="18:19" x14ac:dyDescent="0.3">
      <c r="R4479" t="s">
        <v>6403</v>
      </c>
      <c r="S4479">
        <v>15508380</v>
      </c>
    </row>
    <row r="4480" spans="18:19" x14ac:dyDescent="0.3">
      <c r="R4480" t="s">
        <v>6404</v>
      </c>
      <c r="S4480">
        <v>373110</v>
      </c>
    </row>
    <row r="4481" spans="18:19" x14ac:dyDescent="0.3">
      <c r="R4481" t="s">
        <v>6405</v>
      </c>
      <c r="S4481">
        <v>2182050</v>
      </c>
    </row>
    <row r="4482" spans="18:19" x14ac:dyDescent="0.3">
      <c r="R4482" t="s">
        <v>6406</v>
      </c>
      <c r="S4482">
        <v>2804820</v>
      </c>
    </row>
    <row r="4483" spans="18:19" x14ac:dyDescent="0.3">
      <c r="R4483" t="s">
        <v>6407</v>
      </c>
      <c r="S4483">
        <v>4411940</v>
      </c>
    </row>
    <row r="4484" spans="18:19" x14ac:dyDescent="0.3">
      <c r="R4484" t="s">
        <v>6408</v>
      </c>
      <c r="S4484">
        <v>3427430</v>
      </c>
    </row>
    <row r="4485" spans="18:19" x14ac:dyDescent="0.3">
      <c r="R4485" t="s">
        <v>6409</v>
      </c>
      <c r="S4485">
        <v>342840</v>
      </c>
    </row>
    <row r="4486" spans="18:19" x14ac:dyDescent="0.3">
      <c r="R4486" t="s">
        <v>6410</v>
      </c>
      <c r="S4486">
        <v>1861620</v>
      </c>
    </row>
    <row r="4487" spans="18:19" x14ac:dyDescent="0.3">
      <c r="R4487" t="s">
        <v>6411</v>
      </c>
      <c r="S4487">
        <v>446250</v>
      </c>
    </row>
    <row r="4488" spans="18:19" x14ac:dyDescent="0.3">
      <c r="R4488" t="s">
        <v>6412</v>
      </c>
      <c r="S4488">
        <v>793630</v>
      </c>
    </row>
    <row r="4489" spans="18:19" x14ac:dyDescent="0.3">
      <c r="R4489" t="s">
        <v>6413</v>
      </c>
      <c r="S4489">
        <v>3997370</v>
      </c>
    </row>
    <row r="4490" spans="18:19" x14ac:dyDescent="0.3">
      <c r="R4490" t="s">
        <v>6414</v>
      </c>
      <c r="S4490">
        <v>430160</v>
      </c>
    </row>
    <row r="4491" spans="18:19" x14ac:dyDescent="0.3">
      <c r="R4491" t="s">
        <v>6415</v>
      </c>
      <c r="S4491">
        <v>225490</v>
      </c>
    </row>
    <row r="4492" spans="18:19" x14ac:dyDescent="0.3">
      <c r="R4492" t="s">
        <v>6416</v>
      </c>
      <c r="S4492">
        <v>135240</v>
      </c>
    </row>
    <row r="4493" spans="18:19" x14ac:dyDescent="0.3">
      <c r="R4493" t="s">
        <v>6417</v>
      </c>
      <c r="S4493">
        <v>0</v>
      </c>
    </row>
    <row r="4494" spans="18:19" x14ac:dyDescent="0.3">
      <c r="R4494" t="s">
        <v>6418</v>
      </c>
      <c r="S4494">
        <v>170</v>
      </c>
    </row>
    <row r="4495" spans="18:19" x14ac:dyDescent="0.3">
      <c r="R4495" t="s">
        <v>6419</v>
      </c>
      <c r="S4495">
        <v>4612490</v>
      </c>
    </row>
    <row r="4496" spans="18:19" x14ac:dyDescent="0.3">
      <c r="R4496" t="s">
        <v>6420</v>
      </c>
      <c r="S4496">
        <v>3873310</v>
      </c>
    </row>
    <row r="4497" spans="18:19" x14ac:dyDescent="0.3">
      <c r="R4497" t="s">
        <v>6421</v>
      </c>
      <c r="S4497">
        <v>154430</v>
      </c>
    </row>
    <row r="4498" spans="18:19" x14ac:dyDescent="0.3">
      <c r="R4498" t="s">
        <v>6422</v>
      </c>
      <c r="S4498">
        <v>453700</v>
      </c>
    </row>
    <row r="4499" spans="18:19" x14ac:dyDescent="0.3">
      <c r="R4499" t="s">
        <v>6423</v>
      </c>
      <c r="S4499">
        <v>991310</v>
      </c>
    </row>
    <row r="4500" spans="18:19" x14ac:dyDescent="0.3">
      <c r="R4500" t="s">
        <v>6424</v>
      </c>
      <c r="S4500">
        <v>154540</v>
      </c>
    </row>
    <row r="4501" spans="18:19" x14ac:dyDescent="0.3">
      <c r="R4501" t="s">
        <v>6425</v>
      </c>
      <c r="S4501">
        <v>11739870</v>
      </c>
    </row>
    <row r="4502" spans="18:19" x14ac:dyDescent="0.3">
      <c r="R4502" t="s">
        <v>6426</v>
      </c>
      <c r="S4502">
        <v>0</v>
      </c>
    </row>
    <row r="4503" spans="18:19" x14ac:dyDescent="0.3">
      <c r="R4503" t="s">
        <v>6427</v>
      </c>
      <c r="S4503">
        <v>1163470</v>
      </c>
    </row>
    <row r="4504" spans="18:19" x14ac:dyDescent="0.3">
      <c r="R4504" t="s">
        <v>6428</v>
      </c>
      <c r="S4504">
        <v>32580</v>
      </c>
    </row>
    <row r="4505" spans="18:19" x14ac:dyDescent="0.3">
      <c r="R4505" t="s">
        <v>6429</v>
      </c>
      <c r="S4505">
        <v>471480</v>
      </c>
    </row>
    <row r="4506" spans="18:19" x14ac:dyDescent="0.3">
      <c r="R4506" t="s">
        <v>6430</v>
      </c>
      <c r="S4506">
        <v>1219310</v>
      </c>
    </row>
    <row r="4507" spans="18:19" x14ac:dyDescent="0.3">
      <c r="R4507" t="s">
        <v>6431</v>
      </c>
      <c r="S4507">
        <v>6169930</v>
      </c>
    </row>
    <row r="4508" spans="18:19" x14ac:dyDescent="0.3">
      <c r="R4508" t="s">
        <v>6432</v>
      </c>
      <c r="S4508">
        <v>110970</v>
      </c>
    </row>
    <row r="4509" spans="18:19" x14ac:dyDescent="0.3">
      <c r="R4509" t="s">
        <v>6433</v>
      </c>
      <c r="S4509">
        <v>3989970</v>
      </c>
    </row>
    <row r="4510" spans="18:19" x14ac:dyDescent="0.3">
      <c r="R4510" t="s">
        <v>6434</v>
      </c>
      <c r="S4510">
        <v>0</v>
      </c>
    </row>
    <row r="4511" spans="18:19" x14ac:dyDescent="0.3">
      <c r="R4511" t="s">
        <v>6435</v>
      </c>
      <c r="S4511">
        <v>1134760</v>
      </c>
    </row>
    <row r="4512" spans="18:19" x14ac:dyDescent="0.3">
      <c r="R4512" t="s">
        <v>6436</v>
      </c>
      <c r="S4512">
        <v>123400</v>
      </c>
    </row>
    <row r="4513" spans="18:19" x14ac:dyDescent="0.3">
      <c r="R4513" t="s">
        <v>6437</v>
      </c>
      <c r="S4513">
        <v>161440</v>
      </c>
    </row>
    <row r="4514" spans="18:19" x14ac:dyDescent="0.3">
      <c r="R4514" t="s">
        <v>6438</v>
      </c>
      <c r="S4514">
        <v>817620</v>
      </c>
    </row>
    <row r="4515" spans="18:19" x14ac:dyDescent="0.3">
      <c r="R4515" t="s">
        <v>6439</v>
      </c>
      <c r="S4515">
        <v>1503670</v>
      </c>
    </row>
    <row r="4516" spans="18:19" x14ac:dyDescent="0.3">
      <c r="R4516" t="s">
        <v>6440</v>
      </c>
      <c r="S4516">
        <v>183720</v>
      </c>
    </row>
    <row r="4517" spans="18:19" x14ac:dyDescent="0.3">
      <c r="R4517" t="s">
        <v>6441</v>
      </c>
      <c r="S4517">
        <v>107430</v>
      </c>
    </row>
    <row r="4518" spans="18:19" x14ac:dyDescent="0.3">
      <c r="R4518" t="s">
        <v>6442</v>
      </c>
      <c r="S4518">
        <v>187440</v>
      </c>
    </row>
    <row r="4519" spans="18:19" x14ac:dyDescent="0.3">
      <c r="R4519" t="s">
        <v>6443</v>
      </c>
      <c r="S4519">
        <v>55220</v>
      </c>
    </row>
    <row r="4520" spans="18:19" x14ac:dyDescent="0.3">
      <c r="R4520" t="s">
        <v>6444</v>
      </c>
      <c r="S4520">
        <v>275770</v>
      </c>
    </row>
    <row r="4521" spans="18:19" x14ac:dyDescent="0.3">
      <c r="R4521" t="s">
        <v>6445</v>
      </c>
      <c r="S4521">
        <v>201250</v>
      </c>
    </row>
    <row r="4522" spans="18:19" x14ac:dyDescent="0.3">
      <c r="R4522" t="s">
        <v>6446</v>
      </c>
      <c r="S4522">
        <v>185630</v>
      </c>
    </row>
    <row r="4523" spans="18:19" x14ac:dyDescent="0.3">
      <c r="R4523" t="s">
        <v>6447</v>
      </c>
      <c r="S4523">
        <v>17223460</v>
      </c>
    </row>
    <row r="4524" spans="18:19" x14ac:dyDescent="0.3">
      <c r="R4524" t="s">
        <v>6448</v>
      </c>
      <c r="S4524">
        <v>1253680</v>
      </c>
    </row>
    <row r="4525" spans="18:19" x14ac:dyDescent="0.3">
      <c r="R4525" t="s">
        <v>6449</v>
      </c>
      <c r="S4525">
        <v>147770</v>
      </c>
    </row>
    <row r="4526" spans="18:19" x14ac:dyDescent="0.3">
      <c r="R4526" t="s">
        <v>6450</v>
      </c>
      <c r="S4526">
        <v>9940</v>
      </c>
    </row>
    <row r="4527" spans="18:19" x14ac:dyDescent="0.3">
      <c r="R4527" t="s">
        <v>6451</v>
      </c>
      <c r="S4527">
        <v>12220</v>
      </c>
    </row>
    <row r="4528" spans="18:19" x14ac:dyDescent="0.3">
      <c r="R4528" t="s">
        <v>6452</v>
      </c>
      <c r="S4528">
        <v>21610</v>
      </c>
    </row>
    <row r="4529" spans="18:19" x14ac:dyDescent="0.3">
      <c r="R4529" t="s">
        <v>6453</v>
      </c>
      <c r="S4529">
        <v>1488090</v>
      </c>
    </row>
    <row r="4530" spans="18:19" x14ac:dyDescent="0.3">
      <c r="R4530" t="s">
        <v>6454</v>
      </c>
      <c r="S4530">
        <v>18200</v>
      </c>
    </row>
    <row r="4531" spans="18:19" x14ac:dyDescent="0.3">
      <c r="R4531" t="s">
        <v>6455</v>
      </c>
      <c r="S4531">
        <v>399170</v>
      </c>
    </row>
    <row r="4532" spans="18:19" x14ac:dyDescent="0.3">
      <c r="R4532" t="s">
        <v>6456</v>
      </c>
      <c r="S4532">
        <v>4220</v>
      </c>
    </row>
    <row r="4533" spans="18:19" x14ac:dyDescent="0.3">
      <c r="R4533" t="s">
        <v>6457</v>
      </c>
      <c r="S4533">
        <v>64260</v>
      </c>
    </row>
    <row r="4534" spans="18:19" x14ac:dyDescent="0.3">
      <c r="R4534" t="s">
        <v>6458</v>
      </c>
      <c r="S4534">
        <v>1091450</v>
      </c>
    </row>
    <row r="4535" spans="18:19" x14ac:dyDescent="0.3">
      <c r="R4535" t="s">
        <v>6459</v>
      </c>
      <c r="S4535">
        <v>177550</v>
      </c>
    </row>
    <row r="4536" spans="18:19" x14ac:dyDescent="0.3">
      <c r="R4536" t="s">
        <v>6460</v>
      </c>
      <c r="S4536">
        <v>43760</v>
      </c>
    </row>
    <row r="4537" spans="18:19" x14ac:dyDescent="0.3">
      <c r="R4537" t="s">
        <v>6461</v>
      </c>
      <c r="S4537">
        <v>37480</v>
      </c>
    </row>
    <row r="4538" spans="18:19" x14ac:dyDescent="0.3">
      <c r="R4538" t="s">
        <v>6462</v>
      </c>
      <c r="S4538">
        <v>94190</v>
      </c>
    </row>
    <row r="4539" spans="18:19" x14ac:dyDescent="0.3">
      <c r="R4539" t="s">
        <v>6463</v>
      </c>
      <c r="S4539">
        <v>517880</v>
      </c>
    </row>
    <row r="4540" spans="18:19" x14ac:dyDescent="0.3">
      <c r="R4540" t="s">
        <v>6464</v>
      </c>
      <c r="S4540">
        <v>129320</v>
      </c>
    </row>
    <row r="4541" spans="18:19" x14ac:dyDescent="0.3">
      <c r="R4541" t="s">
        <v>6465</v>
      </c>
      <c r="S4541">
        <v>153690</v>
      </c>
    </row>
    <row r="4542" spans="18:19" x14ac:dyDescent="0.3">
      <c r="R4542" t="s">
        <v>6466</v>
      </c>
      <c r="S4542">
        <v>31960</v>
      </c>
    </row>
    <row r="4543" spans="18:19" x14ac:dyDescent="0.3">
      <c r="R4543" t="s">
        <v>6467</v>
      </c>
      <c r="S4543">
        <v>19570</v>
      </c>
    </row>
    <row r="4544" spans="18:19" x14ac:dyDescent="0.3">
      <c r="R4544" t="s">
        <v>6468</v>
      </c>
      <c r="S4544">
        <v>129710</v>
      </c>
    </row>
    <row r="4545" spans="18:19" x14ac:dyDescent="0.3">
      <c r="R4545" t="s">
        <v>6469</v>
      </c>
      <c r="S4545">
        <v>267430</v>
      </c>
    </row>
    <row r="4546" spans="18:19" x14ac:dyDescent="0.3">
      <c r="R4546" t="s">
        <v>6470</v>
      </c>
      <c r="S4546">
        <v>403190</v>
      </c>
    </row>
    <row r="4547" spans="18:19" x14ac:dyDescent="0.3">
      <c r="R4547" t="s">
        <v>6471</v>
      </c>
      <c r="S4547">
        <v>184360</v>
      </c>
    </row>
    <row r="4548" spans="18:19" x14ac:dyDescent="0.3">
      <c r="R4548" t="s">
        <v>6472</v>
      </c>
      <c r="S4548">
        <v>335710</v>
      </c>
    </row>
    <row r="4549" spans="18:19" x14ac:dyDescent="0.3">
      <c r="R4549" t="s">
        <v>6473</v>
      </c>
      <c r="S4549">
        <v>1050</v>
      </c>
    </row>
    <row r="4550" spans="18:19" x14ac:dyDescent="0.3">
      <c r="R4550" t="s">
        <v>6474</v>
      </c>
      <c r="S4550">
        <v>389960</v>
      </c>
    </row>
    <row r="4551" spans="18:19" x14ac:dyDescent="0.3">
      <c r="R4551" t="s">
        <v>6475</v>
      </c>
      <c r="S4551">
        <v>48180</v>
      </c>
    </row>
    <row r="4552" spans="18:19" x14ac:dyDescent="0.3">
      <c r="R4552" t="s">
        <v>6476</v>
      </c>
      <c r="S4552">
        <v>4830</v>
      </c>
    </row>
    <row r="4553" spans="18:19" x14ac:dyDescent="0.3">
      <c r="R4553" t="s">
        <v>6477</v>
      </c>
      <c r="S4553">
        <v>9380</v>
      </c>
    </row>
    <row r="4554" spans="18:19" x14ac:dyDescent="0.3">
      <c r="R4554" t="s">
        <v>6478</v>
      </c>
      <c r="S4554">
        <v>5230</v>
      </c>
    </row>
    <row r="4555" spans="18:19" x14ac:dyDescent="0.3">
      <c r="R4555" t="s">
        <v>6479</v>
      </c>
      <c r="S4555">
        <v>362010</v>
      </c>
    </row>
    <row r="4556" spans="18:19" x14ac:dyDescent="0.3">
      <c r="R4556" t="s">
        <v>6480</v>
      </c>
      <c r="S4556">
        <v>1910</v>
      </c>
    </row>
    <row r="4557" spans="18:19" x14ac:dyDescent="0.3">
      <c r="R4557" t="s">
        <v>6481</v>
      </c>
      <c r="S4557">
        <v>72730</v>
      </c>
    </row>
    <row r="4558" spans="18:19" x14ac:dyDescent="0.3">
      <c r="R4558" t="s">
        <v>6482</v>
      </c>
      <c r="S4558">
        <v>1330</v>
      </c>
    </row>
    <row r="4559" spans="18:19" x14ac:dyDescent="0.3">
      <c r="R4559" t="s">
        <v>6483</v>
      </c>
      <c r="S4559">
        <v>89920</v>
      </c>
    </row>
    <row r="4560" spans="18:19" x14ac:dyDescent="0.3">
      <c r="R4560" t="s">
        <v>6484</v>
      </c>
      <c r="S4560">
        <v>113090</v>
      </c>
    </row>
    <row r="4561" spans="18:19" x14ac:dyDescent="0.3">
      <c r="R4561" t="s">
        <v>6485</v>
      </c>
      <c r="S4561">
        <v>31820</v>
      </c>
    </row>
    <row r="4562" spans="18:19" x14ac:dyDescent="0.3">
      <c r="R4562" t="s">
        <v>6486</v>
      </c>
      <c r="S4562">
        <v>562850</v>
      </c>
    </row>
    <row r="4563" spans="18:19" x14ac:dyDescent="0.3">
      <c r="R4563" t="s">
        <v>6487</v>
      </c>
      <c r="S4563">
        <v>70</v>
      </c>
    </row>
    <row r="4564" spans="18:19" x14ac:dyDescent="0.3">
      <c r="R4564" t="s">
        <v>6488</v>
      </c>
      <c r="S4564">
        <v>251280</v>
      </c>
    </row>
    <row r="4565" spans="18:19" x14ac:dyDescent="0.3">
      <c r="R4565" t="s">
        <v>6489</v>
      </c>
      <c r="S4565">
        <v>9980</v>
      </c>
    </row>
    <row r="4566" spans="18:19" x14ac:dyDescent="0.3">
      <c r="R4566" t="s">
        <v>6490</v>
      </c>
      <c r="S4566">
        <v>24380</v>
      </c>
    </row>
    <row r="4567" spans="18:19" x14ac:dyDescent="0.3">
      <c r="R4567" t="s">
        <v>6491</v>
      </c>
      <c r="S4567">
        <v>22090</v>
      </c>
    </row>
    <row r="4568" spans="18:19" x14ac:dyDescent="0.3">
      <c r="R4568" t="s">
        <v>6492</v>
      </c>
      <c r="S4568">
        <v>16280</v>
      </c>
    </row>
    <row r="4569" spans="18:19" x14ac:dyDescent="0.3">
      <c r="R4569" t="s">
        <v>6493</v>
      </c>
      <c r="S4569">
        <v>28230</v>
      </c>
    </row>
    <row r="4570" spans="18:19" x14ac:dyDescent="0.3">
      <c r="R4570" t="s">
        <v>6494</v>
      </c>
      <c r="S4570">
        <v>2450850</v>
      </c>
    </row>
    <row r="4571" spans="18:19" x14ac:dyDescent="0.3">
      <c r="R4571" t="s">
        <v>6495</v>
      </c>
      <c r="S4571">
        <v>16570</v>
      </c>
    </row>
    <row r="4572" spans="18:19" x14ac:dyDescent="0.3">
      <c r="R4572" t="s">
        <v>6496</v>
      </c>
      <c r="S4572">
        <v>252510</v>
      </c>
    </row>
    <row r="4573" spans="18:19" x14ac:dyDescent="0.3">
      <c r="R4573" t="s">
        <v>6497</v>
      </c>
      <c r="S4573">
        <v>122710</v>
      </c>
    </row>
    <row r="4574" spans="18:19" x14ac:dyDescent="0.3">
      <c r="R4574" t="s">
        <v>6498</v>
      </c>
      <c r="S4574">
        <v>180680</v>
      </c>
    </row>
    <row r="4575" spans="18:19" x14ac:dyDescent="0.3">
      <c r="R4575" t="s">
        <v>6499</v>
      </c>
      <c r="S4575">
        <v>45050</v>
      </c>
    </row>
    <row r="4576" spans="18:19" x14ac:dyDescent="0.3">
      <c r="R4576" t="s">
        <v>6500</v>
      </c>
      <c r="S4576">
        <v>6130</v>
      </c>
    </row>
    <row r="4577" spans="18:19" x14ac:dyDescent="0.3">
      <c r="R4577" t="s">
        <v>6501</v>
      </c>
      <c r="S4577">
        <v>14100</v>
      </c>
    </row>
    <row r="4578" spans="18:19" x14ac:dyDescent="0.3">
      <c r="R4578" t="s">
        <v>6502</v>
      </c>
      <c r="S4578">
        <v>5660</v>
      </c>
    </row>
    <row r="4579" spans="18:19" x14ac:dyDescent="0.3">
      <c r="R4579" t="s">
        <v>6503</v>
      </c>
      <c r="S4579">
        <v>291690</v>
      </c>
    </row>
    <row r="4580" spans="18:19" x14ac:dyDescent="0.3">
      <c r="R4580" t="s">
        <v>6504</v>
      </c>
      <c r="S4580">
        <v>8040</v>
      </c>
    </row>
    <row r="4581" spans="18:19" x14ac:dyDescent="0.3">
      <c r="R4581" t="s">
        <v>6505</v>
      </c>
      <c r="S4581">
        <v>90330</v>
      </c>
    </row>
    <row r="4582" spans="18:19" x14ac:dyDescent="0.3">
      <c r="R4582" t="s">
        <v>6506</v>
      </c>
      <c r="S4582">
        <v>1045090</v>
      </c>
    </row>
    <row r="4583" spans="18:19" x14ac:dyDescent="0.3">
      <c r="R4583" t="s">
        <v>6507</v>
      </c>
      <c r="S4583">
        <v>7290</v>
      </c>
    </row>
    <row r="4584" spans="18:19" x14ac:dyDescent="0.3">
      <c r="R4584" t="s">
        <v>6508</v>
      </c>
      <c r="S4584">
        <v>9710</v>
      </c>
    </row>
    <row r="4585" spans="18:19" x14ac:dyDescent="0.3">
      <c r="R4585" t="s">
        <v>6509</v>
      </c>
      <c r="S4585">
        <v>333920</v>
      </c>
    </row>
    <row r="4586" spans="18:19" x14ac:dyDescent="0.3">
      <c r="R4586" t="s">
        <v>6510</v>
      </c>
      <c r="S4586">
        <v>190970</v>
      </c>
    </row>
    <row r="4587" spans="18:19" x14ac:dyDescent="0.3">
      <c r="R4587" t="s">
        <v>6511</v>
      </c>
      <c r="S4587">
        <v>212440</v>
      </c>
    </row>
    <row r="4588" spans="18:19" x14ac:dyDescent="0.3">
      <c r="R4588" t="s">
        <v>6512</v>
      </c>
      <c r="S4588">
        <v>592350</v>
      </c>
    </row>
    <row r="4589" spans="18:19" x14ac:dyDescent="0.3">
      <c r="R4589" t="s">
        <v>6513</v>
      </c>
      <c r="S4589">
        <v>86960</v>
      </c>
    </row>
    <row r="4590" spans="18:19" x14ac:dyDescent="0.3">
      <c r="R4590" t="s">
        <v>6514</v>
      </c>
      <c r="S4590">
        <v>5710</v>
      </c>
    </row>
    <row r="4591" spans="18:19" x14ac:dyDescent="0.3">
      <c r="R4591" t="s">
        <v>6515</v>
      </c>
      <c r="S4591">
        <v>147560</v>
      </c>
    </row>
    <row r="4592" spans="18:19" x14ac:dyDescent="0.3">
      <c r="R4592" t="s">
        <v>6516</v>
      </c>
      <c r="S4592">
        <v>2580500</v>
      </c>
    </row>
    <row r="4593" spans="18:19" x14ac:dyDescent="0.3">
      <c r="R4593" t="s">
        <v>6517</v>
      </c>
      <c r="S4593">
        <v>100020</v>
      </c>
    </row>
    <row r="4594" spans="18:19" x14ac:dyDescent="0.3">
      <c r="R4594" t="s">
        <v>6518</v>
      </c>
      <c r="S4594">
        <v>42880</v>
      </c>
    </row>
    <row r="4595" spans="18:19" x14ac:dyDescent="0.3">
      <c r="R4595" t="s">
        <v>6519</v>
      </c>
      <c r="S4595">
        <v>24320</v>
      </c>
    </row>
    <row r="4596" spans="18:19" x14ac:dyDescent="0.3">
      <c r="R4596" t="s">
        <v>6520</v>
      </c>
      <c r="S4596">
        <v>21010</v>
      </c>
    </row>
    <row r="4597" spans="18:19" x14ac:dyDescent="0.3">
      <c r="R4597" t="s">
        <v>6521</v>
      </c>
      <c r="S4597">
        <v>1674350</v>
      </c>
    </row>
    <row r="4598" spans="18:19" x14ac:dyDescent="0.3">
      <c r="R4598" t="s">
        <v>6522</v>
      </c>
      <c r="S4598">
        <v>22430</v>
      </c>
    </row>
    <row r="4599" spans="18:19" x14ac:dyDescent="0.3">
      <c r="R4599" t="s">
        <v>6523</v>
      </c>
      <c r="S4599">
        <v>277390</v>
      </c>
    </row>
    <row r="4600" spans="18:19" x14ac:dyDescent="0.3">
      <c r="R4600" t="s">
        <v>6524</v>
      </c>
      <c r="S4600">
        <v>69400</v>
      </c>
    </row>
    <row r="4601" spans="18:19" x14ac:dyDescent="0.3">
      <c r="R4601" t="s">
        <v>6525</v>
      </c>
      <c r="S4601">
        <v>119660</v>
      </c>
    </row>
    <row r="4602" spans="18:19" x14ac:dyDescent="0.3">
      <c r="R4602" t="s">
        <v>6526</v>
      </c>
      <c r="S4602">
        <v>16970</v>
      </c>
    </row>
    <row r="4603" spans="18:19" x14ac:dyDescent="0.3">
      <c r="R4603" t="s">
        <v>6527</v>
      </c>
      <c r="S4603">
        <v>44410</v>
      </c>
    </row>
    <row r="4604" spans="18:19" x14ac:dyDescent="0.3">
      <c r="R4604" t="s">
        <v>6528</v>
      </c>
      <c r="S4604">
        <v>23670</v>
      </c>
    </row>
    <row r="4605" spans="18:19" x14ac:dyDescent="0.3">
      <c r="R4605" t="s">
        <v>6529</v>
      </c>
      <c r="S4605">
        <v>5370</v>
      </c>
    </row>
    <row r="4606" spans="18:19" x14ac:dyDescent="0.3">
      <c r="R4606" t="s">
        <v>6530</v>
      </c>
      <c r="S4606">
        <v>4700</v>
      </c>
    </row>
    <row r="4607" spans="18:19" x14ac:dyDescent="0.3">
      <c r="R4607" t="s">
        <v>6531</v>
      </c>
      <c r="S4607">
        <v>1090</v>
      </c>
    </row>
    <row r="4608" spans="18:19" x14ac:dyDescent="0.3">
      <c r="R4608" t="s">
        <v>6532</v>
      </c>
      <c r="S4608">
        <v>114080</v>
      </c>
    </row>
    <row r="4609" spans="18:19" x14ac:dyDescent="0.3">
      <c r="R4609" t="s">
        <v>6533</v>
      </c>
      <c r="S4609">
        <v>22510</v>
      </c>
    </row>
    <row r="4610" spans="18:19" x14ac:dyDescent="0.3">
      <c r="R4610" t="s">
        <v>6534</v>
      </c>
      <c r="S4610">
        <v>274400</v>
      </c>
    </row>
    <row r="4611" spans="18:19" x14ac:dyDescent="0.3">
      <c r="R4611" t="s">
        <v>6535</v>
      </c>
      <c r="S4611">
        <v>42320</v>
      </c>
    </row>
    <row r="4612" spans="18:19" x14ac:dyDescent="0.3">
      <c r="R4612" t="s">
        <v>6536</v>
      </c>
      <c r="S4612">
        <v>371560</v>
      </c>
    </row>
    <row r="4613" spans="18:19" x14ac:dyDescent="0.3">
      <c r="R4613" t="s">
        <v>6537</v>
      </c>
      <c r="S4613">
        <v>59360</v>
      </c>
    </row>
    <row r="4614" spans="18:19" x14ac:dyDescent="0.3">
      <c r="R4614" t="s">
        <v>6538</v>
      </c>
      <c r="S4614">
        <v>280840</v>
      </c>
    </row>
    <row r="4615" spans="18:19" x14ac:dyDescent="0.3">
      <c r="R4615" t="s">
        <v>6539</v>
      </c>
      <c r="S4615">
        <v>14030</v>
      </c>
    </row>
    <row r="4616" spans="18:19" x14ac:dyDescent="0.3">
      <c r="R4616" t="s">
        <v>6540</v>
      </c>
      <c r="S4616">
        <v>5850</v>
      </c>
    </row>
    <row r="4617" spans="18:19" x14ac:dyDescent="0.3">
      <c r="R4617" t="s">
        <v>6541</v>
      </c>
      <c r="S4617">
        <v>0</v>
      </c>
    </row>
    <row r="4618" spans="18:19" x14ac:dyDescent="0.3">
      <c r="R4618" t="s">
        <v>6542</v>
      </c>
      <c r="S4618">
        <v>207390</v>
      </c>
    </row>
    <row r="4619" spans="18:19" x14ac:dyDescent="0.3">
      <c r="R4619" t="s">
        <v>6543</v>
      </c>
      <c r="S4619">
        <v>219150</v>
      </c>
    </row>
    <row r="4620" spans="18:19" x14ac:dyDescent="0.3">
      <c r="R4620" t="s">
        <v>6544</v>
      </c>
      <c r="S4620">
        <v>440</v>
      </c>
    </row>
    <row r="4621" spans="18:19" x14ac:dyDescent="0.3">
      <c r="R4621" t="s">
        <v>6545</v>
      </c>
      <c r="S4621">
        <v>22930</v>
      </c>
    </row>
    <row r="4622" spans="18:19" x14ac:dyDescent="0.3">
      <c r="R4622" t="s">
        <v>6546</v>
      </c>
      <c r="S4622">
        <v>131720</v>
      </c>
    </row>
    <row r="4623" spans="18:19" x14ac:dyDescent="0.3">
      <c r="R4623" t="s">
        <v>6547</v>
      </c>
      <c r="S4623">
        <v>630</v>
      </c>
    </row>
    <row r="4624" spans="18:19" x14ac:dyDescent="0.3">
      <c r="R4624" t="s">
        <v>6548</v>
      </c>
      <c r="S4624">
        <v>988110</v>
      </c>
    </row>
    <row r="4625" spans="18:19" x14ac:dyDescent="0.3">
      <c r="R4625" t="s">
        <v>6549</v>
      </c>
      <c r="S4625">
        <v>15490</v>
      </c>
    </row>
    <row r="4626" spans="18:19" x14ac:dyDescent="0.3">
      <c r="R4626" t="s">
        <v>6550</v>
      </c>
      <c r="S4626">
        <v>711570</v>
      </c>
    </row>
    <row r="4627" spans="18:19" x14ac:dyDescent="0.3">
      <c r="R4627" t="s">
        <v>6551</v>
      </c>
      <c r="S4627">
        <v>3940</v>
      </c>
    </row>
    <row r="4628" spans="18:19" x14ac:dyDescent="0.3">
      <c r="R4628" t="s">
        <v>6552</v>
      </c>
      <c r="S4628">
        <v>46380</v>
      </c>
    </row>
    <row r="4629" spans="18:19" x14ac:dyDescent="0.3">
      <c r="R4629" t="s">
        <v>6553</v>
      </c>
      <c r="S4629">
        <v>1191930</v>
      </c>
    </row>
    <row r="4630" spans="18:19" x14ac:dyDescent="0.3">
      <c r="R4630" t="s">
        <v>6554</v>
      </c>
      <c r="S4630">
        <v>343030</v>
      </c>
    </row>
    <row r="4631" spans="18:19" x14ac:dyDescent="0.3">
      <c r="R4631" t="s">
        <v>6555</v>
      </c>
      <c r="S4631">
        <v>138810</v>
      </c>
    </row>
    <row r="4632" spans="18:19" x14ac:dyDescent="0.3">
      <c r="R4632" t="s">
        <v>6556</v>
      </c>
      <c r="S4632">
        <v>459700</v>
      </c>
    </row>
    <row r="4633" spans="18:19" x14ac:dyDescent="0.3">
      <c r="R4633" t="s">
        <v>6557</v>
      </c>
      <c r="S4633">
        <v>2340910</v>
      </c>
    </row>
    <row r="4634" spans="18:19" x14ac:dyDescent="0.3">
      <c r="R4634" t="s">
        <v>6558</v>
      </c>
      <c r="S4634">
        <v>623080</v>
      </c>
    </row>
    <row r="4635" spans="18:19" x14ac:dyDescent="0.3">
      <c r="R4635" t="s">
        <v>6559</v>
      </c>
      <c r="S4635">
        <v>2790</v>
      </c>
    </row>
    <row r="4636" spans="18:19" x14ac:dyDescent="0.3">
      <c r="R4636" t="s">
        <v>6560</v>
      </c>
      <c r="S4636">
        <v>804480</v>
      </c>
    </row>
    <row r="4637" spans="18:19" x14ac:dyDescent="0.3">
      <c r="R4637" t="s">
        <v>6561</v>
      </c>
      <c r="S4637">
        <v>1782570</v>
      </c>
    </row>
    <row r="4638" spans="18:19" x14ac:dyDescent="0.3">
      <c r="R4638" t="s">
        <v>6562</v>
      </c>
      <c r="S4638">
        <v>181860</v>
      </c>
    </row>
    <row r="4639" spans="18:19" x14ac:dyDescent="0.3">
      <c r="R4639" t="s">
        <v>6563</v>
      </c>
      <c r="S4639">
        <v>6870</v>
      </c>
    </row>
    <row r="4640" spans="18:19" x14ac:dyDescent="0.3">
      <c r="R4640" t="s">
        <v>6564</v>
      </c>
      <c r="S4640">
        <v>243460</v>
      </c>
    </row>
    <row r="4641" spans="18:19" x14ac:dyDescent="0.3">
      <c r="R4641" t="s">
        <v>6565</v>
      </c>
      <c r="S4641">
        <v>101460</v>
      </c>
    </row>
    <row r="4642" spans="18:19" x14ac:dyDescent="0.3">
      <c r="R4642" t="s">
        <v>6566</v>
      </c>
      <c r="S4642">
        <v>1227200</v>
      </c>
    </row>
    <row r="4643" spans="18:19" x14ac:dyDescent="0.3">
      <c r="R4643" t="s">
        <v>6567</v>
      </c>
      <c r="S4643">
        <v>101970</v>
      </c>
    </row>
    <row r="4644" spans="18:19" x14ac:dyDescent="0.3">
      <c r="R4644" t="s">
        <v>6568</v>
      </c>
      <c r="S4644">
        <v>330020</v>
      </c>
    </row>
    <row r="4645" spans="18:19" x14ac:dyDescent="0.3">
      <c r="R4645" t="s">
        <v>6569</v>
      </c>
      <c r="S4645">
        <v>931440</v>
      </c>
    </row>
    <row r="4646" spans="18:19" x14ac:dyDescent="0.3">
      <c r="R4646" t="s">
        <v>6570</v>
      </c>
      <c r="S4646">
        <v>19820</v>
      </c>
    </row>
    <row r="4647" spans="18:19" x14ac:dyDescent="0.3">
      <c r="R4647" t="s">
        <v>6571</v>
      </c>
      <c r="S4647">
        <v>48810</v>
      </c>
    </row>
    <row r="4648" spans="18:19" x14ac:dyDescent="0.3">
      <c r="R4648" t="s">
        <v>6572</v>
      </c>
      <c r="S4648">
        <v>98540</v>
      </c>
    </row>
    <row r="4649" spans="18:19" x14ac:dyDescent="0.3">
      <c r="R4649" t="s">
        <v>6573</v>
      </c>
      <c r="S4649">
        <v>105700</v>
      </c>
    </row>
    <row r="4650" spans="18:19" x14ac:dyDescent="0.3">
      <c r="R4650" t="s">
        <v>6574</v>
      </c>
      <c r="S4650">
        <v>101890</v>
      </c>
    </row>
    <row r="4651" spans="18:19" x14ac:dyDescent="0.3">
      <c r="R4651" t="s">
        <v>6575</v>
      </c>
      <c r="S4651">
        <v>0</v>
      </c>
    </row>
    <row r="4652" spans="18:19" x14ac:dyDescent="0.3">
      <c r="R4652" t="s">
        <v>6576</v>
      </c>
      <c r="S4652">
        <v>390840</v>
      </c>
    </row>
    <row r="4653" spans="18:19" x14ac:dyDescent="0.3">
      <c r="R4653" t="s">
        <v>6577</v>
      </c>
      <c r="S4653">
        <v>253040</v>
      </c>
    </row>
    <row r="4654" spans="18:19" x14ac:dyDescent="0.3">
      <c r="R4654" t="s">
        <v>6578</v>
      </c>
      <c r="S4654">
        <v>115990</v>
      </c>
    </row>
    <row r="4655" spans="18:19" x14ac:dyDescent="0.3">
      <c r="R4655" t="s">
        <v>6579</v>
      </c>
      <c r="S4655">
        <v>640140</v>
      </c>
    </row>
    <row r="4656" spans="18:19" x14ac:dyDescent="0.3">
      <c r="R4656" t="s">
        <v>6580</v>
      </c>
      <c r="S4656">
        <v>82060</v>
      </c>
    </row>
    <row r="4657" spans="18:19" x14ac:dyDescent="0.3">
      <c r="R4657" t="s">
        <v>6581</v>
      </c>
      <c r="S4657">
        <v>241280</v>
      </c>
    </row>
    <row r="4658" spans="18:19" x14ac:dyDescent="0.3">
      <c r="R4658" t="s">
        <v>6582</v>
      </c>
      <c r="S4658">
        <v>100900</v>
      </c>
    </row>
    <row r="4659" spans="18:19" x14ac:dyDescent="0.3">
      <c r="R4659" t="s">
        <v>6583</v>
      </c>
      <c r="S4659">
        <v>989120</v>
      </c>
    </row>
    <row r="4660" spans="18:19" x14ac:dyDescent="0.3">
      <c r="R4660" t="s">
        <v>6584</v>
      </c>
      <c r="S4660">
        <v>327010</v>
      </c>
    </row>
    <row r="4661" spans="18:19" x14ac:dyDescent="0.3">
      <c r="R4661" t="s">
        <v>6585</v>
      </c>
      <c r="S4661">
        <v>1060</v>
      </c>
    </row>
    <row r="4662" spans="18:19" x14ac:dyDescent="0.3">
      <c r="R4662" t="s">
        <v>6586</v>
      </c>
      <c r="S4662">
        <v>9080</v>
      </c>
    </row>
    <row r="4663" spans="18:19" x14ac:dyDescent="0.3">
      <c r="R4663" t="s">
        <v>6587</v>
      </c>
      <c r="S4663">
        <v>701630</v>
      </c>
    </row>
    <row r="4664" spans="18:19" x14ac:dyDescent="0.3">
      <c r="R4664" t="s">
        <v>6588</v>
      </c>
      <c r="S4664">
        <v>101430</v>
      </c>
    </row>
    <row r="4665" spans="18:19" x14ac:dyDescent="0.3">
      <c r="R4665" t="s">
        <v>6589</v>
      </c>
      <c r="S4665">
        <v>1425680</v>
      </c>
    </row>
    <row r="4666" spans="18:19" x14ac:dyDescent="0.3">
      <c r="R4666" t="s">
        <v>6590</v>
      </c>
      <c r="S4666">
        <v>828840</v>
      </c>
    </row>
    <row r="4667" spans="18:19" x14ac:dyDescent="0.3">
      <c r="R4667" t="s">
        <v>6591</v>
      </c>
      <c r="S4667">
        <v>157360</v>
      </c>
    </row>
    <row r="4668" spans="18:19" x14ac:dyDescent="0.3">
      <c r="R4668" t="s">
        <v>6592</v>
      </c>
      <c r="S4668">
        <v>192670</v>
      </c>
    </row>
    <row r="4669" spans="18:19" x14ac:dyDescent="0.3">
      <c r="R4669" t="s">
        <v>6593</v>
      </c>
      <c r="S4669">
        <v>348800</v>
      </c>
    </row>
    <row r="4670" spans="18:19" x14ac:dyDescent="0.3">
      <c r="R4670" t="s">
        <v>6594</v>
      </c>
      <c r="S4670">
        <v>195080</v>
      </c>
    </row>
    <row r="4671" spans="18:19" x14ac:dyDescent="0.3">
      <c r="R4671" t="s">
        <v>6595</v>
      </c>
      <c r="S4671">
        <v>201590</v>
      </c>
    </row>
    <row r="4672" spans="18:19" x14ac:dyDescent="0.3">
      <c r="R4672" t="s">
        <v>6596</v>
      </c>
      <c r="S4672">
        <v>47120</v>
      </c>
    </row>
    <row r="4673" spans="18:19" x14ac:dyDescent="0.3">
      <c r="R4673" t="s">
        <v>6597</v>
      </c>
      <c r="S4673">
        <v>321040</v>
      </c>
    </row>
    <row r="4674" spans="18:19" x14ac:dyDescent="0.3">
      <c r="R4674" t="s">
        <v>6598</v>
      </c>
      <c r="S4674">
        <v>3764660</v>
      </c>
    </row>
    <row r="4675" spans="18:19" x14ac:dyDescent="0.3">
      <c r="R4675" t="s">
        <v>6599</v>
      </c>
      <c r="S4675">
        <v>314600</v>
      </c>
    </row>
    <row r="4676" spans="18:19" x14ac:dyDescent="0.3">
      <c r="R4676" t="s">
        <v>6600</v>
      </c>
      <c r="S4676">
        <v>306000</v>
      </c>
    </row>
    <row r="4677" spans="18:19" x14ac:dyDescent="0.3">
      <c r="R4677" t="s">
        <v>6601</v>
      </c>
      <c r="S4677">
        <v>70</v>
      </c>
    </row>
    <row r="4678" spans="18:19" x14ac:dyDescent="0.3">
      <c r="R4678" t="s">
        <v>6602</v>
      </c>
      <c r="S4678">
        <v>132630</v>
      </c>
    </row>
    <row r="4679" spans="18:19" x14ac:dyDescent="0.3">
      <c r="R4679" t="s">
        <v>6603</v>
      </c>
      <c r="S4679">
        <v>109790</v>
      </c>
    </row>
    <row r="4680" spans="18:19" x14ac:dyDescent="0.3">
      <c r="R4680" t="s">
        <v>6604</v>
      </c>
      <c r="S4680">
        <v>121280</v>
      </c>
    </row>
    <row r="4681" spans="18:19" x14ac:dyDescent="0.3">
      <c r="R4681" t="s">
        <v>6605</v>
      </c>
      <c r="S4681">
        <v>249480</v>
      </c>
    </row>
    <row r="4682" spans="18:19" x14ac:dyDescent="0.3">
      <c r="R4682" t="s">
        <v>6606</v>
      </c>
      <c r="S4682">
        <v>36610</v>
      </c>
    </row>
    <row r="4683" spans="18:19" x14ac:dyDescent="0.3">
      <c r="R4683" t="s">
        <v>6607</v>
      </c>
      <c r="S4683">
        <v>102380</v>
      </c>
    </row>
    <row r="4684" spans="18:19" x14ac:dyDescent="0.3">
      <c r="R4684" t="s">
        <v>6608</v>
      </c>
      <c r="S4684">
        <v>244980</v>
      </c>
    </row>
    <row r="4685" spans="18:19" x14ac:dyDescent="0.3">
      <c r="R4685" t="s">
        <v>6609</v>
      </c>
      <c r="S4685">
        <v>8410</v>
      </c>
    </row>
    <row r="4686" spans="18:19" x14ac:dyDescent="0.3">
      <c r="R4686" t="s">
        <v>6610</v>
      </c>
      <c r="S4686">
        <v>252340</v>
      </c>
    </row>
    <row r="4687" spans="18:19" x14ac:dyDescent="0.3">
      <c r="R4687" t="s">
        <v>6611</v>
      </c>
      <c r="S4687">
        <v>102640</v>
      </c>
    </row>
    <row r="4688" spans="18:19" x14ac:dyDescent="0.3">
      <c r="R4688" t="s">
        <v>6612</v>
      </c>
      <c r="S4688">
        <v>51220</v>
      </c>
    </row>
    <row r="4689" spans="18:19" x14ac:dyDescent="0.3">
      <c r="R4689" t="s">
        <v>6613</v>
      </c>
      <c r="S4689">
        <v>287790</v>
      </c>
    </row>
    <row r="4690" spans="18:19" x14ac:dyDescent="0.3">
      <c r="R4690" t="s">
        <v>6614</v>
      </c>
      <c r="S4690">
        <v>196900</v>
      </c>
    </row>
    <row r="4691" spans="18:19" x14ac:dyDescent="0.3">
      <c r="R4691" t="s">
        <v>6615</v>
      </c>
      <c r="S4691">
        <v>117720</v>
      </c>
    </row>
    <row r="4692" spans="18:19" x14ac:dyDescent="0.3">
      <c r="R4692" t="s">
        <v>6616</v>
      </c>
      <c r="S4692">
        <v>144880</v>
      </c>
    </row>
    <row r="4693" spans="18:19" x14ac:dyDescent="0.3">
      <c r="R4693" t="s">
        <v>6617</v>
      </c>
      <c r="S4693">
        <v>101920</v>
      </c>
    </row>
    <row r="4694" spans="18:19" x14ac:dyDescent="0.3">
      <c r="R4694" t="s">
        <v>6618</v>
      </c>
      <c r="S4694">
        <v>5555780</v>
      </c>
    </row>
    <row r="4695" spans="18:19" x14ac:dyDescent="0.3">
      <c r="R4695" t="s">
        <v>6619</v>
      </c>
      <c r="S4695">
        <v>10190</v>
      </c>
    </row>
    <row r="4696" spans="18:19" x14ac:dyDescent="0.3">
      <c r="R4696" t="s">
        <v>6620</v>
      </c>
      <c r="S4696">
        <v>419400</v>
      </c>
    </row>
    <row r="4697" spans="18:19" x14ac:dyDescent="0.3">
      <c r="R4697" t="s">
        <v>6621</v>
      </c>
      <c r="S4697">
        <v>97030</v>
      </c>
    </row>
    <row r="4698" spans="18:19" x14ac:dyDescent="0.3">
      <c r="R4698" t="s">
        <v>6622</v>
      </c>
      <c r="S4698">
        <v>173040</v>
      </c>
    </row>
    <row r="4699" spans="18:19" x14ac:dyDescent="0.3">
      <c r="R4699" t="s">
        <v>6623</v>
      </c>
      <c r="S4699">
        <v>11630</v>
      </c>
    </row>
    <row r="4700" spans="18:19" x14ac:dyDescent="0.3">
      <c r="R4700" t="s">
        <v>6624</v>
      </c>
      <c r="S4700">
        <v>276230</v>
      </c>
    </row>
    <row r="4701" spans="18:19" x14ac:dyDescent="0.3">
      <c r="R4701" t="s">
        <v>6625</v>
      </c>
      <c r="S4701">
        <v>60740</v>
      </c>
    </row>
    <row r="4702" spans="18:19" x14ac:dyDescent="0.3">
      <c r="R4702" t="s">
        <v>6626</v>
      </c>
      <c r="S4702">
        <v>25580</v>
      </c>
    </row>
    <row r="4703" spans="18:19" x14ac:dyDescent="0.3">
      <c r="R4703" t="s">
        <v>6627</v>
      </c>
      <c r="S4703">
        <v>49350</v>
      </c>
    </row>
    <row r="4704" spans="18:19" x14ac:dyDescent="0.3">
      <c r="R4704" t="s">
        <v>6628</v>
      </c>
      <c r="S4704">
        <v>23660</v>
      </c>
    </row>
    <row r="4705" spans="18:19" x14ac:dyDescent="0.3">
      <c r="R4705" t="s">
        <v>6629</v>
      </c>
      <c r="S4705">
        <v>18450</v>
      </c>
    </row>
    <row r="4706" spans="18:19" x14ac:dyDescent="0.3">
      <c r="R4706" t="s">
        <v>6630</v>
      </c>
      <c r="S4706">
        <v>187110</v>
      </c>
    </row>
    <row r="4707" spans="18:19" x14ac:dyDescent="0.3">
      <c r="R4707" t="s">
        <v>6631</v>
      </c>
      <c r="S4707">
        <v>4570</v>
      </c>
    </row>
    <row r="4708" spans="18:19" x14ac:dyDescent="0.3">
      <c r="R4708" t="s">
        <v>6632</v>
      </c>
      <c r="S4708">
        <v>5640</v>
      </c>
    </row>
    <row r="4709" spans="18:19" x14ac:dyDescent="0.3">
      <c r="R4709" t="s">
        <v>6633</v>
      </c>
      <c r="S4709">
        <v>6350</v>
      </c>
    </row>
    <row r="4710" spans="18:19" x14ac:dyDescent="0.3">
      <c r="R4710" t="s">
        <v>6634</v>
      </c>
      <c r="S4710">
        <v>77560</v>
      </c>
    </row>
    <row r="4711" spans="18:19" x14ac:dyDescent="0.3">
      <c r="R4711" t="s">
        <v>6635</v>
      </c>
      <c r="S4711">
        <v>250780</v>
      </c>
    </row>
    <row r="4712" spans="18:19" x14ac:dyDescent="0.3">
      <c r="R4712" t="s">
        <v>6636</v>
      </c>
      <c r="S4712">
        <v>552410</v>
      </c>
    </row>
    <row r="4713" spans="18:19" x14ac:dyDescent="0.3">
      <c r="R4713" t="s">
        <v>6637</v>
      </c>
      <c r="S4713">
        <v>27360</v>
      </c>
    </row>
    <row r="4714" spans="18:19" x14ac:dyDescent="0.3">
      <c r="R4714" t="s">
        <v>6638</v>
      </c>
      <c r="S4714">
        <v>45440</v>
      </c>
    </row>
    <row r="4715" spans="18:19" x14ac:dyDescent="0.3">
      <c r="R4715" t="s">
        <v>6639</v>
      </c>
      <c r="S4715">
        <v>64290</v>
      </c>
    </row>
    <row r="4716" spans="18:19" x14ac:dyDescent="0.3">
      <c r="R4716" t="s">
        <v>6640</v>
      </c>
      <c r="S4716">
        <v>240</v>
      </c>
    </row>
    <row r="4717" spans="18:19" x14ac:dyDescent="0.3">
      <c r="R4717" t="s">
        <v>6641</v>
      </c>
      <c r="S4717">
        <v>53100</v>
      </c>
    </row>
    <row r="4718" spans="18:19" x14ac:dyDescent="0.3">
      <c r="R4718" t="s">
        <v>6642</v>
      </c>
      <c r="S4718">
        <v>2483610</v>
      </c>
    </row>
    <row r="4719" spans="18:19" x14ac:dyDescent="0.3">
      <c r="R4719" t="s">
        <v>6643</v>
      </c>
      <c r="S4719">
        <v>12870</v>
      </c>
    </row>
    <row r="4720" spans="18:19" x14ac:dyDescent="0.3">
      <c r="R4720" t="s">
        <v>6644</v>
      </c>
      <c r="S4720">
        <v>266640</v>
      </c>
    </row>
    <row r="4721" spans="18:19" x14ac:dyDescent="0.3">
      <c r="R4721" t="s">
        <v>6645</v>
      </c>
      <c r="S4721">
        <v>84830</v>
      </c>
    </row>
    <row r="4722" spans="18:19" x14ac:dyDescent="0.3">
      <c r="R4722" t="s">
        <v>6646</v>
      </c>
      <c r="S4722">
        <v>157740</v>
      </c>
    </row>
    <row r="4723" spans="18:19" x14ac:dyDescent="0.3">
      <c r="R4723" t="s">
        <v>6647</v>
      </c>
      <c r="S4723">
        <v>4634920</v>
      </c>
    </row>
    <row r="4724" spans="18:19" x14ac:dyDescent="0.3">
      <c r="R4724" t="s">
        <v>6648</v>
      </c>
      <c r="S4724">
        <v>271610</v>
      </c>
    </row>
    <row r="4725" spans="18:19" x14ac:dyDescent="0.3">
      <c r="R4725" t="s">
        <v>6649</v>
      </c>
      <c r="S4725">
        <v>23900</v>
      </c>
    </row>
    <row r="4726" spans="18:19" x14ac:dyDescent="0.3">
      <c r="R4726" t="s">
        <v>6650</v>
      </c>
      <c r="S4726">
        <v>11110</v>
      </c>
    </row>
    <row r="4727" spans="18:19" x14ac:dyDescent="0.3">
      <c r="R4727" t="s">
        <v>6651</v>
      </c>
      <c r="S4727">
        <v>48630</v>
      </c>
    </row>
    <row r="4728" spans="18:19" x14ac:dyDescent="0.3">
      <c r="R4728" t="s">
        <v>6652</v>
      </c>
      <c r="S4728">
        <v>580690</v>
      </c>
    </row>
    <row r="4729" spans="18:19" x14ac:dyDescent="0.3">
      <c r="R4729" t="s">
        <v>6653</v>
      </c>
      <c r="S4729">
        <v>1496340</v>
      </c>
    </row>
    <row r="4730" spans="18:19" x14ac:dyDescent="0.3">
      <c r="R4730" t="s">
        <v>6654</v>
      </c>
      <c r="S4730">
        <v>1383280</v>
      </c>
    </row>
    <row r="4731" spans="18:19" x14ac:dyDescent="0.3">
      <c r="R4731" t="s">
        <v>6655</v>
      </c>
      <c r="S4731">
        <v>807520</v>
      </c>
    </row>
    <row r="4732" spans="18:19" x14ac:dyDescent="0.3">
      <c r="R4732" t="s">
        <v>6656</v>
      </c>
      <c r="S4732">
        <v>41470</v>
      </c>
    </row>
    <row r="4733" spans="18:19" x14ac:dyDescent="0.3">
      <c r="R4733" t="s">
        <v>6657</v>
      </c>
      <c r="S4733">
        <v>59380</v>
      </c>
    </row>
    <row r="4734" spans="18:19" x14ac:dyDescent="0.3">
      <c r="R4734" t="s">
        <v>6658</v>
      </c>
      <c r="S4734">
        <v>189430</v>
      </c>
    </row>
    <row r="4735" spans="18:19" x14ac:dyDescent="0.3">
      <c r="R4735" t="s">
        <v>6659</v>
      </c>
      <c r="S4735">
        <v>187080</v>
      </c>
    </row>
    <row r="4736" spans="18:19" x14ac:dyDescent="0.3">
      <c r="R4736" t="s">
        <v>6660</v>
      </c>
      <c r="S4736">
        <v>370</v>
      </c>
    </row>
    <row r="4737" spans="18:19" x14ac:dyDescent="0.3">
      <c r="R4737" t="s">
        <v>6661</v>
      </c>
      <c r="S4737">
        <v>3130</v>
      </c>
    </row>
    <row r="4738" spans="18:19" x14ac:dyDescent="0.3">
      <c r="R4738" t="s">
        <v>6662</v>
      </c>
      <c r="S4738">
        <v>106480</v>
      </c>
    </row>
    <row r="4739" spans="18:19" x14ac:dyDescent="0.3">
      <c r="R4739" t="s">
        <v>6663</v>
      </c>
      <c r="S4739">
        <v>71990</v>
      </c>
    </row>
    <row r="4740" spans="18:19" x14ac:dyDescent="0.3">
      <c r="R4740" t="s">
        <v>6664</v>
      </c>
      <c r="S4740">
        <v>55850</v>
      </c>
    </row>
    <row r="4741" spans="18:19" x14ac:dyDescent="0.3">
      <c r="R4741" t="s">
        <v>6665</v>
      </c>
      <c r="S4741">
        <v>36360</v>
      </c>
    </row>
    <row r="4742" spans="18:19" x14ac:dyDescent="0.3">
      <c r="R4742" t="s">
        <v>6666</v>
      </c>
      <c r="S4742">
        <v>21100</v>
      </c>
    </row>
    <row r="4743" spans="18:19" x14ac:dyDescent="0.3">
      <c r="R4743" t="s">
        <v>6667</v>
      </c>
      <c r="S4743">
        <v>159870</v>
      </c>
    </row>
    <row r="4744" spans="18:19" x14ac:dyDescent="0.3">
      <c r="R4744" t="s">
        <v>6668</v>
      </c>
      <c r="S4744">
        <v>99770</v>
      </c>
    </row>
    <row r="4745" spans="18:19" x14ac:dyDescent="0.3">
      <c r="R4745" t="s">
        <v>6669</v>
      </c>
      <c r="S4745">
        <v>67010</v>
      </c>
    </row>
    <row r="4746" spans="18:19" x14ac:dyDescent="0.3">
      <c r="R4746" t="s">
        <v>6670</v>
      </c>
      <c r="S4746">
        <v>987200</v>
      </c>
    </row>
    <row r="4747" spans="18:19" x14ac:dyDescent="0.3">
      <c r="R4747" t="s">
        <v>6671</v>
      </c>
      <c r="S4747">
        <v>99050</v>
      </c>
    </row>
    <row r="4748" spans="18:19" x14ac:dyDescent="0.3">
      <c r="R4748" t="s">
        <v>6672</v>
      </c>
      <c r="S4748">
        <v>177490</v>
      </c>
    </row>
    <row r="4749" spans="18:19" x14ac:dyDescent="0.3">
      <c r="R4749" t="s">
        <v>6673</v>
      </c>
      <c r="S4749">
        <v>196370</v>
      </c>
    </row>
    <row r="4750" spans="18:19" x14ac:dyDescent="0.3">
      <c r="R4750" t="s">
        <v>6674</v>
      </c>
      <c r="S4750">
        <v>61560</v>
      </c>
    </row>
    <row r="4751" spans="18:19" x14ac:dyDescent="0.3">
      <c r="R4751" t="s">
        <v>6675</v>
      </c>
      <c r="S4751">
        <v>67280</v>
      </c>
    </row>
    <row r="4752" spans="18:19" x14ac:dyDescent="0.3">
      <c r="R4752" t="s">
        <v>6676</v>
      </c>
      <c r="S4752">
        <v>15160</v>
      </c>
    </row>
    <row r="4753" spans="18:19" x14ac:dyDescent="0.3">
      <c r="R4753" t="s">
        <v>6677</v>
      </c>
      <c r="S4753">
        <v>654110</v>
      </c>
    </row>
    <row r="4754" spans="18:19" x14ac:dyDescent="0.3">
      <c r="R4754" t="s">
        <v>6678</v>
      </c>
      <c r="S4754">
        <v>118240</v>
      </c>
    </row>
    <row r="4755" spans="18:19" x14ac:dyDescent="0.3">
      <c r="R4755" t="s">
        <v>6679</v>
      </c>
      <c r="S4755">
        <v>419740</v>
      </c>
    </row>
    <row r="4756" spans="18:19" x14ac:dyDescent="0.3">
      <c r="R4756" t="s">
        <v>6680</v>
      </c>
      <c r="S4756">
        <v>6810</v>
      </c>
    </row>
    <row r="4757" spans="18:19" x14ac:dyDescent="0.3">
      <c r="R4757" t="s">
        <v>6681</v>
      </c>
      <c r="S4757">
        <v>52620</v>
      </c>
    </row>
    <row r="4758" spans="18:19" x14ac:dyDescent="0.3">
      <c r="R4758" t="s">
        <v>6682</v>
      </c>
      <c r="S4758">
        <v>5110</v>
      </c>
    </row>
    <row r="4759" spans="18:19" x14ac:dyDescent="0.3">
      <c r="R4759" t="s">
        <v>6683</v>
      </c>
      <c r="S4759">
        <v>75180</v>
      </c>
    </row>
    <row r="4760" spans="18:19" x14ac:dyDescent="0.3">
      <c r="R4760" t="s">
        <v>6684</v>
      </c>
      <c r="S4760">
        <v>389380</v>
      </c>
    </row>
    <row r="4761" spans="18:19" x14ac:dyDescent="0.3">
      <c r="R4761" t="s">
        <v>6685</v>
      </c>
      <c r="S4761">
        <v>121880</v>
      </c>
    </row>
    <row r="4762" spans="18:19" x14ac:dyDescent="0.3">
      <c r="R4762" t="s">
        <v>6686</v>
      </c>
      <c r="S4762">
        <v>9150</v>
      </c>
    </row>
    <row r="4763" spans="18:19" x14ac:dyDescent="0.3">
      <c r="R4763" t="s">
        <v>6687</v>
      </c>
      <c r="S4763">
        <v>52260</v>
      </c>
    </row>
    <row r="4764" spans="18:19" x14ac:dyDescent="0.3">
      <c r="R4764" t="s">
        <v>6688</v>
      </c>
      <c r="S4764">
        <v>18960</v>
      </c>
    </row>
    <row r="4765" spans="18:19" x14ac:dyDescent="0.3">
      <c r="R4765" t="s">
        <v>6689</v>
      </c>
      <c r="S4765">
        <v>81550</v>
      </c>
    </row>
    <row r="4766" spans="18:19" x14ac:dyDescent="0.3">
      <c r="R4766" t="s">
        <v>6690</v>
      </c>
      <c r="S4766">
        <v>738500</v>
      </c>
    </row>
    <row r="4767" spans="18:19" x14ac:dyDescent="0.3">
      <c r="R4767" t="s">
        <v>6691</v>
      </c>
      <c r="S4767">
        <v>3180</v>
      </c>
    </row>
    <row r="4768" spans="18:19" x14ac:dyDescent="0.3">
      <c r="R4768" t="s">
        <v>6692</v>
      </c>
      <c r="S4768">
        <v>4860</v>
      </c>
    </row>
    <row r="4769" spans="18:19" x14ac:dyDescent="0.3">
      <c r="R4769" t="s">
        <v>6693</v>
      </c>
      <c r="S4769">
        <v>37500</v>
      </c>
    </row>
    <row r="4770" spans="18:19" x14ac:dyDescent="0.3">
      <c r="R4770" t="s">
        <v>6694</v>
      </c>
      <c r="S4770">
        <v>1379610</v>
      </c>
    </row>
    <row r="4771" spans="18:19" x14ac:dyDescent="0.3">
      <c r="R4771" t="s">
        <v>6695</v>
      </c>
      <c r="S4771">
        <v>602240</v>
      </c>
    </row>
    <row r="4772" spans="18:19" x14ac:dyDescent="0.3">
      <c r="R4772" t="s">
        <v>6696</v>
      </c>
      <c r="S4772">
        <v>44180</v>
      </c>
    </row>
    <row r="4773" spans="18:19" x14ac:dyDescent="0.3">
      <c r="R4773" t="s">
        <v>6697</v>
      </c>
      <c r="S4773">
        <v>170470</v>
      </c>
    </row>
    <row r="4774" spans="18:19" x14ac:dyDescent="0.3">
      <c r="R4774" t="s">
        <v>6698</v>
      </c>
      <c r="S4774">
        <v>8500</v>
      </c>
    </row>
    <row r="4775" spans="18:19" x14ac:dyDescent="0.3">
      <c r="R4775" t="s">
        <v>6699</v>
      </c>
      <c r="S4775">
        <v>61690</v>
      </c>
    </row>
    <row r="4776" spans="18:19" x14ac:dyDescent="0.3">
      <c r="R4776" t="s">
        <v>6700</v>
      </c>
      <c r="S4776">
        <v>195850</v>
      </c>
    </row>
    <row r="4777" spans="18:19" x14ac:dyDescent="0.3">
      <c r="R4777" t="s">
        <v>6701</v>
      </c>
      <c r="S4777">
        <v>438700</v>
      </c>
    </row>
    <row r="4778" spans="18:19" x14ac:dyDescent="0.3">
      <c r="R4778" t="s">
        <v>6702</v>
      </c>
      <c r="S4778">
        <v>34110</v>
      </c>
    </row>
    <row r="4779" spans="18:19" x14ac:dyDescent="0.3">
      <c r="R4779" t="s">
        <v>6703</v>
      </c>
      <c r="S4779">
        <v>5110</v>
      </c>
    </row>
    <row r="4780" spans="18:19" x14ac:dyDescent="0.3">
      <c r="R4780" t="s">
        <v>6704</v>
      </c>
      <c r="S4780">
        <v>9483840</v>
      </c>
    </row>
    <row r="4781" spans="18:19" x14ac:dyDescent="0.3">
      <c r="R4781" t="s">
        <v>6705</v>
      </c>
      <c r="S4781">
        <v>31990</v>
      </c>
    </row>
    <row r="4782" spans="18:19" x14ac:dyDescent="0.3">
      <c r="R4782" t="s">
        <v>6706</v>
      </c>
      <c r="S4782">
        <v>411260</v>
      </c>
    </row>
    <row r="4783" spans="18:19" x14ac:dyDescent="0.3">
      <c r="R4783" t="s">
        <v>6707</v>
      </c>
      <c r="S4783">
        <v>73100</v>
      </c>
    </row>
    <row r="4784" spans="18:19" x14ac:dyDescent="0.3">
      <c r="R4784" t="s">
        <v>6708</v>
      </c>
      <c r="S4784">
        <v>11800</v>
      </c>
    </row>
    <row r="4785" spans="18:19" x14ac:dyDescent="0.3">
      <c r="R4785" t="s">
        <v>6709</v>
      </c>
      <c r="S4785">
        <v>425600</v>
      </c>
    </row>
    <row r="4786" spans="18:19" x14ac:dyDescent="0.3">
      <c r="R4786" t="s">
        <v>6710</v>
      </c>
      <c r="S4786">
        <v>393380</v>
      </c>
    </row>
    <row r="4787" spans="18:19" x14ac:dyDescent="0.3">
      <c r="R4787" t="s">
        <v>6711</v>
      </c>
      <c r="S4787">
        <v>5180</v>
      </c>
    </row>
    <row r="4788" spans="18:19" x14ac:dyDescent="0.3">
      <c r="R4788" t="s">
        <v>6712</v>
      </c>
      <c r="S4788">
        <v>73280</v>
      </c>
    </row>
    <row r="4789" spans="18:19" x14ac:dyDescent="0.3">
      <c r="R4789" t="s">
        <v>6713</v>
      </c>
      <c r="S4789">
        <v>452190</v>
      </c>
    </row>
    <row r="4790" spans="18:19" x14ac:dyDescent="0.3">
      <c r="R4790" t="s">
        <v>6714</v>
      </c>
      <c r="S4790">
        <v>2640</v>
      </c>
    </row>
    <row r="4791" spans="18:19" x14ac:dyDescent="0.3">
      <c r="R4791" t="s">
        <v>6715</v>
      </c>
      <c r="S4791">
        <v>1780</v>
      </c>
    </row>
    <row r="4792" spans="18:19" x14ac:dyDescent="0.3">
      <c r="R4792" t="s">
        <v>6716</v>
      </c>
      <c r="S4792">
        <v>38900</v>
      </c>
    </row>
    <row r="4793" spans="18:19" x14ac:dyDescent="0.3">
      <c r="R4793" t="s">
        <v>6717</v>
      </c>
      <c r="S4793">
        <v>14500</v>
      </c>
    </row>
    <row r="4794" spans="18:19" x14ac:dyDescent="0.3">
      <c r="R4794" t="s">
        <v>6718</v>
      </c>
      <c r="S4794">
        <v>2157740</v>
      </c>
    </row>
    <row r="4795" spans="18:19" x14ac:dyDescent="0.3">
      <c r="R4795" t="s">
        <v>6719</v>
      </c>
      <c r="S4795">
        <v>118570</v>
      </c>
    </row>
    <row r="4796" spans="18:19" x14ac:dyDescent="0.3">
      <c r="R4796" t="s">
        <v>6720</v>
      </c>
      <c r="S4796">
        <v>193510</v>
      </c>
    </row>
    <row r="4797" spans="18:19" x14ac:dyDescent="0.3">
      <c r="R4797" t="s">
        <v>6721</v>
      </c>
      <c r="S4797">
        <v>191810</v>
      </c>
    </row>
    <row r="4798" spans="18:19" x14ac:dyDescent="0.3">
      <c r="R4798" t="s">
        <v>6722</v>
      </c>
      <c r="S4798">
        <v>52460</v>
      </c>
    </row>
    <row r="4799" spans="18:19" x14ac:dyDescent="0.3">
      <c r="R4799" t="s">
        <v>6723</v>
      </c>
      <c r="S4799">
        <v>1460</v>
      </c>
    </row>
    <row r="4800" spans="18:19" x14ac:dyDescent="0.3">
      <c r="R4800" t="s">
        <v>6724</v>
      </c>
      <c r="S4800">
        <v>665560</v>
      </c>
    </row>
    <row r="4801" spans="18:19" x14ac:dyDescent="0.3">
      <c r="R4801" t="s">
        <v>6725</v>
      </c>
      <c r="S4801">
        <v>2570</v>
      </c>
    </row>
    <row r="4802" spans="18:19" x14ac:dyDescent="0.3">
      <c r="R4802" t="s">
        <v>6726</v>
      </c>
      <c r="S4802">
        <v>95510</v>
      </c>
    </row>
    <row r="4803" spans="18:19" x14ac:dyDescent="0.3">
      <c r="R4803" t="s">
        <v>6727</v>
      </c>
      <c r="S4803">
        <v>2610</v>
      </c>
    </row>
    <row r="4804" spans="18:19" x14ac:dyDescent="0.3">
      <c r="R4804" t="s">
        <v>6728</v>
      </c>
      <c r="S4804">
        <v>13660</v>
      </c>
    </row>
    <row r="4805" spans="18:19" x14ac:dyDescent="0.3">
      <c r="R4805" t="s">
        <v>6729</v>
      </c>
      <c r="S4805">
        <v>168130</v>
      </c>
    </row>
    <row r="4806" spans="18:19" x14ac:dyDescent="0.3">
      <c r="R4806" t="s">
        <v>6730</v>
      </c>
      <c r="S4806">
        <v>97540</v>
      </c>
    </row>
    <row r="4807" spans="18:19" x14ac:dyDescent="0.3">
      <c r="R4807" t="s">
        <v>6731</v>
      </c>
      <c r="S4807">
        <v>16520</v>
      </c>
    </row>
    <row r="4808" spans="18:19" x14ac:dyDescent="0.3">
      <c r="R4808" t="s">
        <v>6732</v>
      </c>
      <c r="S4808">
        <v>310050</v>
      </c>
    </row>
    <row r="4809" spans="18:19" x14ac:dyDescent="0.3">
      <c r="R4809" t="s">
        <v>6733</v>
      </c>
      <c r="S4809">
        <v>174070</v>
      </c>
    </row>
    <row r="4810" spans="18:19" x14ac:dyDescent="0.3">
      <c r="R4810" t="s">
        <v>6734</v>
      </c>
      <c r="S4810">
        <v>17860</v>
      </c>
    </row>
    <row r="4811" spans="18:19" x14ac:dyDescent="0.3">
      <c r="R4811" t="s">
        <v>6735</v>
      </c>
      <c r="S4811">
        <v>3420</v>
      </c>
    </row>
    <row r="4812" spans="18:19" x14ac:dyDescent="0.3">
      <c r="R4812" t="s">
        <v>6736</v>
      </c>
      <c r="S4812">
        <v>9270</v>
      </c>
    </row>
    <row r="4813" spans="18:19" x14ac:dyDescent="0.3">
      <c r="R4813" t="s">
        <v>6737</v>
      </c>
      <c r="S4813">
        <v>41620</v>
      </c>
    </row>
    <row r="4814" spans="18:19" x14ac:dyDescent="0.3">
      <c r="R4814" t="s">
        <v>6738</v>
      </c>
      <c r="S4814">
        <v>1150</v>
      </c>
    </row>
    <row r="4815" spans="18:19" x14ac:dyDescent="0.3">
      <c r="R4815" t="s">
        <v>6739</v>
      </c>
      <c r="S4815">
        <v>2820</v>
      </c>
    </row>
    <row r="4816" spans="18:19" x14ac:dyDescent="0.3">
      <c r="R4816" t="s">
        <v>6740</v>
      </c>
      <c r="S4816">
        <v>133390</v>
      </c>
    </row>
    <row r="4817" spans="18:19" x14ac:dyDescent="0.3">
      <c r="R4817" t="s">
        <v>6741</v>
      </c>
      <c r="S4817">
        <v>930</v>
      </c>
    </row>
    <row r="4818" spans="18:19" x14ac:dyDescent="0.3">
      <c r="R4818" t="s">
        <v>6742</v>
      </c>
      <c r="S4818">
        <v>95760</v>
      </c>
    </row>
    <row r="4819" spans="18:19" x14ac:dyDescent="0.3">
      <c r="R4819" t="s">
        <v>6743</v>
      </c>
      <c r="S4819">
        <v>134030</v>
      </c>
    </row>
    <row r="4820" spans="18:19" x14ac:dyDescent="0.3">
      <c r="R4820" t="s">
        <v>6744</v>
      </c>
      <c r="S4820">
        <v>21880</v>
      </c>
    </row>
    <row r="4821" spans="18:19" x14ac:dyDescent="0.3">
      <c r="R4821" t="s">
        <v>6745</v>
      </c>
      <c r="S4821">
        <v>1800</v>
      </c>
    </row>
    <row r="4822" spans="18:19" x14ac:dyDescent="0.3">
      <c r="R4822" t="s">
        <v>6746</v>
      </c>
      <c r="S4822">
        <v>1000280</v>
      </c>
    </row>
    <row r="4823" spans="18:19" x14ac:dyDescent="0.3">
      <c r="R4823" t="s">
        <v>6747</v>
      </c>
      <c r="S4823">
        <v>112750</v>
      </c>
    </row>
    <row r="4824" spans="18:19" x14ac:dyDescent="0.3">
      <c r="R4824" t="s">
        <v>6748</v>
      </c>
      <c r="S4824">
        <v>39210</v>
      </c>
    </row>
    <row r="4825" spans="18:19" x14ac:dyDescent="0.3">
      <c r="R4825" t="s">
        <v>6749</v>
      </c>
      <c r="S4825">
        <v>53780</v>
      </c>
    </row>
    <row r="4826" spans="18:19" x14ac:dyDescent="0.3">
      <c r="R4826" t="s">
        <v>6750</v>
      </c>
      <c r="S4826">
        <v>76560</v>
      </c>
    </row>
    <row r="4827" spans="18:19" x14ac:dyDescent="0.3">
      <c r="R4827" t="s">
        <v>6751</v>
      </c>
      <c r="S4827">
        <v>214520</v>
      </c>
    </row>
    <row r="4828" spans="18:19" x14ac:dyDescent="0.3">
      <c r="R4828" t="s">
        <v>6752</v>
      </c>
      <c r="S4828">
        <v>4350</v>
      </c>
    </row>
    <row r="4829" spans="18:19" x14ac:dyDescent="0.3">
      <c r="R4829" t="s">
        <v>6753</v>
      </c>
      <c r="S4829">
        <v>53810</v>
      </c>
    </row>
    <row r="4830" spans="18:19" x14ac:dyDescent="0.3">
      <c r="R4830" t="s">
        <v>6754</v>
      </c>
      <c r="S4830">
        <v>11240</v>
      </c>
    </row>
    <row r="4831" spans="18:19" x14ac:dyDescent="0.3">
      <c r="R4831" t="s">
        <v>6755</v>
      </c>
      <c r="S4831">
        <v>12640</v>
      </c>
    </row>
    <row r="4832" spans="18:19" x14ac:dyDescent="0.3">
      <c r="R4832" t="s">
        <v>6756</v>
      </c>
      <c r="S4832">
        <v>41250</v>
      </c>
    </row>
    <row r="4833" spans="18:19" x14ac:dyDescent="0.3">
      <c r="R4833" t="s">
        <v>6757</v>
      </c>
      <c r="S4833">
        <v>12810</v>
      </c>
    </row>
    <row r="4834" spans="18:19" x14ac:dyDescent="0.3">
      <c r="R4834" t="s">
        <v>6758</v>
      </c>
      <c r="S4834">
        <v>86240</v>
      </c>
    </row>
    <row r="4835" spans="18:19" x14ac:dyDescent="0.3">
      <c r="R4835" t="s">
        <v>6759</v>
      </c>
      <c r="S4835">
        <v>52220</v>
      </c>
    </row>
    <row r="4836" spans="18:19" x14ac:dyDescent="0.3">
      <c r="R4836" t="s">
        <v>6760</v>
      </c>
      <c r="S4836">
        <v>30670</v>
      </c>
    </row>
    <row r="4837" spans="18:19" x14ac:dyDescent="0.3">
      <c r="R4837" t="s">
        <v>6761</v>
      </c>
      <c r="S4837">
        <v>113430</v>
      </c>
    </row>
    <row r="4838" spans="18:19" x14ac:dyDescent="0.3">
      <c r="R4838" t="s">
        <v>6762</v>
      </c>
      <c r="S4838">
        <v>24290</v>
      </c>
    </row>
    <row r="4839" spans="18:19" x14ac:dyDescent="0.3">
      <c r="R4839" t="s">
        <v>6763</v>
      </c>
      <c r="S4839">
        <v>1330</v>
      </c>
    </row>
    <row r="4840" spans="18:19" x14ac:dyDescent="0.3">
      <c r="R4840" t="s">
        <v>6764</v>
      </c>
      <c r="S4840">
        <v>144160</v>
      </c>
    </row>
    <row r="4841" spans="18:19" x14ac:dyDescent="0.3">
      <c r="R4841" t="s">
        <v>6765</v>
      </c>
      <c r="S4841">
        <v>462170</v>
      </c>
    </row>
    <row r="4842" spans="18:19" x14ac:dyDescent="0.3">
      <c r="R4842" t="s">
        <v>6766</v>
      </c>
      <c r="S4842">
        <v>2940</v>
      </c>
    </row>
    <row r="4843" spans="18:19" x14ac:dyDescent="0.3">
      <c r="R4843" t="s">
        <v>6767</v>
      </c>
      <c r="S4843">
        <v>997020</v>
      </c>
    </row>
    <row r="4844" spans="18:19" x14ac:dyDescent="0.3">
      <c r="R4844" t="s">
        <v>6768</v>
      </c>
      <c r="S4844">
        <v>110</v>
      </c>
    </row>
    <row r="4845" spans="18:19" x14ac:dyDescent="0.3">
      <c r="R4845" t="s">
        <v>6769</v>
      </c>
      <c r="S4845">
        <v>210</v>
      </c>
    </row>
    <row r="4846" spans="18:19" x14ac:dyDescent="0.3">
      <c r="R4846" t="s">
        <v>6770</v>
      </c>
      <c r="S4846">
        <v>329940</v>
      </c>
    </row>
    <row r="4847" spans="18:19" x14ac:dyDescent="0.3">
      <c r="R4847" t="s">
        <v>6771</v>
      </c>
      <c r="S4847">
        <v>6850</v>
      </c>
    </row>
    <row r="4848" spans="18:19" x14ac:dyDescent="0.3">
      <c r="R4848" t="s">
        <v>6772</v>
      </c>
      <c r="S4848">
        <v>48030</v>
      </c>
    </row>
    <row r="4849" spans="18:19" x14ac:dyDescent="0.3">
      <c r="R4849" t="s">
        <v>6773</v>
      </c>
      <c r="S4849">
        <v>19650</v>
      </c>
    </row>
    <row r="4850" spans="18:19" x14ac:dyDescent="0.3">
      <c r="R4850" t="s">
        <v>6774</v>
      </c>
      <c r="S4850">
        <v>918620</v>
      </c>
    </row>
    <row r="4851" spans="18:19" x14ac:dyDescent="0.3">
      <c r="R4851" t="s">
        <v>6775</v>
      </c>
      <c r="S4851">
        <v>42830</v>
      </c>
    </row>
    <row r="4852" spans="18:19" x14ac:dyDescent="0.3">
      <c r="R4852" t="s">
        <v>6776</v>
      </c>
      <c r="S4852">
        <v>29810</v>
      </c>
    </row>
    <row r="4853" spans="18:19" x14ac:dyDescent="0.3">
      <c r="R4853" t="s">
        <v>6777</v>
      </c>
      <c r="S4853">
        <v>11220</v>
      </c>
    </row>
    <row r="4854" spans="18:19" x14ac:dyDescent="0.3">
      <c r="R4854" t="s">
        <v>6778</v>
      </c>
      <c r="S4854">
        <v>162530</v>
      </c>
    </row>
    <row r="4855" spans="18:19" x14ac:dyDescent="0.3">
      <c r="R4855" t="s">
        <v>6779</v>
      </c>
      <c r="S4855">
        <v>92330</v>
      </c>
    </row>
    <row r="4856" spans="18:19" x14ac:dyDescent="0.3">
      <c r="R4856" t="s">
        <v>6780</v>
      </c>
      <c r="S4856">
        <v>137470</v>
      </c>
    </row>
    <row r="4857" spans="18:19" x14ac:dyDescent="0.3">
      <c r="R4857" t="s">
        <v>6781</v>
      </c>
      <c r="S4857">
        <v>16170</v>
      </c>
    </row>
    <row r="4858" spans="18:19" x14ac:dyDescent="0.3">
      <c r="R4858" t="s">
        <v>6782</v>
      </c>
      <c r="S4858">
        <v>11460</v>
      </c>
    </row>
    <row r="4859" spans="18:19" x14ac:dyDescent="0.3">
      <c r="R4859" t="s">
        <v>6783</v>
      </c>
      <c r="S4859">
        <v>1350</v>
      </c>
    </row>
    <row r="4860" spans="18:19" x14ac:dyDescent="0.3">
      <c r="R4860" t="s">
        <v>6784</v>
      </c>
      <c r="S4860">
        <v>1370</v>
      </c>
    </row>
    <row r="4861" spans="18:19" x14ac:dyDescent="0.3">
      <c r="R4861" t="s">
        <v>6785</v>
      </c>
      <c r="S4861">
        <v>347340</v>
      </c>
    </row>
    <row r="4862" spans="18:19" x14ac:dyDescent="0.3">
      <c r="R4862" t="s">
        <v>6786</v>
      </c>
      <c r="S4862">
        <v>2610</v>
      </c>
    </row>
    <row r="4863" spans="18:19" x14ac:dyDescent="0.3">
      <c r="R4863" t="s">
        <v>6787</v>
      </c>
      <c r="S4863">
        <v>86840</v>
      </c>
    </row>
    <row r="4864" spans="18:19" x14ac:dyDescent="0.3">
      <c r="R4864" t="s">
        <v>6788</v>
      </c>
      <c r="S4864">
        <v>9690</v>
      </c>
    </row>
    <row r="4865" spans="18:19" x14ac:dyDescent="0.3">
      <c r="R4865" t="s">
        <v>6789</v>
      </c>
      <c r="S4865">
        <v>278760</v>
      </c>
    </row>
    <row r="4866" spans="18:19" x14ac:dyDescent="0.3">
      <c r="R4866" t="s">
        <v>6790</v>
      </c>
      <c r="S4866">
        <v>626780</v>
      </c>
    </row>
    <row r="4867" spans="18:19" x14ac:dyDescent="0.3">
      <c r="R4867" t="s">
        <v>6791</v>
      </c>
      <c r="S4867">
        <v>312640</v>
      </c>
    </row>
    <row r="4868" spans="18:19" x14ac:dyDescent="0.3">
      <c r="R4868" t="s">
        <v>6792</v>
      </c>
      <c r="S4868">
        <v>18690</v>
      </c>
    </row>
    <row r="4869" spans="18:19" x14ac:dyDescent="0.3">
      <c r="R4869" t="s">
        <v>6793</v>
      </c>
      <c r="S4869">
        <v>17870</v>
      </c>
    </row>
    <row r="4870" spans="18:19" x14ac:dyDescent="0.3">
      <c r="R4870" t="s">
        <v>6794</v>
      </c>
      <c r="S4870">
        <v>0</v>
      </c>
    </row>
    <row r="4871" spans="18:19" x14ac:dyDescent="0.3">
      <c r="R4871" t="s">
        <v>6795</v>
      </c>
      <c r="S4871">
        <v>70</v>
      </c>
    </row>
    <row r="4872" spans="18:19" x14ac:dyDescent="0.3">
      <c r="R4872" t="s">
        <v>6796</v>
      </c>
      <c r="S4872">
        <v>180230</v>
      </c>
    </row>
    <row r="4873" spans="18:19" x14ac:dyDescent="0.3">
      <c r="R4873" t="s">
        <v>6797</v>
      </c>
      <c r="S4873">
        <v>65570</v>
      </c>
    </row>
    <row r="4874" spans="18:19" x14ac:dyDescent="0.3">
      <c r="R4874" t="s">
        <v>6798</v>
      </c>
      <c r="S4874">
        <v>3910</v>
      </c>
    </row>
    <row r="4875" spans="18:19" x14ac:dyDescent="0.3">
      <c r="R4875" t="s">
        <v>6799</v>
      </c>
      <c r="S4875">
        <v>7300</v>
      </c>
    </row>
    <row r="4876" spans="18:19" x14ac:dyDescent="0.3">
      <c r="R4876" t="s">
        <v>6800</v>
      </c>
      <c r="S4876">
        <v>51180</v>
      </c>
    </row>
    <row r="4877" spans="18:19" x14ac:dyDescent="0.3">
      <c r="R4877" t="s">
        <v>6801</v>
      </c>
      <c r="S4877">
        <v>56300</v>
      </c>
    </row>
    <row r="4878" spans="18:19" x14ac:dyDescent="0.3">
      <c r="R4878" t="s">
        <v>6802</v>
      </c>
      <c r="S4878">
        <v>22510</v>
      </c>
    </row>
    <row r="4879" spans="18:19" x14ac:dyDescent="0.3">
      <c r="R4879" t="s">
        <v>6803</v>
      </c>
      <c r="S4879">
        <v>523810</v>
      </c>
    </row>
    <row r="4880" spans="18:19" x14ac:dyDescent="0.3">
      <c r="R4880" t="s">
        <v>6804</v>
      </c>
      <c r="S4880">
        <v>444630</v>
      </c>
    </row>
    <row r="4881" spans="18:19" x14ac:dyDescent="0.3">
      <c r="R4881" t="s">
        <v>6805</v>
      </c>
      <c r="S4881">
        <v>60790</v>
      </c>
    </row>
    <row r="4882" spans="18:19" x14ac:dyDescent="0.3">
      <c r="R4882" t="s">
        <v>6806</v>
      </c>
      <c r="S4882">
        <v>533250</v>
      </c>
    </row>
    <row r="4883" spans="18:19" x14ac:dyDescent="0.3">
      <c r="R4883" t="s">
        <v>6807</v>
      </c>
      <c r="S4883">
        <v>16060</v>
      </c>
    </row>
    <row r="4884" spans="18:19" x14ac:dyDescent="0.3">
      <c r="R4884" t="s">
        <v>6808</v>
      </c>
      <c r="S4884">
        <v>25680</v>
      </c>
    </row>
    <row r="4885" spans="18:19" x14ac:dyDescent="0.3">
      <c r="R4885" t="s">
        <v>6809</v>
      </c>
      <c r="S4885">
        <v>5440</v>
      </c>
    </row>
    <row r="4886" spans="18:19" x14ac:dyDescent="0.3">
      <c r="R4886" t="s">
        <v>6810</v>
      </c>
      <c r="S4886">
        <v>188460</v>
      </c>
    </row>
    <row r="4887" spans="18:19" x14ac:dyDescent="0.3">
      <c r="R4887" t="s">
        <v>6811</v>
      </c>
      <c r="S4887">
        <v>10630</v>
      </c>
    </row>
    <row r="4888" spans="18:19" x14ac:dyDescent="0.3">
      <c r="R4888" t="s">
        <v>6812</v>
      </c>
      <c r="S4888">
        <v>125940</v>
      </c>
    </row>
    <row r="4889" spans="18:19" x14ac:dyDescent="0.3">
      <c r="R4889" t="s">
        <v>6813</v>
      </c>
      <c r="S4889">
        <v>2270</v>
      </c>
    </row>
    <row r="4890" spans="18:19" x14ac:dyDescent="0.3">
      <c r="R4890" t="s">
        <v>6814</v>
      </c>
      <c r="S4890">
        <v>26450</v>
      </c>
    </row>
    <row r="4891" spans="18:19" x14ac:dyDescent="0.3">
      <c r="R4891" t="s">
        <v>6815</v>
      </c>
      <c r="S4891">
        <v>22280</v>
      </c>
    </row>
    <row r="4892" spans="18:19" x14ac:dyDescent="0.3">
      <c r="R4892" t="s">
        <v>6816</v>
      </c>
      <c r="S4892">
        <v>68910</v>
      </c>
    </row>
    <row r="4893" spans="18:19" x14ac:dyDescent="0.3">
      <c r="R4893" t="s">
        <v>6817</v>
      </c>
      <c r="S4893">
        <v>33910</v>
      </c>
    </row>
    <row r="4894" spans="18:19" x14ac:dyDescent="0.3">
      <c r="R4894" t="s">
        <v>6818</v>
      </c>
      <c r="S4894">
        <v>943620</v>
      </c>
    </row>
    <row r="4895" spans="18:19" x14ac:dyDescent="0.3">
      <c r="R4895" t="s">
        <v>6819</v>
      </c>
      <c r="S4895">
        <v>3880</v>
      </c>
    </row>
    <row r="4896" spans="18:19" x14ac:dyDescent="0.3">
      <c r="R4896" t="s">
        <v>6820</v>
      </c>
      <c r="S4896">
        <v>697650</v>
      </c>
    </row>
    <row r="4897" spans="18:19" x14ac:dyDescent="0.3">
      <c r="R4897" t="s">
        <v>6821</v>
      </c>
      <c r="S4897">
        <v>410</v>
      </c>
    </row>
    <row r="4898" spans="18:19" x14ac:dyDescent="0.3">
      <c r="R4898" t="s">
        <v>6822</v>
      </c>
      <c r="S4898">
        <v>280</v>
      </c>
    </row>
    <row r="4899" spans="18:19" x14ac:dyDescent="0.3">
      <c r="R4899" t="s">
        <v>6823</v>
      </c>
      <c r="S4899">
        <v>146290</v>
      </c>
    </row>
    <row r="4900" spans="18:19" x14ac:dyDescent="0.3">
      <c r="R4900" t="s">
        <v>6824</v>
      </c>
      <c r="S4900">
        <v>227450</v>
      </c>
    </row>
    <row r="4901" spans="18:19" x14ac:dyDescent="0.3">
      <c r="R4901" t="s">
        <v>6825</v>
      </c>
      <c r="S4901">
        <v>341690</v>
      </c>
    </row>
    <row r="4902" spans="18:19" x14ac:dyDescent="0.3">
      <c r="R4902" t="s">
        <v>6826</v>
      </c>
      <c r="S4902">
        <v>193740</v>
      </c>
    </row>
    <row r="4903" spans="18:19" x14ac:dyDescent="0.3">
      <c r="R4903" t="s">
        <v>6827</v>
      </c>
      <c r="S4903">
        <v>8250</v>
      </c>
    </row>
    <row r="4904" spans="18:19" x14ac:dyDescent="0.3">
      <c r="R4904" t="s">
        <v>6828</v>
      </c>
      <c r="S4904">
        <v>676800</v>
      </c>
    </row>
    <row r="4905" spans="18:19" x14ac:dyDescent="0.3">
      <c r="R4905" t="s">
        <v>6829</v>
      </c>
      <c r="S4905">
        <v>166800</v>
      </c>
    </row>
    <row r="4906" spans="18:19" x14ac:dyDescent="0.3">
      <c r="R4906" t="s">
        <v>6830</v>
      </c>
      <c r="S4906">
        <v>357130</v>
      </c>
    </row>
    <row r="4907" spans="18:19" x14ac:dyDescent="0.3">
      <c r="R4907" t="s">
        <v>6831</v>
      </c>
      <c r="S4907">
        <v>3360</v>
      </c>
    </row>
    <row r="4908" spans="18:19" x14ac:dyDescent="0.3">
      <c r="R4908" t="s">
        <v>6832</v>
      </c>
      <c r="S4908">
        <v>692920</v>
      </c>
    </row>
    <row r="4909" spans="18:19" x14ac:dyDescent="0.3">
      <c r="R4909" t="s">
        <v>6833</v>
      </c>
      <c r="S4909">
        <v>1190</v>
      </c>
    </row>
    <row r="4910" spans="18:19" x14ac:dyDescent="0.3">
      <c r="R4910" t="s">
        <v>6834</v>
      </c>
      <c r="S4910">
        <v>295180</v>
      </c>
    </row>
    <row r="4911" spans="18:19" x14ac:dyDescent="0.3">
      <c r="R4911" t="s">
        <v>6835</v>
      </c>
      <c r="S4911">
        <v>17570</v>
      </c>
    </row>
    <row r="4912" spans="18:19" x14ac:dyDescent="0.3">
      <c r="R4912" t="s">
        <v>6836</v>
      </c>
      <c r="S4912">
        <v>0</v>
      </c>
    </row>
    <row r="4913" spans="18:19" x14ac:dyDescent="0.3">
      <c r="R4913" t="s">
        <v>6837</v>
      </c>
      <c r="S4913">
        <v>769240</v>
      </c>
    </row>
    <row r="4914" spans="18:19" x14ac:dyDescent="0.3">
      <c r="R4914" t="s">
        <v>6838</v>
      </c>
      <c r="S4914">
        <v>700</v>
      </c>
    </row>
    <row r="4915" spans="18:19" x14ac:dyDescent="0.3">
      <c r="R4915" t="s">
        <v>6839</v>
      </c>
      <c r="S4915">
        <v>992940</v>
      </c>
    </row>
    <row r="4916" spans="18:19" x14ac:dyDescent="0.3">
      <c r="R4916" t="s">
        <v>6840</v>
      </c>
      <c r="S4916">
        <v>3709370</v>
      </c>
    </row>
    <row r="4917" spans="18:19" x14ac:dyDescent="0.3">
      <c r="R4917" t="s">
        <v>6841</v>
      </c>
      <c r="S4917">
        <v>667330</v>
      </c>
    </row>
    <row r="4918" spans="18:19" x14ac:dyDescent="0.3">
      <c r="R4918" t="s">
        <v>6842</v>
      </c>
      <c r="S4918">
        <v>1070230</v>
      </c>
    </row>
    <row r="4919" spans="18:19" x14ac:dyDescent="0.3">
      <c r="R4919" t="s">
        <v>6843</v>
      </c>
      <c r="S4919">
        <v>623060</v>
      </c>
    </row>
    <row r="4920" spans="18:19" x14ac:dyDescent="0.3">
      <c r="R4920" t="s">
        <v>6844</v>
      </c>
      <c r="S4920">
        <v>5380</v>
      </c>
    </row>
    <row r="4921" spans="18:19" x14ac:dyDescent="0.3">
      <c r="R4921" t="s">
        <v>6845</v>
      </c>
      <c r="S4921">
        <v>50110</v>
      </c>
    </row>
    <row r="4922" spans="18:19" x14ac:dyDescent="0.3">
      <c r="R4922" t="s">
        <v>6846</v>
      </c>
      <c r="S4922">
        <v>851610</v>
      </c>
    </row>
    <row r="4923" spans="18:19" x14ac:dyDescent="0.3">
      <c r="R4923" t="s">
        <v>6847</v>
      </c>
      <c r="S4923">
        <v>60820</v>
      </c>
    </row>
    <row r="4924" spans="18:19" x14ac:dyDescent="0.3">
      <c r="R4924" t="s">
        <v>6848</v>
      </c>
      <c r="S4924">
        <v>28190</v>
      </c>
    </row>
    <row r="4925" spans="18:19" x14ac:dyDescent="0.3">
      <c r="R4925" t="s">
        <v>6849</v>
      </c>
      <c r="S4925">
        <v>24270</v>
      </c>
    </row>
    <row r="4926" spans="18:19" x14ac:dyDescent="0.3">
      <c r="R4926" t="s">
        <v>6850</v>
      </c>
      <c r="S4926">
        <v>135160</v>
      </c>
    </row>
    <row r="4927" spans="18:19" x14ac:dyDescent="0.3">
      <c r="R4927" t="s">
        <v>6851</v>
      </c>
      <c r="S4927">
        <v>35700</v>
      </c>
    </row>
    <row r="4928" spans="18:19" x14ac:dyDescent="0.3">
      <c r="R4928" t="s">
        <v>6852</v>
      </c>
      <c r="S4928">
        <v>195960</v>
      </c>
    </row>
    <row r="4929" spans="18:19" x14ac:dyDescent="0.3">
      <c r="R4929" t="s">
        <v>6853</v>
      </c>
      <c r="S4929">
        <v>21320</v>
      </c>
    </row>
    <row r="4930" spans="18:19" x14ac:dyDescent="0.3">
      <c r="R4930" t="s">
        <v>6854</v>
      </c>
      <c r="S4930">
        <v>50820</v>
      </c>
    </row>
    <row r="4931" spans="18:19" x14ac:dyDescent="0.3">
      <c r="R4931" t="s">
        <v>6855</v>
      </c>
      <c r="S4931">
        <v>19110</v>
      </c>
    </row>
    <row r="4932" spans="18:19" x14ac:dyDescent="0.3">
      <c r="R4932" t="s">
        <v>6856</v>
      </c>
      <c r="S4932">
        <v>13580</v>
      </c>
    </row>
    <row r="4933" spans="18:19" x14ac:dyDescent="0.3">
      <c r="R4933" t="s">
        <v>6857</v>
      </c>
      <c r="S4933">
        <v>51420</v>
      </c>
    </row>
    <row r="4934" spans="18:19" x14ac:dyDescent="0.3">
      <c r="R4934" t="s">
        <v>6858</v>
      </c>
      <c r="S4934">
        <v>899070</v>
      </c>
    </row>
    <row r="4935" spans="18:19" x14ac:dyDescent="0.3">
      <c r="R4935" t="s">
        <v>6859</v>
      </c>
      <c r="S4935">
        <v>182480</v>
      </c>
    </row>
    <row r="4936" spans="18:19" x14ac:dyDescent="0.3">
      <c r="R4936" t="s">
        <v>6860</v>
      </c>
      <c r="S4936">
        <v>575790</v>
      </c>
    </row>
    <row r="4937" spans="18:19" x14ac:dyDescent="0.3">
      <c r="R4937" t="s">
        <v>6861</v>
      </c>
      <c r="S4937">
        <v>825160</v>
      </c>
    </row>
    <row r="4938" spans="18:19" x14ac:dyDescent="0.3">
      <c r="R4938" t="s">
        <v>6862</v>
      </c>
      <c r="S4938">
        <v>1400</v>
      </c>
    </row>
    <row r="4939" spans="18:19" x14ac:dyDescent="0.3">
      <c r="R4939" t="s">
        <v>6863</v>
      </c>
      <c r="S4939">
        <v>13300</v>
      </c>
    </row>
    <row r="4940" spans="18:19" x14ac:dyDescent="0.3">
      <c r="R4940" t="s">
        <v>6864</v>
      </c>
      <c r="S4940">
        <v>0</v>
      </c>
    </row>
    <row r="4941" spans="18:19" x14ac:dyDescent="0.3">
      <c r="R4941" t="s">
        <v>6865</v>
      </c>
      <c r="S4941">
        <v>15830</v>
      </c>
    </row>
    <row r="4942" spans="18:19" x14ac:dyDescent="0.3">
      <c r="R4942" t="s">
        <v>6866</v>
      </c>
      <c r="S4942">
        <v>1219930</v>
      </c>
    </row>
    <row r="4943" spans="18:19" x14ac:dyDescent="0.3">
      <c r="R4943" t="s">
        <v>6867</v>
      </c>
      <c r="S4943">
        <v>1105910</v>
      </c>
    </row>
    <row r="4944" spans="18:19" x14ac:dyDescent="0.3">
      <c r="R4944" t="s">
        <v>6868</v>
      </c>
      <c r="S4944">
        <v>255920</v>
      </c>
    </row>
    <row r="4945" spans="18:19" x14ac:dyDescent="0.3">
      <c r="R4945" t="s">
        <v>6869</v>
      </c>
      <c r="S4945">
        <v>97710</v>
      </c>
    </row>
    <row r="4946" spans="18:19" x14ac:dyDescent="0.3">
      <c r="R4946" t="s">
        <v>6870</v>
      </c>
      <c r="S4946">
        <v>4796230</v>
      </c>
    </row>
    <row r="4947" spans="18:19" x14ac:dyDescent="0.3">
      <c r="R4947" t="s">
        <v>6871</v>
      </c>
      <c r="S4947">
        <v>513000</v>
      </c>
    </row>
    <row r="4948" spans="18:19" x14ac:dyDescent="0.3">
      <c r="R4948" t="s">
        <v>6872</v>
      </c>
      <c r="S4948">
        <v>100960</v>
      </c>
    </row>
    <row r="4949" spans="18:19" x14ac:dyDescent="0.3">
      <c r="R4949" t="s">
        <v>6873</v>
      </c>
      <c r="S4949">
        <v>98160</v>
      </c>
    </row>
    <row r="4950" spans="18:19" x14ac:dyDescent="0.3">
      <c r="R4950" t="s">
        <v>6874</v>
      </c>
      <c r="S4950">
        <v>142580</v>
      </c>
    </row>
    <row r="4951" spans="18:19" x14ac:dyDescent="0.3">
      <c r="R4951" t="s">
        <v>6875</v>
      </c>
      <c r="S4951">
        <v>17480</v>
      </c>
    </row>
    <row r="4952" spans="18:19" x14ac:dyDescent="0.3">
      <c r="R4952" t="s">
        <v>6876</v>
      </c>
      <c r="S4952">
        <v>4260</v>
      </c>
    </row>
    <row r="4953" spans="18:19" x14ac:dyDescent="0.3">
      <c r="R4953" t="s">
        <v>6877</v>
      </c>
      <c r="S4953">
        <v>460</v>
      </c>
    </row>
    <row r="4954" spans="18:19" x14ac:dyDescent="0.3">
      <c r="R4954" t="s">
        <v>6878</v>
      </c>
      <c r="S4954">
        <v>54300</v>
      </c>
    </row>
    <row r="4955" spans="18:19" x14ac:dyDescent="0.3">
      <c r="R4955" t="s">
        <v>6879</v>
      </c>
      <c r="S4955">
        <v>52330</v>
      </c>
    </row>
    <row r="4956" spans="18:19" x14ac:dyDescent="0.3">
      <c r="R4956" t="s">
        <v>6880</v>
      </c>
      <c r="S4956">
        <v>3120</v>
      </c>
    </row>
    <row r="4957" spans="18:19" x14ac:dyDescent="0.3">
      <c r="R4957" t="s">
        <v>6881</v>
      </c>
      <c r="S4957">
        <v>17710</v>
      </c>
    </row>
  </sheetData>
  <autoFilter ref="A1:N2238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O2239"/>
  <sheetViews>
    <sheetView workbookViewId="0">
      <selection activeCell="H1455" sqref="B2:O2239"/>
    </sheetView>
  </sheetViews>
  <sheetFormatPr defaultRowHeight="16.5" x14ac:dyDescent="0.3"/>
  <sheetData>
    <row r="2" spans="2:15" x14ac:dyDescent="0.3">
      <c r="B2" t="s">
        <v>0</v>
      </c>
      <c r="C2" t="s">
        <v>7799</v>
      </c>
      <c r="D2" t="s">
        <v>1</v>
      </c>
      <c r="E2" t="s">
        <v>7801</v>
      </c>
      <c r="F2" t="s">
        <v>2</v>
      </c>
      <c r="G2" t="s">
        <v>7803</v>
      </c>
      <c r="H2" t="s">
        <v>3</v>
      </c>
      <c r="I2" t="s">
        <v>6882</v>
      </c>
      <c r="J2" t="s">
        <v>4</v>
      </c>
      <c r="K2" t="s">
        <v>5</v>
      </c>
      <c r="L2" t="s">
        <v>6</v>
      </c>
      <c r="M2" t="s">
        <v>7</v>
      </c>
      <c r="N2" t="s">
        <v>6884</v>
      </c>
      <c r="O2" t="s">
        <v>7220</v>
      </c>
    </row>
    <row r="3" spans="2:15" hidden="1" x14ac:dyDescent="0.3">
      <c r="B3" t="s">
        <v>8</v>
      </c>
      <c r="C3">
        <v>928</v>
      </c>
      <c r="D3" t="s">
        <v>9</v>
      </c>
      <c r="E3">
        <v>1202</v>
      </c>
      <c r="F3" t="s">
        <v>10</v>
      </c>
      <c r="G3">
        <v>939</v>
      </c>
      <c r="H3" t="s">
        <v>11</v>
      </c>
      <c r="I3" t="s">
        <v>1940</v>
      </c>
      <c r="J3" t="s">
        <v>7805</v>
      </c>
      <c r="K3">
        <v>180230</v>
      </c>
      <c r="L3">
        <v>44866</v>
      </c>
      <c r="M3" t="s">
        <v>12</v>
      </c>
      <c r="N3">
        <v>58330</v>
      </c>
      <c r="O3" t="e">
        <v>#N/A</v>
      </c>
    </row>
    <row r="4" spans="2:15" hidden="1" x14ac:dyDescent="0.3">
      <c r="B4" t="s">
        <v>8</v>
      </c>
      <c r="C4">
        <v>928</v>
      </c>
      <c r="D4" t="s">
        <v>13</v>
      </c>
      <c r="E4">
        <v>1184</v>
      </c>
      <c r="F4" t="s">
        <v>14</v>
      </c>
      <c r="G4">
        <v>914</v>
      </c>
      <c r="H4" t="s">
        <v>11</v>
      </c>
      <c r="I4" t="s">
        <v>1944</v>
      </c>
      <c r="J4" t="s">
        <v>7806</v>
      </c>
      <c r="K4">
        <v>92160</v>
      </c>
      <c r="L4">
        <v>44866</v>
      </c>
      <c r="M4" t="s">
        <v>15</v>
      </c>
      <c r="N4">
        <v>92160</v>
      </c>
      <c r="O4" t="e">
        <v>#N/A</v>
      </c>
    </row>
    <row r="5" spans="2:15" hidden="1" x14ac:dyDescent="0.3">
      <c r="B5" t="s">
        <v>16</v>
      </c>
      <c r="C5">
        <v>927</v>
      </c>
      <c r="D5" t="s">
        <v>17</v>
      </c>
      <c r="E5">
        <v>1200</v>
      </c>
      <c r="F5" t="s">
        <v>18</v>
      </c>
      <c r="G5">
        <v>201116</v>
      </c>
      <c r="H5" t="s">
        <v>11</v>
      </c>
      <c r="I5" t="s">
        <v>1945</v>
      </c>
      <c r="J5" t="s">
        <v>7807</v>
      </c>
      <c r="K5">
        <v>1222313</v>
      </c>
      <c r="L5">
        <v>44866</v>
      </c>
      <c r="M5" t="s">
        <v>19</v>
      </c>
      <c r="N5">
        <v>1249530</v>
      </c>
      <c r="O5" t="e">
        <v>#N/A</v>
      </c>
    </row>
    <row r="6" spans="2:15" hidden="1" x14ac:dyDescent="0.3">
      <c r="B6" t="s">
        <v>8</v>
      </c>
      <c r="C6">
        <v>928</v>
      </c>
      <c r="D6" t="s">
        <v>9</v>
      </c>
      <c r="E6">
        <v>1202</v>
      </c>
      <c r="F6" t="s">
        <v>20</v>
      </c>
      <c r="G6">
        <v>938</v>
      </c>
      <c r="H6" t="s">
        <v>11</v>
      </c>
      <c r="I6" t="s">
        <v>1954</v>
      </c>
      <c r="J6" t="s">
        <v>7808</v>
      </c>
      <c r="K6">
        <v>2511080</v>
      </c>
      <c r="L6">
        <v>44866</v>
      </c>
      <c r="M6" t="s">
        <v>21</v>
      </c>
      <c r="N6">
        <v>2511080</v>
      </c>
      <c r="O6" t="e">
        <v>#N/A</v>
      </c>
    </row>
    <row r="7" spans="2:15" hidden="1" x14ac:dyDescent="0.3">
      <c r="B7" t="s">
        <v>22</v>
      </c>
      <c r="C7">
        <v>809</v>
      </c>
      <c r="D7" t="s">
        <v>23</v>
      </c>
      <c r="E7">
        <v>810</v>
      </c>
      <c r="F7" t="s">
        <v>24</v>
      </c>
      <c r="G7">
        <v>201032</v>
      </c>
      <c r="H7" t="s">
        <v>11</v>
      </c>
      <c r="I7" t="s">
        <v>1955</v>
      </c>
      <c r="J7" t="s">
        <v>7809</v>
      </c>
      <c r="K7">
        <v>2230</v>
      </c>
      <c r="L7">
        <v>44866</v>
      </c>
      <c r="M7" t="s">
        <v>25</v>
      </c>
      <c r="N7">
        <v>2230</v>
      </c>
      <c r="O7" t="e">
        <v>#N/A</v>
      </c>
    </row>
    <row r="8" spans="2:15" hidden="1" x14ac:dyDescent="0.3">
      <c r="B8" t="s">
        <v>8</v>
      </c>
      <c r="C8">
        <v>928</v>
      </c>
      <c r="D8" t="s">
        <v>9</v>
      </c>
      <c r="E8">
        <v>1202</v>
      </c>
      <c r="F8" t="s">
        <v>20</v>
      </c>
      <c r="G8">
        <v>938</v>
      </c>
      <c r="H8" t="s">
        <v>11</v>
      </c>
      <c r="I8" t="s">
        <v>1957</v>
      </c>
      <c r="J8" t="s">
        <v>7810</v>
      </c>
      <c r="K8">
        <v>65150</v>
      </c>
      <c r="L8">
        <v>44866</v>
      </c>
      <c r="M8" t="s">
        <v>26</v>
      </c>
      <c r="N8">
        <v>65150</v>
      </c>
      <c r="O8" t="e">
        <v>#N/A</v>
      </c>
    </row>
    <row r="9" spans="2:15" hidden="1" x14ac:dyDescent="0.3">
      <c r="B9" t="s">
        <v>8</v>
      </c>
      <c r="C9">
        <v>928</v>
      </c>
      <c r="D9" t="s">
        <v>9</v>
      </c>
      <c r="E9">
        <v>1202</v>
      </c>
      <c r="F9" t="s">
        <v>27</v>
      </c>
      <c r="G9">
        <v>806</v>
      </c>
      <c r="H9" t="s">
        <v>11</v>
      </c>
      <c r="I9" t="s">
        <v>1960</v>
      </c>
      <c r="J9" t="s">
        <v>7811</v>
      </c>
      <c r="K9">
        <v>21210</v>
      </c>
      <c r="L9">
        <v>44866</v>
      </c>
      <c r="M9" t="s">
        <v>28</v>
      </c>
      <c r="N9">
        <v>21210</v>
      </c>
      <c r="O9" t="e">
        <v>#N/A</v>
      </c>
    </row>
    <row r="10" spans="2:15" hidden="1" x14ac:dyDescent="0.3">
      <c r="B10" t="s">
        <v>16</v>
      </c>
      <c r="C10">
        <v>927</v>
      </c>
      <c r="D10" t="s">
        <v>17</v>
      </c>
      <c r="E10">
        <v>1200</v>
      </c>
      <c r="F10" t="s">
        <v>29</v>
      </c>
      <c r="G10">
        <v>1496</v>
      </c>
      <c r="H10" t="s">
        <v>11</v>
      </c>
      <c r="I10" t="s">
        <v>1961</v>
      </c>
      <c r="J10" t="s">
        <v>7812</v>
      </c>
      <c r="K10">
        <v>120</v>
      </c>
      <c r="L10">
        <v>44866</v>
      </c>
      <c r="M10" t="s">
        <v>30</v>
      </c>
      <c r="N10">
        <v>120</v>
      </c>
      <c r="O10" t="e">
        <v>#N/A</v>
      </c>
    </row>
    <row r="11" spans="2:15" hidden="1" x14ac:dyDescent="0.3">
      <c r="B11" t="s">
        <v>8</v>
      </c>
      <c r="C11">
        <v>928</v>
      </c>
      <c r="D11" t="s">
        <v>9</v>
      </c>
      <c r="E11">
        <v>1202</v>
      </c>
      <c r="F11" t="s">
        <v>31</v>
      </c>
      <c r="G11">
        <v>1040</v>
      </c>
      <c r="H11" t="s">
        <v>11</v>
      </c>
      <c r="I11" t="s">
        <v>1962</v>
      </c>
      <c r="J11" t="s">
        <v>7813</v>
      </c>
      <c r="K11">
        <v>88240</v>
      </c>
      <c r="L11">
        <v>44866</v>
      </c>
      <c r="M11" t="s">
        <v>32</v>
      </c>
      <c r="N11">
        <v>88240</v>
      </c>
      <c r="O11" t="e">
        <v>#N/A</v>
      </c>
    </row>
    <row r="12" spans="2:15" hidden="1" x14ac:dyDescent="0.3">
      <c r="B12" t="s">
        <v>8</v>
      </c>
      <c r="C12">
        <v>928</v>
      </c>
      <c r="D12" t="s">
        <v>9</v>
      </c>
      <c r="E12">
        <v>1202</v>
      </c>
      <c r="F12" t="s">
        <v>33</v>
      </c>
      <c r="G12">
        <v>933</v>
      </c>
      <c r="H12" t="s">
        <v>11</v>
      </c>
      <c r="I12" t="s">
        <v>1963</v>
      </c>
      <c r="J12" t="s">
        <v>7814</v>
      </c>
      <c r="K12">
        <v>1436950</v>
      </c>
      <c r="L12">
        <v>44866</v>
      </c>
      <c r="M12" t="s">
        <v>34</v>
      </c>
      <c r="N12">
        <v>1436950</v>
      </c>
      <c r="O12" t="e">
        <v>#N/A</v>
      </c>
    </row>
    <row r="13" spans="2:15" hidden="1" x14ac:dyDescent="0.3">
      <c r="B13" t="s">
        <v>8</v>
      </c>
      <c r="C13">
        <v>928</v>
      </c>
      <c r="D13" t="s">
        <v>9</v>
      </c>
      <c r="E13">
        <v>1202</v>
      </c>
      <c r="F13" t="s">
        <v>35</v>
      </c>
      <c r="G13">
        <v>51</v>
      </c>
      <c r="H13" t="s">
        <v>11</v>
      </c>
      <c r="I13" t="s">
        <v>1964</v>
      </c>
      <c r="J13" t="s">
        <v>7815</v>
      </c>
      <c r="K13">
        <v>1847593</v>
      </c>
      <c r="L13">
        <v>44866</v>
      </c>
      <c r="M13" t="s">
        <v>36</v>
      </c>
      <c r="N13">
        <v>1497600</v>
      </c>
      <c r="O13" t="e">
        <v>#N/A</v>
      </c>
    </row>
    <row r="14" spans="2:15" hidden="1" x14ac:dyDescent="0.3">
      <c r="B14" t="s">
        <v>8</v>
      </c>
      <c r="C14">
        <v>928</v>
      </c>
      <c r="D14" t="s">
        <v>9</v>
      </c>
      <c r="E14">
        <v>1202</v>
      </c>
      <c r="F14" t="s">
        <v>37</v>
      </c>
      <c r="G14">
        <v>81</v>
      </c>
      <c r="H14" t="s">
        <v>11</v>
      </c>
      <c r="I14" t="s">
        <v>1970</v>
      </c>
      <c r="J14" t="s">
        <v>7816</v>
      </c>
      <c r="K14">
        <v>45140</v>
      </c>
      <c r="L14">
        <v>44866</v>
      </c>
      <c r="M14" t="s">
        <v>38</v>
      </c>
      <c r="N14">
        <v>45140</v>
      </c>
      <c r="O14" t="e">
        <v>#N/A</v>
      </c>
    </row>
    <row r="15" spans="2:15" hidden="1" x14ac:dyDescent="0.3">
      <c r="B15" t="s">
        <v>8</v>
      </c>
      <c r="C15">
        <v>928</v>
      </c>
      <c r="D15" t="s">
        <v>9</v>
      </c>
      <c r="E15">
        <v>1202</v>
      </c>
      <c r="F15" t="s">
        <v>39</v>
      </c>
      <c r="G15">
        <v>25</v>
      </c>
      <c r="H15" t="s">
        <v>11</v>
      </c>
      <c r="I15" t="s">
        <v>1972</v>
      </c>
      <c r="J15" t="s">
        <v>7817</v>
      </c>
      <c r="K15">
        <v>134020</v>
      </c>
      <c r="L15">
        <v>44866</v>
      </c>
      <c r="M15" t="s">
        <v>40</v>
      </c>
      <c r="N15">
        <v>134020</v>
      </c>
      <c r="O15" t="e">
        <v>#N/A</v>
      </c>
    </row>
    <row r="16" spans="2:15" hidden="1" x14ac:dyDescent="0.3">
      <c r="B16" t="s">
        <v>41</v>
      </c>
      <c r="C16">
        <v>926</v>
      </c>
      <c r="D16" t="s">
        <v>42</v>
      </c>
      <c r="E16">
        <v>964</v>
      </c>
      <c r="F16" t="s">
        <v>43</v>
      </c>
      <c r="G16">
        <v>200998</v>
      </c>
      <c r="H16" t="s">
        <v>11</v>
      </c>
      <c r="I16" t="s">
        <v>1973</v>
      </c>
      <c r="J16" t="s">
        <v>7818</v>
      </c>
      <c r="K16">
        <v>30130</v>
      </c>
      <c r="L16">
        <v>44866</v>
      </c>
      <c r="M16" t="s">
        <v>44</v>
      </c>
      <c r="N16">
        <v>30130</v>
      </c>
      <c r="O16" t="e">
        <v>#N/A</v>
      </c>
    </row>
    <row r="17" spans="2:15" hidden="1" x14ac:dyDescent="0.3">
      <c r="B17" t="s">
        <v>8</v>
      </c>
      <c r="C17">
        <v>928</v>
      </c>
      <c r="D17" t="s">
        <v>9</v>
      </c>
      <c r="E17">
        <v>1202</v>
      </c>
      <c r="F17" t="s">
        <v>45</v>
      </c>
      <c r="G17">
        <v>26</v>
      </c>
      <c r="H17" t="s">
        <v>11</v>
      </c>
      <c r="I17" t="s">
        <v>1976</v>
      </c>
      <c r="J17" t="s">
        <v>7819</v>
      </c>
      <c r="K17">
        <v>2960</v>
      </c>
      <c r="L17">
        <v>44866</v>
      </c>
      <c r="M17" t="s">
        <v>46</v>
      </c>
      <c r="N17">
        <v>2960</v>
      </c>
      <c r="O17" t="e">
        <v>#N/A</v>
      </c>
    </row>
    <row r="18" spans="2:15" hidden="1" x14ac:dyDescent="0.3">
      <c r="B18" t="s">
        <v>8</v>
      </c>
      <c r="C18">
        <v>928</v>
      </c>
      <c r="D18" t="s">
        <v>9</v>
      </c>
      <c r="E18">
        <v>1202</v>
      </c>
      <c r="F18" t="s">
        <v>47</v>
      </c>
      <c r="G18">
        <v>898</v>
      </c>
      <c r="H18" t="s">
        <v>11</v>
      </c>
      <c r="I18" t="s">
        <v>1977</v>
      </c>
      <c r="J18" t="s">
        <v>7820</v>
      </c>
      <c r="K18">
        <v>145530</v>
      </c>
      <c r="L18">
        <v>44866</v>
      </c>
      <c r="M18" t="s">
        <v>48</v>
      </c>
      <c r="N18">
        <v>145530</v>
      </c>
      <c r="O18" t="e">
        <v>#N/A</v>
      </c>
    </row>
    <row r="19" spans="2:15" hidden="1" x14ac:dyDescent="0.3">
      <c r="B19" t="s">
        <v>16</v>
      </c>
      <c r="C19">
        <v>927</v>
      </c>
      <c r="D19" t="s">
        <v>17</v>
      </c>
      <c r="E19">
        <v>1200</v>
      </c>
      <c r="F19" t="s">
        <v>49</v>
      </c>
      <c r="G19">
        <v>201114</v>
      </c>
      <c r="H19" t="s">
        <v>11</v>
      </c>
      <c r="I19" t="s">
        <v>1978</v>
      </c>
      <c r="J19" t="s">
        <v>7821</v>
      </c>
      <c r="K19">
        <v>1855200</v>
      </c>
      <c r="L19">
        <v>44866</v>
      </c>
      <c r="M19" t="s">
        <v>50</v>
      </c>
      <c r="N19">
        <v>1855200</v>
      </c>
      <c r="O19" t="e">
        <v>#N/A</v>
      </c>
    </row>
    <row r="20" spans="2:15" hidden="1" x14ac:dyDescent="0.3">
      <c r="B20" t="s">
        <v>8</v>
      </c>
      <c r="C20">
        <v>928</v>
      </c>
      <c r="D20" t="s">
        <v>13</v>
      </c>
      <c r="E20">
        <v>1184</v>
      </c>
      <c r="F20" t="s">
        <v>51</v>
      </c>
      <c r="G20">
        <v>1274</v>
      </c>
      <c r="H20" t="s">
        <v>11</v>
      </c>
      <c r="I20" t="s">
        <v>1979</v>
      </c>
      <c r="J20" t="s">
        <v>7822</v>
      </c>
      <c r="K20">
        <v>2360</v>
      </c>
      <c r="L20">
        <v>44866</v>
      </c>
      <c r="M20" t="s">
        <v>52</v>
      </c>
      <c r="N20">
        <v>2360</v>
      </c>
      <c r="O20" t="e">
        <v>#N/A</v>
      </c>
    </row>
    <row r="21" spans="2:15" hidden="1" x14ac:dyDescent="0.3">
      <c r="B21" t="s">
        <v>16</v>
      </c>
      <c r="C21">
        <v>927</v>
      </c>
      <c r="D21" t="s">
        <v>17</v>
      </c>
      <c r="E21">
        <v>1200</v>
      </c>
      <c r="F21" t="s">
        <v>53</v>
      </c>
      <c r="G21">
        <v>201080</v>
      </c>
      <c r="H21" t="s">
        <v>11</v>
      </c>
      <c r="I21" t="s">
        <v>1983</v>
      </c>
      <c r="J21" t="s">
        <v>7823</v>
      </c>
      <c r="K21">
        <v>413960</v>
      </c>
      <c r="L21">
        <v>44866</v>
      </c>
      <c r="M21" t="s">
        <v>54</v>
      </c>
      <c r="N21">
        <v>413960</v>
      </c>
      <c r="O21" t="e">
        <v>#N/A</v>
      </c>
    </row>
    <row r="22" spans="2:15" hidden="1" x14ac:dyDescent="0.3">
      <c r="B22" t="s">
        <v>8</v>
      </c>
      <c r="C22">
        <v>928</v>
      </c>
      <c r="D22" t="s">
        <v>9</v>
      </c>
      <c r="E22">
        <v>1202</v>
      </c>
      <c r="F22" t="s">
        <v>37</v>
      </c>
      <c r="G22">
        <v>81</v>
      </c>
      <c r="H22" t="s">
        <v>11</v>
      </c>
      <c r="I22" t="s">
        <v>1989</v>
      </c>
      <c r="J22" t="s">
        <v>7824</v>
      </c>
      <c r="K22">
        <v>86450</v>
      </c>
      <c r="L22">
        <v>44866</v>
      </c>
      <c r="M22" t="s">
        <v>55</v>
      </c>
      <c r="N22">
        <v>86450</v>
      </c>
      <c r="O22" t="e">
        <v>#N/A</v>
      </c>
    </row>
    <row r="23" spans="2:15" hidden="1" x14ac:dyDescent="0.3">
      <c r="B23" t="s">
        <v>41</v>
      </c>
      <c r="C23">
        <v>926</v>
      </c>
      <c r="D23" t="s">
        <v>56</v>
      </c>
      <c r="E23">
        <v>1207</v>
      </c>
      <c r="F23" t="s">
        <v>57</v>
      </c>
      <c r="G23">
        <v>200982</v>
      </c>
      <c r="H23" t="s">
        <v>11</v>
      </c>
      <c r="I23" t="s">
        <v>1990</v>
      </c>
      <c r="J23" t="s">
        <v>7825</v>
      </c>
      <c r="K23">
        <v>110350</v>
      </c>
      <c r="L23">
        <v>44866</v>
      </c>
      <c r="M23" t="s">
        <v>58</v>
      </c>
      <c r="N23">
        <v>110350</v>
      </c>
      <c r="O23" t="e">
        <v>#N/A</v>
      </c>
    </row>
    <row r="24" spans="2:15" hidden="1" x14ac:dyDescent="0.3">
      <c r="B24" t="s">
        <v>8</v>
      </c>
      <c r="C24">
        <v>928</v>
      </c>
      <c r="D24" t="s">
        <v>13</v>
      </c>
      <c r="E24">
        <v>1184</v>
      </c>
      <c r="F24" t="s">
        <v>59</v>
      </c>
      <c r="G24">
        <v>9</v>
      </c>
      <c r="H24" t="s">
        <v>11</v>
      </c>
      <c r="I24" t="s">
        <v>1991</v>
      </c>
      <c r="J24" t="s">
        <v>7826</v>
      </c>
      <c r="K24">
        <v>3790</v>
      </c>
      <c r="L24">
        <v>44866</v>
      </c>
      <c r="M24" t="s">
        <v>60</v>
      </c>
      <c r="N24">
        <v>3790</v>
      </c>
      <c r="O24" t="e">
        <v>#N/A</v>
      </c>
    </row>
    <row r="25" spans="2:15" hidden="1" x14ac:dyDescent="0.3">
      <c r="B25" t="s">
        <v>8</v>
      </c>
      <c r="C25">
        <v>928</v>
      </c>
      <c r="D25" t="s">
        <v>13</v>
      </c>
      <c r="E25">
        <v>1184</v>
      </c>
      <c r="F25" t="s">
        <v>14</v>
      </c>
      <c r="G25">
        <v>914</v>
      </c>
      <c r="H25" t="s">
        <v>11</v>
      </c>
      <c r="I25" t="s">
        <v>7827</v>
      </c>
      <c r="J25" t="s">
        <v>7101</v>
      </c>
      <c r="K25">
        <v>680</v>
      </c>
      <c r="L25">
        <v>44866</v>
      </c>
      <c r="M25" t="s">
        <v>61</v>
      </c>
      <c r="N25" t="e">
        <v>#N/A</v>
      </c>
      <c r="O25" t="s">
        <v>7102</v>
      </c>
    </row>
    <row r="26" spans="2:15" hidden="1" x14ac:dyDescent="0.3">
      <c r="B26" t="s">
        <v>41</v>
      </c>
      <c r="C26">
        <v>926</v>
      </c>
      <c r="D26" t="s">
        <v>56</v>
      </c>
      <c r="E26">
        <v>1207</v>
      </c>
      <c r="F26" t="s">
        <v>62</v>
      </c>
      <c r="G26">
        <v>201037</v>
      </c>
      <c r="H26" t="s">
        <v>11</v>
      </c>
      <c r="I26" t="s">
        <v>1994</v>
      </c>
      <c r="J26" t="s">
        <v>7042</v>
      </c>
      <c r="K26">
        <v>220</v>
      </c>
      <c r="L26">
        <v>44866</v>
      </c>
      <c r="M26" t="s">
        <v>63</v>
      </c>
      <c r="N26">
        <v>220</v>
      </c>
      <c r="O26" t="s">
        <v>7043</v>
      </c>
    </row>
    <row r="27" spans="2:15" hidden="1" x14ac:dyDescent="0.3">
      <c r="B27" t="s">
        <v>41</v>
      </c>
      <c r="C27">
        <v>926</v>
      </c>
      <c r="D27" t="s">
        <v>56</v>
      </c>
      <c r="E27">
        <v>1207</v>
      </c>
      <c r="F27" t="s">
        <v>64</v>
      </c>
      <c r="G27">
        <v>201011</v>
      </c>
      <c r="H27" t="s">
        <v>11</v>
      </c>
      <c r="I27" t="s">
        <v>1996</v>
      </c>
      <c r="J27" t="s">
        <v>7828</v>
      </c>
      <c r="K27">
        <v>73780</v>
      </c>
      <c r="L27">
        <v>44866</v>
      </c>
      <c r="M27" t="s">
        <v>65</v>
      </c>
      <c r="N27">
        <v>73780</v>
      </c>
      <c r="O27" t="e">
        <v>#N/A</v>
      </c>
    </row>
    <row r="28" spans="2:15" hidden="1" x14ac:dyDescent="0.3">
      <c r="B28" t="s">
        <v>16</v>
      </c>
      <c r="C28">
        <v>927</v>
      </c>
      <c r="D28" t="s">
        <v>17</v>
      </c>
      <c r="E28">
        <v>1200</v>
      </c>
      <c r="F28" t="s">
        <v>66</v>
      </c>
      <c r="G28">
        <v>33</v>
      </c>
      <c r="H28" t="s">
        <v>11</v>
      </c>
      <c r="I28" t="s">
        <v>2002</v>
      </c>
      <c r="J28" t="s">
        <v>7829</v>
      </c>
      <c r="K28">
        <v>244370</v>
      </c>
      <c r="L28">
        <v>44866</v>
      </c>
      <c r="M28" t="s">
        <v>67</v>
      </c>
      <c r="N28">
        <v>244430</v>
      </c>
      <c r="O28" t="e">
        <v>#N/A</v>
      </c>
    </row>
    <row r="29" spans="2:15" hidden="1" x14ac:dyDescent="0.3">
      <c r="B29" t="s">
        <v>41</v>
      </c>
      <c r="C29">
        <v>926</v>
      </c>
      <c r="D29" t="s">
        <v>56</v>
      </c>
      <c r="E29">
        <v>1207</v>
      </c>
      <c r="F29" t="s">
        <v>62</v>
      </c>
      <c r="G29">
        <v>201037</v>
      </c>
      <c r="H29" t="s">
        <v>11</v>
      </c>
      <c r="I29" t="s">
        <v>2003</v>
      </c>
      <c r="J29" t="s">
        <v>7830</v>
      </c>
      <c r="K29">
        <v>30600</v>
      </c>
      <c r="L29">
        <v>44866</v>
      </c>
      <c r="M29" t="s">
        <v>68</v>
      </c>
      <c r="N29">
        <v>30600</v>
      </c>
      <c r="O29" t="e">
        <v>#N/A</v>
      </c>
    </row>
    <row r="30" spans="2:15" hidden="1" x14ac:dyDescent="0.3">
      <c r="B30" t="s">
        <v>41</v>
      </c>
      <c r="C30">
        <v>926</v>
      </c>
      <c r="D30" t="s">
        <v>56</v>
      </c>
      <c r="E30">
        <v>1207</v>
      </c>
      <c r="F30" t="s">
        <v>57</v>
      </c>
      <c r="G30">
        <v>200982</v>
      </c>
      <c r="H30" t="s">
        <v>11</v>
      </c>
      <c r="I30" t="s">
        <v>2005</v>
      </c>
      <c r="J30" t="s">
        <v>7831</v>
      </c>
      <c r="K30">
        <v>15850</v>
      </c>
      <c r="L30">
        <v>44866</v>
      </c>
      <c r="M30" t="s">
        <v>69</v>
      </c>
      <c r="N30">
        <v>15850</v>
      </c>
      <c r="O30" t="e">
        <v>#N/A</v>
      </c>
    </row>
    <row r="31" spans="2:15" hidden="1" x14ac:dyDescent="0.3">
      <c r="B31" t="s">
        <v>41</v>
      </c>
      <c r="C31">
        <v>926</v>
      </c>
      <c r="D31" t="s">
        <v>56</v>
      </c>
      <c r="E31">
        <v>1207</v>
      </c>
      <c r="F31" t="s">
        <v>62</v>
      </c>
      <c r="G31">
        <v>201037</v>
      </c>
      <c r="H31" t="s">
        <v>11</v>
      </c>
      <c r="I31" t="s">
        <v>2007</v>
      </c>
      <c r="J31" t="s">
        <v>7832</v>
      </c>
      <c r="K31">
        <v>2945190</v>
      </c>
      <c r="L31">
        <v>44866</v>
      </c>
      <c r="M31" t="s">
        <v>70</v>
      </c>
      <c r="N31">
        <v>1545200</v>
      </c>
      <c r="O31" t="e">
        <v>#N/A</v>
      </c>
    </row>
    <row r="32" spans="2:15" hidden="1" x14ac:dyDescent="0.3">
      <c r="B32" t="s">
        <v>41</v>
      </c>
      <c r="C32">
        <v>926</v>
      </c>
      <c r="D32" t="s">
        <v>56</v>
      </c>
      <c r="E32">
        <v>1207</v>
      </c>
      <c r="F32" t="s">
        <v>57</v>
      </c>
      <c r="G32">
        <v>200982</v>
      </c>
      <c r="H32" t="s">
        <v>11</v>
      </c>
      <c r="I32" t="s">
        <v>2012</v>
      </c>
      <c r="J32" t="s">
        <v>7833</v>
      </c>
      <c r="K32">
        <v>999980</v>
      </c>
      <c r="L32">
        <v>44866</v>
      </c>
      <c r="M32" t="s">
        <v>71</v>
      </c>
      <c r="N32">
        <v>0</v>
      </c>
      <c r="O32" t="e">
        <v>#N/A</v>
      </c>
    </row>
    <row r="33" spans="2:15" hidden="1" x14ac:dyDescent="0.3">
      <c r="B33" t="s">
        <v>16</v>
      </c>
      <c r="C33">
        <v>927</v>
      </c>
      <c r="D33" t="s">
        <v>17</v>
      </c>
      <c r="E33">
        <v>1200</v>
      </c>
      <c r="F33" t="s">
        <v>18</v>
      </c>
      <c r="G33">
        <v>201116</v>
      </c>
      <c r="H33" t="s">
        <v>11</v>
      </c>
      <c r="I33" t="s">
        <v>2014</v>
      </c>
      <c r="J33" t="s">
        <v>7834</v>
      </c>
      <c r="K33">
        <v>251040</v>
      </c>
      <c r="L33">
        <v>44866</v>
      </c>
      <c r="M33" t="s">
        <v>72</v>
      </c>
      <c r="N33">
        <v>251040</v>
      </c>
      <c r="O33" t="e">
        <v>#N/A</v>
      </c>
    </row>
    <row r="34" spans="2:15" hidden="1" x14ac:dyDescent="0.3">
      <c r="B34" t="s">
        <v>8</v>
      </c>
      <c r="C34">
        <v>928</v>
      </c>
      <c r="D34" t="s">
        <v>9</v>
      </c>
      <c r="E34">
        <v>1202</v>
      </c>
      <c r="F34" t="s">
        <v>73</v>
      </c>
      <c r="G34">
        <v>895</v>
      </c>
      <c r="H34" t="s">
        <v>11</v>
      </c>
      <c r="I34" t="s">
        <v>2019</v>
      </c>
      <c r="J34" t="s">
        <v>7835</v>
      </c>
      <c r="K34">
        <v>37000</v>
      </c>
      <c r="L34">
        <v>44866</v>
      </c>
      <c r="M34" t="s">
        <v>74</v>
      </c>
      <c r="N34">
        <v>37000</v>
      </c>
      <c r="O34" t="e">
        <v>#N/A</v>
      </c>
    </row>
    <row r="35" spans="2:15" hidden="1" x14ac:dyDescent="0.3">
      <c r="B35" t="s">
        <v>8</v>
      </c>
      <c r="C35">
        <v>928</v>
      </c>
      <c r="D35" t="s">
        <v>9</v>
      </c>
      <c r="E35">
        <v>1202</v>
      </c>
      <c r="F35" t="s">
        <v>75</v>
      </c>
      <c r="G35">
        <v>50</v>
      </c>
      <c r="H35" t="s">
        <v>11</v>
      </c>
      <c r="I35" t="s">
        <v>2020</v>
      </c>
      <c r="J35" t="s">
        <v>7836</v>
      </c>
      <c r="K35">
        <v>742100</v>
      </c>
      <c r="L35">
        <v>44866</v>
      </c>
      <c r="M35" t="s">
        <v>76</v>
      </c>
      <c r="N35">
        <v>742100</v>
      </c>
      <c r="O35" t="e">
        <v>#N/A</v>
      </c>
    </row>
    <row r="36" spans="2:15" hidden="1" x14ac:dyDescent="0.3">
      <c r="B36" t="s">
        <v>8</v>
      </c>
      <c r="C36">
        <v>928</v>
      </c>
      <c r="D36" t="s">
        <v>9</v>
      </c>
      <c r="E36">
        <v>1202</v>
      </c>
      <c r="F36" t="s">
        <v>27</v>
      </c>
      <c r="G36">
        <v>806</v>
      </c>
      <c r="H36" t="s">
        <v>11</v>
      </c>
      <c r="I36" t="s">
        <v>2021</v>
      </c>
      <c r="J36" t="s">
        <v>7837</v>
      </c>
      <c r="K36">
        <v>1000</v>
      </c>
      <c r="L36">
        <v>44866</v>
      </c>
      <c r="M36" t="s">
        <v>77</v>
      </c>
      <c r="N36">
        <v>1000</v>
      </c>
      <c r="O36" t="e">
        <v>#N/A</v>
      </c>
    </row>
    <row r="37" spans="2:15" hidden="1" x14ac:dyDescent="0.3">
      <c r="B37" t="s">
        <v>16</v>
      </c>
      <c r="C37">
        <v>927</v>
      </c>
      <c r="D37" t="s">
        <v>17</v>
      </c>
      <c r="E37">
        <v>1200</v>
      </c>
      <c r="F37" t="s">
        <v>78</v>
      </c>
      <c r="G37">
        <v>57</v>
      </c>
      <c r="H37" t="s">
        <v>11</v>
      </c>
      <c r="I37" t="s">
        <v>2023</v>
      </c>
      <c r="J37" t="s">
        <v>7838</v>
      </c>
      <c r="K37">
        <v>983920</v>
      </c>
      <c r="L37">
        <v>44866</v>
      </c>
      <c r="M37" t="s">
        <v>79</v>
      </c>
      <c r="N37">
        <v>983920</v>
      </c>
      <c r="O37" t="e">
        <v>#N/A</v>
      </c>
    </row>
    <row r="38" spans="2:15" hidden="1" x14ac:dyDescent="0.3">
      <c r="B38" t="s">
        <v>41</v>
      </c>
      <c r="C38">
        <v>926</v>
      </c>
      <c r="D38" t="s">
        <v>56</v>
      </c>
      <c r="E38">
        <v>1207</v>
      </c>
      <c r="F38" t="s">
        <v>57</v>
      </c>
      <c r="G38">
        <v>200982</v>
      </c>
      <c r="H38" t="s">
        <v>11</v>
      </c>
      <c r="I38" t="s">
        <v>2024</v>
      </c>
      <c r="J38" t="s">
        <v>7839</v>
      </c>
      <c r="K38">
        <v>24940</v>
      </c>
      <c r="L38">
        <v>44866</v>
      </c>
      <c r="M38" t="s">
        <v>80</v>
      </c>
      <c r="N38">
        <v>24940</v>
      </c>
      <c r="O38" t="e">
        <v>#N/A</v>
      </c>
    </row>
    <row r="39" spans="2:15" hidden="1" x14ac:dyDescent="0.3">
      <c r="B39" t="s">
        <v>8</v>
      </c>
      <c r="C39">
        <v>928</v>
      </c>
      <c r="D39" t="s">
        <v>9</v>
      </c>
      <c r="E39">
        <v>1202</v>
      </c>
      <c r="F39" t="s">
        <v>20</v>
      </c>
      <c r="G39">
        <v>938</v>
      </c>
      <c r="H39" t="s">
        <v>11</v>
      </c>
      <c r="I39" t="s">
        <v>2029</v>
      </c>
      <c r="J39" t="s">
        <v>7840</v>
      </c>
      <c r="K39">
        <v>474790</v>
      </c>
      <c r="L39">
        <v>44866</v>
      </c>
      <c r="M39" t="s">
        <v>81</v>
      </c>
      <c r="N39">
        <v>474790</v>
      </c>
      <c r="O39" t="e">
        <v>#N/A</v>
      </c>
    </row>
    <row r="40" spans="2:15" hidden="1" x14ac:dyDescent="0.3">
      <c r="B40" t="s">
        <v>8</v>
      </c>
      <c r="C40">
        <v>928</v>
      </c>
      <c r="D40" t="s">
        <v>9</v>
      </c>
      <c r="E40">
        <v>1202</v>
      </c>
      <c r="F40" t="s">
        <v>39</v>
      </c>
      <c r="G40">
        <v>25</v>
      </c>
      <c r="H40" t="s">
        <v>11</v>
      </c>
      <c r="I40" t="s">
        <v>2030</v>
      </c>
      <c r="J40" t="s">
        <v>7841</v>
      </c>
      <c r="K40">
        <v>178910</v>
      </c>
      <c r="L40">
        <v>44866</v>
      </c>
      <c r="M40" t="s">
        <v>82</v>
      </c>
      <c r="N40">
        <v>178910</v>
      </c>
      <c r="O40" t="e">
        <v>#N/A</v>
      </c>
    </row>
    <row r="41" spans="2:15" hidden="1" x14ac:dyDescent="0.3">
      <c r="B41" t="s">
        <v>8</v>
      </c>
      <c r="C41">
        <v>928</v>
      </c>
      <c r="D41" t="s">
        <v>83</v>
      </c>
      <c r="E41">
        <v>960</v>
      </c>
      <c r="F41" t="s">
        <v>84</v>
      </c>
      <c r="G41">
        <v>1632</v>
      </c>
      <c r="H41" t="s">
        <v>11</v>
      </c>
      <c r="I41" t="s">
        <v>2031</v>
      </c>
      <c r="J41" t="s">
        <v>7842</v>
      </c>
      <c r="K41">
        <v>66320</v>
      </c>
      <c r="L41">
        <v>44866</v>
      </c>
      <c r="M41" t="s">
        <v>85</v>
      </c>
      <c r="N41">
        <v>66320</v>
      </c>
      <c r="O41" t="e">
        <v>#N/A</v>
      </c>
    </row>
    <row r="42" spans="2:15" hidden="1" x14ac:dyDescent="0.3">
      <c r="B42" t="s">
        <v>22</v>
      </c>
      <c r="C42">
        <v>809</v>
      </c>
      <c r="D42" t="s">
        <v>23</v>
      </c>
      <c r="E42">
        <v>810</v>
      </c>
      <c r="F42" t="s">
        <v>86</v>
      </c>
      <c r="G42">
        <v>201021</v>
      </c>
      <c r="H42" t="s">
        <v>11</v>
      </c>
      <c r="I42" t="s">
        <v>7843</v>
      </c>
      <c r="J42" t="s">
        <v>7187</v>
      </c>
      <c r="K42">
        <v>218386</v>
      </c>
      <c r="L42">
        <v>44866</v>
      </c>
      <c r="M42" t="s">
        <v>87</v>
      </c>
      <c r="N42" t="e">
        <v>#N/A</v>
      </c>
      <c r="O42" t="s">
        <v>7037</v>
      </c>
    </row>
    <row r="43" spans="2:15" hidden="1" x14ac:dyDescent="0.3">
      <c r="B43" t="s">
        <v>41</v>
      </c>
      <c r="C43">
        <v>926</v>
      </c>
      <c r="D43" t="s">
        <v>56</v>
      </c>
      <c r="E43">
        <v>1207</v>
      </c>
      <c r="F43" t="s">
        <v>64</v>
      </c>
      <c r="G43">
        <v>201011</v>
      </c>
      <c r="H43" t="s">
        <v>11</v>
      </c>
      <c r="I43" t="s">
        <v>2032</v>
      </c>
      <c r="J43" t="s">
        <v>7844</v>
      </c>
      <c r="K43">
        <v>200310</v>
      </c>
      <c r="L43">
        <v>44866</v>
      </c>
      <c r="M43" t="s">
        <v>88</v>
      </c>
      <c r="N43">
        <v>200310</v>
      </c>
      <c r="O43" t="e">
        <v>#N/A</v>
      </c>
    </row>
    <row r="44" spans="2:15" hidden="1" x14ac:dyDescent="0.3">
      <c r="B44" t="s">
        <v>8</v>
      </c>
      <c r="C44">
        <v>928</v>
      </c>
      <c r="D44" t="s">
        <v>13</v>
      </c>
      <c r="E44">
        <v>1184</v>
      </c>
      <c r="F44" t="s">
        <v>14</v>
      </c>
      <c r="G44">
        <v>914</v>
      </c>
      <c r="H44" t="s">
        <v>11</v>
      </c>
      <c r="I44" t="s">
        <v>2037</v>
      </c>
      <c r="J44" t="s">
        <v>7845</v>
      </c>
      <c r="K44">
        <v>6240</v>
      </c>
      <c r="L44">
        <v>44866</v>
      </c>
      <c r="M44" t="s">
        <v>89</v>
      </c>
      <c r="N44">
        <v>6240</v>
      </c>
      <c r="O44" t="e">
        <v>#N/A</v>
      </c>
    </row>
    <row r="45" spans="2:15" hidden="1" x14ac:dyDescent="0.3">
      <c r="B45" t="s">
        <v>8</v>
      </c>
      <c r="C45">
        <v>928</v>
      </c>
      <c r="D45" t="s">
        <v>9</v>
      </c>
      <c r="E45">
        <v>1202</v>
      </c>
      <c r="F45" t="s">
        <v>10</v>
      </c>
      <c r="G45">
        <v>939</v>
      </c>
      <c r="H45" t="s">
        <v>11</v>
      </c>
      <c r="I45" t="s">
        <v>2039</v>
      </c>
      <c r="J45" t="s">
        <v>7846</v>
      </c>
      <c r="K45">
        <v>142920</v>
      </c>
      <c r="L45">
        <v>44866</v>
      </c>
      <c r="M45" t="s">
        <v>90</v>
      </c>
      <c r="N45">
        <v>142920</v>
      </c>
      <c r="O45" t="e">
        <v>#N/A</v>
      </c>
    </row>
    <row r="46" spans="2:15" hidden="1" x14ac:dyDescent="0.3">
      <c r="B46" t="s">
        <v>41</v>
      </c>
      <c r="C46">
        <v>926</v>
      </c>
      <c r="D46" t="s">
        <v>56</v>
      </c>
      <c r="E46">
        <v>1207</v>
      </c>
      <c r="F46" t="s">
        <v>91</v>
      </c>
      <c r="G46">
        <v>201104</v>
      </c>
      <c r="H46" t="s">
        <v>11</v>
      </c>
      <c r="I46" t="s">
        <v>2041</v>
      </c>
      <c r="J46" t="s">
        <v>7847</v>
      </c>
      <c r="K46">
        <v>226670</v>
      </c>
      <c r="L46">
        <v>44866</v>
      </c>
      <c r="M46" t="s">
        <v>92</v>
      </c>
      <c r="N46">
        <v>226670</v>
      </c>
      <c r="O46" t="e">
        <v>#N/A</v>
      </c>
    </row>
    <row r="47" spans="2:15" hidden="1" x14ac:dyDescent="0.3">
      <c r="B47" t="s">
        <v>16</v>
      </c>
      <c r="C47">
        <v>927</v>
      </c>
      <c r="D47" t="s">
        <v>17</v>
      </c>
      <c r="E47">
        <v>1200</v>
      </c>
      <c r="F47" t="s">
        <v>93</v>
      </c>
      <c r="G47">
        <v>930</v>
      </c>
      <c r="H47" t="s">
        <v>11</v>
      </c>
      <c r="I47" t="s">
        <v>2042</v>
      </c>
      <c r="J47" t="s">
        <v>7848</v>
      </c>
      <c r="K47">
        <v>244990</v>
      </c>
      <c r="L47">
        <v>44866</v>
      </c>
      <c r="M47" t="s">
        <v>94</v>
      </c>
      <c r="N47">
        <v>246680</v>
      </c>
      <c r="O47" t="e">
        <v>#N/A</v>
      </c>
    </row>
    <row r="48" spans="2:15" hidden="1" x14ac:dyDescent="0.3">
      <c r="B48" t="s">
        <v>8</v>
      </c>
      <c r="C48">
        <v>928</v>
      </c>
      <c r="D48" t="s">
        <v>9</v>
      </c>
      <c r="E48">
        <v>1202</v>
      </c>
      <c r="F48" t="s">
        <v>10</v>
      </c>
      <c r="G48">
        <v>939</v>
      </c>
      <c r="H48" t="s">
        <v>11</v>
      </c>
      <c r="I48" t="s">
        <v>2044</v>
      </c>
      <c r="J48" t="s">
        <v>7849</v>
      </c>
      <c r="K48">
        <v>193130</v>
      </c>
      <c r="L48">
        <v>44866</v>
      </c>
      <c r="M48" t="s">
        <v>95</v>
      </c>
      <c r="N48">
        <v>193130</v>
      </c>
      <c r="O48" t="e">
        <v>#N/A</v>
      </c>
    </row>
    <row r="49" spans="2:15" hidden="1" x14ac:dyDescent="0.3">
      <c r="B49" t="s">
        <v>16</v>
      </c>
      <c r="C49">
        <v>927</v>
      </c>
      <c r="D49" t="s">
        <v>17</v>
      </c>
      <c r="E49">
        <v>1200</v>
      </c>
      <c r="F49" t="s">
        <v>96</v>
      </c>
      <c r="G49">
        <v>1271</v>
      </c>
      <c r="H49" t="s">
        <v>11</v>
      </c>
      <c r="I49" t="s">
        <v>2045</v>
      </c>
      <c r="J49" t="s">
        <v>7850</v>
      </c>
      <c r="K49">
        <v>1070</v>
      </c>
      <c r="L49">
        <v>44866</v>
      </c>
      <c r="M49" t="s">
        <v>97</v>
      </c>
      <c r="N49">
        <v>1070</v>
      </c>
      <c r="O49" t="e">
        <v>#N/A</v>
      </c>
    </row>
    <row r="50" spans="2:15" hidden="1" x14ac:dyDescent="0.3">
      <c r="B50" t="s">
        <v>8</v>
      </c>
      <c r="C50">
        <v>928</v>
      </c>
      <c r="D50" t="s">
        <v>13</v>
      </c>
      <c r="E50">
        <v>1184</v>
      </c>
      <c r="F50" t="s">
        <v>59</v>
      </c>
      <c r="G50">
        <v>9</v>
      </c>
      <c r="H50" t="s">
        <v>11</v>
      </c>
      <c r="I50" t="s">
        <v>2049</v>
      </c>
      <c r="J50" t="s">
        <v>7851</v>
      </c>
      <c r="K50">
        <v>11640</v>
      </c>
      <c r="L50">
        <v>44866</v>
      </c>
      <c r="M50" t="s">
        <v>98</v>
      </c>
      <c r="N50">
        <v>11640</v>
      </c>
      <c r="O50" t="e">
        <v>#N/A</v>
      </c>
    </row>
    <row r="51" spans="2:15" hidden="1" x14ac:dyDescent="0.3">
      <c r="B51" t="s">
        <v>8</v>
      </c>
      <c r="C51">
        <v>928</v>
      </c>
      <c r="D51" t="s">
        <v>9</v>
      </c>
      <c r="E51">
        <v>1202</v>
      </c>
      <c r="F51" t="s">
        <v>10</v>
      </c>
      <c r="G51">
        <v>939</v>
      </c>
      <c r="H51" t="s">
        <v>11</v>
      </c>
      <c r="I51" t="s">
        <v>2051</v>
      </c>
      <c r="J51" t="s">
        <v>7852</v>
      </c>
      <c r="K51">
        <v>950</v>
      </c>
      <c r="L51">
        <v>44866</v>
      </c>
      <c r="M51" t="s">
        <v>99</v>
      </c>
      <c r="N51">
        <v>950</v>
      </c>
      <c r="O51" t="e">
        <v>#N/A</v>
      </c>
    </row>
    <row r="52" spans="2:15" hidden="1" x14ac:dyDescent="0.3">
      <c r="B52" t="s">
        <v>16</v>
      </c>
      <c r="C52">
        <v>927</v>
      </c>
      <c r="D52" t="s">
        <v>17</v>
      </c>
      <c r="E52">
        <v>1200</v>
      </c>
      <c r="F52" t="s">
        <v>100</v>
      </c>
      <c r="G52">
        <v>201038</v>
      </c>
      <c r="H52" t="s">
        <v>11</v>
      </c>
      <c r="I52" t="s">
        <v>2057</v>
      </c>
      <c r="J52" t="s">
        <v>7853</v>
      </c>
      <c r="K52">
        <v>401670</v>
      </c>
      <c r="L52">
        <v>44866</v>
      </c>
      <c r="M52" t="s">
        <v>101</v>
      </c>
      <c r="N52">
        <v>401670</v>
      </c>
      <c r="O52" t="e">
        <v>#N/A</v>
      </c>
    </row>
    <row r="53" spans="2:15" hidden="1" x14ac:dyDescent="0.3">
      <c r="B53" t="s">
        <v>8</v>
      </c>
      <c r="C53">
        <v>928</v>
      </c>
      <c r="D53" t="s">
        <v>13</v>
      </c>
      <c r="E53">
        <v>1184</v>
      </c>
      <c r="F53" t="s">
        <v>102</v>
      </c>
      <c r="G53">
        <v>917</v>
      </c>
      <c r="H53" t="s">
        <v>11</v>
      </c>
      <c r="I53" t="s">
        <v>2058</v>
      </c>
      <c r="J53" t="s">
        <v>7854</v>
      </c>
      <c r="K53">
        <v>1650</v>
      </c>
      <c r="L53">
        <v>44866</v>
      </c>
      <c r="M53" t="s">
        <v>103</v>
      </c>
      <c r="N53">
        <v>1650</v>
      </c>
      <c r="O53" t="e">
        <v>#N/A</v>
      </c>
    </row>
    <row r="54" spans="2:15" hidden="1" x14ac:dyDescent="0.3">
      <c r="B54" t="s">
        <v>8</v>
      </c>
      <c r="C54">
        <v>928</v>
      </c>
      <c r="D54" t="s">
        <v>9</v>
      </c>
      <c r="E54">
        <v>1202</v>
      </c>
      <c r="F54" t="s">
        <v>104</v>
      </c>
      <c r="G54">
        <v>201009</v>
      </c>
      <c r="H54" t="s">
        <v>11</v>
      </c>
      <c r="I54" t="s">
        <v>2060</v>
      </c>
      <c r="J54" t="s">
        <v>7855</v>
      </c>
      <c r="K54">
        <v>12720</v>
      </c>
      <c r="L54">
        <v>44866</v>
      </c>
      <c r="M54" t="s">
        <v>105</v>
      </c>
      <c r="N54">
        <v>12720</v>
      </c>
      <c r="O54" t="e">
        <v>#N/A</v>
      </c>
    </row>
    <row r="55" spans="2:15" hidden="1" x14ac:dyDescent="0.3">
      <c r="B55" t="s">
        <v>22</v>
      </c>
      <c r="C55">
        <v>809</v>
      </c>
      <c r="D55" t="s">
        <v>23</v>
      </c>
      <c r="E55">
        <v>810</v>
      </c>
      <c r="F55" t="s">
        <v>106</v>
      </c>
      <c r="G55">
        <v>1349</v>
      </c>
      <c r="H55" t="s">
        <v>11</v>
      </c>
      <c r="I55" t="s">
        <v>2061</v>
      </c>
      <c r="J55" t="s">
        <v>7856</v>
      </c>
      <c r="K55">
        <v>304130</v>
      </c>
      <c r="L55">
        <v>44866</v>
      </c>
      <c r="M55" t="s">
        <v>107</v>
      </c>
      <c r="N55">
        <v>304130</v>
      </c>
      <c r="O55" t="e">
        <v>#N/A</v>
      </c>
    </row>
    <row r="56" spans="2:15" hidden="1" x14ac:dyDescent="0.3">
      <c r="B56" t="s">
        <v>16</v>
      </c>
      <c r="C56">
        <v>927</v>
      </c>
      <c r="D56" t="s">
        <v>17</v>
      </c>
      <c r="E56">
        <v>1200</v>
      </c>
      <c r="F56" t="s">
        <v>93</v>
      </c>
      <c r="G56">
        <v>930</v>
      </c>
      <c r="H56" t="s">
        <v>11</v>
      </c>
      <c r="I56" t="s">
        <v>2062</v>
      </c>
      <c r="J56" t="s">
        <v>7857</v>
      </c>
      <c r="K56">
        <v>11580910</v>
      </c>
      <c r="L56">
        <v>44866</v>
      </c>
      <c r="M56" t="s">
        <v>108</v>
      </c>
      <c r="N56">
        <v>11580910</v>
      </c>
      <c r="O56" t="e">
        <v>#N/A</v>
      </c>
    </row>
    <row r="57" spans="2:15" hidden="1" x14ac:dyDescent="0.3">
      <c r="B57" t="s">
        <v>8</v>
      </c>
      <c r="C57">
        <v>928</v>
      </c>
      <c r="D57" t="s">
        <v>9</v>
      </c>
      <c r="E57">
        <v>1202</v>
      </c>
      <c r="F57" t="s">
        <v>27</v>
      </c>
      <c r="G57">
        <v>806</v>
      </c>
      <c r="H57" t="s">
        <v>11</v>
      </c>
      <c r="I57" t="s">
        <v>2064</v>
      </c>
      <c r="J57" t="s">
        <v>7858</v>
      </c>
      <c r="K57">
        <v>969070</v>
      </c>
      <c r="L57">
        <v>44866</v>
      </c>
      <c r="M57" t="s">
        <v>109</v>
      </c>
      <c r="N57">
        <v>969070</v>
      </c>
      <c r="O57" t="e">
        <v>#N/A</v>
      </c>
    </row>
    <row r="58" spans="2:15" hidden="1" x14ac:dyDescent="0.3">
      <c r="B58" t="s">
        <v>8</v>
      </c>
      <c r="C58">
        <v>928</v>
      </c>
      <c r="D58" t="s">
        <v>9</v>
      </c>
      <c r="E58">
        <v>1202</v>
      </c>
      <c r="F58" t="s">
        <v>110</v>
      </c>
      <c r="G58">
        <v>929</v>
      </c>
      <c r="H58" t="s">
        <v>11</v>
      </c>
      <c r="I58" t="s">
        <v>2070</v>
      </c>
      <c r="J58" t="s">
        <v>7859</v>
      </c>
      <c r="K58">
        <v>183580</v>
      </c>
      <c r="L58">
        <v>44866</v>
      </c>
      <c r="M58" t="s">
        <v>111</v>
      </c>
      <c r="N58">
        <v>183580</v>
      </c>
      <c r="O58" t="e">
        <v>#N/A</v>
      </c>
    </row>
    <row r="59" spans="2:15" hidden="1" x14ac:dyDescent="0.3">
      <c r="B59" t="s">
        <v>8</v>
      </c>
      <c r="C59">
        <v>928</v>
      </c>
      <c r="D59" t="s">
        <v>13</v>
      </c>
      <c r="E59">
        <v>1184</v>
      </c>
      <c r="F59" t="s">
        <v>51</v>
      </c>
      <c r="G59">
        <v>1274</v>
      </c>
      <c r="H59" t="s">
        <v>11</v>
      </c>
      <c r="I59" t="s">
        <v>2078</v>
      </c>
      <c r="J59" t="s">
        <v>7860</v>
      </c>
      <c r="K59">
        <v>8816750</v>
      </c>
      <c r="L59">
        <v>44866</v>
      </c>
      <c r="M59" t="s">
        <v>112</v>
      </c>
      <c r="N59">
        <v>8816750</v>
      </c>
      <c r="O59" t="e">
        <v>#N/A</v>
      </c>
    </row>
    <row r="60" spans="2:15" hidden="1" x14ac:dyDescent="0.3">
      <c r="B60" t="s">
        <v>41</v>
      </c>
      <c r="C60">
        <v>926</v>
      </c>
      <c r="D60" t="s">
        <v>56</v>
      </c>
      <c r="E60">
        <v>1207</v>
      </c>
      <c r="F60" t="s">
        <v>91</v>
      </c>
      <c r="G60">
        <v>201104</v>
      </c>
      <c r="H60" t="s">
        <v>11</v>
      </c>
      <c r="I60" t="s">
        <v>2079</v>
      </c>
      <c r="J60" t="s">
        <v>7861</v>
      </c>
      <c r="K60">
        <v>344000</v>
      </c>
      <c r="L60">
        <v>44866</v>
      </c>
      <c r="M60" t="s">
        <v>113</v>
      </c>
      <c r="N60">
        <v>344000</v>
      </c>
      <c r="O60" t="e">
        <v>#N/A</v>
      </c>
    </row>
    <row r="61" spans="2:15" hidden="1" x14ac:dyDescent="0.3">
      <c r="B61" t="s">
        <v>8</v>
      </c>
      <c r="C61">
        <v>928</v>
      </c>
      <c r="D61" t="s">
        <v>13</v>
      </c>
      <c r="E61">
        <v>1184</v>
      </c>
      <c r="F61" t="s">
        <v>59</v>
      </c>
      <c r="G61">
        <v>9</v>
      </c>
      <c r="H61" t="s">
        <v>11</v>
      </c>
      <c r="I61" t="s">
        <v>2080</v>
      </c>
      <c r="J61" t="s">
        <v>7862</v>
      </c>
      <c r="K61">
        <v>4380</v>
      </c>
      <c r="L61">
        <v>44866</v>
      </c>
      <c r="M61" t="s">
        <v>114</v>
      </c>
      <c r="N61">
        <v>4380</v>
      </c>
      <c r="O61" t="e">
        <v>#N/A</v>
      </c>
    </row>
    <row r="62" spans="2:15" hidden="1" x14ac:dyDescent="0.3">
      <c r="B62" t="s">
        <v>8</v>
      </c>
      <c r="C62">
        <v>928</v>
      </c>
      <c r="D62" t="s">
        <v>13</v>
      </c>
      <c r="E62">
        <v>1184</v>
      </c>
      <c r="F62" t="s">
        <v>115</v>
      </c>
      <c r="G62">
        <v>1548</v>
      </c>
      <c r="H62" t="s">
        <v>11</v>
      </c>
      <c r="I62" t="s">
        <v>2081</v>
      </c>
      <c r="J62" t="s">
        <v>7863</v>
      </c>
      <c r="K62">
        <v>2650</v>
      </c>
      <c r="L62">
        <v>44866</v>
      </c>
      <c r="M62" t="s">
        <v>116</v>
      </c>
      <c r="N62">
        <v>2650</v>
      </c>
      <c r="O62" t="e">
        <v>#N/A</v>
      </c>
    </row>
    <row r="63" spans="2:15" hidden="1" x14ac:dyDescent="0.3">
      <c r="B63" t="s">
        <v>8</v>
      </c>
      <c r="C63">
        <v>928</v>
      </c>
      <c r="D63" t="s">
        <v>9</v>
      </c>
      <c r="E63">
        <v>1202</v>
      </c>
      <c r="F63" t="s">
        <v>31</v>
      </c>
      <c r="G63">
        <v>1040</v>
      </c>
      <c r="H63" t="s">
        <v>11</v>
      </c>
      <c r="I63" t="s">
        <v>2082</v>
      </c>
      <c r="J63" t="s">
        <v>7864</v>
      </c>
      <c r="K63">
        <v>1065700</v>
      </c>
      <c r="L63">
        <v>44866</v>
      </c>
      <c r="M63" t="s">
        <v>117</v>
      </c>
      <c r="N63">
        <v>1065700</v>
      </c>
      <c r="O63" t="e">
        <v>#N/A</v>
      </c>
    </row>
    <row r="64" spans="2:15" hidden="1" x14ac:dyDescent="0.3">
      <c r="B64" t="s">
        <v>8</v>
      </c>
      <c r="C64">
        <v>928</v>
      </c>
      <c r="D64" t="s">
        <v>13</v>
      </c>
      <c r="E64">
        <v>1184</v>
      </c>
      <c r="F64" t="s">
        <v>118</v>
      </c>
      <c r="G64">
        <v>201004</v>
      </c>
      <c r="H64" t="s">
        <v>11</v>
      </c>
      <c r="I64" t="s">
        <v>2083</v>
      </c>
      <c r="J64" t="s">
        <v>7865</v>
      </c>
      <c r="K64">
        <v>7360</v>
      </c>
      <c r="L64">
        <v>44866</v>
      </c>
      <c r="M64" t="s">
        <v>119</v>
      </c>
      <c r="N64">
        <v>7360</v>
      </c>
      <c r="O64" t="e">
        <v>#N/A</v>
      </c>
    </row>
    <row r="65" spans="2:15" hidden="1" x14ac:dyDescent="0.3">
      <c r="B65" t="s">
        <v>8</v>
      </c>
      <c r="C65">
        <v>928</v>
      </c>
      <c r="D65" t="s">
        <v>9</v>
      </c>
      <c r="E65">
        <v>1202</v>
      </c>
      <c r="F65" t="s">
        <v>35</v>
      </c>
      <c r="G65">
        <v>51</v>
      </c>
      <c r="H65" t="s">
        <v>11</v>
      </c>
      <c r="I65" t="s">
        <v>2085</v>
      </c>
      <c r="J65" t="s">
        <v>7866</v>
      </c>
      <c r="K65">
        <v>20020</v>
      </c>
      <c r="L65">
        <v>44866</v>
      </c>
      <c r="M65" t="s">
        <v>120</v>
      </c>
      <c r="N65">
        <v>20020</v>
      </c>
      <c r="O65" t="e">
        <v>#N/A</v>
      </c>
    </row>
    <row r="66" spans="2:15" hidden="1" x14ac:dyDescent="0.3">
      <c r="B66" t="s">
        <v>41</v>
      </c>
      <c r="C66">
        <v>926</v>
      </c>
      <c r="D66" t="s">
        <v>42</v>
      </c>
      <c r="E66">
        <v>964</v>
      </c>
      <c r="F66" t="s">
        <v>43</v>
      </c>
      <c r="G66">
        <v>200998</v>
      </c>
      <c r="H66" t="s">
        <v>11</v>
      </c>
      <c r="I66" t="s">
        <v>2086</v>
      </c>
      <c r="J66" t="s">
        <v>7867</v>
      </c>
      <c r="K66">
        <v>328830</v>
      </c>
      <c r="L66">
        <v>44866</v>
      </c>
      <c r="M66" t="s">
        <v>121</v>
      </c>
      <c r="N66">
        <v>328830</v>
      </c>
      <c r="O66" t="e">
        <v>#N/A</v>
      </c>
    </row>
    <row r="67" spans="2:15" hidden="1" x14ac:dyDescent="0.3">
      <c r="B67" t="s">
        <v>8</v>
      </c>
      <c r="C67">
        <v>928</v>
      </c>
      <c r="D67" t="s">
        <v>9</v>
      </c>
      <c r="E67">
        <v>1202</v>
      </c>
      <c r="F67" t="s">
        <v>122</v>
      </c>
      <c r="G67">
        <v>251</v>
      </c>
      <c r="H67" t="s">
        <v>11</v>
      </c>
      <c r="I67" t="s">
        <v>2088</v>
      </c>
      <c r="J67" t="s">
        <v>7868</v>
      </c>
      <c r="K67">
        <v>1203020</v>
      </c>
      <c r="L67">
        <v>44866</v>
      </c>
      <c r="M67" t="s">
        <v>123</v>
      </c>
      <c r="N67">
        <v>3050</v>
      </c>
      <c r="O67" t="e">
        <v>#N/A</v>
      </c>
    </row>
    <row r="68" spans="2:15" x14ac:dyDescent="0.3">
      <c r="B68" t="s">
        <v>16</v>
      </c>
      <c r="C68">
        <v>927</v>
      </c>
      <c r="D68" t="s">
        <v>17</v>
      </c>
      <c r="E68">
        <v>1200</v>
      </c>
      <c r="F68" t="s">
        <v>96</v>
      </c>
      <c r="G68">
        <v>1271</v>
      </c>
      <c r="H68" t="s">
        <v>11</v>
      </c>
      <c r="I68" t="s">
        <v>7869</v>
      </c>
      <c r="J68" t="s">
        <v>7870</v>
      </c>
      <c r="K68">
        <v>27290</v>
      </c>
      <c r="L68">
        <v>44866</v>
      </c>
      <c r="M68" t="s">
        <v>124</v>
      </c>
      <c r="N68" t="e">
        <v>#N/A</v>
      </c>
      <c r="O68" t="e">
        <v>#N/A</v>
      </c>
    </row>
    <row r="69" spans="2:15" hidden="1" x14ac:dyDescent="0.3">
      <c r="B69" t="s">
        <v>41</v>
      </c>
      <c r="C69">
        <v>926</v>
      </c>
      <c r="D69" t="s">
        <v>56</v>
      </c>
      <c r="E69">
        <v>1207</v>
      </c>
      <c r="F69" t="s">
        <v>64</v>
      </c>
      <c r="G69">
        <v>201011</v>
      </c>
      <c r="H69" t="s">
        <v>11</v>
      </c>
      <c r="I69" t="s">
        <v>2091</v>
      </c>
      <c r="J69" t="s">
        <v>7871</v>
      </c>
      <c r="K69">
        <v>980220</v>
      </c>
      <c r="L69">
        <v>44866</v>
      </c>
      <c r="M69" t="s">
        <v>125</v>
      </c>
      <c r="N69">
        <v>980220</v>
      </c>
      <c r="O69" t="e">
        <v>#N/A</v>
      </c>
    </row>
    <row r="70" spans="2:15" hidden="1" x14ac:dyDescent="0.3">
      <c r="B70" t="s">
        <v>8</v>
      </c>
      <c r="C70">
        <v>928</v>
      </c>
      <c r="D70" t="s">
        <v>9</v>
      </c>
      <c r="E70">
        <v>1202</v>
      </c>
      <c r="F70" t="s">
        <v>27</v>
      </c>
      <c r="G70">
        <v>806</v>
      </c>
      <c r="H70" t="s">
        <v>11</v>
      </c>
      <c r="I70" t="s">
        <v>2095</v>
      </c>
      <c r="J70" t="s">
        <v>7872</v>
      </c>
      <c r="K70">
        <v>170000</v>
      </c>
      <c r="L70">
        <v>44866</v>
      </c>
      <c r="M70" t="s">
        <v>126</v>
      </c>
      <c r="N70">
        <v>170000</v>
      </c>
      <c r="O70" t="e">
        <v>#N/A</v>
      </c>
    </row>
    <row r="71" spans="2:15" hidden="1" x14ac:dyDescent="0.3">
      <c r="B71" t="s">
        <v>8</v>
      </c>
      <c r="C71">
        <v>928</v>
      </c>
      <c r="D71" t="s">
        <v>13</v>
      </c>
      <c r="E71">
        <v>1184</v>
      </c>
      <c r="F71" t="s">
        <v>127</v>
      </c>
      <c r="G71">
        <v>201029</v>
      </c>
      <c r="H71" t="s">
        <v>11</v>
      </c>
      <c r="I71" t="s">
        <v>2096</v>
      </c>
      <c r="J71" t="s">
        <v>7873</v>
      </c>
      <c r="K71">
        <v>1960540</v>
      </c>
      <c r="L71">
        <v>44866</v>
      </c>
      <c r="M71" t="s">
        <v>128</v>
      </c>
      <c r="N71">
        <v>460570</v>
      </c>
      <c r="O71" t="e">
        <v>#N/A</v>
      </c>
    </row>
    <row r="72" spans="2:15" hidden="1" x14ac:dyDescent="0.3">
      <c r="B72" t="s">
        <v>41</v>
      </c>
      <c r="C72">
        <v>926</v>
      </c>
      <c r="D72" t="s">
        <v>56</v>
      </c>
      <c r="E72">
        <v>1207</v>
      </c>
      <c r="F72" t="s">
        <v>64</v>
      </c>
      <c r="G72">
        <v>201011</v>
      </c>
      <c r="H72" t="s">
        <v>11</v>
      </c>
      <c r="I72" t="s">
        <v>2098</v>
      </c>
      <c r="J72" t="s">
        <v>7874</v>
      </c>
      <c r="K72">
        <v>13500</v>
      </c>
      <c r="L72">
        <v>44866</v>
      </c>
      <c r="M72" t="s">
        <v>129</v>
      </c>
      <c r="N72">
        <v>13500</v>
      </c>
      <c r="O72" t="e">
        <v>#N/A</v>
      </c>
    </row>
    <row r="73" spans="2:15" hidden="1" x14ac:dyDescent="0.3">
      <c r="B73" t="s">
        <v>8</v>
      </c>
      <c r="C73">
        <v>928</v>
      </c>
      <c r="D73" t="s">
        <v>9</v>
      </c>
      <c r="E73">
        <v>1202</v>
      </c>
      <c r="F73" t="s">
        <v>31</v>
      </c>
      <c r="G73">
        <v>1040</v>
      </c>
      <c r="H73" t="s">
        <v>11</v>
      </c>
      <c r="I73" t="s">
        <v>2099</v>
      </c>
      <c r="J73" t="s">
        <v>7875</v>
      </c>
      <c r="K73">
        <v>1152050</v>
      </c>
      <c r="L73">
        <v>44866</v>
      </c>
      <c r="M73" t="s">
        <v>130</v>
      </c>
      <c r="N73">
        <v>1152050</v>
      </c>
      <c r="O73" t="e">
        <v>#N/A</v>
      </c>
    </row>
    <row r="74" spans="2:15" hidden="1" x14ac:dyDescent="0.3">
      <c r="B74" t="s">
        <v>8</v>
      </c>
      <c r="C74">
        <v>928</v>
      </c>
      <c r="D74" t="s">
        <v>13</v>
      </c>
      <c r="E74">
        <v>1184</v>
      </c>
      <c r="F74" t="s">
        <v>59</v>
      </c>
      <c r="G74">
        <v>9</v>
      </c>
      <c r="H74" t="s">
        <v>11</v>
      </c>
      <c r="I74" t="s">
        <v>2104</v>
      </c>
      <c r="J74" t="s">
        <v>7876</v>
      </c>
      <c r="K74">
        <v>10560</v>
      </c>
      <c r="L74">
        <v>44866</v>
      </c>
      <c r="M74" t="s">
        <v>131</v>
      </c>
      <c r="N74">
        <v>10560</v>
      </c>
      <c r="O74" t="e">
        <v>#N/A</v>
      </c>
    </row>
    <row r="75" spans="2:15" hidden="1" x14ac:dyDescent="0.3">
      <c r="B75" t="s">
        <v>41</v>
      </c>
      <c r="C75">
        <v>926</v>
      </c>
      <c r="D75" t="s">
        <v>56</v>
      </c>
      <c r="E75">
        <v>1207</v>
      </c>
      <c r="F75" t="s">
        <v>91</v>
      </c>
      <c r="G75">
        <v>201104</v>
      </c>
      <c r="H75" t="s">
        <v>11</v>
      </c>
      <c r="I75" t="s">
        <v>2108</v>
      </c>
      <c r="J75" t="s">
        <v>7877</v>
      </c>
      <c r="K75">
        <v>229090</v>
      </c>
      <c r="L75">
        <v>44866</v>
      </c>
      <c r="M75" t="s">
        <v>132</v>
      </c>
      <c r="N75">
        <v>229090</v>
      </c>
      <c r="O75" t="e">
        <v>#N/A</v>
      </c>
    </row>
    <row r="76" spans="2:15" hidden="1" x14ac:dyDescent="0.3">
      <c r="B76" t="s">
        <v>16</v>
      </c>
      <c r="C76">
        <v>927</v>
      </c>
      <c r="D76" t="s">
        <v>17</v>
      </c>
      <c r="E76">
        <v>1200</v>
      </c>
      <c r="F76" t="s">
        <v>93</v>
      </c>
      <c r="G76">
        <v>930</v>
      </c>
      <c r="H76" t="s">
        <v>11</v>
      </c>
      <c r="I76" t="s">
        <v>2115</v>
      </c>
      <c r="J76" t="s">
        <v>7878</v>
      </c>
      <c r="K76">
        <v>954070</v>
      </c>
      <c r="L76">
        <v>44866</v>
      </c>
      <c r="M76" t="s">
        <v>133</v>
      </c>
      <c r="N76">
        <v>954070</v>
      </c>
      <c r="O76" t="e">
        <v>#N/A</v>
      </c>
    </row>
    <row r="77" spans="2:15" hidden="1" x14ac:dyDescent="0.3">
      <c r="B77" t="s">
        <v>8</v>
      </c>
      <c r="C77">
        <v>928</v>
      </c>
      <c r="D77" t="s">
        <v>9</v>
      </c>
      <c r="E77">
        <v>1202</v>
      </c>
      <c r="F77" t="s">
        <v>10</v>
      </c>
      <c r="G77">
        <v>939</v>
      </c>
      <c r="H77" t="s">
        <v>11</v>
      </c>
      <c r="I77" t="s">
        <v>2116</v>
      </c>
      <c r="J77" t="s">
        <v>7879</v>
      </c>
      <c r="K77">
        <v>5338610</v>
      </c>
      <c r="L77">
        <v>44866</v>
      </c>
      <c r="M77" t="s">
        <v>134</v>
      </c>
      <c r="N77">
        <v>5338610</v>
      </c>
      <c r="O77" t="e">
        <v>#N/A</v>
      </c>
    </row>
    <row r="78" spans="2:15" hidden="1" x14ac:dyDescent="0.3">
      <c r="B78" t="s">
        <v>8</v>
      </c>
      <c r="C78">
        <v>928</v>
      </c>
      <c r="D78" t="s">
        <v>9</v>
      </c>
      <c r="E78">
        <v>1202</v>
      </c>
      <c r="F78" t="s">
        <v>47</v>
      </c>
      <c r="G78">
        <v>898</v>
      </c>
      <c r="H78" t="s">
        <v>11</v>
      </c>
      <c r="I78" t="s">
        <v>2121</v>
      </c>
      <c r="J78" t="s">
        <v>7880</v>
      </c>
      <c r="K78">
        <v>49910</v>
      </c>
      <c r="L78">
        <v>44866</v>
      </c>
      <c r="M78" t="s">
        <v>135</v>
      </c>
      <c r="N78">
        <v>49910</v>
      </c>
      <c r="O78" t="e">
        <v>#N/A</v>
      </c>
    </row>
    <row r="79" spans="2:15" hidden="1" x14ac:dyDescent="0.3">
      <c r="B79" t="s">
        <v>16</v>
      </c>
      <c r="C79">
        <v>927</v>
      </c>
      <c r="D79" t="s">
        <v>17</v>
      </c>
      <c r="E79">
        <v>1200</v>
      </c>
      <c r="F79" t="s">
        <v>93</v>
      </c>
      <c r="G79">
        <v>930</v>
      </c>
      <c r="H79" t="s">
        <v>11</v>
      </c>
      <c r="I79" t="s">
        <v>2122</v>
      </c>
      <c r="J79" t="s">
        <v>7881</v>
      </c>
      <c r="K79">
        <v>24737380</v>
      </c>
      <c r="L79">
        <v>44866</v>
      </c>
      <c r="M79" t="s">
        <v>136</v>
      </c>
      <c r="N79">
        <v>24782530</v>
      </c>
      <c r="O79" t="e">
        <v>#N/A</v>
      </c>
    </row>
    <row r="80" spans="2:15" hidden="1" x14ac:dyDescent="0.3">
      <c r="B80" t="s">
        <v>16</v>
      </c>
      <c r="C80">
        <v>927</v>
      </c>
      <c r="D80" t="s">
        <v>17</v>
      </c>
      <c r="E80">
        <v>1200</v>
      </c>
      <c r="F80" t="s">
        <v>137</v>
      </c>
      <c r="G80">
        <v>1012</v>
      </c>
      <c r="H80" t="s">
        <v>11</v>
      </c>
      <c r="I80" t="s">
        <v>2126</v>
      </c>
      <c r="J80" t="s">
        <v>7882</v>
      </c>
      <c r="K80">
        <v>245840</v>
      </c>
      <c r="L80">
        <v>44866</v>
      </c>
      <c r="M80" t="s">
        <v>138</v>
      </c>
      <c r="N80">
        <v>245840</v>
      </c>
      <c r="O80" t="e">
        <v>#N/A</v>
      </c>
    </row>
    <row r="81" spans="2:15" hidden="1" x14ac:dyDescent="0.3">
      <c r="B81" t="s">
        <v>41</v>
      </c>
      <c r="C81">
        <v>926</v>
      </c>
      <c r="D81" t="s">
        <v>56</v>
      </c>
      <c r="E81">
        <v>1207</v>
      </c>
      <c r="F81" t="s">
        <v>62</v>
      </c>
      <c r="G81">
        <v>201037</v>
      </c>
      <c r="H81" t="s">
        <v>11</v>
      </c>
      <c r="I81" t="s">
        <v>2128</v>
      </c>
      <c r="J81" t="s">
        <v>7883</v>
      </c>
      <c r="K81">
        <v>474750</v>
      </c>
      <c r="L81">
        <v>44866</v>
      </c>
      <c r="M81" t="s">
        <v>139</v>
      </c>
      <c r="N81">
        <v>474750</v>
      </c>
      <c r="O81" t="e">
        <v>#N/A</v>
      </c>
    </row>
    <row r="82" spans="2:15" hidden="1" x14ac:dyDescent="0.3">
      <c r="B82" t="s">
        <v>8</v>
      </c>
      <c r="C82">
        <v>928</v>
      </c>
      <c r="D82" t="s">
        <v>9</v>
      </c>
      <c r="E82">
        <v>1202</v>
      </c>
      <c r="F82" t="s">
        <v>20</v>
      </c>
      <c r="G82">
        <v>938</v>
      </c>
      <c r="H82" t="s">
        <v>11</v>
      </c>
      <c r="I82" t="s">
        <v>2129</v>
      </c>
      <c r="J82" t="s">
        <v>7884</v>
      </c>
      <c r="K82">
        <v>43030</v>
      </c>
      <c r="L82">
        <v>44866</v>
      </c>
      <c r="M82" t="s">
        <v>140</v>
      </c>
      <c r="N82">
        <v>43030</v>
      </c>
      <c r="O82" t="e">
        <v>#N/A</v>
      </c>
    </row>
    <row r="83" spans="2:15" hidden="1" x14ac:dyDescent="0.3">
      <c r="B83" t="s">
        <v>8</v>
      </c>
      <c r="C83">
        <v>928</v>
      </c>
      <c r="D83" t="s">
        <v>9</v>
      </c>
      <c r="E83">
        <v>1202</v>
      </c>
      <c r="F83" t="s">
        <v>27</v>
      </c>
      <c r="G83">
        <v>806</v>
      </c>
      <c r="H83" t="s">
        <v>11</v>
      </c>
      <c r="I83" t="s">
        <v>2130</v>
      </c>
      <c r="J83" t="s">
        <v>7885</v>
      </c>
      <c r="K83">
        <v>627280</v>
      </c>
      <c r="L83">
        <v>44866</v>
      </c>
      <c r="M83" t="s">
        <v>141</v>
      </c>
      <c r="N83">
        <v>627280</v>
      </c>
      <c r="O83" t="e">
        <v>#N/A</v>
      </c>
    </row>
    <row r="84" spans="2:15" hidden="1" x14ac:dyDescent="0.3">
      <c r="B84" t="s">
        <v>8</v>
      </c>
      <c r="C84">
        <v>928</v>
      </c>
      <c r="D84" t="s">
        <v>9</v>
      </c>
      <c r="E84">
        <v>1202</v>
      </c>
      <c r="F84" t="s">
        <v>27</v>
      </c>
      <c r="G84">
        <v>806</v>
      </c>
      <c r="H84" t="s">
        <v>11</v>
      </c>
      <c r="I84" t="s">
        <v>2131</v>
      </c>
      <c r="J84" t="s">
        <v>7886</v>
      </c>
      <c r="K84">
        <v>271060</v>
      </c>
      <c r="L84">
        <v>44866</v>
      </c>
      <c r="M84" t="s">
        <v>141</v>
      </c>
      <c r="N84">
        <v>271060</v>
      </c>
      <c r="O84" t="e">
        <v>#N/A</v>
      </c>
    </row>
    <row r="85" spans="2:15" hidden="1" x14ac:dyDescent="0.3">
      <c r="B85" t="s">
        <v>8</v>
      </c>
      <c r="C85">
        <v>928</v>
      </c>
      <c r="D85" t="s">
        <v>9</v>
      </c>
      <c r="E85">
        <v>1202</v>
      </c>
      <c r="F85" t="s">
        <v>142</v>
      </c>
      <c r="G85">
        <v>652</v>
      </c>
      <c r="H85" t="s">
        <v>11</v>
      </c>
      <c r="I85" t="s">
        <v>2132</v>
      </c>
      <c r="J85" t="s">
        <v>7887</v>
      </c>
      <c r="K85">
        <v>752142</v>
      </c>
      <c r="L85">
        <v>44866</v>
      </c>
      <c r="M85" t="s">
        <v>143</v>
      </c>
      <c r="N85">
        <v>75542</v>
      </c>
      <c r="O85" t="e">
        <v>#N/A</v>
      </c>
    </row>
    <row r="86" spans="2:15" hidden="1" x14ac:dyDescent="0.3">
      <c r="B86" t="s">
        <v>8</v>
      </c>
      <c r="C86">
        <v>928</v>
      </c>
      <c r="D86" t="s">
        <v>9</v>
      </c>
      <c r="E86">
        <v>1202</v>
      </c>
      <c r="F86" t="s">
        <v>37</v>
      </c>
      <c r="G86">
        <v>81</v>
      </c>
      <c r="H86" t="s">
        <v>11</v>
      </c>
      <c r="I86" t="s">
        <v>2134</v>
      </c>
      <c r="J86" t="s">
        <v>7888</v>
      </c>
      <c r="K86">
        <v>683500</v>
      </c>
      <c r="L86">
        <v>44866</v>
      </c>
      <c r="M86" t="s">
        <v>144</v>
      </c>
      <c r="N86">
        <v>683500</v>
      </c>
      <c r="O86" t="e">
        <v>#N/A</v>
      </c>
    </row>
    <row r="87" spans="2:15" hidden="1" x14ac:dyDescent="0.3">
      <c r="B87" t="s">
        <v>8</v>
      </c>
      <c r="C87">
        <v>928</v>
      </c>
      <c r="D87" t="s">
        <v>13</v>
      </c>
      <c r="E87">
        <v>1184</v>
      </c>
      <c r="F87" t="s">
        <v>51</v>
      </c>
      <c r="G87">
        <v>1274</v>
      </c>
      <c r="H87" t="s">
        <v>11</v>
      </c>
      <c r="I87" t="s">
        <v>2136</v>
      </c>
      <c r="J87" t="s">
        <v>7889</v>
      </c>
      <c r="K87">
        <v>2150</v>
      </c>
      <c r="L87">
        <v>44866</v>
      </c>
      <c r="M87" t="s">
        <v>145</v>
      </c>
      <c r="N87">
        <v>2150</v>
      </c>
      <c r="O87" t="e">
        <v>#N/A</v>
      </c>
    </row>
    <row r="88" spans="2:15" hidden="1" x14ac:dyDescent="0.3">
      <c r="B88" t="s">
        <v>41</v>
      </c>
      <c r="C88">
        <v>926</v>
      </c>
      <c r="D88" t="s">
        <v>56</v>
      </c>
      <c r="E88">
        <v>1207</v>
      </c>
      <c r="F88" t="s">
        <v>57</v>
      </c>
      <c r="G88">
        <v>200982</v>
      </c>
      <c r="H88" t="s">
        <v>11</v>
      </c>
      <c r="I88" t="s">
        <v>2137</v>
      </c>
      <c r="J88" t="s">
        <v>7890</v>
      </c>
      <c r="K88">
        <v>1050850</v>
      </c>
      <c r="L88">
        <v>44866</v>
      </c>
      <c r="M88" t="s">
        <v>146</v>
      </c>
      <c r="N88">
        <v>350870</v>
      </c>
      <c r="O88" t="e">
        <v>#N/A</v>
      </c>
    </row>
    <row r="89" spans="2:15" hidden="1" x14ac:dyDescent="0.3">
      <c r="B89" t="s">
        <v>8</v>
      </c>
      <c r="C89">
        <v>928</v>
      </c>
      <c r="D89" t="s">
        <v>9</v>
      </c>
      <c r="E89">
        <v>1202</v>
      </c>
      <c r="F89" t="s">
        <v>33</v>
      </c>
      <c r="G89">
        <v>933</v>
      </c>
      <c r="H89" t="s">
        <v>11</v>
      </c>
      <c r="I89" t="s">
        <v>2144</v>
      </c>
      <c r="J89" t="s">
        <v>7891</v>
      </c>
      <c r="K89">
        <v>10130</v>
      </c>
      <c r="L89">
        <v>44866</v>
      </c>
      <c r="M89" t="s">
        <v>147</v>
      </c>
      <c r="N89">
        <v>10130</v>
      </c>
      <c r="O89" t="e">
        <v>#N/A</v>
      </c>
    </row>
    <row r="90" spans="2:15" hidden="1" x14ac:dyDescent="0.3">
      <c r="B90" t="s">
        <v>8</v>
      </c>
      <c r="C90">
        <v>928</v>
      </c>
      <c r="D90" t="s">
        <v>13</v>
      </c>
      <c r="E90">
        <v>1184</v>
      </c>
      <c r="F90" t="s">
        <v>59</v>
      </c>
      <c r="G90">
        <v>9</v>
      </c>
      <c r="H90" t="s">
        <v>11</v>
      </c>
      <c r="I90" t="s">
        <v>2147</v>
      </c>
      <c r="J90" t="s">
        <v>7892</v>
      </c>
      <c r="K90">
        <v>9900</v>
      </c>
      <c r="L90">
        <v>44866</v>
      </c>
      <c r="M90" t="s">
        <v>148</v>
      </c>
      <c r="N90">
        <v>8850</v>
      </c>
      <c r="O90" t="e">
        <v>#N/A</v>
      </c>
    </row>
    <row r="91" spans="2:15" hidden="1" x14ac:dyDescent="0.3">
      <c r="B91" t="s">
        <v>8</v>
      </c>
      <c r="C91">
        <v>928</v>
      </c>
      <c r="D91" t="s">
        <v>9</v>
      </c>
      <c r="E91">
        <v>1202</v>
      </c>
      <c r="F91" t="s">
        <v>33</v>
      </c>
      <c r="G91">
        <v>933</v>
      </c>
      <c r="H91" t="s">
        <v>11</v>
      </c>
      <c r="I91" t="s">
        <v>2148</v>
      </c>
      <c r="J91" t="s">
        <v>7893</v>
      </c>
      <c r="K91">
        <v>1303070</v>
      </c>
      <c r="L91">
        <v>44866</v>
      </c>
      <c r="M91" t="s">
        <v>149</v>
      </c>
      <c r="N91">
        <v>1303070</v>
      </c>
      <c r="O91" t="e">
        <v>#N/A</v>
      </c>
    </row>
    <row r="92" spans="2:15" hidden="1" x14ac:dyDescent="0.3">
      <c r="B92" t="s">
        <v>16</v>
      </c>
      <c r="C92">
        <v>927</v>
      </c>
      <c r="D92" t="s">
        <v>17</v>
      </c>
      <c r="E92">
        <v>1200</v>
      </c>
      <c r="F92" t="s">
        <v>66</v>
      </c>
      <c r="G92">
        <v>33</v>
      </c>
      <c r="H92" t="s">
        <v>11</v>
      </c>
      <c r="I92" t="s">
        <v>2153</v>
      </c>
      <c r="J92" t="s">
        <v>7894</v>
      </c>
      <c r="K92">
        <v>257930</v>
      </c>
      <c r="L92">
        <v>44866</v>
      </c>
      <c r="M92" t="s">
        <v>150</v>
      </c>
      <c r="N92">
        <v>257930</v>
      </c>
      <c r="O92" t="e">
        <v>#N/A</v>
      </c>
    </row>
    <row r="93" spans="2:15" x14ac:dyDescent="0.3">
      <c r="B93" t="s">
        <v>8</v>
      </c>
      <c r="C93">
        <v>928</v>
      </c>
      <c r="D93" t="s">
        <v>9</v>
      </c>
      <c r="E93">
        <v>1202</v>
      </c>
      <c r="F93" t="s">
        <v>35</v>
      </c>
      <c r="G93">
        <v>51</v>
      </c>
      <c r="H93" t="s">
        <v>11</v>
      </c>
      <c r="I93" t="s">
        <v>7895</v>
      </c>
      <c r="J93" t="s">
        <v>7896</v>
      </c>
      <c r="K93">
        <v>24210</v>
      </c>
      <c r="L93">
        <v>44866</v>
      </c>
      <c r="M93" t="s">
        <v>151</v>
      </c>
      <c r="N93" t="e">
        <v>#N/A</v>
      </c>
      <c r="O93" t="e">
        <v>#N/A</v>
      </c>
    </row>
    <row r="94" spans="2:15" hidden="1" x14ac:dyDescent="0.3">
      <c r="B94" t="s">
        <v>16</v>
      </c>
      <c r="C94">
        <v>927</v>
      </c>
      <c r="D94" t="s">
        <v>17</v>
      </c>
      <c r="E94">
        <v>1200</v>
      </c>
      <c r="F94" t="s">
        <v>93</v>
      </c>
      <c r="G94">
        <v>930</v>
      </c>
      <c r="H94" t="s">
        <v>11</v>
      </c>
      <c r="I94" t="s">
        <v>2156</v>
      </c>
      <c r="J94" t="s">
        <v>7897</v>
      </c>
      <c r="K94">
        <v>338760</v>
      </c>
      <c r="L94">
        <v>44866</v>
      </c>
      <c r="M94" t="s">
        <v>152</v>
      </c>
      <c r="N94">
        <v>339480</v>
      </c>
      <c r="O94" t="e">
        <v>#N/A</v>
      </c>
    </row>
    <row r="95" spans="2:15" hidden="1" x14ac:dyDescent="0.3">
      <c r="B95" t="s">
        <v>41</v>
      </c>
      <c r="C95">
        <v>926</v>
      </c>
      <c r="D95" t="s">
        <v>42</v>
      </c>
      <c r="E95">
        <v>964</v>
      </c>
      <c r="F95" t="s">
        <v>43</v>
      </c>
      <c r="G95">
        <v>200998</v>
      </c>
      <c r="H95" t="s">
        <v>11</v>
      </c>
      <c r="I95" t="s">
        <v>2157</v>
      </c>
      <c r="J95" t="s">
        <v>7898</v>
      </c>
      <c r="K95">
        <v>8910</v>
      </c>
      <c r="L95">
        <v>44866</v>
      </c>
      <c r="M95" t="s">
        <v>153</v>
      </c>
      <c r="N95">
        <v>8910</v>
      </c>
      <c r="O95" t="e">
        <v>#N/A</v>
      </c>
    </row>
    <row r="96" spans="2:15" hidden="1" x14ac:dyDescent="0.3">
      <c r="B96" t="s">
        <v>41</v>
      </c>
      <c r="C96">
        <v>926</v>
      </c>
      <c r="D96" t="s">
        <v>56</v>
      </c>
      <c r="E96">
        <v>1207</v>
      </c>
      <c r="F96" t="s">
        <v>91</v>
      </c>
      <c r="G96">
        <v>201104</v>
      </c>
      <c r="H96" t="s">
        <v>11</v>
      </c>
      <c r="I96" t="s">
        <v>2158</v>
      </c>
      <c r="J96" t="s">
        <v>7899</v>
      </c>
      <c r="K96">
        <v>386530</v>
      </c>
      <c r="L96">
        <v>44866</v>
      </c>
      <c r="M96" t="s">
        <v>154</v>
      </c>
      <c r="N96">
        <v>386530</v>
      </c>
      <c r="O96" t="e">
        <v>#N/A</v>
      </c>
    </row>
    <row r="97" spans="2:15" hidden="1" x14ac:dyDescent="0.3">
      <c r="B97" t="s">
        <v>8</v>
      </c>
      <c r="C97">
        <v>928</v>
      </c>
      <c r="D97" t="s">
        <v>9</v>
      </c>
      <c r="E97">
        <v>1202</v>
      </c>
      <c r="F97" t="s">
        <v>33</v>
      </c>
      <c r="G97">
        <v>933</v>
      </c>
      <c r="H97" t="s">
        <v>11</v>
      </c>
      <c r="I97" t="s">
        <v>2159</v>
      </c>
      <c r="J97" t="s">
        <v>7900</v>
      </c>
      <c r="K97">
        <v>1071770</v>
      </c>
      <c r="L97">
        <v>44866</v>
      </c>
      <c r="M97" t="s">
        <v>155</v>
      </c>
      <c r="N97">
        <v>1071770</v>
      </c>
      <c r="O97" t="e">
        <v>#N/A</v>
      </c>
    </row>
    <row r="98" spans="2:15" hidden="1" x14ac:dyDescent="0.3">
      <c r="B98" t="s">
        <v>41</v>
      </c>
      <c r="C98">
        <v>926</v>
      </c>
      <c r="D98" t="s">
        <v>56</v>
      </c>
      <c r="E98">
        <v>1207</v>
      </c>
      <c r="F98" t="s">
        <v>156</v>
      </c>
      <c r="G98">
        <v>201103</v>
      </c>
      <c r="H98" t="s">
        <v>11</v>
      </c>
      <c r="I98" t="s">
        <v>2162</v>
      </c>
      <c r="J98" t="s">
        <v>7901</v>
      </c>
      <c r="K98">
        <v>5380</v>
      </c>
      <c r="L98">
        <v>44866</v>
      </c>
      <c r="M98" t="s">
        <v>157</v>
      </c>
      <c r="N98">
        <v>113220</v>
      </c>
      <c r="O98" t="e">
        <v>#N/A</v>
      </c>
    </row>
    <row r="99" spans="2:15" hidden="1" x14ac:dyDescent="0.3">
      <c r="B99" t="s">
        <v>41</v>
      </c>
      <c r="C99">
        <v>926</v>
      </c>
      <c r="D99" t="s">
        <v>56</v>
      </c>
      <c r="E99">
        <v>1207</v>
      </c>
      <c r="F99" t="s">
        <v>156</v>
      </c>
      <c r="G99">
        <v>201103</v>
      </c>
      <c r="H99" t="s">
        <v>11</v>
      </c>
      <c r="I99" t="s">
        <v>2163</v>
      </c>
      <c r="J99" t="s">
        <v>7902</v>
      </c>
      <c r="K99">
        <v>565755</v>
      </c>
      <c r="L99">
        <v>44866</v>
      </c>
      <c r="M99" t="s">
        <v>158</v>
      </c>
      <c r="N99">
        <v>565802</v>
      </c>
      <c r="O99" t="e">
        <v>#N/A</v>
      </c>
    </row>
    <row r="100" spans="2:15" hidden="1" x14ac:dyDescent="0.3">
      <c r="B100" t="s">
        <v>41</v>
      </c>
      <c r="C100">
        <v>926</v>
      </c>
      <c r="D100" t="s">
        <v>56</v>
      </c>
      <c r="E100">
        <v>1207</v>
      </c>
      <c r="F100" t="s">
        <v>64</v>
      </c>
      <c r="G100">
        <v>201011</v>
      </c>
      <c r="H100" t="s">
        <v>11</v>
      </c>
      <c r="I100" t="s">
        <v>2164</v>
      </c>
      <c r="J100" t="s">
        <v>7903</v>
      </c>
      <c r="K100">
        <v>13305130</v>
      </c>
      <c r="L100">
        <v>44866</v>
      </c>
      <c r="M100" t="s">
        <v>159</v>
      </c>
      <c r="N100">
        <v>13305130</v>
      </c>
      <c r="O100" t="e">
        <v>#N/A</v>
      </c>
    </row>
    <row r="101" spans="2:15" x14ac:dyDescent="0.3">
      <c r="B101" t="s">
        <v>8</v>
      </c>
      <c r="C101">
        <v>928</v>
      </c>
      <c r="D101" t="s">
        <v>13</v>
      </c>
      <c r="E101">
        <v>1184</v>
      </c>
      <c r="F101" t="s">
        <v>115</v>
      </c>
      <c r="G101">
        <v>1548</v>
      </c>
      <c r="H101" t="s">
        <v>11</v>
      </c>
      <c r="I101" t="s">
        <v>7904</v>
      </c>
      <c r="J101" t="s">
        <v>7905</v>
      </c>
      <c r="K101">
        <v>694690</v>
      </c>
      <c r="L101">
        <v>44866</v>
      </c>
      <c r="M101" t="s">
        <v>160</v>
      </c>
      <c r="N101" t="e">
        <v>#N/A</v>
      </c>
      <c r="O101" t="e">
        <v>#N/A</v>
      </c>
    </row>
    <row r="102" spans="2:15" hidden="1" x14ac:dyDescent="0.3">
      <c r="B102" t="s">
        <v>8</v>
      </c>
      <c r="C102">
        <v>928</v>
      </c>
      <c r="D102" t="s">
        <v>13</v>
      </c>
      <c r="E102">
        <v>1184</v>
      </c>
      <c r="F102" t="s">
        <v>115</v>
      </c>
      <c r="G102">
        <v>1548</v>
      </c>
      <c r="H102" t="s">
        <v>11</v>
      </c>
      <c r="I102" t="s">
        <v>2167</v>
      </c>
      <c r="J102" t="s">
        <v>7906</v>
      </c>
      <c r="K102">
        <v>6508340</v>
      </c>
      <c r="L102">
        <v>44866</v>
      </c>
      <c r="M102" t="s">
        <v>161</v>
      </c>
      <c r="N102">
        <v>5508570</v>
      </c>
      <c r="O102" t="e">
        <v>#N/A</v>
      </c>
    </row>
    <row r="103" spans="2:15" hidden="1" x14ac:dyDescent="0.3">
      <c r="B103" t="s">
        <v>16</v>
      </c>
      <c r="C103">
        <v>927</v>
      </c>
      <c r="D103" t="s">
        <v>17</v>
      </c>
      <c r="E103">
        <v>1200</v>
      </c>
      <c r="F103" t="s">
        <v>66</v>
      </c>
      <c r="G103">
        <v>33</v>
      </c>
      <c r="H103" t="s">
        <v>11</v>
      </c>
      <c r="I103" t="s">
        <v>2168</v>
      </c>
      <c r="J103" t="s">
        <v>7907</v>
      </c>
      <c r="K103">
        <v>900</v>
      </c>
      <c r="L103">
        <v>44866</v>
      </c>
      <c r="M103" t="s">
        <v>162</v>
      </c>
      <c r="N103">
        <v>900</v>
      </c>
      <c r="O103" t="e">
        <v>#N/A</v>
      </c>
    </row>
    <row r="104" spans="2:15" hidden="1" x14ac:dyDescent="0.3">
      <c r="B104" t="s">
        <v>16</v>
      </c>
      <c r="C104">
        <v>927</v>
      </c>
      <c r="D104" t="s">
        <v>17</v>
      </c>
      <c r="E104">
        <v>1200</v>
      </c>
      <c r="F104" t="s">
        <v>78</v>
      </c>
      <c r="G104">
        <v>57</v>
      </c>
      <c r="H104" t="s">
        <v>11</v>
      </c>
      <c r="I104" t="s">
        <v>2172</v>
      </c>
      <c r="J104" t="s">
        <v>7908</v>
      </c>
      <c r="K104">
        <v>331140</v>
      </c>
      <c r="L104">
        <v>44866</v>
      </c>
      <c r="M104" t="s">
        <v>163</v>
      </c>
      <c r="N104">
        <v>331140</v>
      </c>
      <c r="O104" t="e">
        <v>#N/A</v>
      </c>
    </row>
    <row r="105" spans="2:15" hidden="1" x14ac:dyDescent="0.3">
      <c r="B105" t="s">
        <v>16</v>
      </c>
      <c r="C105">
        <v>927</v>
      </c>
      <c r="D105" t="s">
        <v>17</v>
      </c>
      <c r="E105">
        <v>1200</v>
      </c>
      <c r="F105" t="s">
        <v>78</v>
      </c>
      <c r="G105">
        <v>57</v>
      </c>
      <c r="H105" t="s">
        <v>11</v>
      </c>
      <c r="I105" t="s">
        <v>2173</v>
      </c>
      <c r="J105" t="s">
        <v>7909</v>
      </c>
      <c r="K105">
        <v>70858</v>
      </c>
      <c r="L105">
        <v>44866</v>
      </c>
      <c r="M105" t="s">
        <v>163</v>
      </c>
      <c r="N105">
        <v>70890</v>
      </c>
      <c r="O105" t="e">
        <v>#N/A</v>
      </c>
    </row>
    <row r="106" spans="2:15" hidden="1" x14ac:dyDescent="0.3">
      <c r="B106" t="s">
        <v>16</v>
      </c>
      <c r="C106">
        <v>927</v>
      </c>
      <c r="D106" t="s">
        <v>17</v>
      </c>
      <c r="E106">
        <v>1200</v>
      </c>
      <c r="F106" t="s">
        <v>137</v>
      </c>
      <c r="G106">
        <v>1012</v>
      </c>
      <c r="H106" t="s">
        <v>11</v>
      </c>
      <c r="I106" t="s">
        <v>2177</v>
      </c>
      <c r="J106" t="s">
        <v>7910</v>
      </c>
      <c r="K106">
        <v>78840</v>
      </c>
      <c r="L106">
        <v>44866</v>
      </c>
      <c r="M106" t="s">
        <v>164</v>
      </c>
      <c r="N106">
        <v>71180</v>
      </c>
      <c r="O106" t="e">
        <v>#N/A</v>
      </c>
    </row>
    <row r="107" spans="2:15" hidden="1" x14ac:dyDescent="0.3">
      <c r="B107" t="s">
        <v>8</v>
      </c>
      <c r="C107">
        <v>928</v>
      </c>
      <c r="D107" t="s">
        <v>9</v>
      </c>
      <c r="E107">
        <v>1202</v>
      </c>
      <c r="F107" t="s">
        <v>20</v>
      </c>
      <c r="G107">
        <v>938</v>
      </c>
      <c r="H107" t="s">
        <v>11</v>
      </c>
      <c r="I107" t="s">
        <v>2178</v>
      </c>
      <c r="J107" t="s">
        <v>7911</v>
      </c>
      <c r="K107">
        <v>975960</v>
      </c>
      <c r="L107">
        <v>44866</v>
      </c>
      <c r="M107" t="s">
        <v>165</v>
      </c>
      <c r="N107">
        <v>975960</v>
      </c>
      <c r="O107" t="e">
        <v>#N/A</v>
      </c>
    </row>
    <row r="108" spans="2:15" hidden="1" x14ac:dyDescent="0.3">
      <c r="B108" t="s">
        <v>8</v>
      </c>
      <c r="C108">
        <v>928</v>
      </c>
      <c r="D108" t="s">
        <v>9</v>
      </c>
      <c r="E108">
        <v>1202</v>
      </c>
      <c r="F108" t="s">
        <v>75</v>
      </c>
      <c r="G108">
        <v>50</v>
      </c>
      <c r="H108" t="s">
        <v>11</v>
      </c>
      <c r="I108" t="s">
        <v>2179</v>
      </c>
      <c r="J108" t="s">
        <v>7912</v>
      </c>
      <c r="K108">
        <v>17380930</v>
      </c>
      <c r="L108">
        <v>44866</v>
      </c>
      <c r="M108" t="s">
        <v>166</v>
      </c>
      <c r="N108">
        <v>16180960</v>
      </c>
      <c r="O108" t="e">
        <v>#N/A</v>
      </c>
    </row>
    <row r="109" spans="2:15" hidden="1" x14ac:dyDescent="0.3">
      <c r="B109" t="s">
        <v>8</v>
      </c>
      <c r="C109">
        <v>928</v>
      </c>
      <c r="D109" t="s">
        <v>167</v>
      </c>
      <c r="E109">
        <v>935</v>
      </c>
      <c r="F109" t="s">
        <v>168</v>
      </c>
      <c r="G109">
        <v>2</v>
      </c>
      <c r="H109" t="s">
        <v>11</v>
      </c>
      <c r="I109" t="s">
        <v>2180</v>
      </c>
      <c r="J109" t="s">
        <v>7913</v>
      </c>
      <c r="K109">
        <v>4456570</v>
      </c>
      <c r="L109">
        <v>44866</v>
      </c>
      <c r="M109" t="s">
        <v>169</v>
      </c>
      <c r="N109">
        <v>4456570</v>
      </c>
      <c r="O109" t="e">
        <v>#N/A</v>
      </c>
    </row>
    <row r="110" spans="2:15" hidden="1" x14ac:dyDescent="0.3">
      <c r="B110" t="s">
        <v>16</v>
      </c>
      <c r="C110">
        <v>927</v>
      </c>
      <c r="D110" t="s">
        <v>17</v>
      </c>
      <c r="E110">
        <v>1200</v>
      </c>
      <c r="F110" t="s">
        <v>170</v>
      </c>
      <c r="G110">
        <v>1530</v>
      </c>
      <c r="H110" t="s">
        <v>11</v>
      </c>
      <c r="I110" t="s">
        <v>2182</v>
      </c>
      <c r="J110" t="s">
        <v>7914</v>
      </c>
      <c r="K110">
        <v>239910</v>
      </c>
      <c r="L110">
        <v>44866</v>
      </c>
      <c r="M110" t="s">
        <v>171</v>
      </c>
      <c r="N110">
        <v>239910</v>
      </c>
      <c r="O110" t="e">
        <v>#N/A</v>
      </c>
    </row>
    <row r="111" spans="2:15" hidden="1" x14ac:dyDescent="0.3">
      <c r="B111" t="s">
        <v>8</v>
      </c>
      <c r="C111">
        <v>928</v>
      </c>
      <c r="D111" t="s">
        <v>13</v>
      </c>
      <c r="E111">
        <v>1184</v>
      </c>
      <c r="F111" t="s">
        <v>102</v>
      </c>
      <c r="G111">
        <v>917</v>
      </c>
      <c r="H111" t="s">
        <v>11</v>
      </c>
      <c r="I111" t="s">
        <v>2185</v>
      </c>
      <c r="J111" t="s">
        <v>7915</v>
      </c>
      <c r="K111">
        <v>1060</v>
      </c>
      <c r="L111">
        <v>44866</v>
      </c>
      <c r="M111" t="s">
        <v>172</v>
      </c>
      <c r="N111">
        <v>1060</v>
      </c>
      <c r="O111" t="e">
        <v>#N/A</v>
      </c>
    </row>
    <row r="112" spans="2:15" hidden="1" x14ac:dyDescent="0.3">
      <c r="B112" t="s">
        <v>8</v>
      </c>
      <c r="C112">
        <v>928</v>
      </c>
      <c r="D112" t="s">
        <v>9</v>
      </c>
      <c r="E112">
        <v>1202</v>
      </c>
      <c r="F112" t="s">
        <v>35</v>
      </c>
      <c r="G112">
        <v>51</v>
      </c>
      <c r="H112" t="s">
        <v>11</v>
      </c>
      <c r="I112" t="s">
        <v>2186</v>
      </c>
      <c r="J112" t="s">
        <v>7916</v>
      </c>
      <c r="K112">
        <v>184729</v>
      </c>
      <c r="L112">
        <v>44866</v>
      </c>
      <c r="M112" t="s">
        <v>173</v>
      </c>
      <c r="N112">
        <v>184778</v>
      </c>
      <c r="O112" t="e">
        <v>#N/A</v>
      </c>
    </row>
    <row r="113" spans="2:15" hidden="1" x14ac:dyDescent="0.3">
      <c r="B113" t="s">
        <v>22</v>
      </c>
      <c r="C113">
        <v>809</v>
      </c>
      <c r="D113" t="s">
        <v>23</v>
      </c>
      <c r="E113">
        <v>810</v>
      </c>
      <c r="F113" t="s">
        <v>106</v>
      </c>
      <c r="G113">
        <v>1349</v>
      </c>
      <c r="H113" t="s">
        <v>11</v>
      </c>
      <c r="I113" t="s">
        <v>2187</v>
      </c>
      <c r="J113" t="s">
        <v>7917</v>
      </c>
      <c r="K113">
        <v>63740</v>
      </c>
      <c r="L113">
        <v>44866</v>
      </c>
      <c r="M113" t="s">
        <v>174</v>
      </c>
      <c r="N113">
        <v>63740</v>
      </c>
      <c r="O113" t="e">
        <v>#N/A</v>
      </c>
    </row>
    <row r="114" spans="2:15" hidden="1" x14ac:dyDescent="0.3">
      <c r="B114" t="s">
        <v>8</v>
      </c>
      <c r="C114">
        <v>928</v>
      </c>
      <c r="D114" t="s">
        <v>9</v>
      </c>
      <c r="E114">
        <v>1202</v>
      </c>
      <c r="F114" t="s">
        <v>10</v>
      </c>
      <c r="G114">
        <v>939</v>
      </c>
      <c r="H114" t="s">
        <v>11</v>
      </c>
      <c r="I114" t="s">
        <v>2188</v>
      </c>
      <c r="J114" t="s">
        <v>7918</v>
      </c>
      <c r="K114">
        <v>55940</v>
      </c>
      <c r="L114">
        <v>44866</v>
      </c>
      <c r="M114" t="s">
        <v>175</v>
      </c>
      <c r="N114">
        <v>55940</v>
      </c>
      <c r="O114" t="e">
        <v>#N/A</v>
      </c>
    </row>
    <row r="115" spans="2:15" hidden="1" x14ac:dyDescent="0.3">
      <c r="B115" t="s">
        <v>176</v>
      </c>
      <c r="C115">
        <v>1204</v>
      </c>
      <c r="D115" t="s">
        <v>177</v>
      </c>
      <c r="E115">
        <v>1205</v>
      </c>
      <c r="F115" t="s">
        <v>178</v>
      </c>
      <c r="G115">
        <v>201073</v>
      </c>
      <c r="H115" t="s">
        <v>11</v>
      </c>
      <c r="I115" t="s">
        <v>2191</v>
      </c>
      <c r="J115" t="s">
        <v>7919</v>
      </c>
      <c r="K115">
        <v>999980</v>
      </c>
      <c r="L115">
        <v>44866</v>
      </c>
      <c r="M115" t="s">
        <v>179</v>
      </c>
      <c r="N115">
        <v>0</v>
      </c>
      <c r="O115" t="e">
        <v>#N/A</v>
      </c>
    </row>
    <row r="116" spans="2:15" hidden="1" x14ac:dyDescent="0.3">
      <c r="B116" t="s">
        <v>8</v>
      </c>
      <c r="C116">
        <v>928</v>
      </c>
      <c r="D116" t="s">
        <v>9</v>
      </c>
      <c r="E116">
        <v>1202</v>
      </c>
      <c r="F116" t="s">
        <v>73</v>
      </c>
      <c r="G116">
        <v>895</v>
      </c>
      <c r="H116" t="s">
        <v>11</v>
      </c>
      <c r="I116" t="s">
        <v>2194</v>
      </c>
      <c r="J116" t="s">
        <v>7920</v>
      </c>
      <c r="K116">
        <v>406450</v>
      </c>
      <c r="L116">
        <v>44866</v>
      </c>
      <c r="M116" t="s">
        <v>180</v>
      </c>
      <c r="N116">
        <v>406450</v>
      </c>
      <c r="O116" t="e">
        <v>#N/A</v>
      </c>
    </row>
    <row r="117" spans="2:15" hidden="1" x14ac:dyDescent="0.3">
      <c r="B117" t="s">
        <v>8</v>
      </c>
      <c r="C117">
        <v>928</v>
      </c>
      <c r="D117" t="s">
        <v>9</v>
      </c>
      <c r="E117">
        <v>1202</v>
      </c>
      <c r="F117" t="s">
        <v>73</v>
      </c>
      <c r="G117">
        <v>895</v>
      </c>
      <c r="H117" t="s">
        <v>11</v>
      </c>
      <c r="I117" t="s">
        <v>2197</v>
      </c>
      <c r="J117" t="s">
        <v>7921</v>
      </c>
      <c r="K117">
        <v>3120</v>
      </c>
      <c r="L117">
        <v>44866</v>
      </c>
      <c r="M117" t="s">
        <v>181</v>
      </c>
      <c r="N117">
        <v>3120</v>
      </c>
      <c r="O117" t="e">
        <v>#N/A</v>
      </c>
    </row>
    <row r="118" spans="2:15" hidden="1" x14ac:dyDescent="0.3">
      <c r="B118" t="s">
        <v>41</v>
      </c>
      <c r="C118">
        <v>926</v>
      </c>
      <c r="D118" t="s">
        <v>56</v>
      </c>
      <c r="E118">
        <v>1207</v>
      </c>
      <c r="F118" t="s">
        <v>156</v>
      </c>
      <c r="G118">
        <v>201103</v>
      </c>
      <c r="H118" t="s">
        <v>11</v>
      </c>
      <c r="I118" t="s">
        <v>2199</v>
      </c>
      <c r="J118" t="s">
        <v>7922</v>
      </c>
      <c r="K118">
        <v>1294990</v>
      </c>
      <c r="L118">
        <v>44866</v>
      </c>
      <c r="M118" t="s">
        <v>182</v>
      </c>
      <c r="N118">
        <v>1299600</v>
      </c>
      <c r="O118" t="e">
        <v>#N/A</v>
      </c>
    </row>
    <row r="119" spans="2:15" hidden="1" x14ac:dyDescent="0.3">
      <c r="B119" t="s">
        <v>41</v>
      </c>
      <c r="C119">
        <v>926</v>
      </c>
      <c r="D119" t="s">
        <v>56</v>
      </c>
      <c r="E119">
        <v>1207</v>
      </c>
      <c r="F119" t="s">
        <v>57</v>
      </c>
      <c r="G119">
        <v>200982</v>
      </c>
      <c r="H119" t="s">
        <v>11</v>
      </c>
      <c r="I119" t="s">
        <v>2200</v>
      </c>
      <c r="J119" t="s">
        <v>7923</v>
      </c>
      <c r="K119">
        <v>45220</v>
      </c>
      <c r="L119">
        <v>44866</v>
      </c>
      <c r="M119" t="s">
        <v>183</v>
      </c>
      <c r="N119">
        <v>45220</v>
      </c>
      <c r="O119" t="e">
        <v>#N/A</v>
      </c>
    </row>
    <row r="120" spans="2:15" hidden="1" x14ac:dyDescent="0.3">
      <c r="B120" t="s">
        <v>8</v>
      </c>
      <c r="C120">
        <v>928</v>
      </c>
      <c r="D120" t="s">
        <v>9</v>
      </c>
      <c r="E120">
        <v>1202</v>
      </c>
      <c r="F120" t="s">
        <v>45</v>
      </c>
      <c r="G120">
        <v>26</v>
      </c>
      <c r="H120" t="s">
        <v>11</v>
      </c>
      <c r="I120" t="s">
        <v>2201</v>
      </c>
      <c r="J120" t="s">
        <v>7924</v>
      </c>
      <c r="K120">
        <v>1493050</v>
      </c>
      <c r="L120">
        <v>44866</v>
      </c>
      <c r="M120" t="s">
        <v>184</v>
      </c>
      <c r="N120">
        <v>1493050</v>
      </c>
      <c r="O120" t="e">
        <v>#N/A</v>
      </c>
    </row>
    <row r="121" spans="2:15" hidden="1" x14ac:dyDescent="0.3">
      <c r="B121" t="s">
        <v>8</v>
      </c>
      <c r="C121">
        <v>928</v>
      </c>
      <c r="D121" t="s">
        <v>13</v>
      </c>
      <c r="E121">
        <v>1184</v>
      </c>
      <c r="F121" t="s">
        <v>59</v>
      </c>
      <c r="G121">
        <v>9</v>
      </c>
      <c r="H121" t="s">
        <v>11</v>
      </c>
      <c r="I121" t="s">
        <v>2203</v>
      </c>
      <c r="J121" t="s">
        <v>7925</v>
      </c>
      <c r="K121">
        <v>3280</v>
      </c>
      <c r="L121">
        <v>44866</v>
      </c>
      <c r="M121" t="s">
        <v>185</v>
      </c>
      <c r="N121">
        <v>3280</v>
      </c>
      <c r="O121" t="e">
        <v>#N/A</v>
      </c>
    </row>
    <row r="122" spans="2:15" hidden="1" x14ac:dyDescent="0.3">
      <c r="B122" t="s">
        <v>8</v>
      </c>
      <c r="C122">
        <v>928</v>
      </c>
      <c r="D122" t="s">
        <v>13</v>
      </c>
      <c r="E122">
        <v>1184</v>
      </c>
      <c r="F122" t="s">
        <v>51</v>
      </c>
      <c r="G122">
        <v>1274</v>
      </c>
      <c r="H122" t="s">
        <v>11</v>
      </c>
      <c r="I122" t="s">
        <v>2204</v>
      </c>
      <c r="J122" t="s">
        <v>7926</v>
      </c>
      <c r="K122">
        <v>75540</v>
      </c>
      <c r="L122">
        <v>44866</v>
      </c>
      <c r="M122" t="s">
        <v>186</v>
      </c>
      <c r="N122">
        <v>75540</v>
      </c>
      <c r="O122" t="e">
        <v>#N/A</v>
      </c>
    </row>
    <row r="123" spans="2:15" hidden="1" x14ac:dyDescent="0.3">
      <c r="B123" t="s">
        <v>8</v>
      </c>
      <c r="C123">
        <v>928</v>
      </c>
      <c r="D123" t="s">
        <v>9</v>
      </c>
      <c r="E123">
        <v>1202</v>
      </c>
      <c r="F123" t="s">
        <v>20</v>
      </c>
      <c r="G123">
        <v>938</v>
      </c>
      <c r="H123" t="s">
        <v>11</v>
      </c>
      <c r="I123" t="s">
        <v>2205</v>
      </c>
      <c r="J123" t="s">
        <v>7927</v>
      </c>
      <c r="K123">
        <v>294000</v>
      </c>
      <c r="L123">
        <v>44866</v>
      </c>
      <c r="M123" t="s">
        <v>187</v>
      </c>
      <c r="N123">
        <v>294000</v>
      </c>
      <c r="O123" t="e">
        <v>#N/A</v>
      </c>
    </row>
    <row r="124" spans="2:15" hidden="1" x14ac:dyDescent="0.3">
      <c r="B124" t="s">
        <v>8</v>
      </c>
      <c r="C124">
        <v>928</v>
      </c>
      <c r="D124" t="s">
        <v>13</v>
      </c>
      <c r="E124">
        <v>1184</v>
      </c>
      <c r="F124" t="s">
        <v>102</v>
      </c>
      <c r="G124">
        <v>917</v>
      </c>
      <c r="H124" t="s">
        <v>11</v>
      </c>
      <c r="I124" t="s">
        <v>2206</v>
      </c>
      <c r="J124" t="s">
        <v>7928</v>
      </c>
      <c r="K124">
        <v>67350</v>
      </c>
      <c r="L124">
        <v>44866</v>
      </c>
      <c r="M124" t="s">
        <v>188</v>
      </c>
      <c r="N124">
        <v>67350</v>
      </c>
      <c r="O124" t="e">
        <v>#N/A</v>
      </c>
    </row>
    <row r="125" spans="2:15" hidden="1" x14ac:dyDescent="0.3">
      <c r="B125" t="s">
        <v>8</v>
      </c>
      <c r="C125">
        <v>928</v>
      </c>
      <c r="D125" t="s">
        <v>9</v>
      </c>
      <c r="E125">
        <v>1202</v>
      </c>
      <c r="F125" t="s">
        <v>20</v>
      </c>
      <c r="G125">
        <v>938</v>
      </c>
      <c r="H125" t="s">
        <v>11</v>
      </c>
      <c r="I125" t="s">
        <v>2211</v>
      </c>
      <c r="J125" t="s">
        <v>7929</v>
      </c>
      <c r="K125">
        <v>2950</v>
      </c>
      <c r="L125">
        <v>44866</v>
      </c>
      <c r="M125" t="s">
        <v>189</v>
      </c>
      <c r="N125">
        <v>2950</v>
      </c>
      <c r="O125" t="e">
        <v>#N/A</v>
      </c>
    </row>
    <row r="126" spans="2:15" hidden="1" x14ac:dyDescent="0.3">
      <c r="B126" t="s">
        <v>8</v>
      </c>
      <c r="C126">
        <v>928</v>
      </c>
      <c r="D126" t="s">
        <v>9</v>
      </c>
      <c r="E126">
        <v>1202</v>
      </c>
      <c r="F126" t="s">
        <v>10</v>
      </c>
      <c r="G126">
        <v>939</v>
      </c>
      <c r="H126" t="s">
        <v>11</v>
      </c>
      <c r="I126" t="s">
        <v>2216</v>
      </c>
      <c r="J126" t="s">
        <v>7930</v>
      </c>
      <c r="K126">
        <v>70240</v>
      </c>
      <c r="L126">
        <v>44866</v>
      </c>
      <c r="M126" t="s">
        <v>190</v>
      </c>
      <c r="N126">
        <v>70240</v>
      </c>
      <c r="O126" t="e">
        <v>#N/A</v>
      </c>
    </row>
    <row r="127" spans="2:15" hidden="1" x14ac:dyDescent="0.3">
      <c r="B127" t="s">
        <v>41</v>
      </c>
      <c r="C127">
        <v>926</v>
      </c>
      <c r="D127" t="s">
        <v>56</v>
      </c>
      <c r="E127">
        <v>1207</v>
      </c>
      <c r="F127" t="s">
        <v>62</v>
      </c>
      <c r="G127">
        <v>201037</v>
      </c>
      <c r="H127" t="s">
        <v>11</v>
      </c>
      <c r="I127" t="s">
        <v>2217</v>
      </c>
      <c r="J127" t="s">
        <v>7931</v>
      </c>
      <c r="K127">
        <v>127870</v>
      </c>
      <c r="L127">
        <v>44866</v>
      </c>
      <c r="M127" t="s">
        <v>191</v>
      </c>
      <c r="N127">
        <v>127870</v>
      </c>
      <c r="O127" t="e">
        <v>#N/A</v>
      </c>
    </row>
    <row r="128" spans="2:15" hidden="1" x14ac:dyDescent="0.3">
      <c r="B128" t="s">
        <v>8</v>
      </c>
      <c r="C128">
        <v>928</v>
      </c>
      <c r="D128" t="s">
        <v>9</v>
      </c>
      <c r="E128">
        <v>1202</v>
      </c>
      <c r="F128" t="s">
        <v>20</v>
      </c>
      <c r="G128">
        <v>938</v>
      </c>
      <c r="H128" t="s">
        <v>11</v>
      </c>
      <c r="I128" t="s">
        <v>2218</v>
      </c>
      <c r="J128" t="s">
        <v>7932</v>
      </c>
      <c r="K128">
        <v>586050</v>
      </c>
      <c r="L128">
        <v>44866</v>
      </c>
      <c r="M128" t="s">
        <v>192</v>
      </c>
      <c r="N128">
        <v>586050</v>
      </c>
      <c r="O128" t="e">
        <v>#N/A</v>
      </c>
    </row>
    <row r="129" spans="2:15" hidden="1" x14ac:dyDescent="0.3">
      <c r="B129" t="s">
        <v>22</v>
      </c>
      <c r="C129">
        <v>809</v>
      </c>
      <c r="D129" t="s">
        <v>23</v>
      </c>
      <c r="E129">
        <v>810</v>
      </c>
      <c r="F129" t="s">
        <v>24</v>
      </c>
      <c r="G129">
        <v>201032</v>
      </c>
      <c r="H129" t="s">
        <v>11</v>
      </c>
      <c r="I129" t="s">
        <v>2220</v>
      </c>
      <c r="J129" t="s">
        <v>7933</v>
      </c>
      <c r="K129">
        <v>50</v>
      </c>
      <c r="L129">
        <v>44866</v>
      </c>
      <c r="M129" t="s">
        <v>193</v>
      </c>
      <c r="N129">
        <v>50</v>
      </c>
      <c r="O129" t="e">
        <v>#N/A</v>
      </c>
    </row>
    <row r="130" spans="2:15" hidden="1" x14ac:dyDescent="0.3">
      <c r="B130" t="s">
        <v>8</v>
      </c>
      <c r="C130">
        <v>928</v>
      </c>
      <c r="D130" t="s">
        <v>9</v>
      </c>
      <c r="E130">
        <v>1202</v>
      </c>
      <c r="F130" t="s">
        <v>31</v>
      </c>
      <c r="G130">
        <v>1040</v>
      </c>
      <c r="H130" t="s">
        <v>11</v>
      </c>
      <c r="I130" t="s">
        <v>2221</v>
      </c>
      <c r="J130" t="s">
        <v>7934</v>
      </c>
      <c r="K130">
        <v>130390</v>
      </c>
      <c r="L130">
        <v>44866</v>
      </c>
      <c r="M130" t="s">
        <v>194</v>
      </c>
      <c r="N130">
        <v>130390</v>
      </c>
      <c r="O130" t="e">
        <v>#N/A</v>
      </c>
    </row>
    <row r="131" spans="2:15" hidden="1" x14ac:dyDescent="0.3">
      <c r="B131" t="s">
        <v>8</v>
      </c>
      <c r="C131">
        <v>928</v>
      </c>
      <c r="D131" t="s">
        <v>9</v>
      </c>
      <c r="E131">
        <v>1202</v>
      </c>
      <c r="F131" t="s">
        <v>73</v>
      </c>
      <c r="G131">
        <v>895</v>
      </c>
      <c r="H131" t="s">
        <v>11</v>
      </c>
      <c r="I131" t="s">
        <v>2228</v>
      </c>
      <c r="J131" t="s">
        <v>7935</v>
      </c>
      <c r="K131">
        <v>4539950</v>
      </c>
      <c r="L131">
        <v>44866</v>
      </c>
      <c r="M131" t="s">
        <v>195</v>
      </c>
      <c r="N131">
        <v>4539950</v>
      </c>
      <c r="O131" t="e">
        <v>#N/A</v>
      </c>
    </row>
    <row r="132" spans="2:15" hidden="1" x14ac:dyDescent="0.3">
      <c r="B132" t="s">
        <v>8</v>
      </c>
      <c r="C132">
        <v>928</v>
      </c>
      <c r="D132" t="s">
        <v>9</v>
      </c>
      <c r="E132">
        <v>1202</v>
      </c>
      <c r="F132" t="s">
        <v>47</v>
      </c>
      <c r="G132">
        <v>898</v>
      </c>
      <c r="H132" t="s">
        <v>11</v>
      </c>
      <c r="I132" t="s">
        <v>2229</v>
      </c>
      <c r="J132" t="s">
        <v>7936</v>
      </c>
      <c r="K132">
        <v>4272210</v>
      </c>
      <c r="L132">
        <v>44866</v>
      </c>
      <c r="M132" t="s">
        <v>196</v>
      </c>
      <c r="N132">
        <v>4272210</v>
      </c>
      <c r="O132" t="e">
        <v>#N/A</v>
      </c>
    </row>
    <row r="133" spans="2:15" hidden="1" x14ac:dyDescent="0.3">
      <c r="B133" t="s">
        <v>41</v>
      </c>
      <c r="C133">
        <v>926</v>
      </c>
      <c r="D133" t="s">
        <v>42</v>
      </c>
      <c r="E133">
        <v>964</v>
      </c>
      <c r="F133" t="s">
        <v>43</v>
      </c>
      <c r="G133">
        <v>200998</v>
      </c>
      <c r="H133" t="s">
        <v>11</v>
      </c>
      <c r="I133" t="s">
        <v>2230</v>
      </c>
      <c r="J133" t="s">
        <v>7937</v>
      </c>
      <c r="K133">
        <v>2560</v>
      </c>
      <c r="L133">
        <v>44866</v>
      </c>
      <c r="M133" t="s">
        <v>197</v>
      </c>
      <c r="N133">
        <v>2560</v>
      </c>
      <c r="O133" t="e">
        <v>#N/A</v>
      </c>
    </row>
    <row r="134" spans="2:15" hidden="1" x14ac:dyDescent="0.3">
      <c r="B134" t="s">
        <v>8</v>
      </c>
      <c r="C134">
        <v>928</v>
      </c>
      <c r="D134" t="s">
        <v>9</v>
      </c>
      <c r="E134">
        <v>1202</v>
      </c>
      <c r="F134" t="s">
        <v>110</v>
      </c>
      <c r="G134">
        <v>929</v>
      </c>
      <c r="H134" t="s">
        <v>11</v>
      </c>
      <c r="I134" t="s">
        <v>2231</v>
      </c>
      <c r="J134" t="s">
        <v>7938</v>
      </c>
      <c r="K134">
        <v>275300</v>
      </c>
      <c r="L134">
        <v>44866</v>
      </c>
      <c r="M134" t="s">
        <v>198</v>
      </c>
      <c r="N134">
        <v>275300</v>
      </c>
      <c r="O134" t="e">
        <v>#N/A</v>
      </c>
    </row>
    <row r="135" spans="2:15" hidden="1" x14ac:dyDescent="0.3">
      <c r="B135" t="s">
        <v>8</v>
      </c>
      <c r="C135">
        <v>928</v>
      </c>
      <c r="D135" t="s">
        <v>9</v>
      </c>
      <c r="E135">
        <v>1202</v>
      </c>
      <c r="F135" t="s">
        <v>47</v>
      </c>
      <c r="G135">
        <v>898</v>
      </c>
      <c r="H135" t="s">
        <v>11</v>
      </c>
      <c r="I135" t="s">
        <v>2235</v>
      </c>
      <c r="J135" t="s">
        <v>7939</v>
      </c>
      <c r="K135">
        <v>70</v>
      </c>
      <c r="L135">
        <v>44866</v>
      </c>
      <c r="M135" t="s">
        <v>199</v>
      </c>
      <c r="N135">
        <v>70</v>
      </c>
      <c r="O135" t="e">
        <v>#N/A</v>
      </c>
    </row>
    <row r="136" spans="2:15" hidden="1" x14ac:dyDescent="0.3">
      <c r="B136" t="s">
        <v>8</v>
      </c>
      <c r="C136">
        <v>928</v>
      </c>
      <c r="D136" t="s">
        <v>9</v>
      </c>
      <c r="E136">
        <v>1202</v>
      </c>
      <c r="F136" t="s">
        <v>75</v>
      </c>
      <c r="G136">
        <v>50</v>
      </c>
      <c r="H136" t="s">
        <v>11</v>
      </c>
      <c r="I136" t="s">
        <v>2236</v>
      </c>
      <c r="J136" t="s">
        <v>7940</v>
      </c>
      <c r="K136">
        <v>14044740</v>
      </c>
      <c r="L136">
        <v>44866</v>
      </c>
      <c r="M136" t="s">
        <v>200</v>
      </c>
      <c r="N136">
        <v>14044740</v>
      </c>
      <c r="O136" t="e">
        <v>#N/A</v>
      </c>
    </row>
    <row r="137" spans="2:15" hidden="1" x14ac:dyDescent="0.3">
      <c r="B137" t="s">
        <v>16</v>
      </c>
      <c r="C137">
        <v>927</v>
      </c>
      <c r="D137" t="s">
        <v>17</v>
      </c>
      <c r="E137">
        <v>1200</v>
      </c>
      <c r="F137" t="s">
        <v>53</v>
      </c>
      <c r="G137">
        <v>201080</v>
      </c>
      <c r="H137" t="s">
        <v>11</v>
      </c>
      <c r="I137" t="s">
        <v>2238</v>
      </c>
      <c r="J137" t="s">
        <v>7941</v>
      </c>
      <c r="K137">
        <v>816190</v>
      </c>
      <c r="L137">
        <v>44866</v>
      </c>
      <c r="M137" t="s">
        <v>201</v>
      </c>
      <c r="N137">
        <v>816190</v>
      </c>
      <c r="O137" t="e">
        <v>#N/A</v>
      </c>
    </row>
    <row r="138" spans="2:15" hidden="1" x14ac:dyDescent="0.3">
      <c r="B138" t="s">
        <v>41</v>
      </c>
      <c r="C138">
        <v>926</v>
      </c>
      <c r="D138" t="s">
        <v>42</v>
      </c>
      <c r="E138">
        <v>964</v>
      </c>
      <c r="F138" t="s">
        <v>43</v>
      </c>
      <c r="G138">
        <v>200998</v>
      </c>
      <c r="H138" t="s">
        <v>11</v>
      </c>
      <c r="I138" t="s">
        <v>2240</v>
      </c>
      <c r="J138" t="s">
        <v>7942</v>
      </c>
      <c r="K138">
        <v>480</v>
      </c>
      <c r="L138">
        <v>44866</v>
      </c>
      <c r="M138" t="s">
        <v>202</v>
      </c>
      <c r="N138">
        <v>480</v>
      </c>
      <c r="O138" t="e">
        <v>#N/A</v>
      </c>
    </row>
    <row r="139" spans="2:15" hidden="1" x14ac:dyDescent="0.3">
      <c r="B139" t="s">
        <v>8</v>
      </c>
      <c r="C139">
        <v>928</v>
      </c>
      <c r="D139" t="s">
        <v>9</v>
      </c>
      <c r="E139">
        <v>1202</v>
      </c>
      <c r="F139" t="s">
        <v>27</v>
      </c>
      <c r="G139">
        <v>806</v>
      </c>
      <c r="H139" t="s">
        <v>11</v>
      </c>
      <c r="I139" t="s">
        <v>2242</v>
      </c>
      <c r="J139" t="s">
        <v>7943</v>
      </c>
      <c r="K139">
        <v>72700</v>
      </c>
      <c r="L139">
        <v>44866</v>
      </c>
      <c r="M139" t="s">
        <v>203</v>
      </c>
      <c r="N139">
        <v>72700</v>
      </c>
      <c r="O139" t="e">
        <v>#N/A</v>
      </c>
    </row>
    <row r="140" spans="2:15" hidden="1" x14ac:dyDescent="0.3">
      <c r="B140" t="s">
        <v>8</v>
      </c>
      <c r="C140">
        <v>928</v>
      </c>
      <c r="D140" t="s">
        <v>13</v>
      </c>
      <c r="E140">
        <v>1184</v>
      </c>
      <c r="F140" t="s">
        <v>51</v>
      </c>
      <c r="G140">
        <v>1274</v>
      </c>
      <c r="H140" t="s">
        <v>11</v>
      </c>
      <c r="I140" t="s">
        <v>2245</v>
      </c>
      <c r="J140" t="s">
        <v>7944</v>
      </c>
      <c r="K140">
        <v>1305440</v>
      </c>
      <c r="L140">
        <v>44866</v>
      </c>
      <c r="M140" t="s">
        <v>204</v>
      </c>
      <c r="N140">
        <v>1307080</v>
      </c>
      <c r="O140" t="e">
        <v>#N/A</v>
      </c>
    </row>
    <row r="141" spans="2:15" hidden="1" x14ac:dyDescent="0.3">
      <c r="B141" t="s">
        <v>41</v>
      </c>
      <c r="C141">
        <v>926</v>
      </c>
      <c r="D141" t="s">
        <v>56</v>
      </c>
      <c r="E141">
        <v>1207</v>
      </c>
      <c r="F141" t="s">
        <v>156</v>
      </c>
      <c r="G141">
        <v>201103</v>
      </c>
      <c r="H141" t="s">
        <v>11</v>
      </c>
      <c r="I141" t="s">
        <v>2246</v>
      </c>
      <c r="J141" t="s">
        <v>7945</v>
      </c>
      <c r="K141">
        <v>423870</v>
      </c>
      <c r="L141">
        <v>44866</v>
      </c>
      <c r="M141" t="s">
        <v>205</v>
      </c>
      <c r="N141">
        <v>423870</v>
      </c>
      <c r="O141" t="e">
        <v>#N/A</v>
      </c>
    </row>
    <row r="142" spans="2:15" hidden="1" x14ac:dyDescent="0.3">
      <c r="B142" t="s">
        <v>41</v>
      </c>
      <c r="C142">
        <v>926</v>
      </c>
      <c r="D142" t="s">
        <v>56</v>
      </c>
      <c r="E142">
        <v>1207</v>
      </c>
      <c r="F142" t="s">
        <v>62</v>
      </c>
      <c r="G142">
        <v>201037</v>
      </c>
      <c r="H142" t="s">
        <v>11</v>
      </c>
      <c r="I142" t="s">
        <v>2250</v>
      </c>
      <c r="J142" t="s">
        <v>7946</v>
      </c>
      <c r="K142">
        <v>31500</v>
      </c>
      <c r="L142">
        <v>44866</v>
      </c>
      <c r="M142" t="s">
        <v>206</v>
      </c>
      <c r="N142">
        <v>31500</v>
      </c>
      <c r="O142" t="e">
        <v>#N/A</v>
      </c>
    </row>
    <row r="143" spans="2:15" hidden="1" x14ac:dyDescent="0.3">
      <c r="B143" t="s">
        <v>8</v>
      </c>
      <c r="C143">
        <v>928</v>
      </c>
      <c r="D143" t="s">
        <v>9</v>
      </c>
      <c r="E143">
        <v>1202</v>
      </c>
      <c r="F143" t="s">
        <v>35</v>
      </c>
      <c r="G143">
        <v>51</v>
      </c>
      <c r="H143" t="s">
        <v>11</v>
      </c>
      <c r="I143" t="s">
        <v>2252</v>
      </c>
      <c r="J143" t="s">
        <v>7947</v>
      </c>
      <c r="K143">
        <v>863010</v>
      </c>
      <c r="L143">
        <v>44866</v>
      </c>
      <c r="M143" t="s">
        <v>207</v>
      </c>
      <c r="N143">
        <v>863010</v>
      </c>
      <c r="O143" t="e">
        <v>#N/A</v>
      </c>
    </row>
    <row r="144" spans="2:15" hidden="1" x14ac:dyDescent="0.3">
      <c r="B144" t="s">
        <v>41</v>
      </c>
      <c r="C144">
        <v>926</v>
      </c>
      <c r="D144" t="s">
        <v>42</v>
      </c>
      <c r="E144">
        <v>964</v>
      </c>
      <c r="F144" t="s">
        <v>43</v>
      </c>
      <c r="G144">
        <v>200998</v>
      </c>
      <c r="H144" t="s">
        <v>11</v>
      </c>
      <c r="I144" t="s">
        <v>2255</v>
      </c>
      <c r="J144" t="s">
        <v>7948</v>
      </c>
      <c r="K144">
        <v>90</v>
      </c>
      <c r="L144">
        <v>44866</v>
      </c>
      <c r="M144" t="s">
        <v>208</v>
      </c>
      <c r="N144">
        <v>90</v>
      </c>
      <c r="O144" t="e">
        <v>#N/A</v>
      </c>
    </row>
    <row r="145" spans="2:15" hidden="1" x14ac:dyDescent="0.3">
      <c r="B145" t="s">
        <v>8</v>
      </c>
      <c r="C145">
        <v>928</v>
      </c>
      <c r="D145" t="s">
        <v>9</v>
      </c>
      <c r="E145">
        <v>1202</v>
      </c>
      <c r="F145" t="s">
        <v>27</v>
      </c>
      <c r="G145">
        <v>806</v>
      </c>
      <c r="H145" t="s">
        <v>11</v>
      </c>
      <c r="I145" t="s">
        <v>2256</v>
      </c>
      <c r="J145" t="s">
        <v>7949</v>
      </c>
      <c r="K145">
        <v>74920</v>
      </c>
      <c r="L145">
        <v>44866</v>
      </c>
      <c r="M145" t="s">
        <v>209</v>
      </c>
      <c r="N145">
        <v>74920</v>
      </c>
      <c r="O145" t="e">
        <v>#N/A</v>
      </c>
    </row>
    <row r="146" spans="2:15" hidden="1" x14ac:dyDescent="0.3">
      <c r="B146" t="s">
        <v>8</v>
      </c>
      <c r="C146">
        <v>928</v>
      </c>
      <c r="D146" t="s">
        <v>9</v>
      </c>
      <c r="E146">
        <v>1202</v>
      </c>
      <c r="F146" t="s">
        <v>10</v>
      </c>
      <c r="G146">
        <v>939</v>
      </c>
      <c r="H146" t="s">
        <v>11</v>
      </c>
      <c r="I146" t="s">
        <v>2257</v>
      </c>
      <c r="J146" t="s">
        <v>7950</v>
      </c>
      <c r="K146">
        <v>28530</v>
      </c>
      <c r="L146">
        <v>44866</v>
      </c>
      <c r="M146" t="s">
        <v>210</v>
      </c>
      <c r="N146">
        <v>28530</v>
      </c>
      <c r="O146" t="e">
        <v>#N/A</v>
      </c>
    </row>
    <row r="147" spans="2:15" hidden="1" x14ac:dyDescent="0.3">
      <c r="B147" t="s">
        <v>8</v>
      </c>
      <c r="C147">
        <v>928</v>
      </c>
      <c r="D147" t="s">
        <v>9</v>
      </c>
      <c r="E147">
        <v>1202</v>
      </c>
      <c r="F147" t="s">
        <v>20</v>
      </c>
      <c r="G147">
        <v>938</v>
      </c>
      <c r="H147" t="s">
        <v>11</v>
      </c>
      <c r="I147" t="s">
        <v>2259</v>
      </c>
      <c r="J147" t="s">
        <v>7951</v>
      </c>
      <c r="K147">
        <v>2910</v>
      </c>
      <c r="L147">
        <v>44866</v>
      </c>
      <c r="M147" t="s">
        <v>211</v>
      </c>
      <c r="N147">
        <v>2910</v>
      </c>
      <c r="O147" t="e">
        <v>#N/A</v>
      </c>
    </row>
    <row r="148" spans="2:15" hidden="1" x14ac:dyDescent="0.3">
      <c r="B148" t="s">
        <v>8</v>
      </c>
      <c r="C148">
        <v>928</v>
      </c>
      <c r="D148" t="s">
        <v>9</v>
      </c>
      <c r="E148">
        <v>1202</v>
      </c>
      <c r="F148" t="s">
        <v>27</v>
      </c>
      <c r="G148">
        <v>806</v>
      </c>
      <c r="H148" t="s">
        <v>11</v>
      </c>
      <c r="I148" t="s">
        <v>2260</v>
      </c>
      <c r="J148" t="s">
        <v>7952</v>
      </c>
      <c r="K148">
        <v>7310</v>
      </c>
      <c r="L148">
        <v>44866</v>
      </c>
      <c r="M148" t="s">
        <v>212</v>
      </c>
      <c r="N148">
        <v>7310</v>
      </c>
      <c r="O148" t="e">
        <v>#N/A</v>
      </c>
    </row>
    <row r="149" spans="2:15" hidden="1" x14ac:dyDescent="0.3">
      <c r="B149" t="s">
        <v>41</v>
      </c>
      <c r="C149">
        <v>926</v>
      </c>
      <c r="D149" t="s">
        <v>42</v>
      </c>
      <c r="E149">
        <v>964</v>
      </c>
      <c r="F149" t="s">
        <v>43</v>
      </c>
      <c r="G149">
        <v>200998</v>
      </c>
      <c r="H149" t="s">
        <v>11</v>
      </c>
      <c r="I149" t="s">
        <v>2262</v>
      </c>
      <c r="J149" t="s">
        <v>7953</v>
      </c>
      <c r="K149">
        <v>630</v>
      </c>
      <c r="L149">
        <v>44866</v>
      </c>
      <c r="M149" t="s">
        <v>213</v>
      </c>
      <c r="N149">
        <v>630</v>
      </c>
      <c r="O149" t="e">
        <v>#N/A</v>
      </c>
    </row>
    <row r="150" spans="2:15" hidden="1" x14ac:dyDescent="0.3">
      <c r="B150" t="s">
        <v>8</v>
      </c>
      <c r="C150">
        <v>928</v>
      </c>
      <c r="D150" t="s">
        <v>9</v>
      </c>
      <c r="E150">
        <v>1202</v>
      </c>
      <c r="F150" t="s">
        <v>31</v>
      </c>
      <c r="G150">
        <v>1040</v>
      </c>
      <c r="H150" t="s">
        <v>11</v>
      </c>
      <c r="I150" t="s">
        <v>7954</v>
      </c>
      <c r="J150" t="s">
        <v>7130</v>
      </c>
      <c r="K150">
        <v>1713040</v>
      </c>
      <c r="L150">
        <v>44866</v>
      </c>
      <c r="M150" t="s">
        <v>214</v>
      </c>
      <c r="N150" t="e">
        <v>#N/A</v>
      </c>
      <c r="O150" t="s">
        <v>7131</v>
      </c>
    </row>
    <row r="151" spans="2:15" hidden="1" x14ac:dyDescent="0.3">
      <c r="B151" t="s">
        <v>16</v>
      </c>
      <c r="C151">
        <v>927</v>
      </c>
      <c r="D151" t="s">
        <v>17</v>
      </c>
      <c r="E151">
        <v>1200</v>
      </c>
      <c r="F151" t="s">
        <v>66</v>
      </c>
      <c r="G151">
        <v>33</v>
      </c>
      <c r="H151" t="s">
        <v>11</v>
      </c>
      <c r="I151" t="s">
        <v>2263</v>
      </c>
      <c r="J151" t="s">
        <v>7955</v>
      </c>
      <c r="K151">
        <v>1841870</v>
      </c>
      <c r="L151">
        <v>44866</v>
      </c>
      <c r="M151" t="s">
        <v>215</v>
      </c>
      <c r="N151">
        <v>1841870</v>
      </c>
      <c r="O151" t="e">
        <v>#N/A</v>
      </c>
    </row>
    <row r="152" spans="2:15" hidden="1" x14ac:dyDescent="0.3">
      <c r="B152" t="s">
        <v>41</v>
      </c>
      <c r="C152">
        <v>926</v>
      </c>
      <c r="D152" t="s">
        <v>56</v>
      </c>
      <c r="E152">
        <v>1207</v>
      </c>
      <c r="F152" t="s">
        <v>57</v>
      </c>
      <c r="G152">
        <v>200982</v>
      </c>
      <c r="H152" t="s">
        <v>11</v>
      </c>
      <c r="I152" t="s">
        <v>2264</v>
      </c>
      <c r="J152" t="s">
        <v>7956</v>
      </c>
      <c r="K152">
        <v>23400</v>
      </c>
      <c r="L152">
        <v>44866</v>
      </c>
      <c r="M152" t="s">
        <v>216</v>
      </c>
      <c r="N152">
        <v>23400</v>
      </c>
      <c r="O152" t="e">
        <v>#N/A</v>
      </c>
    </row>
    <row r="153" spans="2:15" hidden="1" x14ac:dyDescent="0.3">
      <c r="B153" t="s">
        <v>8</v>
      </c>
      <c r="C153">
        <v>928</v>
      </c>
      <c r="D153" t="s">
        <v>13</v>
      </c>
      <c r="E153">
        <v>1184</v>
      </c>
      <c r="F153" t="s">
        <v>217</v>
      </c>
      <c r="G153">
        <v>201027</v>
      </c>
      <c r="H153" t="s">
        <v>11</v>
      </c>
      <c r="I153" t="s">
        <v>2268</v>
      </c>
      <c r="J153" t="s">
        <v>7957</v>
      </c>
      <c r="K153">
        <v>195780</v>
      </c>
      <c r="L153">
        <v>44866</v>
      </c>
      <c r="M153" t="s">
        <v>218</v>
      </c>
      <c r="N153">
        <v>195780</v>
      </c>
      <c r="O153" t="e">
        <v>#N/A</v>
      </c>
    </row>
    <row r="154" spans="2:15" hidden="1" x14ac:dyDescent="0.3">
      <c r="B154" t="s">
        <v>8</v>
      </c>
      <c r="C154">
        <v>928</v>
      </c>
      <c r="D154" t="s">
        <v>9</v>
      </c>
      <c r="E154">
        <v>1202</v>
      </c>
      <c r="F154" t="s">
        <v>10</v>
      </c>
      <c r="G154">
        <v>939</v>
      </c>
      <c r="H154" t="s">
        <v>11</v>
      </c>
      <c r="I154" t="s">
        <v>2269</v>
      </c>
      <c r="J154" t="s">
        <v>7958</v>
      </c>
      <c r="K154">
        <v>8500</v>
      </c>
      <c r="L154">
        <v>44866</v>
      </c>
      <c r="M154" t="s">
        <v>219</v>
      </c>
      <c r="N154">
        <v>8500</v>
      </c>
      <c r="O154" t="e">
        <v>#N/A</v>
      </c>
    </row>
    <row r="155" spans="2:15" hidden="1" x14ac:dyDescent="0.3">
      <c r="B155" t="s">
        <v>8</v>
      </c>
      <c r="C155">
        <v>928</v>
      </c>
      <c r="D155" t="s">
        <v>9</v>
      </c>
      <c r="E155">
        <v>1202</v>
      </c>
      <c r="F155" t="s">
        <v>220</v>
      </c>
      <c r="G155">
        <v>1211</v>
      </c>
      <c r="H155" t="s">
        <v>11</v>
      </c>
      <c r="I155" t="s">
        <v>2270</v>
      </c>
      <c r="J155" t="s">
        <v>7959</v>
      </c>
      <c r="K155">
        <v>217430</v>
      </c>
      <c r="L155">
        <v>44866</v>
      </c>
      <c r="M155" t="s">
        <v>221</v>
      </c>
      <c r="N155">
        <v>217430</v>
      </c>
      <c r="O155" t="e">
        <v>#N/A</v>
      </c>
    </row>
    <row r="156" spans="2:15" hidden="1" x14ac:dyDescent="0.3">
      <c r="B156" t="s">
        <v>8</v>
      </c>
      <c r="C156">
        <v>928</v>
      </c>
      <c r="D156" t="s">
        <v>9</v>
      </c>
      <c r="E156">
        <v>1202</v>
      </c>
      <c r="F156" t="s">
        <v>45</v>
      </c>
      <c r="G156">
        <v>26</v>
      </c>
      <c r="H156" t="s">
        <v>11</v>
      </c>
      <c r="I156" t="s">
        <v>2273</v>
      </c>
      <c r="J156" t="s">
        <v>7960</v>
      </c>
      <c r="K156">
        <v>61240</v>
      </c>
      <c r="L156">
        <v>44866</v>
      </c>
      <c r="M156" t="s">
        <v>222</v>
      </c>
      <c r="N156">
        <v>61240</v>
      </c>
      <c r="O156" t="e">
        <v>#N/A</v>
      </c>
    </row>
    <row r="157" spans="2:15" hidden="1" x14ac:dyDescent="0.3">
      <c r="B157" t="s">
        <v>8</v>
      </c>
      <c r="C157">
        <v>928</v>
      </c>
      <c r="D157" t="s">
        <v>223</v>
      </c>
      <c r="E157">
        <v>966</v>
      </c>
      <c r="F157" t="s">
        <v>224</v>
      </c>
      <c r="G157">
        <v>201008</v>
      </c>
      <c r="H157" t="s">
        <v>11</v>
      </c>
      <c r="I157" t="s">
        <v>2274</v>
      </c>
      <c r="J157" t="s">
        <v>7961</v>
      </c>
      <c r="K157">
        <v>1144560</v>
      </c>
      <c r="L157">
        <v>44866</v>
      </c>
      <c r="M157" t="s">
        <v>225</v>
      </c>
      <c r="N157">
        <v>1144560</v>
      </c>
      <c r="O157" t="e">
        <v>#N/A</v>
      </c>
    </row>
    <row r="158" spans="2:15" hidden="1" x14ac:dyDescent="0.3">
      <c r="B158" t="s">
        <v>8</v>
      </c>
      <c r="C158">
        <v>928</v>
      </c>
      <c r="D158" t="s">
        <v>9</v>
      </c>
      <c r="E158">
        <v>1202</v>
      </c>
      <c r="F158" t="s">
        <v>33</v>
      </c>
      <c r="G158">
        <v>933</v>
      </c>
      <c r="H158" t="s">
        <v>11</v>
      </c>
      <c r="I158" t="s">
        <v>2277</v>
      </c>
      <c r="J158" t="s">
        <v>7962</v>
      </c>
      <c r="K158">
        <v>621440</v>
      </c>
      <c r="L158">
        <v>44866</v>
      </c>
      <c r="M158" t="s">
        <v>226</v>
      </c>
      <c r="N158">
        <v>621440</v>
      </c>
      <c r="O158" t="e">
        <v>#N/A</v>
      </c>
    </row>
    <row r="159" spans="2:15" hidden="1" x14ac:dyDescent="0.3">
      <c r="B159" t="s">
        <v>8</v>
      </c>
      <c r="C159">
        <v>928</v>
      </c>
      <c r="D159" t="s">
        <v>223</v>
      </c>
      <c r="E159">
        <v>966</v>
      </c>
      <c r="F159" t="s">
        <v>224</v>
      </c>
      <c r="G159">
        <v>201008</v>
      </c>
      <c r="H159" t="s">
        <v>11</v>
      </c>
      <c r="I159" t="s">
        <v>2279</v>
      </c>
      <c r="J159" t="s">
        <v>7963</v>
      </c>
      <c r="K159">
        <v>1613900</v>
      </c>
      <c r="L159">
        <v>44866</v>
      </c>
      <c r="M159" t="s">
        <v>225</v>
      </c>
      <c r="N159">
        <v>1613900</v>
      </c>
      <c r="O159" t="e">
        <v>#N/A</v>
      </c>
    </row>
    <row r="160" spans="2:15" hidden="1" x14ac:dyDescent="0.3">
      <c r="B160" t="s">
        <v>22</v>
      </c>
      <c r="C160">
        <v>809</v>
      </c>
      <c r="D160" t="s">
        <v>23</v>
      </c>
      <c r="E160">
        <v>810</v>
      </c>
      <c r="F160" t="s">
        <v>106</v>
      </c>
      <c r="G160">
        <v>1349</v>
      </c>
      <c r="H160" t="s">
        <v>11</v>
      </c>
      <c r="I160" t="s">
        <v>2280</v>
      </c>
      <c r="J160" t="s">
        <v>7964</v>
      </c>
      <c r="K160">
        <v>983740</v>
      </c>
      <c r="L160">
        <v>44866</v>
      </c>
      <c r="M160" t="s">
        <v>227</v>
      </c>
      <c r="N160">
        <v>983740</v>
      </c>
      <c r="O160" t="e">
        <v>#N/A</v>
      </c>
    </row>
    <row r="161" spans="2:15" hidden="1" x14ac:dyDescent="0.3">
      <c r="B161" t="s">
        <v>8</v>
      </c>
      <c r="C161">
        <v>928</v>
      </c>
      <c r="D161" t="s">
        <v>9</v>
      </c>
      <c r="E161">
        <v>1202</v>
      </c>
      <c r="F161" t="s">
        <v>31</v>
      </c>
      <c r="G161">
        <v>1040</v>
      </c>
      <c r="H161" t="s">
        <v>11</v>
      </c>
      <c r="I161" t="s">
        <v>2286</v>
      </c>
      <c r="J161" t="s">
        <v>7965</v>
      </c>
      <c r="K161">
        <v>59430</v>
      </c>
      <c r="L161">
        <v>44866</v>
      </c>
      <c r="M161" t="s">
        <v>228</v>
      </c>
      <c r="N161">
        <v>59430</v>
      </c>
      <c r="O161" t="e">
        <v>#N/A</v>
      </c>
    </row>
    <row r="162" spans="2:15" hidden="1" x14ac:dyDescent="0.3">
      <c r="B162" t="s">
        <v>8</v>
      </c>
      <c r="C162">
        <v>928</v>
      </c>
      <c r="D162" t="s">
        <v>9</v>
      </c>
      <c r="E162">
        <v>1202</v>
      </c>
      <c r="F162" t="s">
        <v>31</v>
      </c>
      <c r="G162">
        <v>1040</v>
      </c>
      <c r="H162" t="s">
        <v>11</v>
      </c>
      <c r="I162" t="s">
        <v>2290</v>
      </c>
      <c r="J162" t="s">
        <v>7966</v>
      </c>
      <c r="K162">
        <v>9031710</v>
      </c>
      <c r="L162">
        <v>44866</v>
      </c>
      <c r="M162" t="s">
        <v>228</v>
      </c>
      <c r="N162">
        <v>7144310</v>
      </c>
      <c r="O162" t="e">
        <v>#N/A</v>
      </c>
    </row>
    <row r="163" spans="2:15" hidden="1" x14ac:dyDescent="0.3">
      <c r="B163" t="s">
        <v>16</v>
      </c>
      <c r="C163">
        <v>927</v>
      </c>
      <c r="D163" t="s">
        <v>17</v>
      </c>
      <c r="E163">
        <v>1200</v>
      </c>
      <c r="F163" t="s">
        <v>229</v>
      </c>
      <c r="G163">
        <v>560</v>
      </c>
      <c r="H163" t="s">
        <v>11</v>
      </c>
      <c r="I163" t="s">
        <v>2295</v>
      </c>
      <c r="J163" t="s">
        <v>7967</v>
      </c>
      <c r="K163">
        <v>455630</v>
      </c>
      <c r="L163">
        <v>44866</v>
      </c>
      <c r="M163" t="s">
        <v>230</v>
      </c>
      <c r="N163">
        <v>455630</v>
      </c>
      <c r="O163" t="e">
        <v>#N/A</v>
      </c>
    </row>
    <row r="164" spans="2:15" hidden="1" x14ac:dyDescent="0.3">
      <c r="B164" t="s">
        <v>22</v>
      </c>
      <c r="C164">
        <v>809</v>
      </c>
      <c r="D164" t="s">
        <v>23</v>
      </c>
      <c r="E164">
        <v>810</v>
      </c>
      <c r="F164" t="s">
        <v>24</v>
      </c>
      <c r="G164">
        <v>201032</v>
      </c>
      <c r="H164" t="s">
        <v>11</v>
      </c>
      <c r="I164" t="s">
        <v>2296</v>
      </c>
      <c r="J164" t="s">
        <v>7968</v>
      </c>
      <c r="K164">
        <v>136220</v>
      </c>
      <c r="L164">
        <v>44866</v>
      </c>
      <c r="M164" t="s">
        <v>231</v>
      </c>
      <c r="N164">
        <v>136220</v>
      </c>
      <c r="O164" t="e">
        <v>#N/A</v>
      </c>
    </row>
    <row r="165" spans="2:15" hidden="1" x14ac:dyDescent="0.3">
      <c r="B165" t="s">
        <v>8</v>
      </c>
      <c r="C165">
        <v>928</v>
      </c>
      <c r="D165" t="s">
        <v>13</v>
      </c>
      <c r="E165">
        <v>1184</v>
      </c>
      <c r="F165" t="s">
        <v>51</v>
      </c>
      <c r="G165">
        <v>1274</v>
      </c>
      <c r="H165" t="s">
        <v>11</v>
      </c>
      <c r="I165" t="s">
        <v>2298</v>
      </c>
      <c r="J165" t="s">
        <v>7969</v>
      </c>
      <c r="K165">
        <v>3290</v>
      </c>
      <c r="L165">
        <v>44866</v>
      </c>
      <c r="M165" t="s">
        <v>232</v>
      </c>
      <c r="N165">
        <v>3290</v>
      </c>
      <c r="O165" t="e">
        <v>#N/A</v>
      </c>
    </row>
    <row r="166" spans="2:15" hidden="1" x14ac:dyDescent="0.3">
      <c r="B166" t="s">
        <v>41</v>
      </c>
      <c r="C166">
        <v>926</v>
      </c>
      <c r="D166" t="s">
        <v>56</v>
      </c>
      <c r="E166">
        <v>1207</v>
      </c>
      <c r="F166" t="s">
        <v>62</v>
      </c>
      <c r="G166">
        <v>201037</v>
      </c>
      <c r="H166" t="s">
        <v>11</v>
      </c>
      <c r="I166" t="s">
        <v>2301</v>
      </c>
      <c r="J166" t="s">
        <v>7970</v>
      </c>
      <c r="K166">
        <v>782420</v>
      </c>
      <c r="L166">
        <v>44866</v>
      </c>
      <c r="M166" t="s">
        <v>233</v>
      </c>
      <c r="N166">
        <v>782420</v>
      </c>
      <c r="O166" t="e">
        <v>#N/A</v>
      </c>
    </row>
    <row r="167" spans="2:15" hidden="1" x14ac:dyDescent="0.3">
      <c r="B167" t="s">
        <v>16</v>
      </c>
      <c r="C167">
        <v>927</v>
      </c>
      <c r="D167" t="s">
        <v>17</v>
      </c>
      <c r="E167">
        <v>1200</v>
      </c>
      <c r="F167" t="s">
        <v>66</v>
      </c>
      <c r="G167">
        <v>33</v>
      </c>
      <c r="H167" t="s">
        <v>11</v>
      </c>
      <c r="I167" t="s">
        <v>2302</v>
      </c>
      <c r="J167" t="s">
        <v>7971</v>
      </c>
      <c r="K167">
        <v>1110</v>
      </c>
      <c r="L167">
        <v>44866</v>
      </c>
      <c r="M167" t="s">
        <v>234</v>
      </c>
      <c r="N167">
        <v>1110</v>
      </c>
      <c r="O167" t="e">
        <v>#N/A</v>
      </c>
    </row>
    <row r="168" spans="2:15" hidden="1" x14ac:dyDescent="0.3">
      <c r="B168" t="s">
        <v>8</v>
      </c>
      <c r="C168">
        <v>928</v>
      </c>
      <c r="D168" t="s">
        <v>9</v>
      </c>
      <c r="E168">
        <v>1202</v>
      </c>
      <c r="F168" t="s">
        <v>27</v>
      </c>
      <c r="G168">
        <v>806</v>
      </c>
      <c r="H168" t="s">
        <v>11</v>
      </c>
      <c r="I168" t="s">
        <v>2306</v>
      </c>
      <c r="J168" t="s">
        <v>7972</v>
      </c>
      <c r="K168">
        <v>70</v>
      </c>
      <c r="L168">
        <v>44866</v>
      </c>
      <c r="M168" t="s">
        <v>235</v>
      </c>
      <c r="N168">
        <v>70</v>
      </c>
      <c r="O168" t="e">
        <v>#N/A</v>
      </c>
    </row>
    <row r="169" spans="2:15" hidden="1" x14ac:dyDescent="0.3">
      <c r="B169" t="s">
        <v>22</v>
      </c>
      <c r="C169">
        <v>809</v>
      </c>
      <c r="D169" t="s">
        <v>23</v>
      </c>
      <c r="E169">
        <v>810</v>
      </c>
      <c r="F169" t="s">
        <v>236</v>
      </c>
      <c r="G169">
        <v>201052</v>
      </c>
      <c r="H169" t="s">
        <v>11</v>
      </c>
      <c r="I169" t="s">
        <v>2310</v>
      </c>
      <c r="J169" t="s">
        <v>7973</v>
      </c>
      <c r="K169">
        <v>24930</v>
      </c>
      <c r="L169">
        <v>44866</v>
      </c>
      <c r="M169" t="s">
        <v>237</v>
      </c>
      <c r="N169">
        <v>24930</v>
      </c>
      <c r="O169" t="e">
        <v>#N/A</v>
      </c>
    </row>
    <row r="170" spans="2:15" hidden="1" x14ac:dyDescent="0.3">
      <c r="B170" t="s">
        <v>8</v>
      </c>
      <c r="C170">
        <v>928</v>
      </c>
      <c r="D170" t="s">
        <v>13</v>
      </c>
      <c r="E170">
        <v>1184</v>
      </c>
      <c r="F170" t="s">
        <v>14</v>
      </c>
      <c r="G170">
        <v>914</v>
      </c>
      <c r="H170" t="s">
        <v>11</v>
      </c>
      <c r="I170" t="s">
        <v>2311</v>
      </c>
      <c r="J170" t="s">
        <v>7974</v>
      </c>
      <c r="K170">
        <v>656030</v>
      </c>
      <c r="L170">
        <v>44866</v>
      </c>
      <c r="M170" t="s">
        <v>238</v>
      </c>
      <c r="N170">
        <v>656030</v>
      </c>
      <c r="O170" t="e">
        <v>#N/A</v>
      </c>
    </row>
    <row r="171" spans="2:15" hidden="1" x14ac:dyDescent="0.3">
      <c r="B171" t="s">
        <v>41</v>
      </c>
      <c r="C171">
        <v>926</v>
      </c>
      <c r="D171" t="s">
        <v>56</v>
      </c>
      <c r="E171">
        <v>1207</v>
      </c>
      <c r="F171" t="s">
        <v>57</v>
      </c>
      <c r="G171">
        <v>200982</v>
      </c>
      <c r="H171" t="s">
        <v>11</v>
      </c>
      <c r="I171" t="s">
        <v>2312</v>
      </c>
      <c r="J171" t="s">
        <v>7975</v>
      </c>
      <c r="K171">
        <v>67370</v>
      </c>
      <c r="L171">
        <v>44866</v>
      </c>
      <c r="M171" t="s">
        <v>239</v>
      </c>
      <c r="N171">
        <v>67370</v>
      </c>
      <c r="O171" t="e">
        <v>#N/A</v>
      </c>
    </row>
    <row r="172" spans="2:15" hidden="1" x14ac:dyDescent="0.3">
      <c r="B172" t="s">
        <v>41</v>
      </c>
      <c r="C172">
        <v>926</v>
      </c>
      <c r="D172" t="s">
        <v>56</v>
      </c>
      <c r="E172">
        <v>1207</v>
      </c>
      <c r="F172" t="s">
        <v>57</v>
      </c>
      <c r="G172">
        <v>200982</v>
      </c>
      <c r="H172" t="s">
        <v>11</v>
      </c>
      <c r="I172" t="s">
        <v>2314</v>
      </c>
      <c r="J172" t="s">
        <v>7976</v>
      </c>
      <c r="K172">
        <v>36390</v>
      </c>
      <c r="L172">
        <v>44866</v>
      </c>
      <c r="M172" t="s">
        <v>240</v>
      </c>
      <c r="N172">
        <v>36390</v>
      </c>
      <c r="O172" t="e">
        <v>#N/A</v>
      </c>
    </row>
    <row r="173" spans="2:15" hidden="1" x14ac:dyDescent="0.3">
      <c r="B173" t="s">
        <v>8</v>
      </c>
      <c r="C173">
        <v>928</v>
      </c>
      <c r="D173" t="s">
        <v>9</v>
      </c>
      <c r="E173">
        <v>1202</v>
      </c>
      <c r="F173" t="s">
        <v>39</v>
      </c>
      <c r="G173">
        <v>25</v>
      </c>
      <c r="H173" t="s">
        <v>11</v>
      </c>
      <c r="I173" t="s">
        <v>2315</v>
      </c>
      <c r="J173" t="s">
        <v>7977</v>
      </c>
      <c r="K173">
        <v>152130</v>
      </c>
      <c r="L173">
        <v>44866</v>
      </c>
      <c r="M173" t="s">
        <v>241</v>
      </c>
      <c r="N173">
        <v>152130</v>
      </c>
      <c r="O173" t="e">
        <v>#N/A</v>
      </c>
    </row>
    <row r="174" spans="2:15" hidden="1" x14ac:dyDescent="0.3">
      <c r="B174" t="s">
        <v>41</v>
      </c>
      <c r="C174">
        <v>926</v>
      </c>
      <c r="D174" t="s">
        <v>42</v>
      </c>
      <c r="E174">
        <v>964</v>
      </c>
      <c r="F174" t="s">
        <v>43</v>
      </c>
      <c r="G174">
        <v>200998</v>
      </c>
      <c r="H174" t="s">
        <v>11</v>
      </c>
      <c r="I174" t="s">
        <v>2317</v>
      </c>
      <c r="J174" t="s">
        <v>7978</v>
      </c>
      <c r="K174">
        <v>1870</v>
      </c>
      <c r="L174">
        <v>44866</v>
      </c>
      <c r="M174" t="s">
        <v>242</v>
      </c>
      <c r="N174">
        <v>1870</v>
      </c>
      <c r="O174" t="e">
        <v>#N/A</v>
      </c>
    </row>
    <row r="175" spans="2:15" hidden="1" x14ac:dyDescent="0.3">
      <c r="B175" t="s">
        <v>8</v>
      </c>
      <c r="C175">
        <v>928</v>
      </c>
      <c r="D175" t="s">
        <v>9</v>
      </c>
      <c r="E175">
        <v>1202</v>
      </c>
      <c r="F175" t="s">
        <v>31</v>
      </c>
      <c r="G175">
        <v>1040</v>
      </c>
      <c r="H175" t="s">
        <v>11</v>
      </c>
      <c r="I175" t="s">
        <v>2318</v>
      </c>
      <c r="J175" t="s">
        <v>7979</v>
      </c>
      <c r="K175">
        <v>191140</v>
      </c>
      <c r="L175">
        <v>44866</v>
      </c>
      <c r="M175" t="s">
        <v>243</v>
      </c>
      <c r="N175">
        <v>191300</v>
      </c>
      <c r="O175" t="e">
        <v>#N/A</v>
      </c>
    </row>
    <row r="176" spans="2:15" hidden="1" x14ac:dyDescent="0.3">
      <c r="B176" t="s">
        <v>16</v>
      </c>
      <c r="C176">
        <v>927</v>
      </c>
      <c r="D176" t="s">
        <v>17</v>
      </c>
      <c r="E176">
        <v>1200</v>
      </c>
      <c r="F176" t="s">
        <v>244</v>
      </c>
      <c r="G176">
        <v>817</v>
      </c>
      <c r="H176" t="s">
        <v>11</v>
      </c>
      <c r="I176" t="s">
        <v>2320</v>
      </c>
      <c r="J176" t="s">
        <v>7980</v>
      </c>
      <c r="K176">
        <v>122990</v>
      </c>
      <c r="L176">
        <v>44866</v>
      </c>
      <c r="M176" t="s">
        <v>245</v>
      </c>
      <c r="N176">
        <v>122990</v>
      </c>
      <c r="O176" t="e">
        <v>#N/A</v>
      </c>
    </row>
    <row r="177" spans="2:15" hidden="1" x14ac:dyDescent="0.3">
      <c r="B177" t="s">
        <v>16</v>
      </c>
      <c r="C177">
        <v>927</v>
      </c>
      <c r="D177" t="s">
        <v>17</v>
      </c>
      <c r="E177">
        <v>1200</v>
      </c>
      <c r="F177" t="s">
        <v>78</v>
      </c>
      <c r="G177">
        <v>57</v>
      </c>
      <c r="H177" t="s">
        <v>11</v>
      </c>
      <c r="I177" t="s">
        <v>2322</v>
      </c>
      <c r="J177" t="s">
        <v>7981</v>
      </c>
      <c r="K177">
        <v>27440</v>
      </c>
      <c r="L177">
        <v>44866</v>
      </c>
      <c r="M177" t="s">
        <v>246</v>
      </c>
      <c r="N177">
        <v>27440</v>
      </c>
      <c r="O177" t="e">
        <v>#N/A</v>
      </c>
    </row>
    <row r="178" spans="2:15" hidden="1" x14ac:dyDescent="0.3">
      <c r="B178" t="s">
        <v>8</v>
      </c>
      <c r="C178">
        <v>928</v>
      </c>
      <c r="D178" t="s">
        <v>13</v>
      </c>
      <c r="E178">
        <v>1184</v>
      </c>
      <c r="F178" t="s">
        <v>51</v>
      </c>
      <c r="G178">
        <v>1274</v>
      </c>
      <c r="H178" t="s">
        <v>11</v>
      </c>
      <c r="I178" t="s">
        <v>2332</v>
      </c>
      <c r="J178" t="s">
        <v>7982</v>
      </c>
      <c r="K178">
        <v>6960</v>
      </c>
      <c r="L178">
        <v>44866</v>
      </c>
      <c r="M178" t="s">
        <v>247</v>
      </c>
      <c r="N178">
        <v>6960</v>
      </c>
      <c r="O178" t="e">
        <v>#N/A</v>
      </c>
    </row>
    <row r="179" spans="2:15" hidden="1" x14ac:dyDescent="0.3">
      <c r="B179" t="s">
        <v>8</v>
      </c>
      <c r="C179">
        <v>928</v>
      </c>
      <c r="D179" t="s">
        <v>9</v>
      </c>
      <c r="E179">
        <v>1202</v>
      </c>
      <c r="F179" t="s">
        <v>45</v>
      </c>
      <c r="G179">
        <v>26</v>
      </c>
      <c r="H179" t="s">
        <v>11</v>
      </c>
      <c r="I179" t="s">
        <v>2337</v>
      </c>
      <c r="J179" t="s">
        <v>7983</v>
      </c>
      <c r="K179">
        <v>311010</v>
      </c>
      <c r="L179">
        <v>44866</v>
      </c>
      <c r="M179" t="s">
        <v>248</v>
      </c>
      <c r="N179">
        <v>311010</v>
      </c>
      <c r="O179" t="e">
        <v>#N/A</v>
      </c>
    </row>
    <row r="180" spans="2:15" hidden="1" x14ac:dyDescent="0.3">
      <c r="B180" t="s">
        <v>8</v>
      </c>
      <c r="C180">
        <v>928</v>
      </c>
      <c r="D180" t="s">
        <v>9</v>
      </c>
      <c r="E180">
        <v>1202</v>
      </c>
      <c r="F180" t="s">
        <v>27</v>
      </c>
      <c r="G180">
        <v>806</v>
      </c>
      <c r="H180" t="s">
        <v>11</v>
      </c>
      <c r="I180" t="s">
        <v>2340</v>
      </c>
      <c r="J180" t="s">
        <v>7984</v>
      </c>
      <c r="K180">
        <v>119480</v>
      </c>
      <c r="L180">
        <v>44866</v>
      </c>
      <c r="M180" t="s">
        <v>249</v>
      </c>
      <c r="N180">
        <v>194520</v>
      </c>
      <c r="O180" t="e">
        <v>#N/A</v>
      </c>
    </row>
    <row r="181" spans="2:15" hidden="1" x14ac:dyDescent="0.3">
      <c r="B181" t="s">
        <v>8</v>
      </c>
      <c r="C181">
        <v>928</v>
      </c>
      <c r="D181" t="s">
        <v>13</v>
      </c>
      <c r="E181">
        <v>1184</v>
      </c>
      <c r="F181" t="s">
        <v>14</v>
      </c>
      <c r="G181">
        <v>914</v>
      </c>
      <c r="H181" t="s">
        <v>11</v>
      </c>
      <c r="I181" t="s">
        <v>2341</v>
      </c>
      <c r="J181" t="s">
        <v>7985</v>
      </c>
      <c r="K181">
        <v>785600</v>
      </c>
      <c r="L181">
        <v>44866</v>
      </c>
      <c r="M181" t="s">
        <v>250</v>
      </c>
      <c r="N181">
        <v>785600</v>
      </c>
      <c r="O181" t="e">
        <v>#N/A</v>
      </c>
    </row>
    <row r="182" spans="2:15" hidden="1" x14ac:dyDescent="0.3">
      <c r="B182" t="s">
        <v>16</v>
      </c>
      <c r="C182">
        <v>927</v>
      </c>
      <c r="D182" t="s">
        <v>17</v>
      </c>
      <c r="E182">
        <v>1200</v>
      </c>
      <c r="F182" t="s">
        <v>66</v>
      </c>
      <c r="G182">
        <v>33</v>
      </c>
      <c r="H182" t="s">
        <v>11</v>
      </c>
      <c r="I182" t="s">
        <v>2343</v>
      </c>
      <c r="J182" t="s">
        <v>7986</v>
      </c>
      <c r="K182">
        <v>412720</v>
      </c>
      <c r="L182">
        <v>44866</v>
      </c>
      <c r="M182" t="s">
        <v>251</v>
      </c>
      <c r="N182">
        <v>412720</v>
      </c>
      <c r="O182" t="e">
        <v>#N/A</v>
      </c>
    </row>
    <row r="183" spans="2:15" hidden="1" x14ac:dyDescent="0.3">
      <c r="B183" t="s">
        <v>16</v>
      </c>
      <c r="C183">
        <v>927</v>
      </c>
      <c r="D183" t="s">
        <v>17</v>
      </c>
      <c r="E183">
        <v>1200</v>
      </c>
      <c r="F183" t="s">
        <v>78</v>
      </c>
      <c r="G183">
        <v>57</v>
      </c>
      <c r="H183" t="s">
        <v>11</v>
      </c>
      <c r="I183" t="s">
        <v>2345</v>
      </c>
      <c r="J183" t="s">
        <v>7987</v>
      </c>
      <c r="K183">
        <v>7153940</v>
      </c>
      <c r="L183">
        <v>44866</v>
      </c>
      <c r="M183" t="s">
        <v>252</v>
      </c>
      <c r="N183">
        <v>7147200</v>
      </c>
      <c r="O183" t="e">
        <v>#N/A</v>
      </c>
    </row>
    <row r="184" spans="2:15" hidden="1" x14ac:dyDescent="0.3">
      <c r="B184" t="s">
        <v>41</v>
      </c>
      <c r="C184">
        <v>926</v>
      </c>
      <c r="D184" t="s">
        <v>56</v>
      </c>
      <c r="E184">
        <v>1207</v>
      </c>
      <c r="F184" t="s">
        <v>253</v>
      </c>
      <c r="G184">
        <v>1328</v>
      </c>
      <c r="H184" t="s">
        <v>11</v>
      </c>
      <c r="I184" t="s">
        <v>2347</v>
      </c>
      <c r="J184" t="s">
        <v>7988</v>
      </c>
      <c r="K184">
        <v>1520600</v>
      </c>
      <c r="L184">
        <v>44866</v>
      </c>
      <c r="M184" t="s">
        <v>254</v>
      </c>
      <c r="N184">
        <v>1520600</v>
      </c>
      <c r="O184" t="e">
        <v>#N/A</v>
      </c>
    </row>
    <row r="185" spans="2:15" hidden="1" x14ac:dyDescent="0.3">
      <c r="B185" t="s">
        <v>16</v>
      </c>
      <c r="C185">
        <v>927</v>
      </c>
      <c r="D185" t="s">
        <v>17</v>
      </c>
      <c r="E185">
        <v>1200</v>
      </c>
      <c r="F185" t="s">
        <v>66</v>
      </c>
      <c r="G185">
        <v>33</v>
      </c>
      <c r="H185" t="s">
        <v>11</v>
      </c>
      <c r="I185" t="s">
        <v>2348</v>
      </c>
      <c r="J185" t="s">
        <v>7989</v>
      </c>
      <c r="K185">
        <v>273790</v>
      </c>
      <c r="L185">
        <v>44866</v>
      </c>
      <c r="M185" t="s">
        <v>255</v>
      </c>
      <c r="N185">
        <v>273790</v>
      </c>
      <c r="O185" t="e">
        <v>#N/A</v>
      </c>
    </row>
    <row r="186" spans="2:15" hidden="1" x14ac:dyDescent="0.3">
      <c r="B186" t="s">
        <v>16</v>
      </c>
      <c r="C186">
        <v>927</v>
      </c>
      <c r="D186" t="s">
        <v>17</v>
      </c>
      <c r="E186">
        <v>1200</v>
      </c>
      <c r="F186" t="s">
        <v>244</v>
      </c>
      <c r="G186">
        <v>817</v>
      </c>
      <c r="H186" t="s">
        <v>11</v>
      </c>
      <c r="I186" t="s">
        <v>2349</v>
      </c>
      <c r="J186" t="s">
        <v>7990</v>
      </c>
      <c r="K186">
        <v>3660</v>
      </c>
      <c r="L186">
        <v>44866</v>
      </c>
      <c r="M186" t="s">
        <v>256</v>
      </c>
      <c r="N186">
        <v>3660</v>
      </c>
      <c r="O186" t="e">
        <v>#N/A</v>
      </c>
    </row>
    <row r="187" spans="2:15" hidden="1" x14ac:dyDescent="0.3">
      <c r="B187" t="s">
        <v>8</v>
      </c>
      <c r="C187">
        <v>928</v>
      </c>
      <c r="D187" t="s">
        <v>9</v>
      </c>
      <c r="E187">
        <v>1202</v>
      </c>
      <c r="F187" t="s">
        <v>20</v>
      </c>
      <c r="G187">
        <v>938</v>
      </c>
      <c r="H187" t="s">
        <v>11</v>
      </c>
      <c r="I187" t="s">
        <v>2351</v>
      </c>
      <c r="J187" t="s">
        <v>7991</v>
      </c>
      <c r="K187">
        <v>2005500</v>
      </c>
      <c r="L187">
        <v>44866</v>
      </c>
      <c r="M187" t="s">
        <v>257</v>
      </c>
      <c r="N187">
        <v>2005500</v>
      </c>
      <c r="O187" t="e">
        <v>#N/A</v>
      </c>
    </row>
    <row r="188" spans="2:15" hidden="1" x14ac:dyDescent="0.3">
      <c r="B188" t="s">
        <v>8</v>
      </c>
      <c r="C188">
        <v>928</v>
      </c>
      <c r="D188" t="s">
        <v>9</v>
      </c>
      <c r="E188">
        <v>1202</v>
      </c>
      <c r="F188" t="s">
        <v>35</v>
      </c>
      <c r="G188">
        <v>51</v>
      </c>
      <c r="H188" t="s">
        <v>11</v>
      </c>
      <c r="I188" t="s">
        <v>2356</v>
      </c>
      <c r="J188" t="s">
        <v>7992</v>
      </c>
      <c r="K188">
        <v>260640</v>
      </c>
      <c r="L188">
        <v>44866</v>
      </c>
      <c r="M188" t="s">
        <v>258</v>
      </c>
      <c r="N188">
        <v>260640</v>
      </c>
      <c r="O188" t="e">
        <v>#N/A</v>
      </c>
    </row>
    <row r="189" spans="2:15" hidden="1" x14ac:dyDescent="0.3">
      <c r="B189" t="s">
        <v>8</v>
      </c>
      <c r="C189">
        <v>928</v>
      </c>
      <c r="D189" t="s">
        <v>9</v>
      </c>
      <c r="E189">
        <v>1202</v>
      </c>
      <c r="F189" t="s">
        <v>142</v>
      </c>
      <c r="G189">
        <v>652</v>
      </c>
      <c r="H189" t="s">
        <v>11</v>
      </c>
      <c r="I189" t="s">
        <v>2357</v>
      </c>
      <c r="J189" t="s">
        <v>7993</v>
      </c>
      <c r="K189">
        <v>420</v>
      </c>
      <c r="L189">
        <v>44866</v>
      </c>
      <c r="M189" t="s">
        <v>259</v>
      </c>
      <c r="N189">
        <v>420</v>
      </c>
      <c r="O189" t="e">
        <v>#N/A</v>
      </c>
    </row>
    <row r="190" spans="2:15" hidden="1" x14ac:dyDescent="0.3">
      <c r="B190" t="s">
        <v>16</v>
      </c>
      <c r="C190">
        <v>927</v>
      </c>
      <c r="D190" t="s">
        <v>17</v>
      </c>
      <c r="E190">
        <v>1200</v>
      </c>
      <c r="F190" t="s">
        <v>78</v>
      </c>
      <c r="G190">
        <v>57</v>
      </c>
      <c r="H190" t="s">
        <v>11</v>
      </c>
      <c r="I190" t="s">
        <v>2360</v>
      </c>
      <c r="J190" t="s">
        <v>7994</v>
      </c>
      <c r="K190">
        <v>243860</v>
      </c>
      <c r="L190">
        <v>44866</v>
      </c>
      <c r="M190" t="s">
        <v>260</v>
      </c>
      <c r="N190">
        <v>243860</v>
      </c>
      <c r="O190" t="e">
        <v>#N/A</v>
      </c>
    </row>
    <row r="191" spans="2:15" hidden="1" x14ac:dyDescent="0.3">
      <c r="B191" t="s">
        <v>41</v>
      </c>
      <c r="C191">
        <v>926</v>
      </c>
      <c r="D191" t="s">
        <v>56</v>
      </c>
      <c r="E191">
        <v>1207</v>
      </c>
      <c r="F191" t="s">
        <v>64</v>
      </c>
      <c r="G191">
        <v>201011</v>
      </c>
      <c r="H191" t="s">
        <v>11</v>
      </c>
      <c r="I191" t="s">
        <v>2362</v>
      </c>
      <c r="J191" t="s">
        <v>7068</v>
      </c>
      <c r="K191">
        <v>249420</v>
      </c>
      <c r="L191">
        <v>44866</v>
      </c>
      <c r="M191" t="s">
        <v>261</v>
      </c>
      <c r="N191">
        <v>249420</v>
      </c>
      <c r="O191" t="s">
        <v>7069</v>
      </c>
    </row>
    <row r="192" spans="2:15" hidden="1" x14ac:dyDescent="0.3">
      <c r="B192" t="s">
        <v>16</v>
      </c>
      <c r="C192">
        <v>927</v>
      </c>
      <c r="D192" t="s">
        <v>17</v>
      </c>
      <c r="E192">
        <v>1200</v>
      </c>
      <c r="F192" t="s">
        <v>262</v>
      </c>
      <c r="G192">
        <v>1594</v>
      </c>
      <c r="H192" t="s">
        <v>11</v>
      </c>
      <c r="I192" t="s">
        <v>2364</v>
      </c>
      <c r="J192" t="s">
        <v>7995</v>
      </c>
      <c r="K192">
        <v>10275310</v>
      </c>
      <c r="L192">
        <v>44866</v>
      </c>
      <c r="M192" t="s">
        <v>263</v>
      </c>
      <c r="N192">
        <v>10275310</v>
      </c>
      <c r="O192" t="e">
        <v>#N/A</v>
      </c>
    </row>
    <row r="193" spans="2:15" hidden="1" x14ac:dyDescent="0.3">
      <c r="B193" t="s">
        <v>22</v>
      </c>
      <c r="C193">
        <v>809</v>
      </c>
      <c r="D193" t="s">
        <v>23</v>
      </c>
      <c r="E193">
        <v>810</v>
      </c>
      <c r="F193" t="s">
        <v>106</v>
      </c>
      <c r="G193">
        <v>1349</v>
      </c>
      <c r="H193" t="s">
        <v>11</v>
      </c>
      <c r="I193" t="s">
        <v>2367</v>
      </c>
      <c r="J193" t="s">
        <v>7996</v>
      </c>
      <c r="K193">
        <v>980300</v>
      </c>
      <c r="L193">
        <v>44866</v>
      </c>
      <c r="M193" t="s">
        <v>264</v>
      </c>
      <c r="N193">
        <v>980300</v>
      </c>
      <c r="O193" t="e">
        <v>#N/A</v>
      </c>
    </row>
    <row r="194" spans="2:15" hidden="1" x14ac:dyDescent="0.3">
      <c r="B194" t="s">
        <v>8</v>
      </c>
      <c r="C194">
        <v>928</v>
      </c>
      <c r="D194" t="s">
        <v>13</v>
      </c>
      <c r="E194">
        <v>1184</v>
      </c>
      <c r="F194" t="s">
        <v>14</v>
      </c>
      <c r="G194">
        <v>914</v>
      </c>
      <c r="H194" t="s">
        <v>11</v>
      </c>
      <c r="I194" t="s">
        <v>2368</v>
      </c>
      <c r="J194" t="s">
        <v>7997</v>
      </c>
      <c r="K194">
        <v>78810</v>
      </c>
      <c r="L194">
        <v>44866</v>
      </c>
      <c r="M194" t="s">
        <v>265</v>
      </c>
      <c r="N194">
        <v>78810</v>
      </c>
      <c r="O194" t="e">
        <v>#N/A</v>
      </c>
    </row>
    <row r="195" spans="2:15" hidden="1" x14ac:dyDescent="0.3">
      <c r="B195" t="s">
        <v>41</v>
      </c>
      <c r="C195">
        <v>926</v>
      </c>
      <c r="D195" t="s">
        <v>56</v>
      </c>
      <c r="E195">
        <v>1207</v>
      </c>
      <c r="F195" t="s">
        <v>253</v>
      </c>
      <c r="G195">
        <v>1328</v>
      </c>
      <c r="H195" t="s">
        <v>11</v>
      </c>
      <c r="I195" t="s">
        <v>2370</v>
      </c>
      <c r="J195" t="s">
        <v>7998</v>
      </c>
      <c r="K195">
        <v>13726780</v>
      </c>
      <c r="L195">
        <v>44866</v>
      </c>
      <c r="M195" t="s">
        <v>266</v>
      </c>
      <c r="N195">
        <v>13726780</v>
      </c>
      <c r="O195" t="e">
        <v>#N/A</v>
      </c>
    </row>
    <row r="196" spans="2:15" hidden="1" x14ac:dyDescent="0.3">
      <c r="B196" t="s">
        <v>8</v>
      </c>
      <c r="C196">
        <v>928</v>
      </c>
      <c r="D196" t="s">
        <v>9</v>
      </c>
      <c r="E196">
        <v>1202</v>
      </c>
      <c r="F196" t="s">
        <v>110</v>
      </c>
      <c r="G196">
        <v>929</v>
      </c>
      <c r="H196" t="s">
        <v>11</v>
      </c>
      <c r="I196" t="s">
        <v>2374</v>
      </c>
      <c r="J196" t="s">
        <v>7999</v>
      </c>
      <c r="K196">
        <v>140467</v>
      </c>
      <c r="L196">
        <v>44866</v>
      </c>
      <c r="M196" t="s">
        <v>267</v>
      </c>
      <c r="N196">
        <v>211370</v>
      </c>
      <c r="O196" t="e">
        <v>#N/A</v>
      </c>
    </row>
    <row r="197" spans="2:15" hidden="1" x14ac:dyDescent="0.3">
      <c r="B197" t="s">
        <v>8</v>
      </c>
      <c r="C197">
        <v>928</v>
      </c>
      <c r="D197" t="s">
        <v>9</v>
      </c>
      <c r="E197">
        <v>1202</v>
      </c>
      <c r="F197" t="s">
        <v>73</v>
      </c>
      <c r="G197">
        <v>895</v>
      </c>
      <c r="H197" t="s">
        <v>11</v>
      </c>
      <c r="I197" t="s">
        <v>2379</v>
      </c>
      <c r="J197" t="s">
        <v>8000</v>
      </c>
      <c r="K197">
        <v>31550</v>
      </c>
      <c r="L197">
        <v>44866</v>
      </c>
      <c r="M197" t="s">
        <v>268</v>
      </c>
      <c r="N197">
        <v>31550</v>
      </c>
      <c r="O197" t="e">
        <v>#N/A</v>
      </c>
    </row>
    <row r="198" spans="2:15" hidden="1" x14ac:dyDescent="0.3">
      <c r="B198" t="s">
        <v>8</v>
      </c>
      <c r="C198">
        <v>928</v>
      </c>
      <c r="D198" t="s">
        <v>223</v>
      </c>
      <c r="E198">
        <v>966</v>
      </c>
      <c r="F198" t="s">
        <v>269</v>
      </c>
      <c r="G198">
        <v>201031</v>
      </c>
      <c r="H198" t="s">
        <v>11</v>
      </c>
      <c r="I198" t="s">
        <v>2383</v>
      </c>
      <c r="J198" t="s">
        <v>8001</v>
      </c>
      <c r="K198">
        <v>15973269</v>
      </c>
      <c r="L198">
        <v>44866</v>
      </c>
      <c r="M198" t="s">
        <v>270</v>
      </c>
      <c r="N198">
        <v>14199950</v>
      </c>
      <c r="O198" t="e">
        <v>#N/A</v>
      </c>
    </row>
    <row r="199" spans="2:15" hidden="1" x14ac:dyDescent="0.3">
      <c r="B199" t="s">
        <v>8</v>
      </c>
      <c r="C199">
        <v>928</v>
      </c>
      <c r="D199" t="s">
        <v>9</v>
      </c>
      <c r="E199">
        <v>1202</v>
      </c>
      <c r="F199" t="s">
        <v>31</v>
      </c>
      <c r="G199">
        <v>1040</v>
      </c>
      <c r="H199" t="s">
        <v>11</v>
      </c>
      <c r="I199" t="s">
        <v>2387</v>
      </c>
      <c r="J199" t="s">
        <v>8002</v>
      </c>
      <c r="K199">
        <v>1350130</v>
      </c>
      <c r="L199">
        <v>44866</v>
      </c>
      <c r="M199" t="s">
        <v>271</v>
      </c>
      <c r="N199">
        <v>1350130</v>
      </c>
      <c r="O199" t="e">
        <v>#N/A</v>
      </c>
    </row>
    <row r="200" spans="2:15" hidden="1" x14ac:dyDescent="0.3">
      <c r="B200" t="s">
        <v>16</v>
      </c>
      <c r="C200">
        <v>927</v>
      </c>
      <c r="D200" t="s">
        <v>17</v>
      </c>
      <c r="E200">
        <v>1200</v>
      </c>
      <c r="F200" t="s">
        <v>96</v>
      </c>
      <c r="G200">
        <v>1271</v>
      </c>
      <c r="H200" t="s">
        <v>11</v>
      </c>
      <c r="I200" t="s">
        <v>2388</v>
      </c>
      <c r="J200" t="s">
        <v>8003</v>
      </c>
      <c r="K200">
        <v>909590</v>
      </c>
      <c r="L200">
        <v>44866</v>
      </c>
      <c r="M200" t="s">
        <v>272</v>
      </c>
      <c r="N200">
        <v>913250</v>
      </c>
      <c r="O200" t="e">
        <v>#N/A</v>
      </c>
    </row>
    <row r="201" spans="2:15" hidden="1" x14ac:dyDescent="0.3">
      <c r="B201" t="s">
        <v>8</v>
      </c>
      <c r="C201">
        <v>928</v>
      </c>
      <c r="D201" t="s">
        <v>13</v>
      </c>
      <c r="E201">
        <v>1184</v>
      </c>
      <c r="F201" t="s">
        <v>51</v>
      </c>
      <c r="G201">
        <v>1274</v>
      </c>
      <c r="H201" t="s">
        <v>11</v>
      </c>
      <c r="I201" t="s">
        <v>2389</v>
      </c>
      <c r="J201" t="s">
        <v>8004</v>
      </c>
      <c r="K201">
        <v>70</v>
      </c>
      <c r="L201">
        <v>44866</v>
      </c>
      <c r="M201" t="s">
        <v>273</v>
      </c>
      <c r="N201">
        <v>70</v>
      </c>
      <c r="O201" t="e">
        <v>#N/A</v>
      </c>
    </row>
    <row r="202" spans="2:15" hidden="1" x14ac:dyDescent="0.3">
      <c r="B202" t="s">
        <v>8</v>
      </c>
      <c r="C202">
        <v>928</v>
      </c>
      <c r="D202" t="s">
        <v>9</v>
      </c>
      <c r="E202">
        <v>1202</v>
      </c>
      <c r="F202" t="s">
        <v>110</v>
      </c>
      <c r="G202">
        <v>929</v>
      </c>
      <c r="H202" t="s">
        <v>11</v>
      </c>
      <c r="I202" t="s">
        <v>2391</v>
      </c>
      <c r="J202" t="s">
        <v>8005</v>
      </c>
      <c r="K202">
        <v>6420</v>
      </c>
      <c r="L202">
        <v>44866</v>
      </c>
      <c r="M202" t="s">
        <v>274</v>
      </c>
      <c r="N202">
        <v>6420</v>
      </c>
      <c r="O202" t="e">
        <v>#N/A</v>
      </c>
    </row>
    <row r="203" spans="2:15" hidden="1" x14ac:dyDescent="0.3">
      <c r="B203" t="s">
        <v>41</v>
      </c>
      <c r="C203">
        <v>926</v>
      </c>
      <c r="D203" t="s">
        <v>56</v>
      </c>
      <c r="E203">
        <v>1207</v>
      </c>
      <c r="F203" t="s">
        <v>57</v>
      </c>
      <c r="G203">
        <v>200982</v>
      </c>
      <c r="H203" t="s">
        <v>11</v>
      </c>
      <c r="I203" t="s">
        <v>2394</v>
      </c>
      <c r="J203" t="s">
        <v>8006</v>
      </c>
      <c r="K203">
        <v>215530</v>
      </c>
      <c r="L203">
        <v>44866</v>
      </c>
      <c r="M203" t="s">
        <v>275</v>
      </c>
      <c r="N203">
        <v>215530</v>
      </c>
      <c r="O203" t="e">
        <v>#N/A</v>
      </c>
    </row>
    <row r="204" spans="2:15" hidden="1" x14ac:dyDescent="0.3">
      <c r="B204" t="s">
        <v>8</v>
      </c>
      <c r="C204">
        <v>928</v>
      </c>
      <c r="D204" t="s">
        <v>9</v>
      </c>
      <c r="E204">
        <v>1202</v>
      </c>
      <c r="F204" t="s">
        <v>73</v>
      </c>
      <c r="G204">
        <v>895</v>
      </c>
      <c r="H204" t="s">
        <v>11</v>
      </c>
      <c r="I204" t="s">
        <v>2396</v>
      </c>
      <c r="J204" t="s">
        <v>8007</v>
      </c>
      <c r="K204">
        <v>79950</v>
      </c>
      <c r="L204">
        <v>44866</v>
      </c>
      <c r="M204" t="s">
        <v>276</v>
      </c>
      <c r="N204">
        <v>79950</v>
      </c>
      <c r="O204" t="e">
        <v>#N/A</v>
      </c>
    </row>
    <row r="205" spans="2:15" hidden="1" x14ac:dyDescent="0.3">
      <c r="B205" t="s">
        <v>8</v>
      </c>
      <c r="C205">
        <v>928</v>
      </c>
      <c r="D205" t="s">
        <v>13</v>
      </c>
      <c r="E205">
        <v>1184</v>
      </c>
      <c r="F205" t="s">
        <v>51</v>
      </c>
      <c r="G205">
        <v>1274</v>
      </c>
      <c r="H205" t="s">
        <v>11</v>
      </c>
      <c r="I205" t="s">
        <v>2398</v>
      </c>
      <c r="J205" t="s">
        <v>8008</v>
      </c>
      <c r="K205">
        <v>840</v>
      </c>
      <c r="L205">
        <v>44866</v>
      </c>
      <c r="M205" t="s">
        <v>277</v>
      </c>
      <c r="N205">
        <v>840</v>
      </c>
      <c r="O205" t="e">
        <v>#N/A</v>
      </c>
    </row>
    <row r="206" spans="2:15" hidden="1" x14ac:dyDescent="0.3">
      <c r="B206" t="s">
        <v>16</v>
      </c>
      <c r="C206">
        <v>927</v>
      </c>
      <c r="D206" t="s">
        <v>17</v>
      </c>
      <c r="E206">
        <v>1200</v>
      </c>
      <c r="F206" t="s">
        <v>262</v>
      </c>
      <c r="G206">
        <v>1594</v>
      </c>
      <c r="H206" t="s">
        <v>11</v>
      </c>
      <c r="I206" t="s">
        <v>2400</v>
      </c>
      <c r="J206" t="s">
        <v>8009</v>
      </c>
      <c r="K206">
        <v>5759250</v>
      </c>
      <c r="L206">
        <v>44866</v>
      </c>
      <c r="M206" t="s">
        <v>278</v>
      </c>
      <c r="N206">
        <v>5766400</v>
      </c>
      <c r="O206" t="e">
        <v>#N/A</v>
      </c>
    </row>
    <row r="207" spans="2:15" hidden="1" x14ac:dyDescent="0.3">
      <c r="B207" t="s">
        <v>8</v>
      </c>
      <c r="C207">
        <v>928</v>
      </c>
      <c r="D207" t="s">
        <v>9</v>
      </c>
      <c r="E207">
        <v>1202</v>
      </c>
      <c r="F207" t="s">
        <v>35</v>
      </c>
      <c r="G207">
        <v>51</v>
      </c>
      <c r="H207" t="s">
        <v>11</v>
      </c>
      <c r="I207" t="s">
        <v>2402</v>
      </c>
      <c r="J207" t="s">
        <v>8010</v>
      </c>
      <c r="K207">
        <v>1690</v>
      </c>
      <c r="L207">
        <v>44866</v>
      </c>
      <c r="M207" t="s">
        <v>279</v>
      </c>
      <c r="N207">
        <v>1690</v>
      </c>
      <c r="O207" t="e">
        <v>#N/A</v>
      </c>
    </row>
    <row r="208" spans="2:15" hidden="1" x14ac:dyDescent="0.3">
      <c r="B208" t="s">
        <v>176</v>
      </c>
      <c r="C208">
        <v>1204</v>
      </c>
      <c r="D208" t="s">
        <v>177</v>
      </c>
      <c r="E208">
        <v>1205</v>
      </c>
      <c r="F208" t="s">
        <v>178</v>
      </c>
      <c r="G208">
        <v>201073</v>
      </c>
      <c r="H208" t="s">
        <v>11</v>
      </c>
      <c r="I208" t="s">
        <v>2404</v>
      </c>
      <c r="J208" t="s">
        <v>8011</v>
      </c>
      <c r="K208">
        <v>1786020</v>
      </c>
      <c r="L208">
        <v>44866</v>
      </c>
      <c r="M208" t="s">
        <v>280</v>
      </c>
      <c r="N208">
        <v>586050</v>
      </c>
      <c r="O208" t="e">
        <v>#N/A</v>
      </c>
    </row>
    <row r="209" spans="2:15" hidden="1" x14ac:dyDescent="0.3">
      <c r="B209" t="s">
        <v>8</v>
      </c>
      <c r="C209">
        <v>928</v>
      </c>
      <c r="D209" t="s">
        <v>13</v>
      </c>
      <c r="E209">
        <v>1184</v>
      </c>
      <c r="F209" t="s">
        <v>59</v>
      </c>
      <c r="G209">
        <v>9</v>
      </c>
      <c r="H209" t="s">
        <v>11</v>
      </c>
      <c r="I209" t="s">
        <v>2406</v>
      </c>
      <c r="J209" t="s">
        <v>8012</v>
      </c>
      <c r="K209">
        <v>12240</v>
      </c>
      <c r="L209">
        <v>44866</v>
      </c>
      <c r="M209" t="s">
        <v>281</v>
      </c>
      <c r="N209">
        <v>12240</v>
      </c>
      <c r="O209" t="e">
        <v>#N/A</v>
      </c>
    </row>
    <row r="210" spans="2:15" hidden="1" x14ac:dyDescent="0.3">
      <c r="B210" t="s">
        <v>8</v>
      </c>
      <c r="C210">
        <v>928</v>
      </c>
      <c r="D210" t="s">
        <v>13</v>
      </c>
      <c r="E210">
        <v>1184</v>
      </c>
      <c r="F210" t="s">
        <v>59</v>
      </c>
      <c r="G210">
        <v>9</v>
      </c>
      <c r="H210" t="s">
        <v>11</v>
      </c>
      <c r="I210" t="s">
        <v>2407</v>
      </c>
      <c r="J210" t="s">
        <v>8013</v>
      </c>
      <c r="K210">
        <v>1510</v>
      </c>
      <c r="L210">
        <v>44866</v>
      </c>
      <c r="M210" t="s">
        <v>282</v>
      </c>
      <c r="N210">
        <v>1510</v>
      </c>
      <c r="O210" t="e">
        <v>#N/A</v>
      </c>
    </row>
    <row r="211" spans="2:15" hidden="1" x14ac:dyDescent="0.3">
      <c r="B211" t="s">
        <v>8</v>
      </c>
      <c r="C211">
        <v>928</v>
      </c>
      <c r="D211" t="s">
        <v>83</v>
      </c>
      <c r="E211">
        <v>960</v>
      </c>
      <c r="F211" t="s">
        <v>84</v>
      </c>
      <c r="G211">
        <v>1632</v>
      </c>
      <c r="H211" t="s">
        <v>11</v>
      </c>
      <c r="I211" t="s">
        <v>2411</v>
      </c>
      <c r="J211" t="s">
        <v>6969</v>
      </c>
      <c r="K211">
        <v>657330</v>
      </c>
      <c r="L211">
        <v>44866</v>
      </c>
      <c r="M211" t="s">
        <v>283</v>
      </c>
      <c r="N211">
        <v>657330</v>
      </c>
      <c r="O211" t="s">
        <v>8014</v>
      </c>
    </row>
    <row r="212" spans="2:15" hidden="1" x14ac:dyDescent="0.3">
      <c r="B212" t="s">
        <v>8</v>
      </c>
      <c r="C212">
        <v>928</v>
      </c>
      <c r="D212" t="s">
        <v>9</v>
      </c>
      <c r="E212">
        <v>1202</v>
      </c>
      <c r="F212" t="s">
        <v>35</v>
      </c>
      <c r="G212">
        <v>51</v>
      </c>
      <c r="H212" t="s">
        <v>11</v>
      </c>
      <c r="I212" t="s">
        <v>2412</v>
      </c>
      <c r="J212" t="s">
        <v>8015</v>
      </c>
      <c r="K212">
        <v>3235810</v>
      </c>
      <c r="L212">
        <v>44866</v>
      </c>
      <c r="M212" t="s">
        <v>284</v>
      </c>
      <c r="N212">
        <v>3235810</v>
      </c>
      <c r="O212" t="e">
        <v>#N/A</v>
      </c>
    </row>
    <row r="213" spans="2:15" hidden="1" x14ac:dyDescent="0.3">
      <c r="B213" t="s">
        <v>8</v>
      </c>
      <c r="C213">
        <v>928</v>
      </c>
      <c r="D213" t="s">
        <v>9</v>
      </c>
      <c r="E213">
        <v>1202</v>
      </c>
      <c r="F213" t="s">
        <v>10</v>
      </c>
      <c r="G213">
        <v>939</v>
      </c>
      <c r="H213" t="s">
        <v>11</v>
      </c>
      <c r="I213" t="s">
        <v>2414</v>
      </c>
      <c r="J213" t="s">
        <v>8016</v>
      </c>
      <c r="K213">
        <v>872480</v>
      </c>
      <c r="L213">
        <v>44866</v>
      </c>
      <c r="M213" t="s">
        <v>285</v>
      </c>
      <c r="N213">
        <v>872480</v>
      </c>
      <c r="O213" t="e">
        <v>#N/A</v>
      </c>
    </row>
    <row r="214" spans="2:15" hidden="1" x14ac:dyDescent="0.3">
      <c r="B214" t="s">
        <v>8</v>
      </c>
      <c r="C214">
        <v>928</v>
      </c>
      <c r="D214" t="s">
        <v>9</v>
      </c>
      <c r="E214">
        <v>1202</v>
      </c>
      <c r="F214" t="s">
        <v>45</v>
      </c>
      <c r="G214">
        <v>26</v>
      </c>
      <c r="H214" t="s">
        <v>11</v>
      </c>
      <c r="I214" t="s">
        <v>2415</v>
      </c>
      <c r="J214" t="s">
        <v>8017</v>
      </c>
      <c r="K214">
        <v>244980</v>
      </c>
      <c r="L214">
        <v>44866</v>
      </c>
      <c r="M214" t="s">
        <v>286</v>
      </c>
      <c r="N214">
        <v>244980</v>
      </c>
      <c r="O214" t="e">
        <v>#N/A</v>
      </c>
    </row>
    <row r="215" spans="2:15" hidden="1" x14ac:dyDescent="0.3">
      <c r="B215" t="s">
        <v>8</v>
      </c>
      <c r="C215">
        <v>928</v>
      </c>
      <c r="D215" t="s">
        <v>13</v>
      </c>
      <c r="E215">
        <v>1184</v>
      </c>
      <c r="F215" t="s">
        <v>59</v>
      </c>
      <c r="G215">
        <v>9</v>
      </c>
      <c r="H215" t="s">
        <v>11</v>
      </c>
      <c r="I215" t="s">
        <v>2423</v>
      </c>
      <c r="J215" t="s">
        <v>8018</v>
      </c>
      <c r="K215">
        <v>14460</v>
      </c>
      <c r="L215">
        <v>44866</v>
      </c>
      <c r="M215" t="s">
        <v>287</v>
      </c>
      <c r="N215">
        <v>14460</v>
      </c>
      <c r="O215" t="e">
        <v>#N/A</v>
      </c>
    </row>
    <row r="216" spans="2:15" hidden="1" x14ac:dyDescent="0.3">
      <c r="B216" t="s">
        <v>41</v>
      </c>
      <c r="C216">
        <v>926</v>
      </c>
      <c r="D216" t="s">
        <v>56</v>
      </c>
      <c r="E216">
        <v>1207</v>
      </c>
      <c r="F216" t="s">
        <v>57</v>
      </c>
      <c r="G216">
        <v>200982</v>
      </c>
      <c r="H216" t="s">
        <v>11</v>
      </c>
      <c r="I216" t="s">
        <v>2424</v>
      </c>
      <c r="J216" t="s">
        <v>8019</v>
      </c>
      <c r="K216">
        <v>63010</v>
      </c>
      <c r="L216">
        <v>44866</v>
      </c>
      <c r="M216" t="s">
        <v>288</v>
      </c>
      <c r="N216">
        <v>63010</v>
      </c>
      <c r="O216" t="e">
        <v>#N/A</v>
      </c>
    </row>
    <row r="217" spans="2:15" hidden="1" x14ac:dyDescent="0.3">
      <c r="B217" t="s">
        <v>16</v>
      </c>
      <c r="C217">
        <v>927</v>
      </c>
      <c r="D217" t="s">
        <v>17</v>
      </c>
      <c r="E217">
        <v>1200</v>
      </c>
      <c r="F217" t="s">
        <v>100</v>
      </c>
      <c r="G217">
        <v>201038</v>
      </c>
      <c r="H217" t="s">
        <v>11</v>
      </c>
      <c r="I217" t="s">
        <v>2428</v>
      </c>
      <c r="J217" t="s">
        <v>7182</v>
      </c>
      <c r="K217">
        <v>82310</v>
      </c>
      <c r="L217">
        <v>44866</v>
      </c>
      <c r="M217" t="s">
        <v>289</v>
      </c>
      <c r="N217">
        <v>82310</v>
      </c>
      <c r="O217" t="s">
        <v>7037</v>
      </c>
    </row>
    <row r="218" spans="2:15" hidden="1" x14ac:dyDescent="0.3">
      <c r="B218" t="s">
        <v>16</v>
      </c>
      <c r="C218">
        <v>927</v>
      </c>
      <c r="D218" t="s">
        <v>17</v>
      </c>
      <c r="E218">
        <v>1200</v>
      </c>
      <c r="F218" t="s">
        <v>290</v>
      </c>
      <c r="G218">
        <v>556</v>
      </c>
      <c r="H218" t="s">
        <v>11</v>
      </c>
      <c r="I218" t="s">
        <v>2431</v>
      </c>
      <c r="J218" t="s">
        <v>8020</v>
      </c>
      <c r="K218">
        <v>9061590</v>
      </c>
      <c r="L218">
        <v>44866</v>
      </c>
      <c r="M218" t="s">
        <v>291</v>
      </c>
      <c r="N218">
        <v>9061590</v>
      </c>
      <c r="O218" t="e">
        <v>#N/A</v>
      </c>
    </row>
    <row r="219" spans="2:15" hidden="1" x14ac:dyDescent="0.3">
      <c r="B219" t="s">
        <v>8</v>
      </c>
      <c r="C219">
        <v>928</v>
      </c>
      <c r="D219" t="s">
        <v>9</v>
      </c>
      <c r="E219">
        <v>1202</v>
      </c>
      <c r="F219" t="s">
        <v>142</v>
      </c>
      <c r="G219">
        <v>652</v>
      </c>
      <c r="H219" t="s">
        <v>11</v>
      </c>
      <c r="I219" t="s">
        <v>2432</v>
      </c>
      <c r="J219" t="s">
        <v>8021</v>
      </c>
      <c r="K219">
        <v>133420</v>
      </c>
      <c r="L219">
        <v>44866</v>
      </c>
      <c r="M219" t="s">
        <v>292</v>
      </c>
      <c r="N219">
        <v>133420</v>
      </c>
      <c r="O219" t="e">
        <v>#N/A</v>
      </c>
    </row>
    <row r="220" spans="2:15" hidden="1" x14ac:dyDescent="0.3">
      <c r="B220" t="s">
        <v>8</v>
      </c>
      <c r="C220">
        <v>928</v>
      </c>
      <c r="D220" t="s">
        <v>9</v>
      </c>
      <c r="E220">
        <v>1202</v>
      </c>
      <c r="F220" t="s">
        <v>33</v>
      </c>
      <c r="G220">
        <v>933</v>
      </c>
      <c r="H220" t="s">
        <v>11</v>
      </c>
      <c r="I220" t="s">
        <v>2433</v>
      </c>
      <c r="J220" t="s">
        <v>8022</v>
      </c>
      <c r="K220">
        <v>202720</v>
      </c>
      <c r="L220">
        <v>44866</v>
      </c>
      <c r="M220" t="s">
        <v>293</v>
      </c>
      <c r="N220">
        <v>202720</v>
      </c>
      <c r="O220" t="e">
        <v>#N/A</v>
      </c>
    </row>
    <row r="221" spans="2:15" hidden="1" x14ac:dyDescent="0.3">
      <c r="B221" t="s">
        <v>8</v>
      </c>
      <c r="C221">
        <v>928</v>
      </c>
      <c r="D221" t="s">
        <v>9</v>
      </c>
      <c r="E221">
        <v>1202</v>
      </c>
      <c r="F221" t="s">
        <v>10</v>
      </c>
      <c r="G221">
        <v>939</v>
      </c>
      <c r="H221" t="s">
        <v>11</v>
      </c>
      <c r="I221" t="s">
        <v>2436</v>
      </c>
      <c r="J221" t="s">
        <v>8023</v>
      </c>
      <c r="K221">
        <v>40820</v>
      </c>
      <c r="L221">
        <v>44866</v>
      </c>
      <c r="M221" t="s">
        <v>294</v>
      </c>
      <c r="N221">
        <v>40820</v>
      </c>
      <c r="O221" t="e">
        <v>#N/A</v>
      </c>
    </row>
    <row r="222" spans="2:15" hidden="1" x14ac:dyDescent="0.3">
      <c r="B222" t="s">
        <v>8</v>
      </c>
      <c r="C222">
        <v>928</v>
      </c>
      <c r="D222" t="s">
        <v>9</v>
      </c>
      <c r="E222">
        <v>1202</v>
      </c>
      <c r="F222" t="s">
        <v>47</v>
      </c>
      <c r="G222">
        <v>898</v>
      </c>
      <c r="H222" t="s">
        <v>11</v>
      </c>
      <c r="I222" t="s">
        <v>2438</v>
      </c>
      <c r="J222" t="s">
        <v>8024</v>
      </c>
      <c r="K222">
        <v>3133380</v>
      </c>
      <c r="L222">
        <v>44866</v>
      </c>
      <c r="M222" t="s">
        <v>295</v>
      </c>
      <c r="N222">
        <v>3133380</v>
      </c>
      <c r="O222" t="e">
        <v>#N/A</v>
      </c>
    </row>
    <row r="223" spans="2:15" hidden="1" x14ac:dyDescent="0.3">
      <c r="B223" t="s">
        <v>8</v>
      </c>
      <c r="C223">
        <v>928</v>
      </c>
      <c r="D223" t="s">
        <v>9</v>
      </c>
      <c r="E223">
        <v>1202</v>
      </c>
      <c r="F223" t="s">
        <v>35</v>
      </c>
      <c r="G223">
        <v>51</v>
      </c>
      <c r="H223" t="s">
        <v>11</v>
      </c>
      <c r="I223" t="s">
        <v>2441</v>
      </c>
      <c r="J223" t="s">
        <v>8025</v>
      </c>
      <c r="K223">
        <v>351040</v>
      </c>
      <c r="L223">
        <v>44866</v>
      </c>
      <c r="M223" t="s">
        <v>296</v>
      </c>
      <c r="N223">
        <v>351040</v>
      </c>
      <c r="O223" t="e">
        <v>#N/A</v>
      </c>
    </row>
    <row r="224" spans="2:15" hidden="1" x14ac:dyDescent="0.3">
      <c r="B224" t="s">
        <v>8</v>
      </c>
      <c r="C224">
        <v>928</v>
      </c>
      <c r="D224" t="s">
        <v>9</v>
      </c>
      <c r="E224">
        <v>1202</v>
      </c>
      <c r="F224" t="s">
        <v>27</v>
      </c>
      <c r="G224">
        <v>806</v>
      </c>
      <c r="H224" t="s">
        <v>11</v>
      </c>
      <c r="I224" t="s">
        <v>2442</v>
      </c>
      <c r="J224" t="s">
        <v>8026</v>
      </c>
      <c r="K224">
        <v>1525980</v>
      </c>
      <c r="L224">
        <v>44866</v>
      </c>
      <c r="M224" t="s">
        <v>297</v>
      </c>
      <c r="N224">
        <v>1525980</v>
      </c>
      <c r="O224" t="e">
        <v>#N/A</v>
      </c>
    </row>
    <row r="225" spans="2:15" hidden="1" x14ac:dyDescent="0.3">
      <c r="B225" t="s">
        <v>8</v>
      </c>
      <c r="C225">
        <v>928</v>
      </c>
      <c r="D225" t="s">
        <v>9</v>
      </c>
      <c r="E225">
        <v>1202</v>
      </c>
      <c r="F225" t="s">
        <v>20</v>
      </c>
      <c r="G225">
        <v>938</v>
      </c>
      <c r="H225" t="s">
        <v>11</v>
      </c>
      <c r="I225" t="s">
        <v>2443</v>
      </c>
      <c r="J225" t="s">
        <v>8027</v>
      </c>
      <c r="K225">
        <v>54370</v>
      </c>
      <c r="L225">
        <v>44866</v>
      </c>
      <c r="M225" t="s">
        <v>298</v>
      </c>
      <c r="N225">
        <v>54370</v>
      </c>
      <c r="O225" t="e">
        <v>#N/A</v>
      </c>
    </row>
    <row r="226" spans="2:15" hidden="1" x14ac:dyDescent="0.3">
      <c r="B226" t="s">
        <v>8</v>
      </c>
      <c r="C226">
        <v>928</v>
      </c>
      <c r="D226" t="s">
        <v>13</v>
      </c>
      <c r="E226">
        <v>1184</v>
      </c>
      <c r="F226" t="s">
        <v>14</v>
      </c>
      <c r="G226">
        <v>914</v>
      </c>
      <c r="H226" t="s">
        <v>11</v>
      </c>
      <c r="I226" t="s">
        <v>2444</v>
      </c>
      <c r="J226" t="s">
        <v>8028</v>
      </c>
      <c r="K226">
        <v>1050</v>
      </c>
      <c r="L226">
        <v>44866</v>
      </c>
      <c r="M226" t="s">
        <v>299</v>
      </c>
      <c r="N226">
        <v>1050</v>
      </c>
      <c r="O226" t="e">
        <v>#N/A</v>
      </c>
    </row>
    <row r="227" spans="2:15" x14ac:dyDescent="0.3">
      <c r="B227" t="s">
        <v>41</v>
      </c>
      <c r="C227">
        <v>926</v>
      </c>
      <c r="D227" t="s">
        <v>56</v>
      </c>
      <c r="E227">
        <v>1207</v>
      </c>
      <c r="F227" t="s">
        <v>91</v>
      </c>
      <c r="G227">
        <v>201104</v>
      </c>
      <c r="H227" t="s">
        <v>11</v>
      </c>
      <c r="I227" t="s">
        <v>8029</v>
      </c>
      <c r="J227" t="s">
        <v>8030</v>
      </c>
      <c r="K227">
        <v>166241</v>
      </c>
      <c r="L227">
        <v>44866</v>
      </c>
      <c r="M227" t="s">
        <v>300</v>
      </c>
      <c r="N227" t="e">
        <v>#N/A</v>
      </c>
      <c r="O227" t="e">
        <v>#N/A</v>
      </c>
    </row>
    <row r="228" spans="2:15" hidden="1" x14ac:dyDescent="0.3">
      <c r="B228" t="s">
        <v>41</v>
      </c>
      <c r="C228">
        <v>926</v>
      </c>
      <c r="D228" t="s">
        <v>56</v>
      </c>
      <c r="E228">
        <v>1207</v>
      </c>
      <c r="F228" t="s">
        <v>91</v>
      </c>
      <c r="G228">
        <v>201104</v>
      </c>
      <c r="H228" t="s">
        <v>11</v>
      </c>
      <c r="I228" t="s">
        <v>2445</v>
      </c>
      <c r="J228" t="s">
        <v>8031</v>
      </c>
      <c r="K228">
        <v>98170</v>
      </c>
      <c r="L228">
        <v>44866</v>
      </c>
      <c r="M228" t="s">
        <v>301</v>
      </c>
      <c r="N228">
        <v>98170</v>
      </c>
      <c r="O228" t="e">
        <v>#N/A</v>
      </c>
    </row>
    <row r="229" spans="2:15" hidden="1" x14ac:dyDescent="0.3">
      <c r="B229" t="s">
        <v>8</v>
      </c>
      <c r="C229">
        <v>928</v>
      </c>
      <c r="D229" t="s">
        <v>13</v>
      </c>
      <c r="E229">
        <v>1184</v>
      </c>
      <c r="F229" t="s">
        <v>102</v>
      </c>
      <c r="G229">
        <v>917</v>
      </c>
      <c r="H229" t="s">
        <v>11</v>
      </c>
      <c r="I229" t="s">
        <v>2446</v>
      </c>
      <c r="J229" t="s">
        <v>8032</v>
      </c>
      <c r="K229">
        <v>101590</v>
      </c>
      <c r="L229">
        <v>44866</v>
      </c>
      <c r="M229" t="s">
        <v>302</v>
      </c>
      <c r="N229">
        <v>101590</v>
      </c>
      <c r="O229" t="e">
        <v>#N/A</v>
      </c>
    </row>
    <row r="230" spans="2:15" hidden="1" x14ac:dyDescent="0.3">
      <c r="B230" t="s">
        <v>8</v>
      </c>
      <c r="C230">
        <v>928</v>
      </c>
      <c r="D230" t="s">
        <v>13</v>
      </c>
      <c r="E230">
        <v>1184</v>
      </c>
      <c r="F230" t="s">
        <v>102</v>
      </c>
      <c r="G230">
        <v>917</v>
      </c>
      <c r="H230" t="s">
        <v>11</v>
      </c>
      <c r="I230" t="s">
        <v>2447</v>
      </c>
      <c r="J230" t="s">
        <v>8033</v>
      </c>
      <c r="K230">
        <v>1118220</v>
      </c>
      <c r="L230">
        <v>44866</v>
      </c>
      <c r="M230" t="s">
        <v>302</v>
      </c>
      <c r="N230">
        <v>1118220</v>
      </c>
      <c r="O230" t="e">
        <v>#N/A</v>
      </c>
    </row>
    <row r="231" spans="2:15" hidden="1" x14ac:dyDescent="0.3">
      <c r="B231" t="s">
        <v>8</v>
      </c>
      <c r="C231">
        <v>928</v>
      </c>
      <c r="D231" t="s">
        <v>9</v>
      </c>
      <c r="E231">
        <v>1202</v>
      </c>
      <c r="F231" t="s">
        <v>27</v>
      </c>
      <c r="G231">
        <v>806</v>
      </c>
      <c r="H231" t="s">
        <v>11</v>
      </c>
      <c r="I231" t="s">
        <v>2448</v>
      </c>
      <c r="J231" t="s">
        <v>8034</v>
      </c>
      <c r="K231">
        <v>283810</v>
      </c>
      <c r="L231">
        <v>44866</v>
      </c>
      <c r="M231" t="s">
        <v>303</v>
      </c>
      <c r="N231">
        <v>283810</v>
      </c>
      <c r="O231" t="e">
        <v>#N/A</v>
      </c>
    </row>
    <row r="232" spans="2:15" hidden="1" x14ac:dyDescent="0.3">
      <c r="B232" t="s">
        <v>16</v>
      </c>
      <c r="C232">
        <v>927</v>
      </c>
      <c r="D232" t="s">
        <v>17</v>
      </c>
      <c r="E232">
        <v>1200</v>
      </c>
      <c r="F232" t="s">
        <v>96</v>
      </c>
      <c r="G232">
        <v>1271</v>
      </c>
      <c r="H232" t="s">
        <v>11</v>
      </c>
      <c r="I232" t="s">
        <v>2455</v>
      </c>
      <c r="J232" t="s">
        <v>8035</v>
      </c>
      <c r="K232">
        <v>208180</v>
      </c>
      <c r="L232">
        <v>44866</v>
      </c>
      <c r="M232" t="s">
        <v>304</v>
      </c>
      <c r="N232">
        <v>208180</v>
      </c>
      <c r="O232" t="e">
        <v>#N/A</v>
      </c>
    </row>
    <row r="233" spans="2:15" hidden="1" x14ac:dyDescent="0.3">
      <c r="B233" t="s">
        <v>8</v>
      </c>
      <c r="C233">
        <v>928</v>
      </c>
      <c r="D233" t="s">
        <v>13</v>
      </c>
      <c r="E233">
        <v>1184</v>
      </c>
      <c r="F233" t="s">
        <v>217</v>
      </c>
      <c r="G233">
        <v>201027</v>
      </c>
      <c r="H233" t="s">
        <v>11</v>
      </c>
      <c r="I233" t="s">
        <v>2459</v>
      </c>
      <c r="J233" t="s">
        <v>8036</v>
      </c>
      <c r="K233">
        <v>12910</v>
      </c>
      <c r="L233">
        <v>44866</v>
      </c>
      <c r="M233" t="s">
        <v>305</v>
      </c>
      <c r="N233">
        <v>12910</v>
      </c>
      <c r="O233" t="e">
        <v>#N/A</v>
      </c>
    </row>
    <row r="234" spans="2:15" hidden="1" x14ac:dyDescent="0.3">
      <c r="B234" t="s">
        <v>8</v>
      </c>
      <c r="C234">
        <v>928</v>
      </c>
      <c r="D234" t="s">
        <v>9</v>
      </c>
      <c r="E234">
        <v>1202</v>
      </c>
      <c r="F234" t="s">
        <v>20</v>
      </c>
      <c r="G234">
        <v>938</v>
      </c>
      <c r="H234" t="s">
        <v>11</v>
      </c>
      <c r="I234" t="s">
        <v>2460</v>
      </c>
      <c r="J234" t="s">
        <v>8037</v>
      </c>
      <c r="K234">
        <v>49157</v>
      </c>
      <c r="L234">
        <v>44866</v>
      </c>
      <c r="M234" t="s">
        <v>306</v>
      </c>
      <c r="N234">
        <v>49183</v>
      </c>
      <c r="O234" t="e">
        <v>#N/A</v>
      </c>
    </row>
    <row r="235" spans="2:15" hidden="1" x14ac:dyDescent="0.3">
      <c r="B235" t="s">
        <v>8</v>
      </c>
      <c r="C235">
        <v>928</v>
      </c>
      <c r="D235" t="s">
        <v>223</v>
      </c>
      <c r="E235">
        <v>966</v>
      </c>
      <c r="F235" t="s">
        <v>269</v>
      </c>
      <c r="G235">
        <v>201031</v>
      </c>
      <c r="H235" t="s">
        <v>11</v>
      </c>
      <c r="I235" t="s">
        <v>2461</v>
      </c>
      <c r="J235" t="s">
        <v>8038</v>
      </c>
      <c r="K235">
        <v>14663970</v>
      </c>
      <c r="L235">
        <v>44866</v>
      </c>
      <c r="M235" t="s">
        <v>270</v>
      </c>
      <c r="N235">
        <v>13959040</v>
      </c>
      <c r="O235" t="e">
        <v>#N/A</v>
      </c>
    </row>
    <row r="236" spans="2:15" hidden="1" x14ac:dyDescent="0.3">
      <c r="B236" t="s">
        <v>41</v>
      </c>
      <c r="C236">
        <v>926</v>
      </c>
      <c r="D236" t="s">
        <v>56</v>
      </c>
      <c r="E236">
        <v>1207</v>
      </c>
      <c r="F236" t="s">
        <v>57</v>
      </c>
      <c r="G236">
        <v>200982</v>
      </c>
      <c r="H236" t="s">
        <v>11</v>
      </c>
      <c r="I236" t="s">
        <v>2463</v>
      </c>
      <c r="J236" t="s">
        <v>8039</v>
      </c>
      <c r="K236">
        <v>42320</v>
      </c>
      <c r="L236">
        <v>44866</v>
      </c>
      <c r="M236" t="s">
        <v>307</v>
      </c>
      <c r="N236">
        <v>42320</v>
      </c>
      <c r="O236" t="e">
        <v>#N/A</v>
      </c>
    </row>
    <row r="237" spans="2:15" hidden="1" x14ac:dyDescent="0.3">
      <c r="B237" t="s">
        <v>8</v>
      </c>
      <c r="C237">
        <v>928</v>
      </c>
      <c r="D237" t="s">
        <v>9</v>
      </c>
      <c r="E237">
        <v>1202</v>
      </c>
      <c r="F237" t="s">
        <v>10</v>
      </c>
      <c r="G237">
        <v>939</v>
      </c>
      <c r="H237" t="s">
        <v>11</v>
      </c>
      <c r="I237" t="s">
        <v>2466</v>
      </c>
      <c r="J237" t="s">
        <v>8040</v>
      </c>
      <c r="K237">
        <v>371590</v>
      </c>
      <c r="L237">
        <v>44866</v>
      </c>
      <c r="M237" t="s">
        <v>308</v>
      </c>
      <c r="N237">
        <v>371590</v>
      </c>
      <c r="O237" t="e">
        <v>#N/A</v>
      </c>
    </row>
    <row r="238" spans="2:15" hidden="1" x14ac:dyDescent="0.3">
      <c r="B238" t="s">
        <v>8</v>
      </c>
      <c r="C238">
        <v>928</v>
      </c>
      <c r="D238" t="s">
        <v>9</v>
      </c>
      <c r="E238">
        <v>1202</v>
      </c>
      <c r="F238" t="s">
        <v>33</v>
      </c>
      <c r="G238">
        <v>933</v>
      </c>
      <c r="H238" t="s">
        <v>11</v>
      </c>
      <c r="I238" t="s">
        <v>2467</v>
      </c>
      <c r="J238" t="s">
        <v>8041</v>
      </c>
      <c r="K238">
        <v>4423010</v>
      </c>
      <c r="L238">
        <v>44866</v>
      </c>
      <c r="M238" t="s">
        <v>309</v>
      </c>
      <c r="N238">
        <v>3923020</v>
      </c>
      <c r="O238" t="e">
        <v>#N/A</v>
      </c>
    </row>
    <row r="239" spans="2:15" hidden="1" x14ac:dyDescent="0.3">
      <c r="B239" t="s">
        <v>8</v>
      </c>
      <c r="C239">
        <v>928</v>
      </c>
      <c r="D239" t="s">
        <v>9</v>
      </c>
      <c r="E239">
        <v>1202</v>
      </c>
      <c r="F239" t="s">
        <v>310</v>
      </c>
      <c r="G239">
        <v>201113</v>
      </c>
      <c r="H239" t="s">
        <v>11</v>
      </c>
      <c r="I239" t="s">
        <v>2468</v>
      </c>
      <c r="J239" t="s">
        <v>8042</v>
      </c>
      <c r="K239">
        <v>159100</v>
      </c>
      <c r="L239">
        <v>44866</v>
      </c>
      <c r="M239" t="s">
        <v>311</v>
      </c>
      <c r="N239">
        <v>159100</v>
      </c>
      <c r="O239" t="e">
        <v>#N/A</v>
      </c>
    </row>
    <row r="240" spans="2:15" hidden="1" x14ac:dyDescent="0.3">
      <c r="B240" t="s">
        <v>8</v>
      </c>
      <c r="C240">
        <v>928</v>
      </c>
      <c r="D240" t="s">
        <v>13</v>
      </c>
      <c r="E240">
        <v>1184</v>
      </c>
      <c r="F240" t="s">
        <v>59</v>
      </c>
      <c r="G240">
        <v>9</v>
      </c>
      <c r="H240" t="s">
        <v>11</v>
      </c>
      <c r="I240" t="s">
        <v>2471</v>
      </c>
      <c r="J240" t="s">
        <v>8043</v>
      </c>
      <c r="K240">
        <v>6620</v>
      </c>
      <c r="L240">
        <v>44866</v>
      </c>
      <c r="M240" t="s">
        <v>312</v>
      </c>
      <c r="N240">
        <v>6620</v>
      </c>
      <c r="O240" t="e">
        <v>#N/A</v>
      </c>
    </row>
    <row r="241" spans="2:15" hidden="1" x14ac:dyDescent="0.3">
      <c r="B241" t="s">
        <v>8</v>
      </c>
      <c r="C241">
        <v>928</v>
      </c>
      <c r="D241" t="s">
        <v>13</v>
      </c>
      <c r="E241">
        <v>1184</v>
      </c>
      <c r="F241" t="s">
        <v>59</v>
      </c>
      <c r="G241">
        <v>9</v>
      </c>
      <c r="H241" t="s">
        <v>11</v>
      </c>
      <c r="I241" t="s">
        <v>2472</v>
      </c>
      <c r="J241" t="s">
        <v>8044</v>
      </c>
      <c r="K241">
        <v>9888324</v>
      </c>
      <c r="L241">
        <v>44866</v>
      </c>
      <c r="M241" t="s">
        <v>313</v>
      </c>
      <c r="N241">
        <v>9888370</v>
      </c>
      <c r="O241" t="e">
        <v>#N/A</v>
      </c>
    </row>
    <row r="242" spans="2:15" hidden="1" x14ac:dyDescent="0.3">
      <c r="B242" t="s">
        <v>8</v>
      </c>
      <c r="C242">
        <v>928</v>
      </c>
      <c r="D242" t="s">
        <v>9</v>
      </c>
      <c r="E242">
        <v>1202</v>
      </c>
      <c r="F242" t="s">
        <v>47</v>
      </c>
      <c r="G242">
        <v>898</v>
      </c>
      <c r="H242" t="s">
        <v>11</v>
      </c>
      <c r="I242" t="s">
        <v>2474</v>
      </c>
      <c r="J242" t="s">
        <v>8045</v>
      </c>
      <c r="K242">
        <v>895880</v>
      </c>
      <c r="L242">
        <v>44866</v>
      </c>
      <c r="M242" t="s">
        <v>314</v>
      </c>
      <c r="N242">
        <v>895880</v>
      </c>
      <c r="O242" t="e">
        <v>#N/A</v>
      </c>
    </row>
    <row r="243" spans="2:15" hidden="1" x14ac:dyDescent="0.3">
      <c r="B243" t="s">
        <v>41</v>
      </c>
      <c r="C243">
        <v>926</v>
      </c>
      <c r="D243" t="s">
        <v>56</v>
      </c>
      <c r="E243">
        <v>1207</v>
      </c>
      <c r="F243" t="s">
        <v>64</v>
      </c>
      <c r="G243">
        <v>201011</v>
      </c>
      <c r="H243" t="s">
        <v>11</v>
      </c>
      <c r="I243" t="s">
        <v>2475</v>
      </c>
      <c r="J243" t="s">
        <v>8046</v>
      </c>
      <c r="K243">
        <v>36050</v>
      </c>
      <c r="L243">
        <v>44866</v>
      </c>
      <c r="M243" t="s">
        <v>315</v>
      </c>
      <c r="N243">
        <v>36050</v>
      </c>
      <c r="O243" t="e">
        <v>#N/A</v>
      </c>
    </row>
    <row r="244" spans="2:15" hidden="1" x14ac:dyDescent="0.3">
      <c r="B244" t="s">
        <v>8</v>
      </c>
      <c r="C244">
        <v>928</v>
      </c>
      <c r="D244" t="s">
        <v>13</v>
      </c>
      <c r="E244">
        <v>1184</v>
      </c>
      <c r="F244" t="s">
        <v>115</v>
      </c>
      <c r="G244">
        <v>1548</v>
      </c>
      <c r="H244" t="s">
        <v>11</v>
      </c>
      <c r="I244" t="s">
        <v>2476</v>
      </c>
      <c r="J244" t="s">
        <v>8047</v>
      </c>
      <c r="K244">
        <v>44270</v>
      </c>
      <c r="L244">
        <v>44866</v>
      </c>
      <c r="M244" t="s">
        <v>316</v>
      </c>
      <c r="N244">
        <v>44270</v>
      </c>
      <c r="O244" t="e">
        <v>#N/A</v>
      </c>
    </row>
    <row r="245" spans="2:15" hidden="1" x14ac:dyDescent="0.3">
      <c r="B245" t="s">
        <v>8</v>
      </c>
      <c r="C245">
        <v>928</v>
      </c>
      <c r="D245" t="s">
        <v>13</v>
      </c>
      <c r="E245">
        <v>1184</v>
      </c>
      <c r="F245" t="s">
        <v>51</v>
      </c>
      <c r="G245">
        <v>1274</v>
      </c>
      <c r="H245" t="s">
        <v>11</v>
      </c>
      <c r="I245" t="s">
        <v>2477</v>
      </c>
      <c r="J245" t="s">
        <v>8048</v>
      </c>
      <c r="K245">
        <v>430</v>
      </c>
      <c r="L245">
        <v>44866</v>
      </c>
      <c r="M245" t="s">
        <v>317</v>
      </c>
      <c r="N245">
        <v>430</v>
      </c>
      <c r="O245" t="e">
        <v>#N/A</v>
      </c>
    </row>
    <row r="246" spans="2:15" hidden="1" x14ac:dyDescent="0.3">
      <c r="B246" t="s">
        <v>8</v>
      </c>
      <c r="C246">
        <v>928</v>
      </c>
      <c r="D246" t="s">
        <v>9</v>
      </c>
      <c r="E246">
        <v>1202</v>
      </c>
      <c r="F246" t="s">
        <v>220</v>
      </c>
      <c r="G246">
        <v>1211</v>
      </c>
      <c r="H246" t="s">
        <v>11</v>
      </c>
      <c r="I246" t="s">
        <v>2480</v>
      </c>
      <c r="J246" t="s">
        <v>8049</v>
      </c>
      <c r="K246">
        <v>40850</v>
      </c>
      <c r="L246">
        <v>44866</v>
      </c>
      <c r="M246" t="s">
        <v>318</v>
      </c>
      <c r="N246">
        <v>40850</v>
      </c>
      <c r="O246" t="e">
        <v>#N/A</v>
      </c>
    </row>
    <row r="247" spans="2:15" hidden="1" x14ac:dyDescent="0.3">
      <c r="B247" t="s">
        <v>8</v>
      </c>
      <c r="C247">
        <v>928</v>
      </c>
      <c r="D247" t="s">
        <v>9</v>
      </c>
      <c r="E247">
        <v>1202</v>
      </c>
      <c r="F247" t="s">
        <v>122</v>
      </c>
      <c r="G247">
        <v>251</v>
      </c>
      <c r="H247" t="s">
        <v>11</v>
      </c>
      <c r="I247" t="s">
        <v>2484</v>
      </c>
      <c r="J247" t="s">
        <v>8050</v>
      </c>
      <c r="K247">
        <v>1590830</v>
      </c>
      <c r="L247">
        <v>44866</v>
      </c>
      <c r="M247" t="s">
        <v>319</v>
      </c>
      <c r="N247">
        <v>1590830</v>
      </c>
      <c r="O247" t="e">
        <v>#N/A</v>
      </c>
    </row>
    <row r="248" spans="2:15" hidden="1" x14ac:dyDescent="0.3">
      <c r="B248" t="s">
        <v>8</v>
      </c>
      <c r="C248">
        <v>928</v>
      </c>
      <c r="D248" t="s">
        <v>13</v>
      </c>
      <c r="E248">
        <v>1184</v>
      </c>
      <c r="F248" t="s">
        <v>51</v>
      </c>
      <c r="G248">
        <v>1274</v>
      </c>
      <c r="H248" t="s">
        <v>11</v>
      </c>
      <c r="I248" t="s">
        <v>2488</v>
      </c>
      <c r="J248" t="s">
        <v>8051</v>
      </c>
      <c r="K248">
        <v>4382180</v>
      </c>
      <c r="L248">
        <v>44866</v>
      </c>
      <c r="M248" t="s">
        <v>320</v>
      </c>
      <c r="N248">
        <v>4382180</v>
      </c>
      <c r="O248" t="e">
        <v>#N/A</v>
      </c>
    </row>
    <row r="249" spans="2:15" hidden="1" x14ac:dyDescent="0.3">
      <c r="B249" t="s">
        <v>8</v>
      </c>
      <c r="C249">
        <v>928</v>
      </c>
      <c r="D249" t="s">
        <v>9</v>
      </c>
      <c r="E249">
        <v>1202</v>
      </c>
      <c r="F249" t="s">
        <v>37</v>
      </c>
      <c r="G249">
        <v>81</v>
      </c>
      <c r="H249" t="s">
        <v>11</v>
      </c>
      <c r="I249" t="s">
        <v>2497</v>
      </c>
      <c r="J249" t="s">
        <v>8052</v>
      </c>
      <c r="K249">
        <v>19080</v>
      </c>
      <c r="L249">
        <v>44866</v>
      </c>
      <c r="M249" t="s">
        <v>321</v>
      </c>
      <c r="N249">
        <v>19080</v>
      </c>
      <c r="O249" t="e">
        <v>#N/A</v>
      </c>
    </row>
    <row r="250" spans="2:15" hidden="1" x14ac:dyDescent="0.3">
      <c r="B250" t="s">
        <v>22</v>
      </c>
      <c r="C250">
        <v>809</v>
      </c>
      <c r="D250" t="s">
        <v>23</v>
      </c>
      <c r="E250">
        <v>810</v>
      </c>
      <c r="F250" t="s">
        <v>106</v>
      </c>
      <c r="G250">
        <v>1349</v>
      </c>
      <c r="H250" t="s">
        <v>11</v>
      </c>
      <c r="I250" t="s">
        <v>2508</v>
      </c>
      <c r="J250" t="s">
        <v>8053</v>
      </c>
      <c r="K250">
        <v>15250</v>
      </c>
      <c r="L250">
        <v>44866</v>
      </c>
      <c r="M250" t="s">
        <v>322</v>
      </c>
      <c r="N250">
        <v>15250</v>
      </c>
      <c r="O250" t="e">
        <v>#N/A</v>
      </c>
    </row>
    <row r="251" spans="2:15" hidden="1" x14ac:dyDescent="0.3">
      <c r="B251" t="s">
        <v>8</v>
      </c>
      <c r="C251">
        <v>928</v>
      </c>
      <c r="D251" t="s">
        <v>13</v>
      </c>
      <c r="E251">
        <v>1184</v>
      </c>
      <c r="F251" t="s">
        <v>14</v>
      </c>
      <c r="G251">
        <v>914</v>
      </c>
      <c r="H251" t="s">
        <v>11</v>
      </c>
      <c r="I251" t="s">
        <v>2510</v>
      </c>
      <c r="J251" t="s">
        <v>8054</v>
      </c>
      <c r="K251">
        <v>114860</v>
      </c>
      <c r="L251">
        <v>44866</v>
      </c>
      <c r="M251" t="s">
        <v>323</v>
      </c>
      <c r="N251">
        <v>114860</v>
      </c>
      <c r="O251" t="e">
        <v>#N/A</v>
      </c>
    </row>
    <row r="252" spans="2:15" hidden="1" x14ac:dyDescent="0.3">
      <c r="B252" t="s">
        <v>16</v>
      </c>
      <c r="C252">
        <v>927</v>
      </c>
      <c r="D252" t="s">
        <v>17</v>
      </c>
      <c r="E252">
        <v>1200</v>
      </c>
      <c r="F252" t="s">
        <v>18</v>
      </c>
      <c r="G252">
        <v>201116</v>
      </c>
      <c r="H252" t="s">
        <v>11</v>
      </c>
      <c r="I252" t="s">
        <v>2512</v>
      </c>
      <c r="J252" t="s">
        <v>8055</v>
      </c>
      <c r="K252">
        <v>3043108</v>
      </c>
      <c r="L252">
        <v>44866</v>
      </c>
      <c r="M252" t="s">
        <v>324</v>
      </c>
      <c r="N252">
        <v>2809780</v>
      </c>
      <c r="O252" t="e">
        <v>#N/A</v>
      </c>
    </row>
    <row r="253" spans="2:15" hidden="1" x14ac:dyDescent="0.3">
      <c r="B253" t="s">
        <v>16</v>
      </c>
      <c r="C253">
        <v>927</v>
      </c>
      <c r="D253" t="s">
        <v>17</v>
      </c>
      <c r="E253">
        <v>1200</v>
      </c>
      <c r="F253" t="s">
        <v>78</v>
      </c>
      <c r="G253">
        <v>57</v>
      </c>
      <c r="H253" t="s">
        <v>11</v>
      </c>
      <c r="I253" t="s">
        <v>2513</v>
      </c>
      <c r="J253" t="s">
        <v>8056</v>
      </c>
      <c r="K253">
        <v>6917580</v>
      </c>
      <c r="L253">
        <v>44866</v>
      </c>
      <c r="M253" t="s">
        <v>325</v>
      </c>
      <c r="N253">
        <v>6544250</v>
      </c>
      <c r="O253" t="e">
        <v>#N/A</v>
      </c>
    </row>
    <row r="254" spans="2:15" hidden="1" x14ac:dyDescent="0.3">
      <c r="B254" t="s">
        <v>22</v>
      </c>
      <c r="C254">
        <v>809</v>
      </c>
      <c r="D254" t="s">
        <v>23</v>
      </c>
      <c r="E254">
        <v>810</v>
      </c>
      <c r="F254" t="s">
        <v>106</v>
      </c>
      <c r="G254">
        <v>1349</v>
      </c>
      <c r="H254" t="s">
        <v>11</v>
      </c>
      <c r="I254" t="s">
        <v>2514</v>
      </c>
      <c r="J254" t="s">
        <v>8057</v>
      </c>
      <c r="K254">
        <v>17010</v>
      </c>
      <c r="L254">
        <v>44866</v>
      </c>
      <c r="M254" t="s">
        <v>326</v>
      </c>
      <c r="N254">
        <v>17010</v>
      </c>
      <c r="O254" t="e">
        <v>#N/A</v>
      </c>
    </row>
    <row r="255" spans="2:15" hidden="1" x14ac:dyDescent="0.3">
      <c r="B255" t="s">
        <v>16</v>
      </c>
      <c r="C255">
        <v>927</v>
      </c>
      <c r="D255" t="s">
        <v>17</v>
      </c>
      <c r="E255">
        <v>1200</v>
      </c>
      <c r="F255" t="s">
        <v>290</v>
      </c>
      <c r="G255">
        <v>556</v>
      </c>
      <c r="H255" t="s">
        <v>11</v>
      </c>
      <c r="I255" t="s">
        <v>2515</v>
      </c>
      <c r="J255" t="s">
        <v>8058</v>
      </c>
      <c r="K255">
        <v>292860</v>
      </c>
      <c r="L255">
        <v>44866</v>
      </c>
      <c r="M255" t="s">
        <v>327</v>
      </c>
      <c r="N255">
        <v>292860</v>
      </c>
      <c r="O255" t="e">
        <v>#N/A</v>
      </c>
    </row>
    <row r="256" spans="2:15" hidden="1" x14ac:dyDescent="0.3">
      <c r="B256" t="s">
        <v>16</v>
      </c>
      <c r="C256">
        <v>927</v>
      </c>
      <c r="D256" t="s">
        <v>17</v>
      </c>
      <c r="E256">
        <v>1200</v>
      </c>
      <c r="F256" t="s">
        <v>66</v>
      </c>
      <c r="G256">
        <v>33</v>
      </c>
      <c r="H256" t="s">
        <v>11</v>
      </c>
      <c r="I256" t="s">
        <v>2516</v>
      </c>
      <c r="J256" t="s">
        <v>8059</v>
      </c>
      <c r="K256">
        <v>91120</v>
      </c>
      <c r="L256">
        <v>44866</v>
      </c>
      <c r="M256" t="s">
        <v>328</v>
      </c>
      <c r="N256">
        <v>91120</v>
      </c>
      <c r="O256" t="e">
        <v>#N/A</v>
      </c>
    </row>
    <row r="257" spans="2:15" hidden="1" x14ac:dyDescent="0.3">
      <c r="B257" t="s">
        <v>8</v>
      </c>
      <c r="C257">
        <v>928</v>
      </c>
      <c r="D257" t="s">
        <v>9</v>
      </c>
      <c r="E257">
        <v>1202</v>
      </c>
      <c r="F257" t="s">
        <v>20</v>
      </c>
      <c r="G257">
        <v>938</v>
      </c>
      <c r="H257" t="s">
        <v>11</v>
      </c>
      <c r="I257" t="s">
        <v>2519</v>
      </c>
      <c r="J257" t="s">
        <v>8060</v>
      </c>
      <c r="K257">
        <v>435460</v>
      </c>
      <c r="L257">
        <v>44866</v>
      </c>
      <c r="M257" t="s">
        <v>329</v>
      </c>
      <c r="N257">
        <v>435460</v>
      </c>
      <c r="O257" t="e">
        <v>#N/A</v>
      </c>
    </row>
    <row r="258" spans="2:15" hidden="1" x14ac:dyDescent="0.3">
      <c r="B258" t="s">
        <v>8</v>
      </c>
      <c r="C258">
        <v>928</v>
      </c>
      <c r="D258" t="s">
        <v>13</v>
      </c>
      <c r="E258">
        <v>1184</v>
      </c>
      <c r="F258" t="s">
        <v>59</v>
      </c>
      <c r="G258">
        <v>9</v>
      </c>
      <c r="H258" t="s">
        <v>11</v>
      </c>
      <c r="I258" t="s">
        <v>2522</v>
      </c>
      <c r="J258" t="s">
        <v>8061</v>
      </c>
      <c r="K258">
        <v>24090</v>
      </c>
      <c r="L258">
        <v>44866</v>
      </c>
      <c r="M258" t="s">
        <v>330</v>
      </c>
      <c r="N258">
        <v>24090</v>
      </c>
      <c r="O258" t="e">
        <v>#N/A</v>
      </c>
    </row>
    <row r="259" spans="2:15" hidden="1" x14ac:dyDescent="0.3">
      <c r="B259" t="s">
        <v>8</v>
      </c>
      <c r="C259">
        <v>928</v>
      </c>
      <c r="D259" t="s">
        <v>13</v>
      </c>
      <c r="E259">
        <v>1184</v>
      </c>
      <c r="F259" t="s">
        <v>51</v>
      </c>
      <c r="G259">
        <v>1274</v>
      </c>
      <c r="H259" t="s">
        <v>11</v>
      </c>
      <c r="I259" t="s">
        <v>2524</v>
      </c>
      <c r="J259" t="s">
        <v>8062</v>
      </c>
      <c r="K259">
        <v>50</v>
      </c>
      <c r="L259">
        <v>44866</v>
      </c>
      <c r="M259" t="s">
        <v>331</v>
      </c>
      <c r="N259">
        <v>50</v>
      </c>
      <c r="O259" t="e">
        <v>#N/A</v>
      </c>
    </row>
    <row r="260" spans="2:15" hidden="1" x14ac:dyDescent="0.3">
      <c r="B260" t="s">
        <v>8</v>
      </c>
      <c r="C260">
        <v>928</v>
      </c>
      <c r="D260" t="s">
        <v>9</v>
      </c>
      <c r="E260">
        <v>1202</v>
      </c>
      <c r="F260" t="s">
        <v>33</v>
      </c>
      <c r="G260">
        <v>933</v>
      </c>
      <c r="H260" t="s">
        <v>11</v>
      </c>
      <c r="I260" t="s">
        <v>2532</v>
      </c>
      <c r="J260" t="s">
        <v>8063</v>
      </c>
      <c r="K260">
        <v>519670</v>
      </c>
      <c r="L260">
        <v>44866</v>
      </c>
      <c r="M260" t="s">
        <v>332</v>
      </c>
      <c r="N260">
        <v>519670</v>
      </c>
      <c r="O260" t="e">
        <v>#N/A</v>
      </c>
    </row>
    <row r="261" spans="2:15" hidden="1" x14ac:dyDescent="0.3">
      <c r="B261" t="s">
        <v>41</v>
      </c>
      <c r="C261">
        <v>926</v>
      </c>
      <c r="D261" t="s">
        <v>56</v>
      </c>
      <c r="E261">
        <v>1207</v>
      </c>
      <c r="F261" t="s">
        <v>57</v>
      </c>
      <c r="G261">
        <v>200982</v>
      </c>
      <c r="H261" t="s">
        <v>11</v>
      </c>
      <c r="I261" t="s">
        <v>2537</v>
      </c>
      <c r="J261" t="s">
        <v>8064</v>
      </c>
      <c r="K261">
        <v>31790</v>
      </c>
      <c r="L261">
        <v>44866</v>
      </c>
      <c r="M261" t="s">
        <v>333</v>
      </c>
      <c r="N261">
        <v>31790</v>
      </c>
      <c r="O261" t="e">
        <v>#N/A</v>
      </c>
    </row>
    <row r="262" spans="2:15" hidden="1" x14ac:dyDescent="0.3">
      <c r="B262" t="s">
        <v>8</v>
      </c>
      <c r="C262">
        <v>928</v>
      </c>
      <c r="D262" t="s">
        <v>13</v>
      </c>
      <c r="E262">
        <v>1184</v>
      </c>
      <c r="F262" t="s">
        <v>217</v>
      </c>
      <c r="G262">
        <v>201027</v>
      </c>
      <c r="H262" t="s">
        <v>11</v>
      </c>
      <c r="I262" t="s">
        <v>2540</v>
      </c>
      <c r="J262" t="s">
        <v>7134</v>
      </c>
      <c r="K262">
        <v>1580</v>
      </c>
      <c r="L262">
        <v>44866</v>
      </c>
      <c r="M262" t="s">
        <v>334</v>
      </c>
      <c r="N262">
        <v>1580</v>
      </c>
      <c r="O262" t="s">
        <v>7135</v>
      </c>
    </row>
    <row r="263" spans="2:15" hidden="1" x14ac:dyDescent="0.3">
      <c r="B263" t="s">
        <v>8</v>
      </c>
      <c r="C263">
        <v>928</v>
      </c>
      <c r="D263" t="s">
        <v>13</v>
      </c>
      <c r="E263">
        <v>1184</v>
      </c>
      <c r="F263" t="s">
        <v>335</v>
      </c>
      <c r="G263">
        <v>201090</v>
      </c>
      <c r="H263" t="s">
        <v>11</v>
      </c>
      <c r="I263" t="s">
        <v>2541</v>
      </c>
      <c r="J263" t="s">
        <v>8065</v>
      </c>
      <c r="K263">
        <v>46620</v>
      </c>
      <c r="L263">
        <v>44866</v>
      </c>
      <c r="M263" t="s">
        <v>336</v>
      </c>
      <c r="N263">
        <v>46620</v>
      </c>
      <c r="O263" t="e">
        <v>#N/A</v>
      </c>
    </row>
    <row r="264" spans="2:15" hidden="1" x14ac:dyDescent="0.3">
      <c r="B264" t="s">
        <v>8</v>
      </c>
      <c r="C264">
        <v>928</v>
      </c>
      <c r="D264" t="s">
        <v>9</v>
      </c>
      <c r="E264">
        <v>1202</v>
      </c>
      <c r="F264" t="s">
        <v>73</v>
      </c>
      <c r="G264">
        <v>895</v>
      </c>
      <c r="H264" t="s">
        <v>11</v>
      </c>
      <c r="I264" t="s">
        <v>2542</v>
      </c>
      <c r="J264" t="s">
        <v>8066</v>
      </c>
      <c r="K264">
        <v>1692010</v>
      </c>
      <c r="L264">
        <v>44866</v>
      </c>
      <c r="M264" t="s">
        <v>337</v>
      </c>
      <c r="N264">
        <v>1719500</v>
      </c>
      <c r="O264" t="e">
        <v>#N/A</v>
      </c>
    </row>
    <row r="265" spans="2:15" hidden="1" x14ac:dyDescent="0.3">
      <c r="B265" t="s">
        <v>41</v>
      </c>
      <c r="C265">
        <v>926</v>
      </c>
      <c r="D265" t="s">
        <v>56</v>
      </c>
      <c r="E265">
        <v>1207</v>
      </c>
      <c r="F265" t="s">
        <v>91</v>
      </c>
      <c r="G265">
        <v>201104</v>
      </c>
      <c r="H265" t="s">
        <v>11</v>
      </c>
      <c r="I265" t="s">
        <v>2544</v>
      </c>
      <c r="J265" t="s">
        <v>8067</v>
      </c>
      <c r="K265">
        <v>560450</v>
      </c>
      <c r="L265">
        <v>44866</v>
      </c>
      <c r="M265" t="s">
        <v>338</v>
      </c>
      <c r="N265">
        <v>560450</v>
      </c>
      <c r="O265" t="e">
        <v>#N/A</v>
      </c>
    </row>
    <row r="266" spans="2:15" hidden="1" x14ac:dyDescent="0.3">
      <c r="B266" t="s">
        <v>16</v>
      </c>
      <c r="C266">
        <v>927</v>
      </c>
      <c r="D266" t="s">
        <v>17</v>
      </c>
      <c r="E266">
        <v>1200</v>
      </c>
      <c r="F266" t="s">
        <v>170</v>
      </c>
      <c r="G266">
        <v>1530</v>
      </c>
      <c r="H266" t="s">
        <v>11</v>
      </c>
      <c r="I266" t="s">
        <v>2546</v>
      </c>
      <c r="J266" t="s">
        <v>8068</v>
      </c>
      <c r="K266">
        <v>280870</v>
      </c>
      <c r="L266">
        <v>44866</v>
      </c>
      <c r="M266" t="s">
        <v>339</v>
      </c>
      <c r="N266">
        <v>280870</v>
      </c>
      <c r="O266" t="e">
        <v>#N/A</v>
      </c>
    </row>
    <row r="267" spans="2:15" hidden="1" x14ac:dyDescent="0.3">
      <c r="B267" t="s">
        <v>8</v>
      </c>
      <c r="C267">
        <v>928</v>
      </c>
      <c r="D267" t="s">
        <v>9</v>
      </c>
      <c r="E267">
        <v>1202</v>
      </c>
      <c r="F267" t="s">
        <v>35</v>
      </c>
      <c r="G267">
        <v>51</v>
      </c>
      <c r="H267" t="s">
        <v>11</v>
      </c>
      <c r="I267" t="s">
        <v>2547</v>
      </c>
      <c r="J267" t="s">
        <v>8069</v>
      </c>
      <c r="K267">
        <v>282300</v>
      </c>
      <c r="L267">
        <v>44866</v>
      </c>
      <c r="M267" t="s">
        <v>340</v>
      </c>
      <c r="N267">
        <v>282300</v>
      </c>
      <c r="O267" t="e">
        <v>#N/A</v>
      </c>
    </row>
    <row r="268" spans="2:15" hidden="1" x14ac:dyDescent="0.3">
      <c r="B268" t="s">
        <v>8</v>
      </c>
      <c r="C268">
        <v>928</v>
      </c>
      <c r="D268" t="s">
        <v>9</v>
      </c>
      <c r="E268">
        <v>1202</v>
      </c>
      <c r="F268" t="s">
        <v>142</v>
      </c>
      <c r="G268">
        <v>652</v>
      </c>
      <c r="H268" t="s">
        <v>11</v>
      </c>
      <c r="I268" t="s">
        <v>2548</v>
      </c>
      <c r="J268" t="s">
        <v>8070</v>
      </c>
      <c r="K268">
        <v>180340</v>
      </c>
      <c r="L268">
        <v>44866</v>
      </c>
      <c r="M268" t="s">
        <v>341</v>
      </c>
      <c r="N268">
        <v>180340</v>
      </c>
      <c r="O268" t="e">
        <v>#N/A</v>
      </c>
    </row>
    <row r="269" spans="2:15" hidden="1" x14ac:dyDescent="0.3">
      <c r="B269" t="s">
        <v>8</v>
      </c>
      <c r="C269">
        <v>928</v>
      </c>
      <c r="D269" t="s">
        <v>9</v>
      </c>
      <c r="E269">
        <v>1202</v>
      </c>
      <c r="F269" t="s">
        <v>35</v>
      </c>
      <c r="G269">
        <v>51</v>
      </c>
      <c r="H269" t="s">
        <v>11</v>
      </c>
      <c r="I269" t="s">
        <v>2549</v>
      </c>
      <c r="J269" t="s">
        <v>8071</v>
      </c>
      <c r="K269">
        <v>20440</v>
      </c>
      <c r="L269">
        <v>44866</v>
      </c>
      <c r="M269" t="s">
        <v>342</v>
      </c>
      <c r="N269">
        <v>20440</v>
      </c>
      <c r="O269" t="e">
        <v>#N/A</v>
      </c>
    </row>
    <row r="270" spans="2:15" hidden="1" x14ac:dyDescent="0.3">
      <c r="B270" t="s">
        <v>16</v>
      </c>
      <c r="C270">
        <v>927</v>
      </c>
      <c r="D270" t="s">
        <v>17</v>
      </c>
      <c r="E270">
        <v>1200</v>
      </c>
      <c r="F270" t="s">
        <v>262</v>
      </c>
      <c r="G270">
        <v>1594</v>
      </c>
      <c r="H270" t="s">
        <v>11</v>
      </c>
      <c r="I270" t="s">
        <v>2552</v>
      </c>
      <c r="J270" t="s">
        <v>8072</v>
      </c>
      <c r="K270">
        <v>4320</v>
      </c>
      <c r="L270">
        <v>44866</v>
      </c>
      <c r="M270" t="s">
        <v>343</v>
      </c>
      <c r="N270">
        <v>4320</v>
      </c>
      <c r="O270" t="e">
        <v>#N/A</v>
      </c>
    </row>
    <row r="271" spans="2:15" hidden="1" x14ac:dyDescent="0.3">
      <c r="B271" t="s">
        <v>8</v>
      </c>
      <c r="C271">
        <v>928</v>
      </c>
      <c r="D271" t="s">
        <v>9</v>
      </c>
      <c r="E271">
        <v>1202</v>
      </c>
      <c r="F271" t="s">
        <v>31</v>
      </c>
      <c r="G271">
        <v>1040</v>
      </c>
      <c r="H271" t="s">
        <v>11</v>
      </c>
      <c r="I271" t="s">
        <v>2554</v>
      </c>
      <c r="J271" t="s">
        <v>8073</v>
      </c>
      <c r="K271">
        <v>966648</v>
      </c>
      <c r="L271">
        <v>44866</v>
      </c>
      <c r="M271" t="s">
        <v>344</v>
      </c>
      <c r="N271">
        <v>0</v>
      </c>
      <c r="O271" t="e">
        <v>#N/A</v>
      </c>
    </row>
    <row r="272" spans="2:15" hidden="1" x14ac:dyDescent="0.3">
      <c r="B272" t="s">
        <v>41</v>
      </c>
      <c r="C272">
        <v>926</v>
      </c>
      <c r="D272" t="s">
        <v>42</v>
      </c>
      <c r="E272">
        <v>964</v>
      </c>
      <c r="F272" t="s">
        <v>43</v>
      </c>
      <c r="G272">
        <v>200998</v>
      </c>
      <c r="H272" t="s">
        <v>11</v>
      </c>
      <c r="I272" t="s">
        <v>2556</v>
      </c>
      <c r="J272" t="s">
        <v>8074</v>
      </c>
      <c r="K272">
        <v>223040</v>
      </c>
      <c r="L272">
        <v>44866</v>
      </c>
      <c r="M272" t="s">
        <v>345</v>
      </c>
      <c r="N272">
        <v>223040</v>
      </c>
      <c r="O272" t="e">
        <v>#N/A</v>
      </c>
    </row>
    <row r="273" spans="2:15" hidden="1" x14ac:dyDescent="0.3">
      <c r="B273" t="s">
        <v>41</v>
      </c>
      <c r="C273">
        <v>926</v>
      </c>
      <c r="D273" t="s">
        <v>56</v>
      </c>
      <c r="E273">
        <v>1207</v>
      </c>
      <c r="F273" t="s">
        <v>62</v>
      </c>
      <c r="G273">
        <v>201037</v>
      </c>
      <c r="H273" t="s">
        <v>11</v>
      </c>
      <c r="I273" t="s">
        <v>2557</v>
      </c>
      <c r="J273" t="s">
        <v>8075</v>
      </c>
      <c r="K273">
        <v>6750</v>
      </c>
      <c r="L273">
        <v>44866</v>
      </c>
      <c r="M273" t="s">
        <v>346</v>
      </c>
      <c r="N273">
        <v>6750</v>
      </c>
      <c r="O273" t="e">
        <v>#N/A</v>
      </c>
    </row>
    <row r="274" spans="2:15" hidden="1" x14ac:dyDescent="0.3">
      <c r="B274" t="s">
        <v>41</v>
      </c>
      <c r="C274">
        <v>926</v>
      </c>
      <c r="D274" t="s">
        <v>56</v>
      </c>
      <c r="E274">
        <v>1207</v>
      </c>
      <c r="F274" t="s">
        <v>62</v>
      </c>
      <c r="G274">
        <v>201037</v>
      </c>
      <c r="H274" t="s">
        <v>11</v>
      </c>
      <c r="I274" t="s">
        <v>7204</v>
      </c>
      <c r="J274" t="s">
        <v>7203</v>
      </c>
      <c r="K274">
        <v>6480</v>
      </c>
      <c r="L274">
        <v>44866</v>
      </c>
      <c r="M274" t="s">
        <v>347</v>
      </c>
      <c r="N274" t="e">
        <v>#N/A</v>
      </c>
      <c r="O274" t="s">
        <v>7205</v>
      </c>
    </row>
    <row r="275" spans="2:15" hidden="1" x14ac:dyDescent="0.3">
      <c r="B275" t="s">
        <v>176</v>
      </c>
      <c r="C275">
        <v>1204</v>
      </c>
      <c r="D275" t="s">
        <v>177</v>
      </c>
      <c r="E275">
        <v>1205</v>
      </c>
      <c r="F275" t="s">
        <v>178</v>
      </c>
      <c r="G275">
        <v>201073</v>
      </c>
      <c r="H275" t="s">
        <v>11</v>
      </c>
      <c r="I275" t="s">
        <v>2558</v>
      </c>
      <c r="J275" t="s">
        <v>8076</v>
      </c>
      <c r="K275">
        <v>36020</v>
      </c>
      <c r="L275">
        <v>44866</v>
      </c>
      <c r="M275" t="s">
        <v>348</v>
      </c>
      <c r="N275">
        <v>36320</v>
      </c>
      <c r="O275" t="e">
        <v>#N/A</v>
      </c>
    </row>
    <row r="276" spans="2:15" hidden="1" x14ac:dyDescent="0.3">
      <c r="B276" t="s">
        <v>8</v>
      </c>
      <c r="C276">
        <v>928</v>
      </c>
      <c r="D276" t="s">
        <v>13</v>
      </c>
      <c r="E276">
        <v>1184</v>
      </c>
      <c r="F276" t="s">
        <v>59</v>
      </c>
      <c r="G276">
        <v>9</v>
      </c>
      <c r="H276" t="s">
        <v>11</v>
      </c>
      <c r="I276" t="s">
        <v>2560</v>
      </c>
      <c r="J276" t="s">
        <v>8077</v>
      </c>
      <c r="K276">
        <v>58850</v>
      </c>
      <c r="L276">
        <v>44866</v>
      </c>
      <c r="M276" t="s">
        <v>349</v>
      </c>
      <c r="N276">
        <v>58850</v>
      </c>
      <c r="O276" t="e">
        <v>#N/A</v>
      </c>
    </row>
    <row r="277" spans="2:15" hidden="1" x14ac:dyDescent="0.3">
      <c r="B277" t="s">
        <v>8</v>
      </c>
      <c r="C277">
        <v>928</v>
      </c>
      <c r="D277" t="s">
        <v>9</v>
      </c>
      <c r="E277">
        <v>1202</v>
      </c>
      <c r="F277" t="s">
        <v>45</v>
      </c>
      <c r="G277">
        <v>26</v>
      </c>
      <c r="H277" t="s">
        <v>11</v>
      </c>
      <c r="I277" t="s">
        <v>2561</v>
      </c>
      <c r="J277" t="s">
        <v>7138</v>
      </c>
      <c r="K277">
        <v>7860</v>
      </c>
      <c r="L277">
        <v>44866</v>
      </c>
      <c r="M277" t="s">
        <v>350</v>
      </c>
      <c r="N277">
        <v>180</v>
      </c>
      <c r="O277" t="s">
        <v>8078</v>
      </c>
    </row>
    <row r="278" spans="2:15" hidden="1" x14ac:dyDescent="0.3">
      <c r="B278" t="s">
        <v>16</v>
      </c>
      <c r="C278">
        <v>927</v>
      </c>
      <c r="D278" t="s">
        <v>17</v>
      </c>
      <c r="E278">
        <v>1200</v>
      </c>
      <c r="F278" t="s">
        <v>66</v>
      </c>
      <c r="G278">
        <v>33</v>
      </c>
      <c r="H278" t="s">
        <v>11</v>
      </c>
      <c r="I278" t="s">
        <v>2562</v>
      </c>
      <c r="J278" t="s">
        <v>8079</v>
      </c>
      <c r="K278">
        <v>3800</v>
      </c>
      <c r="L278">
        <v>44866</v>
      </c>
      <c r="M278" t="s">
        <v>351</v>
      </c>
      <c r="N278">
        <v>3800</v>
      </c>
      <c r="O278" t="e">
        <v>#N/A</v>
      </c>
    </row>
    <row r="279" spans="2:15" hidden="1" x14ac:dyDescent="0.3">
      <c r="B279" t="s">
        <v>8</v>
      </c>
      <c r="C279">
        <v>928</v>
      </c>
      <c r="D279" t="s">
        <v>9</v>
      </c>
      <c r="E279">
        <v>1202</v>
      </c>
      <c r="F279" t="s">
        <v>47</v>
      </c>
      <c r="G279">
        <v>898</v>
      </c>
      <c r="H279" t="s">
        <v>11</v>
      </c>
      <c r="I279" t="s">
        <v>2563</v>
      </c>
      <c r="J279" t="s">
        <v>8080</v>
      </c>
      <c r="K279">
        <v>687850</v>
      </c>
      <c r="L279">
        <v>44866</v>
      </c>
      <c r="M279" t="s">
        <v>352</v>
      </c>
      <c r="N279">
        <v>687850</v>
      </c>
      <c r="O279" t="e">
        <v>#N/A</v>
      </c>
    </row>
    <row r="280" spans="2:15" hidden="1" x14ac:dyDescent="0.3">
      <c r="B280" t="s">
        <v>16</v>
      </c>
      <c r="C280">
        <v>927</v>
      </c>
      <c r="D280" t="s">
        <v>17</v>
      </c>
      <c r="E280">
        <v>1200</v>
      </c>
      <c r="F280" t="s">
        <v>353</v>
      </c>
      <c r="G280">
        <v>201108</v>
      </c>
      <c r="H280" t="s">
        <v>11</v>
      </c>
      <c r="I280" t="s">
        <v>2565</v>
      </c>
      <c r="J280" t="s">
        <v>8081</v>
      </c>
      <c r="K280">
        <v>41034</v>
      </c>
      <c r="L280">
        <v>44866</v>
      </c>
      <c r="M280" t="s">
        <v>354</v>
      </c>
      <c r="N280">
        <v>68310</v>
      </c>
      <c r="O280" t="e">
        <v>#N/A</v>
      </c>
    </row>
    <row r="281" spans="2:15" hidden="1" x14ac:dyDescent="0.3">
      <c r="B281" t="s">
        <v>16</v>
      </c>
      <c r="C281">
        <v>927</v>
      </c>
      <c r="D281" t="s">
        <v>17</v>
      </c>
      <c r="E281">
        <v>1200</v>
      </c>
      <c r="F281" t="s">
        <v>96</v>
      </c>
      <c r="G281">
        <v>1271</v>
      </c>
      <c r="H281" t="s">
        <v>11</v>
      </c>
      <c r="I281" t="s">
        <v>2566</v>
      </c>
      <c r="J281" t="s">
        <v>8082</v>
      </c>
      <c r="K281">
        <v>568023</v>
      </c>
      <c r="L281">
        <v>44866</v>
      </c>
      <c r="M281" t="s">
        <v>355</v>
      </c>
      <c r="N281">
        <v>568074</v>
      </c>
      <c r="O281" t="e">
        <v>#N/A</v>
      </c>
    </row>
    <row r="282" spans="2:15" hidden="1" x14ac:dyDescent="0.3">
      <c r="B282" t="s">
        <v>41</v>
      </c>
      <c r="C282">
        <v>926</v>
      </c>
      <c r="D282" t="s">
        <v>56</v>
      </c>
      <c r="E282">
        <v>1207</v>
      </c>
      <c r="F282" t="s">
        <v>62</v>
      </c>
      <c r="G282">
        <v>201037</v>
      </c>
      <c r="H282" t="s">
        <v>11</v>
      </c>
      <c r="I282" t="s">
        <v>2569</v>
      </c>
      <c r="J282" t="s">
        <v>8083</v>
      </c>
      <c r="K282">
        <v>473930</v>
      </c>
      <c r="L282">
        <v>44866</v>
      </c>
      <c r="M282" t="s">
        <v>356</v>
      </c>
      <c r="N282">
        <v>473930</v>
      </c>
      <c r="O282" t="e">
        <v>#N/A</v>
      </c>
    </row>
    <row r="283" spans="2:15" hidden="1" x14ac:dyDescent="0.3">
      <c r="B283" t="s">
        <v>8</v>
      </c>
      <c r="C283">
        <v>928</v>
      </c>
      <c r="D283" t="s">
        <v>9</v>
      </c>
      <c r="E283">
        <v>1202</v>
      </c>
      <c r="F283" t="s">
        <v>31</v>
      </c>
      <c r="G283">
        <v>1040</v>
      </c>
      <c r="H283" t="s">
        <v>11</v>
      </c>
      <c r="I283" t="s">
        <v>2572</v>
      </c>
      <c r="J283" t="s">
        <v>8084</v>
      </c>
      <c r="K283">
        <v>5830</v>
      </c>
      <c r="L283">
        <v>44866</v>
      </c>
      <c r="M283" t="s">
        <v>357</v>
      </c>
      <c r="N283">
        <v>5830</v>
      </c>
      <c r="O283" t="e">
        <v>#N/A</v>
      </c>
    </row>
    <row r="284" spans="2:15" hidden="1" x14ac:dyDescent="0.3">
      <c r="B284" t="s">
        <v>8</v>
      </c>
      <c r="C284">
        <v>928</v>
      </c>
      <c r="D284" t="s">
        <v>9</v>
      </c>
      <c r="E284">
        <v>1202</v>
      </c>
      <c r="F284" t="s">
        <v>75</v>
      </c>
      <c r="G284">
        <v>50</v>
      </c>
      <c r="H284" t="s">
        <v>11</v>
      </c>
      <c r="I284" t="s">
        <v>2574</v>
      </c>
      <c r="J284" t="s">
        <v>8085</v>
      </c>
      <c r="K284">
        <v>884340</v>
      </c>
      <c r="L284">
        <v>44866</v>
      </c>
      <c r="M284" t="s">
        <v>358</v>
      </c>
      <c r="N284">
        <v>884340</v>
      </c>
      <c r="O284" t="e">
        <v>#N/A</v>
      </c>
    </row>
    <row r="285" spans="2:15" hidden="1" x14ac:dyDescent="0.3">
      <c r="B285" t="s">
        <v>8</v>
      </c>
      <c r="C285">
        <v>928</v>
      </c>
      <c r="D285" t="s">
        <v>13</v>
      </c>
      <c r="E285">
        <v>1184</v>
      </c>
      <c r="F285" t="s">
        <v>59</v>
      </c>
      <c r="G285">
        <v>9</v>
      </c>
      <c r="H285" t="s">
        <v>11</v>
      </c>
      <c r="I285" t="s">
        <v>2575</v>
      </c>
      <c r="J285" t="s">
        <v>8086</v>
      </c>
      <c r="K285">
        <v>15190</v>
      </c>
      <c r="L285">
        <v>44866</v>
      </c>
      <c r="M285" t="s">
        <v>359</v>
      </c>
      <c r="N285">
        <v>15190</v>
      </c>
      <c r="O285" t="e">
        <v>#N/A</v>
      </c>
    </row>
    <row r="286" spans="2:15" hidden="1" x14ac:dyDescent="0.3">
      <c r="B286" t="s">
        <v>16</v>
      </c>
      <c r="C286">
        <v>927</v>
      </c>
      <c r="D286" t="s">
        <v>17</v>
      </c>
      <c r="E286">
        <v>1200</v>
      </c>
      <c r="F286" t="s">
        <v>66</v>
      </c>
      <c r="G286">
        <v>33</v>
      </c>
      <c r="H286" t="s">
        <v>11</v>
      </c>
      <c r="I286" t="s">
        <v>2576</v>
      </c>
      <c r="J286" t="s">
        <v>8087</v>
      </c>
      <c r="K286">
        <v>67770</v>
      </c>
      <c r="L286">
        <v>44866</v>
      </c>
      <c r="M286" t="s">
        <v>360</v>
      </c>
      <c r="N286">
        <v>67770</v>
      </c>
      <c r="O286" t="e">
        <v>#N/A</v>
      </c>
    </row>
    <row r="287" spans="2:15" hidden="1" x14ac:dyDescent="0.3">
      <c r="B287" t="s">
        <v>16</v>
      </c>
      <c r="C287">
        <v>927</v>
      </c>
      <c r="D287" t="s">
        <v>17</v>
      </c>
      <c r="E287">
        <v>1200</v>
      </c>
      <c r="F287" t="s">
        <v>78</v>
      </c>
      <c r="G287">
        <v>57</v>
      </c>
      <c r="H287" t="s">
        <v>11</v>
      </c>
      <c r="I287" t="s">
        <v>2579</v>
      </c>
      <c r="J287" t="s">
        <v>8088</v>
      </c>
      <c r="K287">
        <v>16107130</v>
      </c>
      <c r="L287">
        <v>44866</v>
      </c>
      <c r="M287" t="s">
        <v>361</v>
      </c>
      <c r="N287">
        <v>14907160</v>
      </c>
      <c r="O287" t="e">
        <v>#N/A</v>
      </c>
    </row>
    <row r="288" spans="2:15" hidden="1" x14ac:dyDescent="0.3">
      <c r="B288" t="s">
        <v>8</v>
      </c>
      <c r="C288">
        <v>928</v>
      </c>
      <c r="D288" t="s">
        <v>9</v>
      </c>
      <c r="E288">
        <v>1202</v>
      </c>
      <c r="F288" t="s">
        <v>39</v>
      </c>
      <c r="G288">
        <v>25</v>
      </c>
      <c r="H288" t="s">
        <v>11</v>
      </c>
      <c r="I288" t="s">
        <v>2583</v>
      </c>
      <c r="J288" t="s">
        <v>8089</v>
      </c>
      <c r="K288">
        <v>239260</v>
      </c>
      <c r="L288">
        <v>44866</v>
      </c>
      <c r="M288" t="s">
        <v>362</v>
      </c>
      <c r="N288">
        <v>239260</v>
      </c>
      <c r="O288" t="e">
        <v>#N/A</v>
      </c>
    </row>
    <row r="289" spans="2:15" hidden="1" x14ac:dyDescent="0.3">
      <c r="B289" t="s">
        <v>8</v>
      </c>
      <c r="C289">
        <v>928</v>
      </c>
      <c r="D289" t="s">
        <v>9</v>
      </c>
      <c r="E289">
        <v>1202</v>
      </c>
      <c r="F289" t="s">
        <v>37</v>
      </c>
      <c r="G289">
        <v>81</v>
      </c>
      <c r="H289" t="s">
        <v>11</v>
      </c>
      <c r="I289" t="s">
        <v>2587</v>
      </c>
      <c r="J289" t="s">
        <v>8090</v>
      </c>
      <c r="K289">
        <v>210</v>
      </c>
      <c r="L289">
        <v>44866</v>
      </c>
      <c r="M289" t="s">
        <v>363</v>
      </c>
      <c r="N289">
        <v>210</v>
      </c>
      <c r="O289" t="e">
        <v>#N/A</v>
      </c>
    </row>
    <row r="290" spans="2:15" hidden="1" x14ac:dyDescent="0.3">
      <c r="B290" t="s">
        <v>8</v>
      </c>
      <c r="C290">
        <v>928</v>
      </c>
      <c r="D290" t="s">
        <v>9</v>
      </c>
      <c r="E290">
        <v>1202</v>
      </c>
      <c r="F290" t="s">
        <v>37</v>
      </c>
      <c r="G290">
        <v>81</v>
      </c>
      <c r="H290" t="s">
        <v>11</v>
      </c>
      <c r="I290" t="s">
        <v>2588</v>
      </c>
      <c r="J290" t="s">
        <v>8091</v>
      </c>
      <c r="K290">
        <v>1400680</v>
      </c>
      <c r="L290">
        <v>44866</v>
      </c>
      <c r="M290" t="s">
        <v>364</v>
      </c>
      <c r="N290">
        <v>1400680</v>
      </c>
      <c r="O290" t="e">
        <v>#N/A</v>
      </c>
    </row>
    <row r="291" spans="2:15" hidden="1" x14ac:dyDescent="0.3">
      <c r="B291" t="s">
        <v>176</v>
      </c>
      <c r="C291">
        <v>1204</v>
      </c>
      <c r="D291" t="s">
        <v>177</v>
      </c>
      <c r="E291">
        <v>1205</v>
      </c>
      <c r="F291" t="s">
        <v>178</v>
      </c>
      <c r="G291">
        <v>201073</v>
      </c>
      <c r="H291" t="s">
        <v>11</v>
      </c>
      <c r="I291" t="s">
        <v>2591</v>
      </c>
      <c r="J291" t="s">
        <v>8092</v>
      </c>
      <c r="K291">
        <v>9825690</v>
      </c>
      <c r="L291">
        <v>44866</v>
      </c>
      <c r="M291" t="s">
        <v>365</v>
      </c>
      <c r="N291">
        <v>3125720</v>
      </c>
      <c r="O291" t="e">
        <v>#N/A</v>
      </c>
    </row>
    <row r="292" spans="2:15" hidden="1" x14ac:dyDescent="0.3">
      <c r="B292" t="s">
        <v>176</v>
      </c>
      <c r="C292">
        <v>1204</v>
      </c>
      <c r="D292" t="s">
        <v>177</v>
      </c>
      <c r="E292">
        <v>1205</v>
      </c>
      <c r="F292" t="s">
        <v>178</v>
      </c>
      <c r="G292">
        <v>201073</v>
      </c>
      <c r="H292" t="s">
        <v>11</v>
      </c>
      <c r="I292" t="s">
        <v>2592</v>
      </c>
      <c r="J292" t="s">
        <v>8093</v>
      </c>
      <c r="K292">
        <v>98730496</v>
      </c>
      <c r="L292">
        <v>44866</v>
      </c>
      <c r="M292" t="s">
        <v>366</v>
      </c>
      <c r="N292">
        <v>77543840</v>
      </c>
      <c r="O292" t="e">
        <v>#N/A</v>
      </c>
    </row>
    <row r="293" spans="2:15" hidden="1" x14ac:dyDescent="0.3">
      <c r="B293" t="s">
        <v>8</v>
      </c>
      <c r="C293">
        <v>928</v>
      </c>
      <c r="D293" t="s">
        <v>9</v>
      </c>
      <c r="E293">
        <v>1202</v>
      </c>
      <c r="F293" t="s">
        <v>27</v>
      </c>
      <c r="G293">
        <v>806</v>
      </c>
      <c r="H293" t="s">
        <v>11</v>
      </c>
      <c r="I293" t="s">
        <v>2594</v>
      </c>
      <c r="J293" t="s">
        <v>8094</v>
      </c>
      <c r="K293">
        <v>701190</v>
      </c>
      <c r="L293">
        <v>44866</v>
      </c>
      <c r="M293" t="s">
        <v>367</v>
      </c>
      <c r="N293">
        <v>701190</v>
      </c>
      <c r="O293" t="e">
        <v>#N/A</v>
      </c>
    </row>
    <row r="294" spans="2:15" hidden="1" x14ac:dyDescent="0.3">
      <c r="B294" t="s">
        <v>8</v>
      </c>
      <c r="C294">
        <v>928</v>
      </c>
      <c r="D294" t="s">
        <v>13</v>
      </c>
      <c r="E294">
        <v>1184</v>
      </c>
      <c r="F294" t="s">
        <v>14</v>
      </c>
      <c r="G294">
        <v>914</v>
      </c>
      <c r="H294" t="s">
        <v>11</v>
      </c>
      <c r="I294" t="s">
        <v>2596</v>
      </c>
      <c r="J294" t="s">
        <v>8095</v>
      </c>
      <c r="K294">
        <v>165990</v>
      </c>
      <c r="L294">
        <v>44866</v>
      </c>
      <c r="M294" t="s">
        <v>368</v>
      </c>
      <c r="N294">
        <v>165990</v>
      </c>
      <c r="O294" t="e">
        <v>#N/A</v>
      </c>
    </row>
    <row r="295" spans="2:15" hidden="1" x14ac:dyDescent="0.3">
      <c r="B295" t="s">
        <v>8</v>
      </c>
      <c r="C295">
        <v>928</v>
      </c>
      <c r="D295" t="s">
        <v>13</v>
      </c>
      <c r="E295">
        <v>1184</v>
      </c>
      <c r="F295" t="s">
        <v>14</v>
      </c>
      <c r="G295">
        <v>914</v>
      </c>
      <c r="H295" t="s">
        <v>11</v>
      </c>
      <c r="I295" t="s">
        <v>2597</v>
      </c>
      <c r="J295" t="s">
        <v>8096</v>
      </c>
      <c r="K295">
        <v>14220</v>
      </c>
      <c r="L295">
        <v>44866</v>
      </c>
      <c r="M295" t="s">
        <v>369</v>
      </c>
      <c r="N295">
        <v>14220</v>
      </c>
      <c r="O295" t="e">
        <v>#N/A</v>
      </c>
    </row>
    <row r="296" spans="2:15" hidden="1" x14ac:dyDescent="0.3">
      <c r="B296" t="s">
        <v>8</v>
      </c>
      <c r="C296">
        <v>928</v>
      </c>
      <c r="D296" t="s">
        <v>9</v>
      </c>
      <c r="E296">
        <v>1202</v>
      </c>
      <c r="F296" t="s">
        <v>47</v>
      </c>
      <c r="G296">
        <v>898</v>
      </c>
      <c r="H296" t="s">
        <v>11</v>
      </c>
      <c r="I296" t="s">
        <v>2601</v>
      </c>
      <c r="J296" t="s">
        <v>8097</v>
      </c>
      <c r="K296">
        <v>1810</v>
      </c>
      <c r="L296">
        <v>44866</v>
      </c>
      <c r="M296" t="s">
        <v>370</v>
      </c>
      <c r="N296">
        <v>1810</v>
      </c>
      <c r="O296" t="e">
        <v>#N/A</v>
      </c>
    </row>
    <row r="297" spans="2:15" hidden="1" x14ac:dyDescent="0.3">
      <c r="B297" t="s">
        <v>16</v>
      </c>
      <c r="C297">
        <v>927</v>
      </c>
      <c r="D297" t="s">
        <v>17</v>
      </c>
      <c r="E297">
        <v>1200</v>
      </c>
      <c r="F297" t="s">
        <v>371</v>
      </c>
      <c r="G297">
        <v>551</v>
      </c>
      <c r="H297" t="s">
        <v>11</v>
      </c>
      <c r="I297" t="s">
        <v>2606</v>
      </c>
      <c r="J297" t="s">
        <v>8098</v>
      </c>
      <c r="K297">
        <v>7569550</v>
      </c>
      <c r="L297">
        <v>44866</v>
      </c>
      <c r="M297" t="s">
        <v>372</v>
      </c>
      <c r="N297">
        <v>7569550</v>
      </c>
      <c r="O297" t="e">
        <v>#N/A</v>
      </c>
    </row>
    <row r="298" spans="2:15" hidden="1" x14ac:dyDescent="0.3">
      <c r="B298" t="s">
        <v>8</v>
      </c>
      <c r="C298">
        <v>928</v>
      </c>
      <c r="D298" t="s">
        <v>13</v>
      </c>
      <c r="E298">
        <v>1184</v>
      </c>
      <c r="F298" t="s">
        <v>59</v>
      </c>
      <c r="G298">
        <v>9</v>
      </c>
      <c r="H298" t="s">
        <v>11</v>
      </c>
      <c r="I298" t="s">
        <v>2619</v>
      </c>
      <c r="J298" t="s">
        <v>8099</v>
      </c>
      <c r="K298">
        <v>4220</v>
      </c>
      <c r="L298">
        <v>44866</v>
      </c>
      <c r="M298" t="s">
        <v>373</v>
      </c>
      <c r="N298">
        <v>4220</v>
      </c>
      <c r="O298" t="e">
        <v>#N/A</v>
      </c>
    </row>
    <row r="299" spans="2:15" hidden="1" x14ac:dyDescent="0.3">
      <c r="B299" t="s">
        <v>8</v>
      </c>
      <c r="C299">
        <v>928</v>
      </c>
      <c r="D299" t="s">
        <v>13</v>
      </c>
      <c r="E299">
        <v>1184</v>
      </c>
      <c r="F299" t="s">
        <v>374</v>
      </c>
      <c r="G299">
        <v>201022</v>
      </c>
      <c r="H299" t="s">
        <v>11</v>
      </c>
      <c r="I299" t="s">
        <v>2620</v>
      </c>
      <c r="J299" t="s">
        <v>8100</v>
      </c>
      <c r="K299">
        <v>5731390</v>
      </c>
      <c r="L299">
        <v>44866</v>
      </c>
      <c r="M299" t="s">
        <v>375</v>
      </c>
      <c r="N299">
        <v>5758990</v>
      </c>
      <c r="O299" t="e">
        <v>#N/A</v>
      </c>
    </row>
    <row r="300" spans="2:15" hidden="1" x14ac:dyDescent="0.3">
      <c r="B300" t="s">
        <v>16</v>
      </c>
      <c r="C300">
        <v>927</v>
      </c>
      <c r="D300" t="s">
        <v>17</v>
      </c>
      <c r="E300">
        <v>1200</v>
      </c>
      <c r="F300" t="s">
        <v>137</v>
      </c>
      <c r="G300">
        <v>1012</v>
      </c>
      <c r="H300" t="s">
        <v>11</v>
      </c>
      <c r="I300" t="s">
        <v>2623</v>
      </c>
      <c r="J300" t="s">
        <v>8101</v>
      </c>
      <c r="K300">
        <v>947290</v>
      </c>
      <c r="L300">
        <v>44866</v>
      </c>
      <c r="M300" t="s">
        <v>376</v>
      </c>
      <c r="N300">
        <v>947290</v>
      </c>
      <c r="O300" t="e">
        <v>#N/A</v>
      </c>
    </row>
    <row r="301" spans="2:15" hidden="1" x14ac:dyDescent="0.3">
      <c r="B301" t="s">
        <v>8</v>
      </c>
      <c r="C301">
        <v>928</v>
      </c>
      <c r="D301" t="s">
        <v>13</v>
      </c>
      <c r="E301">
        <v>1184</v>
      </c>
      <c r="F301" t="s">
        <v>102</v>
      </c>
      <c r="G301">
        <v>917</v>
      </c>
      <c r="H301" t="s">
        <v>11</v>
      </c>
      <c r="I301" t="s">
        <v>2624</v>
      </c>
      <c r="J301" t="s">
        <v>8102</v>
      </c>
      <c r="K301">
        <v>245680</v>
      </c>
      <c r="L301">
        <v>44866</v>
      </c>
      <c r="M301" t="s">
        <v>377</v>
      </c>
      <c r="N301">
        <v>245680</v>
      </c>
      <c r="O301" t="e">
        <v>#N/A</v>
      </c>
    </row>
    <row r="302" spans="2:15" hidden="1" x14ac:dyDescent="0.3">
      <c r="B302" t="s">
        <v>22</v>
      </c>
      <c r="C302">
        <v>809</v>
      </c>
      <c r="D302" t="s">
        <v>23</v>
      </c>
      <c r="E302">
        <v>810</v>
      </c>
      <c r="F302" t="s">
        <v>86</v>
      </c>
      <c r="G302">
        <v>201021</v>
      </c>
      <c r="H302" t="s">
        <v>11</v>
      </c>
      <c r="I302" t="s">
        <v>2625</v>
      </c>
      <c r="J302" t="s">
        <v>8103</v>
      </c>
      <c r="K302">
        <v>275670</v>
      </c>
      <c r="L302">
        <v>44866</v>
      </c>
      <c r="M302" t="s">
        <v>378</v>
      </c>
      <c r="N302">
        <v>275670</v>
      </c>
      <c r="O302" t="e">
        <v>#N/A</v>
      </c>
    </row>
    <row r="303" spans="2:15" hidden="1" x14ac:dyDescent="0.3">
      <c r="B303" t="s">
        <v>8</v>
      </c>
      <c r="C303">
        <v>928</v>
      </c>
      <c r="D303" t="s">
        <v>13</v>
      </c>
      <c r="E303">
        <v>1184</v>
      </c>
      <c r="F303" t="s">
        <v>102</v>
      </c>
      <c r="G303">
        <v>917</v>
      </c>
      <c r="H303" t="s">
        <v>11</v>
      </c>
      <c r="I303" t="s">
        <v>2628</v>
      </c>
      <c r="J303" t="s">
        <v>8104</v>
      </c>
      <c r="K303">
        <v>130640</v>
      </c>
      <c r="L303">
        <v>44866</v>
      </c>
      <c r="M303" t="s">
        <v>379</v>
      </c>
      <c r="N303">
        <v>130640</v>
      </c>
      <c r="O303" t="e">
        <v>#N/A</v>
      </c>
    </row>
    <row r="304" spans="2:15" hidden="1" x14ac:dyDescent="0.3">
      <c r="B304" t="s">
        <v>8</v>
      </c>
      <c r="C304">
        <v>928</v>
      </c>
      <c r="D304" t="s">
        <v>13</v>
      </c>
      <c r="E304">
        <v>1184</v>
      </c>
      <c r="F304" t="s">
        <v>14</v>
      </c>
      <c r="G304">
        <v>914</v>
      </c>
      <c r="H304" t="s">
        <v>11</v>
      </c>
      <c r="I304" t="s">
        <v>2637</v>
      </c>
      <c r="J304" t="s">
        <v>8105</v>
      </c>
      <c r="K304">
        <v>3820</v>
      </c>
      <c r="L304">
        <v>44866</v>
      </c>
      <c r="M304" t="s">
        <v>380</v>
      </c>
      <c r="N304">
        <v>3820</v>
      </c>
      <c r="O304" t="e">
        <v>#N/A</v>
      </c>
    </row>
    <row r="305" spans="2:15" hidden="1" x14ac:dyDescent="0.3">
      <c r="B305" t="s">
        <v>16</v>
      </c>
      <c r="C305">
        <v>927</v>
      </c>
      <c r="D305" t="s">
        <v>17</v>
      </c>
      <c r="E305">
        <v>1200</v>
      </c>
      <c r="F305" t="s">
        <v>78</v>
      </c>
      <c r="G305">
        <v>57</v>
      </c>
      <c r="H305" t="s">
        <v>11</v>
      </c>
      <c r="I305" t="s">
        <v>2638</v>
      </c>
      <c r="J305" t="s">
        <v>8106</v>
      </c>
      <c r="K305">
        <v>2717880</v>
      </c>
      <c r="L305">
        <v>44866</v>
      </c>
      <c r="M305" t="s">
        <v>381</v>
      </c>
      <c r="N305">
        <v>2717880</v>
      </c>
      <c r="O305" t="e">
        <v>#N/A</v>
      </c>
    </row>
    <row r="306" spans="2:15" hidden="1" x14ac:dyDescent="0.3">
      <c r="B306" t="s">
        <v>8</v>
      </c>
      <c r="C306">
        <v>928</v>
      </c>
      <c r="D306" t="s">
        <v>9</v>
      </c>
      <c r="E306">
        <v>1202</v>
      </c>
      <c r="F306" t="s">
        <v>142</v>
      </c>
      <c r="G306">
        <v>652</v>
      </c>
      <c r="H306" t="s">
        <v>11</v>
      </c>
      <c r="I306" t="s">
        <v>2641</v>
      </c>
      <c r="J306" t="s">
        <v>8107</v>
      </c>
      <c r="K306">
        <v>381210</v>
      </c>
      <c r="L306">
        <v>44866</v>
      </c>
      <c r="M306" t="s">
        <v>382</v>
      </c>
      <c r="N306">
        <v>381210</v>
      </c>
      <c r="O306" t="e">
        <v>#N/A</v>
      </c>
    </row>
    <row r="307" spans="2:15" hidden="1" x14ac:dyDescent="0.3">
      <c r="B307" t="s">
        <v>8</v>
      </c>
      <c r="C307">
        <v>928</v>
      </c>
      <c r="D307" t="s">
        <v>13</v>
      </c>
      <c r="E307">
        <v>1184</v>
      </c>
      <c r="F307" t="s">
        <v>51</v>
      </c>
      <c r="G307">
        <v>1274</v>
      </c>
      <c r="H307" t="s">
        <v>11</v>
      </c>
      <c r="I307" t="s">
        <v>2642</v>
      </c>
      <c r="J307" t="s">
        <v>8108</v>
      </c>
      <c r="K307">
        <v>2160</v>
      </c>
      <c r="L307">
        <v>44866</v>
      </c>
      <c r="M307" t="s">
        <v>383</v>
      </c>
      <c r="N307">
        <v>2160</v>
      </c>
      <c r="O307" t="e">
        <v>#N/A</v>
      </c>
    </row>
    <row r="308" spans="2:15" hidden="1" x14ac:dyDescent="0.3">
      <c r="B308" t="s">
        <v>8</v>
      </c>
      <c r="C308">
        <v>928</v>
      </c>
      <c r="D308" t="s">
        <v>13</v>
      </c>
      <c r="E308">
        <v>1184</v>
      </c>
      <c r="F308" t="s">
        <v>59</v>
      </c>
      <c r="G308">
        <v>9</v>
      </c>
      <c r="H308" t="s">
        <v>11</v>
      </c>
      <c r="I308" t="s">
        <v>2643</v>
      </c>
      <c r="J308" t="s">
        <v>8109</v>
      </c>
      <c r="K308">
        <v>1190</v>
      </c>
      <c r="L308">
        <v>44866</v>
      </c>
      <c r="M308" t="s">
        <v>384</v>
      </c>
      <c r="N308">
        <v>1190</v>
      </c>
      <c r="O308" t="e">
        <v>#N/A</v>
      </c>
    </row>
    <row r="309" spans="2:15" hidden="1" x14ac:dyDescent="0.3">
      <c r="B309" t="s">
        <v>16</v>
      </c>
      <c r="C309">
        <v>927</v>
      </c>
      <c r="D309" t="s">
        <v>17</v>
      </c>
      <c r="E309">
        <v>1200</v>
      </c>
      <c r="F309" t="s">
        <v>290</v>
      </c>
      <c r="G309">
        <v>556</v>
      </c>
      <c r="H309" t="s">
        <v>11</v>
      </c>
      <c r="I309" t="s">
        <v>2648</v>
      </c>
      <c r="J309" t="s">
        <v>8110</v>
      </c>
      <c r="K309">
        <v>454420</v>
      </c>
      <c r="L309">
        <v>44866</v>
      </c>
      <c r="M309" t="s">
        <v>385</v>
      </c>
      <c r="N309">
        <v>454420</v>
      </c>
      <c r="O309" t="e">
        <v>#N/A</v>
      </c>
    </row>
    <row r="310" spans="2:15" hidden="1" x14ac:dyDescent="0.3">
      <c r="B310" t="s">
        <v>16</v>
      </c>
      <c r="C310">
        <v>927</v>
      </c>
      <c r="D310" t="s">
        <v>17</v>
      </c>
      <c r="E310">
        <v>1200</v>
      </c>
      <c r="F310" t="s">
        <v>66</v>
      </c>
      <c r="G310">
        <v>33</v>
      </c>
      <c r="H310" t="s">
        <v>11</v>
      </c>
      <c r="I310" t="s">
        <v>2650</v>
      </c>
      <c r="J310" t="s">
        <v>8111</v>
      </c>
      <c r="K310">
        <v>760</v>
      </c>
      <c r="L310">
        <v>44866</v>
      </c>
      <c r="M310" t="s">
        <v>386</v>
      </c>
      <c r="N310">
        <v>760</v>
      </c>
      <c r="O310" t="e">
        <v>#N/A</v>
      </c>
    </row>
    <row r="311" spans="2:15" hidden="1" x14ac:dyDescent="0.3">
      <c r="B311" t="s">
        <v>16</v>
      </c>
      <c r="C311">
        <v>927</v>
      </c>
      <c r="D311" t="s">
        <v>17</v>
      </c>
      <c r="E311">
        <v>1200</v>
      </c>
      <c r="F311" t="s">
        <v>66</v>
      </c>
      <c r="G311">
        <v>33</v>
      </c>
      <c r="H311" t="s">
        <v>11</v>
      </c>
      <c r="I311" t="s">
        <v>2651</v>
      </c>
      <c r="J311" t="s">
        <v>8112</v>
      </c>
      <c r="K311">
        <v>524140</v>
      </c>
      <c r="L311">
        <v>44866</v>
      </c>
      <c r="M311" t="s">
        <v>387</v>
      </c>
      <c r="N311">
        <v>524140</v>
      </c>
      <c r="O311" t="e">
        <v>#N/A</v>
      </c>
    </row>
    <row r="312" spans="2:15" hidden="1" x14ac:dyDescent="0.3">
      <c r="B312" t="s">
        <v>16</v>
      </c>
      <c r="C312">
        <v>927</v>
      </c>
      <c r="D312" t="s">
        <v>17</v>
      </c>
      <c r="E312">
        <v>1200</v>
      </c>
      <c r="F312" t="s">
        <v>66</v>
      </c>
      <c r="G312">
        <v>33</v>
      </c>
      <c r="H312" t="s">
        <v>11</v>
      </c>
      <c r="I312" t="s">
        <v>2652</v>
      </c>
      <c r="J312" t="s">
        <v>8113</v>
      </c>
      <c r="K312">
        <v>224550</v>
      </c>
      <c r="L312">
        <v>44866</v>
      </c>
      <c r="M312" t="s">
        <v>388</v>
      </c>
      <c r="N312">
        <v>224550</v>
      </c>
      <c r="O312" t="e">
        <v>#N/A</v>
      </c>
    </row>
    <row r="313" spans="2:15" hidden="1" x14ac:dyDescent="0.3">
      <c r="B313" t="s">
        <v>16</v>
      </c>
      <c r="C313">
        <v>927</v>
      </c>
      <c r="D313" t="s">
        <v>17</v>
      </c>
      <c r="E313">
        <v>1200</v>
      </c>
      <c r="F313" t="s">
        <v>66</v>
      </c>
      <c r="G313">
        <v>33</v>
      </c>
      <c r="H313" t="s">
        <v>11</v>
      </c>
      <c r="I313" t="s">
        <v>2653</v>
      </c>
      <c r="J313" t="s">
        <v>8114</v>
      </c>
      <c r="K313">
        <v>132460</v>
      </c>
      <c r="L313">
        <v>44866</v>
      </c>
      <c r="M313" t="s">
        <v>389</v>
      </c>
      <c r="N313">
        <v>132460</v>
      </c>
      <c r="O313" t="e">
        <v>#N/A</v>
      </c>
    </row>
    <row r="314" spans="2:15" hidden="1" x14ac:dyDescent="0.3">
      <c r="B314" t="s">
        <v>16</v>
      </c>
      <c r="C314">
        <v>927</v>
      </c>
      <c r="D314" t="s">
        <v>17</v>
      </c>
      <c r="E314">
        <v>1200</v>
      </c>
      <c r="F314" t="s">
        <v>66</v>
      </c>
      <c r="G314">
        <v>33</v>
      </c>
      <c r="H314" t="s">
        <v>11</v>
      </c>
      <c r="I314" t="s">
        <v>2654</v>
      </c>
      <c r="J314" t="s">
        <v>8115</v>
      </c>
      <c r="K314">
        <v>15360</v>
      </c>
      <c r="L314">
        <v>44866</v>
      </c>
      <c r="M314" t="s">
        <v>390</v>
      </c>
      <c r="N314">
        <v>15360</v>
      </c>
      <c r="O314" t="e">
        <v>#N/A</v>
      </c>
    </row>
    <row r="315" spans="2:15" hidden="1" x14ac:dyDescent="0.3">
      <c r="B315" t="s">
        <v>8</v>
      </c>
      <c r="C315">
        <v>928</v>
      </c>
      <c r="D315" t="s">
        <v>9</v>
      </c>
      <c r="E315">
        <v>1202</v>
      </c>
      <c r="F315" t="s">
        <v>391</v>
      </c>
      <c r="G315">
        <v>1216</v>
      </c>
      <c r="H315" t="s">
        <v>11</v>
      </c>
      <c r="I315" t="s">
        <v>2662</v>
      </c>
      <c r="J315" t="s">
        <v>8116</v>
      </c>
      <c r="K315">
        <v>25190</v>
      </c>
      <c r="L315">
        <v>44866</v>
      </c>
      <c r="M315" t="s">
        <v>392</v>
      </c>
      <c r="N315">
        <v>25190</v>
      </c>
      <c r="O315" t="e">
        <v>#N/A</v>
      </c>
    </row>
    <row r="316" spans="2:15" hidden="1" x14ac:dyDescent="0.3">
      <c r="B316" t="s">
        <v>8</v>
      </c>
      <c r="C316">
        <v>928</v>
      </c>
      <c r="D316" t="s">
        <v>9</v>
      </c>
      <c r="E316">
        <v>1202</v>
      </c>
      <c r="F316" t="s">
        <v>20</v>
      </c>
      <c r="G316">
        <v>938</v>
      </c>
      <c r="H316" t="s">
        <v>11</v>
      </c>
      <c r="I316" t="s">
        <v>2663</v>
      </c>
      <c r="J316" t="s">
        <v>8117</v>
      </c>
      <c r="K316">
        <v>941390</v>
      </c>
      <c r="L316">
        <v>44866</v>
      </c>
      <c r="M316" t="s">
        <v>393</v>
      </c>
      <c r="N316">
        <v>941390</v>
      </c>
      <c r="O316" t="e">
        <v>#N/A</v>
      </c>
    </row>
    <row r="317" spans="2:15" hidden="1" x14ac:dyDescent="0.3">
      <c r="B317" t="s">
        <v>16</v>
      </c>
      <c r="C317">
        <v>927</v>
      </c>
      <c r="D317" t="s">
        <v>17</v>
      </c>
      <c r="E317">
        <v>1200</v>
      </c>
      <c r="F317" t="s">
        <v>100</v>
      </c>
      <c r="G317">
        <v>201038</v>
      </c>
      <c r="H317" t="s">
        <v>11</v>
      </c>
      <c r="I317" t="s">
        <v>2664</v>
      </c>
      <c r="J317" t="s">
        <v>8118</v>
      </c>
      <c r="K317">
        <v>303760</v>
      </c>
      <c r="L317">
        <v>44866</v>
      </c>
      <c r="M317" t="s">
        <v>394</v>
      </c>
      <c r="N317">
        <v>304540</v>
      </c>
      <c r="O317" t="e">
        <v>#N/A</v>
      </c>
    </row>
    <row r="318" spans="2:15" hidden="1" x14ac:dyDescent="0.3">
      <c r="B318" t="s">
        <v>8</v>
      </c>
      <c r="C318">
        <v>928</v>
      </c>
      <c r="D318" t="s">
        <v>9</v>
      </c>
      <c r="E318">
        <v>1202</v>
      </c>
      <c r="F318" t="s">
        <v>75</v>
      </c>
      <c r="G318">
        <v>50</v>
      </c>
      <c r="H318" t="s">
        <v>11</v>
      </c>
      <c r="I318" t="s">
        <v>2665</v>
      </c>
      <c r="J318" t="s">
        <v>8119</v>
      </c>
      <c r="K318">
        <v>1956570</v>
      </c>
      <c r="L318">
        <v>44866</v>
      </c>
      <c r="M318" t="s">
        <v>395</v>
      </c>
      <c r="N318">
        <v>1956570</v>
      </c>
      <c r="O318" t="e">
        <v>#N/A</v>
      </c>
    </row>
    <row r="319" spans="2:15" hidden="1" x14ac:dyDescent="0.3">
      <c r="B319" t="s">
        <v>41</v>
      </c>
      <c r="C319">
        <v>926</v>
      </c>
      <c r="D319" t="s">
        <v>56</v>
      </c>
      <c r="E319">
        <v>1207</v>
      </c>
      <c r="F319" t="s">
        <v>62</v>
      </c>
      <c r="G319">
        <v>201037</v>
      </c>
      <c r="H319" t="s">
        <v>11</v>
      </c>
      <c r="I319" t="s">
        <v>2672</v>
      </c>
      <c r="J319" t="s">
        <v>8120</v>
      </c>
      <c r="K319">
        <v>208397</v>
      </c>
      <c r="L319">
        <v>44866</v>
      </c>
      <c r="M319" t="s">
        <v>396</v>
      </c>
      <c r="N319">
        <v>208980</v>
      </c>
      <c r="O319" t="e">
        <v>#N/A</v>
      </c>
    </row>
    <row r="320" spans="2:15" hidden="1" x14ac:dyDescent="0.3">
      <c r="B320" t="s">
        <v>8</v>
      </c>
      <c r="C320">
        <v>928</v>
      </c>
      <c r="D320" t="s">
        <v>9</v>
      </c>
      <c r="E320">
        <v>1202</v>
      </c>
      <c r="F320" t="s">
        <v>75</v>
      </c>
      <c r="G320">
        <v>50</v>
      </c>
      <c r="H320" t="s">
        <v>11</v>
      </c>
      <c r="I320" t="s">
        <v>2678</v>
      </c>
      <c r="J320" t="s">
        <v>8121</v>
      </c>
      <c r="K320">
        <v>4142520</v>
      </c>
      <c r="L320">
        <v>44866</v>
      </c>
      <c r="M320" t="s">
        <v>397</v>
      </c>
      <c r="N320">
        <v>4142520</v>
      </c>
      <c r="O320" t="e">
        <v>#N/A</v>
      </c>
    </row>
    <row r="321" spans="2:15" hidden="1" x14ac:dyDescent="0.3">
      <c r="B321" t="s">
        <v>8</v>
      </c>
      <c r="C321">
        <v>928</v>
      </c>
      <c r="D321" t="s">
        <v>9</v>
      </c>
      <c r="E321">
        <v>1202</v>
      </c>
      <c r="F321" t="s">
        <v>142</v>
      </c>
      <c r="G321">
        <v>652</v>
      </c>
      <c r="H321" t="s">
        <v>11</v>
      </c>
      <c r="I321" t="s">
        <v>2679</v>
      </c>
      <c r="J321" t="s">
        <v>8122</v>
      </c>
      <c r="K321">
        <v>1251670</v>
      </c>
      <c r="L321">
        <v>44866</v>
      </c>
      <c r="M321" t="s">
        <v>398</v>
      </c>
      <c r="N321">
        <v>1251670</v>
      </c>
      <c r="O321" t="e">
        <v>#N/A</v>
      </c>
    </row>
    <row r="322" spans="2:15" x14ac:dyDescent="0.3">
      <c r="B322" t="s">
        <v>8</v>
      </c>
      <c r="C322">
        <v>928</v>
      </c>
      <c r="D322" t="s">
        <v>9</v>
      </c>
      <c r="E322">
        <v>1202</v>
      </c>
      <c r="F322" t="s">
        <v>110</v>
      </c>
      <c r="G322">
        <v>929</v>
      </c>
      <c r="H322" t="s">
        <v>11</v>
      </c>
      <c r="I322" t="s">
        <v>8123</v>
      </c>
      <c r="J322" t="s">
        <v>8124</v>
      </c>
      <c r="K322">
        <v>133300</v>
      </c>
      <c r="L322">
        <v>44866</v>
      </c>
      <c r="M322" t="s">
        <v>399</v>
      </c>
      <c r="N322" t="e">
        <v>#N/A</v>
      </c>
      <c r="O322" t="e">
        <v>#N/A</v>
      </c>
    </row>
    <row r="323" spans="2:15" hidden="1" x14ac:dyDescent="0.3">
      <c r="B323" t="s">
        <v>8</v>
      </c>
      <c r="C323">
        <v>928</v>
      </c>
      <c r="D323" t="s">
        <v>9</v>
      </c>
      <c r="E323">
        <v>1202</v>
      </c>
      <c r="F323" t="s">
        <v>75</v>
      </c>
      <c r="G323">
        <v>50</v>
      </c>
      <c r="H323" t="s">
        <v>11</v>
      </c>
      <c r="I323" t="s">
        <v>2685</v>
      </c>
      <c r="J323" t="s">
        <v>8125</v>
      </c>
      <c r="K323">
        <v>8870</v>
      </c>
      <c r="L323">
        <v>44866</v>
      </c>
      <c r="M323" t="s">
        <v>400</v>
      </c>
      <c r="N323">
        <v>8870</v>
      </c>
      <c r="O323" t="e">
        <v>#N/A</v>
      </c>
    </row>
    <row r="324" spans="2:15" hidden="1" x14ac:dyDescent="0.3">
      <c r="B324" t="s">
        <v>8</v>
      </c>
      <c r="C324">
        <v>928</v>
      </c>
      <c r="D324" t="s">
        <v>13</v>
      </c>
      <c r="E324">
        <v>1184</v>
      </c>
      <c r="F324" t="s">
        <v>14</v>
      </c>
      <c r="G324">
        <v>914</v>
      </c>
      <c r="H324" t="s">
        <v>11</v>
      </c>
      <c r="I324" t="s">
        <v>2687</v>
      </c>
      <c r="J324" t="s">
        <v>8126</v>
      </c>
      <c r="K324">
        <v>260460</v>
      </c>
      <c r="L324">
        <v>44866</v>
      </c>
      <c r="M324" t="s">
        <v>323</v>
      </c>
      <c r="N324">
        <v>260460</v>
      </c>
      <c r="O324" t="e">
        <v>#N/A</v>
      </c>
    </row>
    <row r="325" spans="2:15" hidden="1" x14ac:dyDescent="0.3">
      <c r="B325" t="s">
        <v>8</v>
      </c>
      <c r="C325">
        <v>928</v>
      </c>
      <c r="D325" t="s">
        <v>13</v>
      </c>
      <c r="E325">
        <v>1184</v>
      </c>
      <c r="F325" t="s">
        <v>59</v>
      </c>
      <c r="G325">
        <v>9</v>
      </c>
      <c r="H325" t="s">
        <v>11</v>
      </c>
      <c r="I325" t="s">
        <v>2688</v>
      </c>
      <c r="J325" t="s">
        <v>8127</v>
      </c>
      <c r="K325">
        <v>22000</v>
      </c>
      <c r="L325">
        <v>44866</v>
      </c>
      <c r="M325" t="s">
        <v>401</v>
      </c>
      <c r="N325">
        <v>22000</v>
      </c>
      <c r="O325" t="e">
        <v>#N/A</v>
      </c>
    </row>
    <row r="326" spans="2:15" hidden="1" x14ac:dyDescent="0.3">
      <c r="B326" t="s">
        <v>8</v>
      </c>
      <c r="C326">
        <v>928</v>
      </c>
      <c r="D326" t="s">
        <v>9</v>
      </c>
      <c r="E326">
        <v>1202</v>
      </c>
      <c r="F326" t="s">
        <v>73</v>
      </c>
      <c r="G326">
        <v>895</v>
      </c>
      <c r="H326" t="s">
        <v>11</v>
      </c>
      <c r="I326" t="s">
        <v>2689</v>
      </c>
      <c r="J326" t="s">
        <v>8128</v>
      </c>
      <c r="K326">
        <v>23330</v>
      </c>
      <c r="L326">
        <v>44866</v>
      </c>
      <c r="M326" t="s">
        <v>402</v>
      </c>
      <c r="N326">
        <v>23330</v>
      </c>
      <c r="O326" t="e">
        <v>#N/A</v>
      </c>
    </row>
    <row r="327" spans="2:15" hidden="1" x14ac:dyDescent="0.3">
      <c r="B327" t="s">
        <v>8</v>
      </c>
      <c r="C327">
        <v>928</v>
      </c>
      <c r="D327" t="s">
        <v>9</v>
      </c>
      <c r="E327">
        <v>1202</v>
      </c>
      <c r="F327" t="s">
        <v>31</v>
      </c>
      <c r="G327">
        <v>1040</v>
      </c>
      <c r="H327" t="s">
        <v>11</v>
      </c>
      <c r="I327" t="s">
        <v>2690</v>
      </c>
      <c r="J327" t="s">
        <v>8129</v>
      </c>
      <c r="K327">
        <v>1391670</v>
      </c>
      <c r="L327">
        <v>44866</v>
      </c>
      <c r="M327" t="s">
        <v>403</v>
      </c>
      <c r="N327">
        <v>947530</v>
      </c>
      <c r="O327" t="e">
        <v>#N/A</v>
      </c>
    </row>
    <row r="328" spans="2:15" hidden="1" x14ac:dyDescent="0.3">
      <c r="B328" t="s">
        <v>8</v>
      </c>
      <c r="C328">
        <v>928</v>
      </c>
      <c r="D328" t="s">
        <v>9</v>
      </c>
      <c r="E328">
        <v>1202</v>
      </c>
      <c r="F328" t="s">
        <v>31</v>
      </c>
      <c r="G328">
        <v>1040</v>
      </c>
      <c r="H328" t="s">
        <v>11</v>
      </c>
      <c r="I328" t="s">
        <v>2691</v>
      </c>
      <c r="J328" t="s">
        <v>8130</v>
      </c>
      <c r="K328">
        <v>136370</v>
      </c>
      <c r="L328">
        <v>44866</v>
      </c>
      <c r="M328" t="s">
        <v>404</v>
      </c>
      <c r="N328">
        <v>136370</v>
      </c>
      <c r="O328" t="e">
        <v>#N/A</v>
      </c>
    </row>
    <row r="329" spans="2:15" hidden="1" x14ac:dyDescent="0.3">
      <c r="B329" t="s">
        <v>8</v>
      </c>
      <c r="C329">
        <v>928</v>
      </c>
      <c r="D329" t="s">
        <v>9</v>
      </c>
      <c r="E329">
        <v>1202</v>
      </c>
      <c r="F329" t="s">
        <v>27</v>
      </c>
      <c r="G329">
        <v>806</v>
      </c>
      <c r="H329" t="s">
        <v>11</v>
      </c>
      <c r="I329" t="s">
        <v>2692</v>
      </c>
      <c r="J329" t="s">
        <v>8131</v>
      </c>
      <c r="K329">
        <v>17290</v>
      </c>
      <c r="L329">
        <v>44866</v>
      </c>
      <c r="M329" t="s">
        <v>405</v>
      </c>
      <c r="N329">
        <v>17290</v>
      </c>
      <c r="O329" t="e">
        <v>#N/A</v>
      </c>
    </row>
    <row r="330" spans="2:15" hidden="1" x14ac:dyDescent="0.3">
      <c r="B330" t="s">
        <v>8</v>
      </c>
      <c r="C330">
        <v>928</v>
      </c>
      <c r="D330" t="s">
        <v>9</v>
      </c>
      <c r="E330">
        <v>1202</v>
      </c>
      <c r="F330" t="s">
        <v>45</v>
      </c>
      <c r="G330">
        <v>26</v>
      </c>
      <c r="H330" t="s">
        <v>11</v>
      </c>
      <c r="I330" t="s">
        <v>2694</v>
      </c>
      <c r="J330" t="s">
        <v>8132</v>
      </c>
      <c r="K330">
        <v>29430</v>
      </c>
      <c r="L330">
        <v>44866</v>
      </c>
      <c r="M330" t="s">
        <v>406</v>
      </c>
      <c r="N330">
        <v>29430</v>
      </c>
      <c r="O330" t="e">
        <v>#N/A</v>
      </c>
    </row>
    <row r="331" spans="2:15" hidden="1" x14ac:dyDescent="0.3">
      <c r="B331" t="s">
        <v>8</v>
      </c>
      <c r="C331">
        <v>928</v>
      </c>
      <c r="D331" t="s">
        <v>9</v>
      </c>
      <c r="E331">
        <v>1202</v>
      </c>
      <c r="F331" t="s">
        <v>35</v>
      </c>
      <c r="G331">
        <v>51</v>
      </c>
      <c r="H331" t="s">
        <v>11</v>
      </c>
      <c r="I331" t="s">
        <v>8133</v>
      </c>
      <c r="J331" t="s">
        <v>6898</v>
      </c>
      <c r="K331">
        <v>26867470</v>
      </c>
      <c r="L331">
        <v>44866</v>
      </c>
      <c r="M331" t="s">
        <v>407</v>
      </c>
      <c r="N331" t="e">
        <v>#N/A</v>
      </c>
      <c r="O331" t="s">
        <v>6896</v>
      </c>
    </row>
    <row r="332" spans="2:15" hidden="1" x14ac:dyDescent="0.3">
      <c r="B332" t="s">
        <v>8</v>
      </c>
      <c r="C332">
        <v>928</v>
      </c>
      <c r="D332" t="s">
        <v>13</v>
      </c>
      <c r="E332">
        <v>1184</v>
      </c>
      <c r="F332" t="s">
        <v>102</v>
      </c>
      <c r="G332">
        <v>917</v>
      </c>
      <c r="H332" t="s">
        <v>11</v>
      </c>
      <c r="I332" t="s">
        <v>2695</v>
      </c>
      <c r="J332" t="s">
        <v>8134</v>
      </c>
      <c r="K332">
        <v>91200</v>
      </c>
      <c r="L332">
        <v>44866</v>
      </c>
      <c r="M332" t="s">
        <v>408</v>
      </c>
      <c r="N332">
        <v>91200</v>
      </c>
      <c r="O332" t="e">
        <v>#N/A</v>
      </c>
    </row>
    <row r="333" spans="2:15" hidden="1" x14ac:dyDescent="0.3">
      <c r="B333" t="s">
        <v>8</v>
      </c>
      <c r="C333">
        <v>928</v>
      </c>
      <c r="D333" t="s">
        <v>13</v>
      </c>
      <c r="E333">
        <v>1184</v>
      </c>
      <c r="F333" t="s">
        <v>59</v>
      </c>
      <c r="G333">
        <v>9</v>
      </c>
      <c r="H333" t="s">
        <v>11</v>
      </c>
      <c r="I333" t="s">
        <v>2696</v>
      </c>
      <c r="J333" t="s">
        <v>8135</v>
      </c>
      <c r="K333">
        <v>19770</v>
      </c>
      <c r="L333">
        <v>44866</v>
      </c>
      <c r="M333" t="s">
        <v>409</v>
      </c>
      <c r="N333">
        <v>19770</v>
      </c>
      <c r="O333" t="e">
        <v>#N/A</v>
      </c>
    </row>
    <row r="334" spans="2:15" hidden="1" x14ac:dyDescent="0.3">
      <c r="B334" t="s">
        <v>8</v>
      </c>
      <c r="C334">
        <v>928</v>
      </c>
      <c r="D334" t="s">
        <v>13</v>
      </c>
      <c r="E334">
        <v>1184</v>
      </c>
      <c r="F334" t="s">
        <v>217</v>
      </c>
      <c r="G334">
        <v>201027</v>
      </c>
      <c r="H334" t="s">
        <v>11</v>
      </c>
      <c r="I334" t="s">
        <v>2698</v>
      </c>
      <c r="J334" t="s">
        <v>8136</v>
      </c>
      <c r="K334">
        <v>32490</v>
      </c>
      <c r="L334">
        <v>44866</v>
      </c>
      <c r="M334" t="s">
        <v>410</v>
      </c>
      <c r="N334">
        <v>32490</v>
      </c>
      <c r="O334" t="e">
        <v>#N/A</v>
      </c>
    </row>
    <row r="335" spans="2:15" hidden="1" x14ac:dyDescent="0.3">
      <c r="B335" t="s">
        <v>8</v>
      </c>
      <c r="C335">
        <v>928</v>
      </c>
      <c r="D335" t="s">
        <v>9</v>
      </c>
      <c r="E335">
        <v>1202</v>
      </c>
      <c r="F335" t="s">
        <v>31</v>
      </c>
      <c r="G335">
        <v>1040</v>
      </c>
      <c r="H335" t="s">
        <v>11</v>
      </c>
      <c r="I335" t="s">
        <v>8137</v>
      </c>
      <c r="J335" t="s">
        <v>6905</v>
      </c>
      <c r="K335">
        <v>264400</v>
      </c>
      <c r="L335">
        <v>44866</v>
      </c>
      <c r="M335" t="s">
        <v>411</v>
      </c>
      <c r="N335" t="e">
        <v>#N/A</v>
      </c>
      <c r="O335" t="s">
        <v>8138</v>
      </c>
    </row>
    <row r="336" spans="2:15" hidden="1" x14ac:dyDescent="0.3">
      <c r="B336" t="s">
        <v>41</v>
      </c>
      <c r="C336">
        <v>926</v>
      </c>
      <c r="D336" t="s">
        <v>56</v>
      </c>
      <c r="E336">
        <v>1207</v>
      </c>
      <c r="F336" t="s">
        <v>62</v>
      </c>
      <c r="G336">
        <v>201037</v>
      </c>
      <c r="H336" t="s">
        <v>11</v>
      </c>
      <c r="I336" t="s">
        <v>2704</v>
      </c>
      <c r="J336" t="s">
        <v>8139</v>
      </c>
      <c r="K336">
        <v>104590</v>
      </c>
      <c r="L336">
        <v>44866</v>
      </c>
      <c r="M336" t="s">
        <v>412</v>
      </c>
      <c r="N336">
        <v>104590</v>
      </c>
      <c r="O336" t="e">
        <v>#N/A</v>
      </c>
    </row>
    <row r="337" spans="2:15" hidden="1" x14ac:dyDescent="0.3">
      <c r="B337" t="s">
        <v>8</v>
      </c>
      <c r="C337">
        <v>928</v>
      </c>
      <c r="D337" t="s">
        <v>9</v>
      </c>
      <c r="E337">
        <v>1202</v>
      </c>
      <c r="F337" t="s">
        <v>122</v>
      </c>
      <c r="G337">
        <v>251</v>
      </c>
      <c r="H337" t="s">
        <v>11</v>
      </c>
      <c r="I337" t="s">
        <v>2705</v>
      </c>
      <c r="J337" t="s">
        <v>8140</v>
      </c>
      <c r="K337">
        <v>1512140</v>
      </c>
      <c r="L337">
        <v>44866</v>
      </c>
      <c r="M337" t="s">
        <v>413</v>
      </c>
      <c r="N337">
        <v>1512140</v>
      </c>
      <c r="O337" t="e">
        <v>#N/A</v>
      </c>
    </row>
    <row r="338" spans="2:15" hidden="1" x14ac:dyDescent="0.3">
      <c r="B338" t="s">
        <v>8</v>
      </c>
      <c r="C338">
        <v>928</v>
      </c>
      <c r="D338" t="s">
        <v>13</v>
      </c>
      <c r="E338">
        <v>1184</v>
      </c>
      <c r="F338" t="s">
        <v>335</v>
      </c>
      <c r="G338">
        <v>201090</v>
      </c>
      <c r="H338" t="s">
        <v>11</v>
      </c>
      <c r="I338" t="s">
        <v>2708</v>
      </c>
      <c r="J338" t="s">
        <v>8141</v>
      </c>
      <c r="K338">
        <v>499990</v>
      </c>
      <c r="L338">
        <v>44866</v>
      </c>
      <c r="M338" t="s">
        <v>414</v>
      </c>
      <c r="N338">
        <v>0</v>
      </c>
      <c r="O338" t="e">
        <v>#N/A</v>
      </c>
    </row>
    <row r="339" spans="2:15" hidden="1" x14ac:dyDescent="0.3">
      <c r="B339" t="s">
        <v>8</v>
      </c>
      <c r="C339">
        <v>928</v>
      </c>
      <c r="D339" t="s">
        <v>13</v>
      </c>
      <c r="E339">
        <v>1184</v>
      </c>
      <c r="F339" t="s">
        <v>102</v>
      </c>
      <c r="G339">
        <v>917</v>
      </c>
      <c r="H339" t="s">
        <v>11</v>
      </c>
      <c r="I339" t="s">
        <v>2710</v>
      </c>
      <c r="J339" t="s">
        <v>8142</v>
      </c>
      <c r="K339">
        <v>6090</v>
      </c>
      <c r="L339">
        <v>44866</v>
      </c>
      <c r="M339" t="s">
        <v>415</v>
      </c>
      <c r="N339">
        <v>6090</v>
      </c>
      <c r="O339" t="e">
        <v>#N/A</v>
      </c>
    </row>
    <row r="340" spans="2:15" hidden="1" x14ac:dyDescent="0.3">
      <c r="B340" t="s">
        <v>8</v>
      </c>
      <c r="C340">
        <v>928</v>
      </c>
      <c r="D340" t="s">
        <v>9</v>
      </c>
      <c r="E340">
        <v>1202</v>
      </c>
      <c r="F340" t="s">
        <v>122</v>
      </c>
      <c r="G340">
        <v>251</v>
      </c>
      <c r="H340" t="s">
        <v>11</v>
      </c>
      <c r="I340" t="s">
        <v>2711</v>
      </c>
      <c r="J340" t="s">
        <v>8143</v>
      </c>
      <c r="K340">
        <v>636130</v>
      </c>
      <c r="L340">
        <v>44866</v>
      </c>
      <c r="M340" t="s">
        <v>416</v>
      </c>
      <c r="N340">
        <v>636130</v>
      </c>
      <c r="O340" t="e">
        <v>#N/A</v>
      </c>
    </row>
    <row r="341" spans="2:15" hidden="1" x14ac:dyDescent="0.3">
      <c r="B341" t="s">
        <v>8</v>
      </c>
      <c r="C341">
        <v>928</v>
      </c>
      <c r="D341" t="s">
        <v>13</v>
      </c>
      <c r="E341">
        <v>1184</v>
      </c>
      <c r="F341" t="s">
        <v>59</v>
      </c>
      <c r="G341">
        <v>9</v>
      </c>
      <c r="H341" t="s">
        <v>11</v>
      </c>
      <c r="I341" t="s">
        <v>2712</v>
      </c>
      <c r="J341" t="s">
        <v>8144</v>
      </c>
      <c r="K341">
        <v>20450</v>
      </c>
      <c r="L341">
        <v>44866</v>
      </c>
      <c r="M341" t="s">
        <v>417</v>
      </c>
      <c r="N341">
        <v>20450</v>
      </c>
      <c r="O341" t="e">
        <v>#N/A</v>
      </c>
    </row>
    <row r="342" spans="2:15" hidden="1" x14ac:dyDescent="0.3">
      <c r="B342" t="s">
        <v>8</v>
      </c>
      <c r="C342">
        <v>928</v>
      </c>
      <c r="D342" t="s">
        <v>9</v>
      </c>
      <c r="E342">
        <v>1202</v>
      </c>
      <c r="F342" t="s">
        <v>75</v>
      </c>
      <c r="G342">
        <v>50</v>
      </c>
      <c r="H342" t="s">
        <v>11</v>
      </c>
      <c r="I342" t="s">
        <v>2715</v>
      </c>
      <c r="J342" t="s">
        <v>8145</v>
      </c>
      <c r="K342">
        <v>748040</v>
      </c>
      <c r="L342">
        <v>44866</v>
      </c>
      <c r="M342" t="s">
        <v>418</v>
      </c>
      <c r="N342">
        <v>748040</v>
      </c>
      <c r="O342" t="e">
        <v>#N/A</v>
      </c>
    </row>
    <row r="343" spans="2:15" hidden="1" x14ac:dyDescent="0.3">
      <c r="B343" t="s">
        <v>8</v>
      </c>
      <c r="C343">
        <v>928</v>
      </c>
      <c r="D343" t="s">
        <v>9</v>
      </c>
      <c r="E343">
        <v>1202</v>
      </c>
      <c r="F343" t="s">
        <v>75</v>
      </c>
      <c r="G343">
        <v>50</v>
      </c>
      <c r="H343" t="s">
        <v>11</v>
      </c>
      <c r="I343" t="s">
        <v>2716</v>
      </c>
      <c r="J343" t="s">
        <v>8146</v>
      </c>
      <c r="K343">
        <v>341600</v>
      </c>
      <c r="L343">
        <v>44866</v>
      </c>
      <c r="M343" t="s">
        <v>418</v>
      </c>
      <c r="N343">
        <v>341600</v>
      </c>
      <c r="O343" t="e">
        <v>#N/A</v>
      </c>
    </row>
    <row r="344" spans="2:15" hidden="1" x14ac:dyDescent="0.3">
      <c r="B344" t="s">
        <v>8</v>
      </c>
      <c r="C344">
        <v>928</v>
      </c>
      <c r="D344" t="s">
        <v>9</v>
      </c>
      <c r="E344">
        <v>1202</v>
      </c>
      <c r="F344" t="s">
        <v>75</v>
      </c>
      <c r="G344">
        <v>50</v>
      </c>
      <c r="H344" t="s">
        <v>11</v>
      </c>
      <c r="I344" t="s">
        <v>2717</v>
      </c>
      <c r="J344" t="s">
        <v>8147</v>
      </c>
      <c r="K344">
        <v>662180</v>
      </c>
      <c r="L344">
        <v>44866</v>
      </c>
      <c r="M344" t="s">
        <v>418</v>
      </c>
      <c r="N344">
        <v>662180</v>
      </c>
      <c r="O344" t="e">
        <v>#N/A</v>
      </c>
    </row>
    <row r="345" spans="2:15" hidden="1" x14ac:dyDescent="0.3">
      <c r="B345" t="s">
        <v>8</v>
      </c>
      <c r="C345">
        <v>928</v>
      </c>
      <c r="D345" t="s">
        <v>9</v>
      </c>
      <c r="E345">
        <v>1202</v>
      </c>
      <c r="F345" t="s">
        <v>75</v>
      </c>
      <c r="G345">
        <v>50</v>
      </c>
      <c r="H345" t="s">
        <v>11</v>
      </c>
      <c r="I345" t="s">
        <v>2718</v>
      </c>
      <c r="J345" t="s">
        <v>8148</v>
      </c>
      <c r="K345">
        <v>2556240</v>
      </c>
      <c r="L345">
        <v>44866</v>
      </c>
      <c r="M345" t="s">
        <v>418</v>
      </c>
      <c r="N345">
        <v>2556240</v>
      </c>
      <c r="O345" t="e">
        <v>#N/A</v>
      </c>
    </row>
    <row r="346" spans="2:15" hidden="1" x14ac:dyDescent="0.3">
      <c r="B346" t="s">
        <v>41</v>
      </c>
      <c r="C346">
        <v>926</v>
      </c>
      <c r="D346" t="s">
        <v>56</v>
      </c>
      <c r="E346">
        <v>1207</v>
      </c>
      <c r="F346" t="s">
        <v>62</v>
      </c>
      <c r="G346">
        <v>201037</v>
      </c>
      <c r="H346" t="s">
        <v>11</v>
      </c>
      <c r="I346" t="s">
        <v>2722</v>
      </c>
      <c r="J346" t="s">
        <v>8149</v>
      </c>
      <c r="K346">
        <v>1001440</v>
      </c>
      <c r="L346">
        <v>44866</v>
      </c>
      <c r="M346" t="s">
        <v>419</v>
      </c>
      <c r="N346">
        <v>1001440</v>
      </c>
      <c r="O346" t="e">
        <v>#N/A</v>
      </c>
    </row>
    <row r="347" spans="2:15" hidden="1" x14ac:dyDescent="0.3">
      <c r="B347" t="s">
        <v>16</v>
      </c>
      <c r="C347">
        <v>927</v>
      </c>
      <c r="D347" t="s">
        <v>17</v>
      </c>
      <c r="E347">
        <v>1200</v>
      </c>
      <c r="F347" t="s">
        <v>371</v>
      </c>
      <c r="G347">
        <v>551</v>
      </c>
      <c r="H347" t="s">
        <v>11</v>
      </c>
      <c r="I347" t="s">
        <v>2726</v>
      </c>
      <c r="J347" t="s">
        <v>8150</v>
      </c>
      <c r="K347">
        <v>4048250</v>
      </c>
      <c r="L347">
        <v>44866</v>
      </c>
      <c r="M347" t="s">
        <v>420</v>
      </c>
      <c r="N347">
        <v>4089140</v>
      </c>
      <c r="O347" t="e">
        <v>#N/A</v>
      </c>
    </row>
    <row r="348" spans="2:15" hidden="1" x14ac:dyDescent="0.3">
      <c r="B348" t="s">
        <v>8</v>
      </c>
      <c r="C348">
        <v>928</v>
      </c>
      <c r="D348" t="s">
        <v>9</v>
      </c>
      <c r="E348">
        <v>1202</v>
      </c>
      <c r="F348" t="s">
        <v>31</v>
      </c>
      <c r="G348">
        <v>1040</v>
      </c>
      <c r="H348" t="s">
        <v>11</v>
      </c>
      <c r="I348" t="s">
        <v>2729</v>
      </c>
      <c r="J348" t="s">
        <v>8151</v>
      </c>
      <c r="K348">
        <v>1199970</v>
      </c>
      <c r="L348">
        <v>44866</v>
      </c>
      <c r="M348" t="s">
        <v>421</v>
      </c>
      <c r="N348">
        <v>0</v>
      </c>
      <c r="O348" t="e">
        <v>#N/A</v>
      </c>
    </row>
    <row r="349" spans="2:15" hidden="1" x14ac:dyDescent="0.3">
      <c r="B349" t="s">
        <v>16</v>
      </c>
      <c r="C349">
        <v>927</v>
      </c>
      <c r="D349" t="s">
        <v>17</v>
      </c>
      <c r="E349">
        <v>1200</v>
      </c>
      <c r="F349" t="s">
        <v>93</v>
      </c>
      <c r="G349">
        <v>930</v>
      </c>
      <c r="H349" t="s">
        <v>11</v>
      </c>
      <c r="I349" t="s">
        <v>2733</v>
      </c>
      <c r="J349" t="s">
        <v>8152</v>
      </c>
      <c r="K349">
        <v>9152270</v>
      </c>
      <c r="L349">
        <v>44866</v>
      </c>
      <c r="M349" t="s">
        <v>422</v>
      </c>
      <c r="N349">
        <v>8087260</v>
      </c>
      <c r="O349" t="e">
        <v>#N/A</v>
      </c>
    </row>
    <row r="350" spans="2:15" hidden="1" x14ac:dyDescent="0.3">
      <c r="B350" t="s">
        <v>8</v>
      </c>
      <c r="C350">
        <v>928</v>
      </c>
      <c r="D350" t="s">
        <v>9</v>
      </c>
      <c r="E350">
        <v>1202</v>
      </c>
      <c r="F350" t="s">
        <v>27</v>
      </c>
      <c r="G350">
        <v>806</v>
      </c>
      <c r="H350" t="s">
        <v>11</v>
      </c>
      <c r="I350" t="s">
        <v>2738</v>
      </c>
      <c r="J350" t="s">
        <v>8153</v>
      </c>
      <c r="K350">
        <v>13673230</v>
      </c>
      <c r="L350">
        <v>44866</v>
      </c>
      <c r="M350" t="s">
        <v>423</v>
      </c>
      <c r="N350">
        <v>13701140</v>
      </c>
      <c r="O350" t="e">
        <v>#N/A</v>
      </c>
    </row>
    <row r="351" spans="2:15" hidden="1" x14ac:dyDescent="0.3">
      <c r="B351" t="s">
        <v>8</v>
      </c>
      <c r="C351">
        <v>928</v>
      </c>
      <c r="D351" t="s">
        <v>13</v>
      </c>
      <c r="E351">
        <v>1184</v>
      </c>
      <c r="F351" t="s">
        <v>217</v>
      </c>
      <c r="G351">
        <v>201027</v>
      </c>
      <c r="H351" t="s">
        <v>11</v>
      </c>
      <c r="I351" t="s">
        <v>2739</v>
      </c>
      <c r="J351" t="s">
        <v>8154</v>
      </c>
      <c r="K351">
        <v>11410</v>
      </c>
      <c r="L351">
        <v>44866</v>
      </c>
      <c r="M351" t="s">
        <v>424</v>
      </c>
      <c r="N351">
        <v>11410</v>
      </c>
      <c r="O351" t="e">
        <v>#N/A</v>
      </c>
    </row>
    <row r="352" spans="2:15" hidden="1" x14ac:dyDescent="0.3">
      <c r="B352" t="s">
        <v>8</v>
      </c>
      <c r="C352">
        <v>928</v>
      </c>
      <c r="D352" t="s">
        <v>9</v>
      </c>
      <c r="E352">
        <v>1202</v>
      </c>
      <c r="F352" t="s">
        <v>73</v>
      </c>
      <c r="G352">
        <v>895</v>
      </c>
      <c r="H352" t="s">
        <v>11</v>
      </c>
      <c r="I352" t="s">
        <v>2741</v>
      </c>
      <c r="J352" t="s">
        <v>8155</v>
      </c>
      <c r="K352">
        <v>147260</v>
      </c>
      <c r="L352">
        <v>44866</v>
      </c>
      <c r="M352" t="s">
        <v>425</v>
      </c>
      <c r="N352">
        <v>147260</v>
      </c>
      <c r="O352" t="e">
        <v>#N/A</v>
      </c>
    </row>
    <row r="353" spans="2:15" hidden="1" x14ac:dyDescent="0.3">
      <c r="B353" t="s">
        <v>8</v>
      </c>
      <c r="C353">
        <v>928</v>
      </c>
      <c r="D353" t="s">
        <v>9</v>
      </c>
      <c r="E353">
        <v>1202</v>
      </c>
      <c r="F353" t="s">
        <v>391</v>
      </c>
      <c r="G353">
        <v>1216</v>
      </c>
      <c r="H353" t="s">
        <v>11</v>
      </c>
      <c r="I353" t="s">
        <v>2744</v>
      </c>
      <c r="J353" t="s">
        <v>8156</v>
      </c>
      <c r="K353">
        <v>370</v>
      </c>
      <c r="L353">
        <v>44866</v>
      </c>
      <c r="M353" t="s">
        <v>426</v>
      </c>
      <c r="N353">
        <v>370</v>
      </c>
      <c r="O353" t="e">
        <v>#N/A</v>
      </c>
    </row>
    <row r="354" spans="2:15" hidden="1" x14ac:dyDescent="0.3">
      <c r="B354" t="s">
        <v>16</v>
      </c>
      <c r="C354">
        <v>927</v>
      </c>
      <c r="D354" t="s">
        <v>17</v>
      </c>
      <c r="E354">
        <v>1200</v>
      </c>
      <c r="F354" t="s">
        <v>93</v>
      </c>
      <c r="G354">
        <v>930</v>
      </c>
      <c r="H354" t="s">
        <v>11</v>
      </c>
      <c r="I354" t="s">
        <v>2750</v>
      </c>
      <c r="J354" t="s">
        <v>8157</v>
      </c>
      <c r="K354">
        <v>6231650</v>
      </c>
      <c r="L354">
        <v>44866</v>
      </c>
      <c r="M354" t="s">
        <v>427</v>
      </c>
      <c r="N354">
        <v>6236680</v>
      </c>
      <c r="O354" t="e">
        <v>#N/A</v>
      </c>
    </row>
    <row r="355" spans="2:15" hidden="1" x14ac:dyDescent="0.3">
      <c r="B355" t="s">
        <v>22</v>
      </c>
      <c r="C355">
        <v>809</v>
      </c>
      <c r="D355" t="s">
        <v>23</v>
      </c>
      <c r="E355">
        <v>810</v>
      </c>
      <c r="F355" t="s">
        <v>428</v>
      </c>
      <c r="G355">
        <v>201062</v>
      </c>
      <c r="H355" t="s">
        <v>11</v>
      </c>
      <c r="I355" t="s">
        <v>2752</v>
      </c>
      <c r="J355" t="s">
        <v>8158</v>
      </c>
      <c r="K355">
        <v>4740780</v>
      </c>
      <c r="L355">
        <v>44866</v>
      </c>
      <c r="M355" t="s">
        <v>429</v>
      </c>
      <c r="N355">
        <v>4740780</v>
      </c>
      <c r="O355" t="e">
        <v>#N/A</v>
      </c>
    </row>
    <row r="356" spans="2:15" hidden="1" x14ac:dyDescent="0.3">
      <c r="B356" t="s">
        <v>41</v>
      </c>
      <c r="C356">
        <v>926</v>
      </c>
      <c r="D356" t="s">
        <v>56</v>
      </c>
      <c r="E356">
        <v>1207</v>
      </c>
      <c r="F356" t="s">
        <v>57</v>
      </c>
      <c r="G356">
        <v>200982</v>
      </c>
      <c r="H356" t="s">
        <v>11</v>
      </c>
      <c r="I356" t="s">
        <v>2754</v>
      </c>
      <c r="J356" t="s">
        <v>8159</v>
      </c>
      <c r="K356">
        <v>954274</v>
      </c>
      <c r="L356">
        <v>44866</v>
      </c>
      <c r="M356" t="s">
        <v>430</v>
      </c>
      <c r="N356">
        <v>1020100</v>
      </c>
      <c r="O356" t="e">
        <v>#N/A</v>
      </c>
    </row>
    <row r="357" spans="2:15" hidden="1" x14ac:dyDescent="0.3">
      <c r="B357" t="s">
        <v>8</v>
      </c>
      <c r="C357">
        <v>928</v>
      </c>
      <c r="D357" t="s">
        <v>9</v>
      </c>
      <c r="E357">
        <v>1202</v>
      </c>
      <c r="F357" t="s">
        <v>73</v>
      </c>
      <c r="G357">
        <v>895</v>
      </c>
      <c r="H357" t="s">
        <v>11</v>
      </c>
      <c r="I357" t="s">
        <v>2756</v>
      </c>
      <c r="J357" t="s">
        <v>8160</v>
      </c>
      <c r="K357">
        <v>16560</v>
      </c>
      <c r="L357">
        <v>44866</v>
      </c>
      <c r="M357" t="s">
        <v>431</v>
      </c>
      <c r="N357">
        <v>16560</v>
      </c>
      <c r="O357" t="e">
        <v>#N/A</v>
      </c>
    </row>
    <row r="358" spans="2:15" hidden="1" x14ac:dyDescent="0.3">
      <c r="B358" t="s">
        <v>8</v>
      </c>
      <c r="C358">
        <v>928</v>
      </c>
      <c r="D358" t="s">
        <v>9</v>
      </c>
      <c r="E358">
        <v>1202</v>
      </c>
      <c r="F358" t="s">
        <v>47</v>
      </c>
      <c r="G358">
        <v>898</v>
      </c>
      <c r="H358" t="s">
        <v>11</v>
      </c>
      <c r="I358" t="s">
        <v>2763</v>
      </c>
      <c r="J358" t="s">
        <v>8161</v>
      </c>
      <c r="K358">
        <v>672530</v>
      </c>
      <c r="L358">
        <v>44866</v>
      </c>
      <c r="M358" t="s">
        <v>432</v>
      </c>
      <c r="N358">
        <v>672530</v>
      </c>
      <c r="O358" t="e">
        <v>#N/A</v>
      </c>
    </row>
    <row r="359" spans="2:15" hidden="1" x14ac:dyDescent="0.3">
      <c r="B359" t="s">
        <v>8</v>
      </c>
      <c r="C359">
        <v>928</v>
      </c>
      <c r="D359" t="s">
        <v>223</v>
      </c>
      <c r="E359">
        <v>966</v>
      </c>
      <c r="F359" t="s">
        <v>269</v>
      </c>
      <c r="G359">
        <v>201031</v>
      </c>
      <c r="H359" t="s">
        <v>11</v>
      </c>
      <c r="I359" t="s">
        <v>2767</v>
      </c>
      <c r="J359" t="s">
        <v>8162</v>
      </c>
      <c r="K359">
        <v>840</v>
      </c>
      <c r="L359">
        <v>44866</v>
      </c>
      <c r="M359" t="s">
        <v>270</v>
      </c>
      <c r="N359">
        <v>840</v>
      </c>
      <c r="O359" t="e">
        <v>#N/A</v>
      </c>
    </row>
    <row r="360" spans="2:15" hidden="1" x14ac:dyDescent="0.3">
      <c r="B360" t="s">
        <v>16</v>
      </c>
      <c r="C360">
        <v>927</v>
      </c>
      <c r="D360" t="s">
        <v>17</v>
      </c>
      <c r="E360">
        <v>1200</v>
      </c>
      <c r="F360" t="s">
        <v>371</v>
      </c>
      <c r="G360">
        <v>551</v>
      </c>
      <c r="H360" t="s">
        <v>11</v>
      </c>
      <c r="I360" t="s">
        <v>2779</v>
      </c>
      <c r="J360" t="s">
        <v>8163</v>
      </c>
      <c r="K360">
        <v>1206240</v>
      </c>
      <c r="L360">
        <v>44866</v>
      </c>
      <c r="M360" t="s">
        <v>433</v>
      </c>
      <c r="N360">
        <v>6270</v>
      </c>
      <c r="O360" t="e">
        <v>#N/A</v>
      </c>
    </row>
    <row r="361" spans="2:15" hidden="1" x14ac:dyDescent="0.3">
      <c r="B361" t="s">
        <v>16</v>
      </c>
      <c r="C361">
        <v>927</v>
      </c>
      <c r="D361" t="s">
        <v>17</v>
      </c>
      <c r="E361">
        <v>1200</v>
      </c>
      <c r="F361" t="s">
        <v>49</v>
      </c>
      <c r="G361">
        <v>201114</v>
      </c>
      <c r="H361" t="s">
        <v>11</v>
      </c>
      <c r="I361" t="s">
        <v>2780</v>
      </c>
      <c r="J361" t="s">
        <v>8164</v>
      </c>
      <c r="K361">
        <v>287560</v>
      </c>
      <c r="L361">
        <v>44866</v>
      </c>
      <c r="M361" t="s">
        <v>434</v>
      </c>
      <c r="N361">
        <v>287560</v>
      </c>
      <c r="O361" t="e">
        <v>#N/A</v>
      </c>
    </row>
    <row r="362" spans="2:15" hidden="1" x14ac:dyDescent="0.3">
      <c r="B362" t="s">
        <v>41</v>
      </c>
      <c r="C362">
        <v>926</v>
      </c>
      <c r="D362" t="s">
        <v>56</v>
      </c>
      <c r="E362">
        <v>1207</v>
      </c>
      <c r="F362" t="s">
        <v>57</v>
      </c>
      <c r="G362">
        <v>200982</v>
      </c>
      <c r="H362" t="s">
        <v>11</v>
      </c>
      <c r="I362" t="s">
        <v>2786</v>
      </c>
      <c r="J362" t="s">
        <v>8165</v>
      </c>
      <c r="K362">
        <v>28680</v>
      </c>
      <c r="L362">
        <v>44866</v>
      </c>
      <c r="M362" t="s">
        <v>435</v>
      </c>
      <c r="N362">
        <v>28680</v>
      </c>
      <c r="O362" t="e">
        <v>#N/A</v>
      </c>
    </row>
    <row r="363" spans="2:15" hidden="1" x14ac:dyDescent="0.3">
      <c r="B363" t="s">
        <v>8</v>
      </c>
      <c r="C363">
        <v>928</v>
      </c>
      <c r="D363" t="s">
        <v>13</v>
      </c>
      <c r="E363">
        <v>1184</v>
      </c>
      <c r="F363" t="s">
        <v>59</v>
      </c>
      <c r="G363">
        <v>9</v>
      </c>
      <c r="H363" t="s">
        <v>11</v>
      </c>
      <c r="I363" t="s">
        <v>2787</v>
      </c>
      <c r="J363" t="s">
        <v>8166</v>
      </c>
      <c r="K363">
        <v>210</v>
      </c>
      <c r="L363">
        <v>44866</v>
      </c>
      <c r="M363" t="s">
        <v>436</v>
      </c>
      <c r="N363">
        <v>210</v>
      </c>
      <c r="O363" t="e">
        <v>#N/A</v>
      </c>
    </row>
    <row r="364" spans="2:15" hidden="1" x14ac:dyDescent="0.3">
      <c r="B364" t="s">
        <v>16</v>
      </c>
      <c r="C364">
        <v>927</v>
      </c>
      <c r="D364" t="s">
        <v>17</v>
      </c>
      <c r="E364">
        <v>1200</v>
      </c>
      <c r="F364" t="s">
        <v>437</v>
      </c>
      <c r="G364">
        <v>201118</v>
      </c>
      <c r="H364" t="s">
        <v>11</v>
      </c>
      <c r="I364" t="s">
        <v>2789</v>
      </c>
      <c r="J364" t="s">
        <v>8167</v>
      </c>
      <c r="K364">
        <v>1904300</v>
      </c>
      <c r="L364">
        <v>44866</v>
      </c>
      <c r="M364" t="s">
        <v>438</v>
      </c>
      <c r="N364">
        <v>1904300</v>
      </c>
      <c r="O364" t="e">
        <v>#N/A</v>
      </c>
    </row>
    <row r="365" spans="2:15" hidden="1" x14ac:dyDescent="0.3">
      <c r="B365" t="s">
        <v>41</v>
      </c>
      <c r="C365">
        <v>926</v>
      </c>
      <c r="D365" t="s">
        <v>56</v>
      </c>
      <c r="E365">
        <v>1207</v>
      </c>
      <c r="F365" t="s">
        <v>253</v>
      </c>
      <c r="G365">
        <v>1328</v>
      </c>
      <c r="H365" t="s">
        <v>11</v>
      </c>
      <c r="I365" t="s">
        <v>2790</v>
      </c>
      <c r="J365" t="s">
        <v>439</v>
      </c>
      <c r="K365">
        <v>4932070</v>
      </c>
      <c r="L365">
        <v>44866</v>
      </c>
      <c r="M365" t="s">
        <v>439</v>
      </c>
      <c r="N365">
        <v>732070</v>
      </c>
      <c r="O365" t="e">
        <v>#N/A</v>
      </c>
    </row>
    <row r="366" spans="2:15" hidden="1" x14ac:dyDescent="0.3">
      <c r="B366" t="s">
        <v>8</v>
      </c>
      <c r="C366">
        <v>928</v>
      </c>
      <c r="D366" t="s">
        <v>9</v>
      </c>
      <c r="E366">
        <v>1202</v>
      </c>
      <c r="F366" t="s">
        <v>45</v>
      </c>
      <c r="G366">
        <v>26</v>
      </c>
      <c r="H366" t="s">
        <v>11</v>
      </c>
      <c r="I366" t="s">
        <v>2792</v>
      </c>
      <c r="J366" t="s">
        <v>8168</v>
      </c>
      <c r="K366">
        <v>232190</v>
      </c>
      <c r="L366">
        <v>44866</v>
      </c>
      <c r="M366" t="s">
        <v>440</v>
      </c>
      <c r="N366">
        <v>232190</v>
      </c>
      <c r="O366" t="e">
        <v>#N/A</v>
      </c>
    </row>
    <row r="367" spans="2:15" hidden="1" x14ac:dyDescent="0.3">
      <c r="B367" t="s">
        <v>8</v>
      </c>
      <c r="C367">
        <v>928</v>
      </c>
      <c r="D367" t="s">
        <v>9</v>
      </c>
      <c r="E367">
        <v>1202</v>
      </c>
      <c r="F367" t="s">
        <v>75</v>
      </c>
      <c r="G367">
        <v>50</v>
      </c>
      <c r="H367" t="s">
        <v>11</v>
      </c>
      <c r="I367" t="s">
        <v>2795</v>
      </c>
      <c r="J367" t="s">
        <v>8169</v>
      </c>
      <c r="K367">
        <v>813406</v>
      </c>
      <c r="L367">
        <v>44866</v>
      </c>
      <c r="M367" t="s">
        <v>441</v>
      </c>
      <c r="N367">
        <v>729918</v>
      </c>
      <c r="O367" t="e">
        <v>#N/A</v>
      </c>
    </row>
    <row r="368" spans="2:15" hidden="1" x14ac:dyDescent="0.3">
      <c r="B368" t="s">
        <v>8</v>
      </c>
      <c r="C368">
        <v>928</v>
      </c>
      <c r="D368" t="s">
        <v>9</v>
      </c>
      <c r="E368">
        <v>1202</v>
      </c>
      <c r="F368" t="s">
        <v>27</v>
      </c>
      <c r="G368">
        <v>806</v>
      </c>
      <c r="H368" t="s">
        <v>11</v>
      </c>
      <c r="I368" t="s">
        <v>2799</v>
      </c>
      <c r="J368" t="s">
        <v>8170</v>
      </c>
      <c r="K368">
        <v>790930</v>
      </c>
      <c r="L368">
        <v>44866</v>
      </c>
      <c r="M368" t="s">
        <v>442</v>
      </c>
      <c r="N368">
        <v>790930</v>
      </c>
      <c r="O368" t="e">
        <v>#N/A</v>
      </c>
    </row>
    <row r="369" spans="2:15" hidden="1" x14ac:dyDescent="0.3">
      <c r="B369" t="s">
        <v>8</v>
      </c>
      <c r="C369">
        <v>928</v>
      </c>
      <c r="D369" t="s">
        <v>9</v>
      </c>
      <c r="E369">
        <v>1202</v>
      </c>
      <c r="F369" t="s">
        <v>122</v>
      </c>
      <c r="G369">
        <v>251</v>
      </c>
      <c r="H369" t="s">
        <v>11</v>
      </c>
      <c r="I369" t="s">
        <v>8171</v>
      </c>
      <c r="J369" t="s">
        <v>7136</v>
      </c>
      <c r="K369">
        <v>16160</v>
      </c>
      <c r="L369">
        <v>44866</v>
      </c>
      <c r="M369" t="s">
        <v>443</v>
      </c>
      <c r="N369" t="e">
        <v>#N/A</v>
      </c>
      <c r="O369" t="s">
        <v>7137</v>
      </c>
    </row>
    <row r="370" spans="2:15" hidden="1" x14ac:dyDescent="0.3">
      <c r="B370" t="s">
        <v>16</v>
      </c>
      <c r="C370">
        <v>927</v>
      </c>
      <c r="D370" t="s">
        <v>17</v>
      </c>
      <c r="E370">
        <v>1200</v>
      </c>
      <c r="F370" t="s">
        <v>18</v>
      </c>
      <c r="G370">
        <v>201116</v>
      </c>
      <c r="H370" t="s">
        <v>11</v>
      </c>
      <c r="I370" t="s">
        <v>2800</v>
      </c>
      <c r="J370" t="s">
        <v>8172</v>
      </c>
      <c r="K370">
        <v>839520</v>
      </c>
      <c r="L370">
        <v>44866</v>
      </c>
      <c r="M370" t="s">
        <v>444</v>
      </c>
      <c r="N370">
        <v>862220</v>
      </c>
      <c r="O370" t="e">
        <v>#N/A</v>
      </c>
    </row>
    <row r="371" spans="2:15" hidden="1" x14ac:dyDescent="0.3">
      <c r="B371" t="s">
        <v>8</v>
      </c>
      <c r="C371">
        <v>928</v>
      </c>
      <c r="D371" t="s">
        <v>83</v>
      </c>
      <c r="E371">
        <v>960</v>
      </c>
      <c r="F371" t="s">
        <v>84</v>
      </c>
      <c r="G371">
        <v>1632</v>
      </c>
      <c r="H371" t="s">
        <v>11</v>
      </c>
      <c r="I371" t="s">
        <v>2801</v>
      </c>
      <c r="J371" t="s">
        <v>8173</v>
      </c>
      <c r="K371">
        <v>1820</v>
      </c>
      <c r="L371">
        <v>44866</v>
      </c>
      <c r="M371" t="s">
        <v>445</v>
      </c>
      <c r="N371">
        <v>1820</v>
      </c>
      <c r="O371" t="e">
        <v>#N/A</v>
      </c>
    </row>
    <row r="372" spans="2:15" hidden="1" x14ac:dyDescent="0.3">
      <c r="B372" t="s">
        <v>16</v>
      </c>
      <c r="C372">
        <v>927</v>
      </c>
      <c r="D372" t="s">
        <v>17</v>
      </c>
      <c r="E372">
        <v>1200</v>
      </c>
      <c r="F372" t="s">
        <v>446</v>
      </c>
      <c r="G372">
        <v>566</v>
      </c>
      <c r="H372" t="s">
        <v>11</v>
      </c>
      <c r="I372" t="s">
        <v>2802</v>
      </c>
      <c r="J372" t="s">
        <v>8174</v>
      </c>
      <c r="K372">
        <v>23260</v>
      </c>
      <c r="L372">
        <v>44866</v>
      </c>
      <c r="M372" t="s">
        <v>447</v>
      </c>
      <c r="N372">
        <v>23260</v>
      </c>
      <c r="O372" t="e">
        <v>#N/A</v>
      </c>
    </row>
    <row r="373" spans="2:15" hidden="1" x14ac:dyDescent="0.3">
      <c r="B373" t="s">
        <v>16</v>
      </c>
      <c r="C373">
        <v>927</v>
      </c>
      <c r="D373" t="s">
        <v>17</v>
      </c>
      <c r="E373">
        <v>1200</v>
      </c>
      <c r="F373" t="s">
        <v>53</v>
      </c>
      <c r="G373">
        <v>201080</v>
      </c>
      <c r="H373" t="s">
        <v>11</v>
      </c>
      <c r="I373" t="s">
        <v>2803</v>
      </c>
      <c r="J373" t="s">
        <v>8175</v>
      </c>
      <c r="K373">
        <v>265210</v>
      </c>
      <c r="L373">
        <v>44866</v>
      </c>
      <c r="M373" t="s">
        <v>448</v>
      </c>
      <c r="N373">
        <v>265660</v>
      </c>
      <c r="O373" t="e">
        <v>#N/A</v>
      </c>
    </row>
    <row r="374" spans="2:15" hidden="1" x14ac:dyDescent="0.3">
      <c r="B374" t="s">
        <v>8</v>
      </c>
      <c r="C374">
        <v>928</v>
      </c>
      <c r="D374" t="s">
        <v>13</v>
      </c>
      <c r="E374">
        <v>1184</v>
      </c>
      <c r="F374" t="s">
        <v>127</v>
      </c>
      <c r="G374">
        <v>201029</v>
      </c>
      <c r="H374" t="s">
        <v>11</v>
      </c>
      <c r="I374" t="s">
        <v>2808</v>
      </c>
      <c r="J374" t="s">
        <v>8176</v>
      </c>
      <c r="K374">
        <v>2563690</v>
      </c>
      <c r="L374">
        <v>44866</v>
      </c>
      <c r="M374" t="s">
        <v>449</v>
      </c>
      <c r="N374">
        <v>2063700</v>
      </c>
      <c r="O374" t="e">
        <v>#N/A</v>
      </c>
    </row>
    <row r="375" spans="2:15" hidden="1" x14ac:dyDescent="0.3">
      <c r="B375" t="s">
        <v>8</v>
      </c>
      <c r="C375">
        <v>928</v>
      </c>
      <c r="D375" t="s">
        <v>13</v>
      </c>
      <c r="E375">
        <v>1184</v>
      </c>
      <c r="F375" t="s">
        <v>127</v>
      </c>
      <c r="G375">
        <v>201029</v>
      </c>
      <c r="H375" t="s">
        <v>11</v>
      </c>
      <c r="I375" t="s">
        <v>2809</v>
      </c>
      <c r="J375" t="s">
        <v>8177</v>
      </c>
      <c r="K375">
        <v>1697590</v>
      </c>
      <c r="L375">
        <v>44866</v>
      </c>
      <c r="M375" t="s">
        <v>449</v>
      </c>
      <c r="N375">
        <v>1697590</v>
      </c>
      <c r="O375" t="e">
        <v>#N/A</v>
      </c>
    </row>
    <row r="376" spans="2:15" hidden="1" x14ac:dyDescent="0.3">
      <c r="B376" t="s">
        <v>41</v>
      </c>
      <c r="C376">
        <v>926</v>
      </c>
      <c r="D376" t="s">
        <v>56</v>
      </c>
      <c r="E376">
        <v>1207</v>
      </c>
      <c r="F376" t="s">
        <v>253</v>
      </c>
      <c r="G376">
        <v>1328</v>
      </c>
      <c r="H376" t="s">
        <v>11</v>
      </c>
      <c r="I376" t="s">
        <v>2816</v>
      </c>
      <c r="J376" t="s">
        <v>8178</v>
      </c>
      <c r="K376">
        <v>257400</v>
      </c>
      <c r="L376">
        <v>44866</v>
      </c>
      <c r="M376" t="s">
        <v>450</v>
      </c>
      <c r="N376">
        <v>257400</v>
      </c>
      <c r="O376" t="e">
        <v>#N/A</v>
      </c>
    </row>
    <row r="377" spans="2:15" hidden="1" x14ac:dyDescent="0.3">
      <c r="B377" t="s">
        <v>8</v>
      </c>
      <c r="C377">
        <v>928</v>
      </c>
      <c r="D377" t="s">
        <v>9</v>
      </c>
      <c r="E377">
        <v>1202</v>
      </c>
      <c r="F377" t="s">
        <v>142</v>
      </c>
      <c r="G377">
        <v>652</v>
      </c>
      <c r="H377" t="s">
        <v>11</v>
      </c>
      <c r="I377" t="s">
        <v>2819</v>
      </c>
      <c r="J377" t="s">
        <v>8179</v>
      </c>
      <c r="K377">
        <v>244510</v>
      </c>
      <c r="L377">
        <v>44866</v>
      </c>
      <c r="M377" t="s">
        <v>451</v>
      </c>
      <c r="N377">
        <v>202840</v>
      </c>
      <c r="O377" t="e">
        <v>#N/A</v>
      </c>
    </row>
    <row r="378" spans="2:15" hidden="1" x14ac:dyDescent="0.3">
      <c r="B378" t="s">
        <v>8</v>
      </c>
      <c r="C378">
        <v>928</v>
      </c>
      <c r="D378" t="s">
        <v>9</v>
      </c>
      <c r="E378">
        <v>1202</v>
      </c>
      <c r="F378" t="s">
        <v>122</v>
      </c>
      <c r="G378">
        <v>251</v>
      </c>
      <c r="H378" t="s">
        <v>11</v>
      </c>
      <c r="I378" t="s">
        <v>2821</v>
      </c>
      <c r="J378" t="s">
        <v>8180</v>
      </c>
      <c r="K378">
        <v>14551554</v>
      </c>
      <c r="L378">
        <v>44866</v>
      </c>
      <c r="M378" t="s">
        <v>452</v>
      </c>
      <c r="N378">
        <v>14068230</v>
      </c>
      <c r="O378" t="e">
        <v>#N/A</v>
      </c>
    </row>
    <row r="379" spans="2:15" hidden="1" x14ac:dyDescent="0.3">
      <c r="B379" t="s">
        <v>41</v>
      </c>
      <c r="C379">
        <v>926</v>
      </c>
      <c r="D379" t="s">
        <v>42</v>
      </c>
      <c r="E379">
        <v>964</v>
      </c>
      <c r="F379" t="s">
        <v>43</v>
      </c>
      <c r="G379">
        <v>200998</v>
      </c>
      <c r="H379" t="s">
        <v>11</v>
      </c>
      <c r="I379" t="s">
        <v>2822</v>
      </c>
      <c r="J379" t="s">
        <v>8181</v>
      </c>
      <c r="K379">
        <v>3750</v>
      </c>
      <c r="L379">
        <v>44866</v>
      </c>
      <c r="M379" t="s">
        <v>453</v>
      </c>
      <c r="N379">
        <v>3750</v>
      </c>
      <c r="O379" t="e">
        <v>#N/A</v>
      </c>
    </row>
    <row r="380" spans="2:15" hidden="1" x14ac:dyDescent="0.3">
      <c r="B380" t="s">
        <v>41</v>
      </c>
      <c r="C380">
        <v>926</v>
      </c>
      <c r="D380" t="s">
        <v>42</v>
      </c>
      <c r="E380">
        <v>964</v>
      </c>
      <c r="F380" t="s">
        <v>43</v>
      </c>
      <c r="G380">
        <v>200998</v>
      </c>
      <c r="H380" t="s">
        <v>11</v>
      </c>
      <c r="I380" t="s">
        <v>2823</v>
      </c>
      <c r="J380" t="s">
        <v>8182</v>
      </c>
      <c r="K380">
        <v>3600</v>
      </c>
      <c r="L380">
        <v>44866</v>
      </c>
      <c r="M380" t="s">
        <v>454</v>
      </c>
      <c r="N380">
        <v>3600</v>
      </c>
      <c r="O380" t="e">
        <v>#N/A</v>
      </c>
    </row>
    <row r="381" spans="2:15" hidden="1" x14ac:dyDescent="0.3">
      <c r="B381" t="s">
        <v>8</v>
      </c>
      <c r="C381">
        <v>928</v>
      </c>
      <c r="D381" t="s">
        <v>9</v>
      </c>
      <c r="E381">
        <v>1202</v>
      </c>
      <c r="F381" t="s">
        <v>45</v>
      </c>
      <c r="G381">
        <v>26</v>
      </c>
      <c r="H381" t="s">
        <v>11</v>
      </c>
      <c r="I381" t="s">
        <v>2824</v>
      </c>
      <c r="J381" t="s">
        <v>8183</v>
      </c>
      <c r="K381">
        <v>1932270</v>
      </c>
      <c r="L381">
        <v>44866</v>
      </c>
      <c r="M381" t="s">
        <v>455</v>
      </c>
      <c r="N381">
        <v>1932270</v>
      </c>
      <c r="O381" t="e">
        <v>#N/A</v>
      </c>
    </row>
    <row r="382" spans="2:15" hidden="1" x14ac:dyDescent="0.3">
      <c r="B382" t="s">
        <v>8</v>
      </c>
      <c r="C382">
        <v>928</v>
      </c>
      <c r="D382" t="s">
        <v>9</v>
      </c>
      <c r="E382">
        <v>1202</v>
      </c>
      <c r="F382" t="s">
        <v>20</v>
      </c>
      <c r="G382">
        <v>938</v>
      </c>
      <c r="H382" t="s">
        <v>11</v>
      </c>
      <c r="I382" t="s">
        <v>2832</v>
      </c>
      <c r="J382" t="s">
        <v>8184</v>
      </c>
      <c r="K382">
        <v>23310</v>
      </c>
      <c r="L382">
        <v>44866</v>
      </c>
      <c r="M382" t="s">
        <v>456</v>
      </c>
      <c r="N382">
        <v>23310</v>
      </c>
      <c r="O382" t="e">
        <v>#N/A</v>
      </c>
    </row>
    <row r="383" spans="2:15" hidden="1" x14ac:dyDescent="0.3">
      <c r="B383" t="s">
        <v>8</v>
      </c>
      <c r="C383">
        <v>928</v>
      </c>
      <c r="D383" t="s">
        <v>9</v>
      </c>
      <c r="E383">
        <v>1202</v>
      </c>
      <c r="F383" t="s">
        <v>10</v>
      </c>
      <c r="G383">
        <v>939</v>
      </c>
      <c r="H383" t="s">
        <v>11</v>
      </c>
      <c r="I383" t="s">
        <v>2834</v>
      </c>
      <c r="J383" t="s">
        <v>8185</v>
      </c>
      <c r="K383">
        <v>67110</v>
      </c>
      <c r="L383">
        <v>44866</v>
      </c>
      <c r="M383" t="s">
        <v>457</v>
      </c>
      <c r="N383">
        <v>67110</v>
      </c>
      <c r="O383" t="e">
        <v>#N/A</v>
      </c>
    </row>
    <row r="384" spans="2:15" hidden="1" x14ac:dyDescent="0.3">
      <c r="B384" t="s">
        <v>22</v>
      </c>
      <c r="C384">
        <v>809</v>
      </c>
      <c r="D384" t="s">
        <v>23</v>
      </c>
      <c r="E384">
        <v>810</v>
      </c>
      <c r="F384" t="s">
        <v>24</v>
      </c>
      <c r="G384">
        <v>201032</v>
      </c>
      <c r="H384" t="s">
        <v>11</v>
      </c>
      <c r="I384" t="s">
        <v>2835</v>
      </c>
      <c r="J384" t="s">
        <v>8186</v>
      </c>
      <c r="K384">
        <v>34760</v>
      </c>
      <c r="L384">
        <v>44866</v>
      </c>
      <c r="M384" t="s">
        <v>458</v>
      </c>
      <c r="N384">
        <v>34760</v>
      </c>
      <c r="O384" t="e">
        <v>#N/A</v>
      </c>
    </row>
    <row r="385" spans="2:15" x14ac:dyDescent="0.3">
      <c r="B385" t="s">
        <v>41</v>
      </c>
      <c r="C385">
        <v>926</v>
      </c>
      <c r="D385" t="s">
        <v>56</v>
      </c>
      <c r="E385">
        <v>1207</v>
      </c>
      <c r="F385" t="s">
        <v>253</v>
      </c>
      <c r="G385">
        <v>1328</v>
      </c>
      <c r="H385" t="s">
        <v>11</v>
      </c>
      <c r="I385" t="s">
        <v>8187</v>
      </c>
      <c r="J385" t="s">
        <v>8188</v>
      </c>
      <c r="K385">
        <v>34450</v>
      </c>
      <c r="L385">
        <v>44866</v>
      </c>
      <c r="M385" t="s">
        <v>459</v>
      </c>
      <c r="N385" t="e">
        <v>#N/A</v>
      </c>
      <c r="O385" t="e">
        <v>#N/A</v>
      </c>
    </row>
    <row r="386" spans="2:15" hidden="1" x14ac:dyDescent="0.3">
      <c r="B386" t="s">
        <v>16</v>
      </c>
      <c r="C386">
        <v>927</v>
      </c>
      <c r="D386" t="s">
        <v>17</v>
      </c>
      <c r="E386">
        <v>1200</v>
      </c>
      <c r="F386" t="s">
        <v>446</v>
      </c>
      <c r="G386">
        <v>566</v>
      </c>
      <c r="H386" t="s">
        <v>11</v>
      </c>
      <c r="I386" t="s">
        <v>2848</v>
      </c>
      <c r="J386" t="s">
        <v>8189</v>
      </c>
      <c r="K386">
        <v>874330</v>
      </c>
      <c r="L386">
        <v>44866</v>
      </c>
      <c r="M386" t="s">
        <v>460</v>
      </c>
      <c r="N386">
        <v>876170</v>
      </c>
      <c r="O386" t="e">
        <v>#N/A</v>
      </c>
    </row>
    <row r="387" spans="2:15" hidden="1" x14ac:dyDescent="0.3">
      <c r="B387" t="s">
        <v>8</v>
      </c>
      <c r="C387">
        <v>928</v>
      </c>
      <c r="D387" t="s">
        <v>13</v>
      </c>
      <c r="E387">
        <v>1184</v>
      </c>
      <c r="F387" t="s">
        <v>14</v>
      </c>
      <c r="G387">
        <v>914</v>
      </c>
      <c r="H387" t="s">
        <v>11</v>
      </c>
      <c r="I387" t="s">
        <v>8190</v>
      </c>
      <c r="J387" t="s">
        <v>6914</v>
      </c>
      <c r="K387">
        <v>10760</v>
      </c>
      <c r="L387">
        <v>44866</v>
      </c>
      <c r="M387" t="s">
        <v>461</v>
      </c>
      <c r="N387" t="e">
        <v>#N/A</v>
      </c>
      <c r="O387" t="s">
        <v>8191</v>
      </c>
    </row>
    <row r="388" spans="2:15" hidden="1" x14ac:dyDescent="0.3">
      <c r="B388" t="s">
        <v>41</v>
      </c>
      <c r="C388">
        <v>926</v>
      </c>
      <c r="D388" t="s">
        <v>56</v>
      </c>
      <c r="E388">
        <v>1207</v>
      </c>
      <c r="F388" t="s">
        <v>62</v>
      </c>
      <c r="G388">
        <v>201037</v>
      </c>
      <c r="H388" t="s">
        <v>11</v>
      </c>
      <c r="I388" t="s">
        <v>2850</v>
      </c>
      <c r="J388" t="s">
        <v>8192</v>
      </c>
      <c r="K388">
        <v>999980</v>
      </c>
      <c r="L388">
        <v>44866</v>
      </c>
      <c r="M388" t="s">
        <v>462</v>
      </c>
      <c r="N388">
        <v>0</v>
      </c>
      <c r="O388" t="e">
        <v>#N/A</v>
      </c>
    </row>
    <row r="389" spans="2:15" hidden="1" x14ac:dyDescent="0.3">
      <c r="B389" t="s">
        <v>16</v>
      </c>
      <c r="C389">
        <v>927</v>
      </c>
      <c r="D389" t="s">
        <v>17</v>
      </c>
      <c r="E389">
        <v>1200</v>
      </c>
      <c r="F389" t="s">
        <v>371</v>
      </c>
      <c r="G389">
        <v>551</v>
      </c>
      <c r="H389" t="s">
        <v>11</v>
      </c>
      <c r="I389" t="s">
        <v>2852</v>
      </c>
      <c r="J389" t="s">
        <v>8193</v>
      </c>
      <c r="K389">
        <v>1010</v>
      </c>
      <c r="L389">
        <v>44866</v>
      </c>
      <c r="M389" t="s">
        <v>463</v>
      </c>
      <c r="N389">
        <v>1010</v>
      </c>
      <c r="O389" t="e">
        <v>#N/A</v>
      </c>
    </row>
    <row r="390" spans="2:15" hidden="1" x14ac:dyDescent="0.3">
      <c r="B390" t="s">
        <v>41</v>
      </c>
      <c r="C390">
        <v>926</v>
      </c>
      <c r="D390" t="s">
        <v>56</v>
      </c>
      <c r="E390">
        <v>1207</v>
      </c>
      <c r="F390" t="s">
        <v>464</v>
      </c>
      <c r="G390">
        <v>201071</v>
      </c>
      <c r="H390" t="s">
        <v>11</v>
      </c>
      <c r="I390" t="s">
        <v>2856</v>
      </c>
      <c r="J390" t="s">
        <v>8194</v>
      </c>
      <c r="K390">
        <v>5674210</v>
      </c>
      <c r="L390">
        <v>44866</v>
      </c>
      <c r="M390" t="s">
        <v>465</v>
      </c>
      <c r="N390">
        <v>5174220</v>
      </c>
      <c r="O390" t="e">
        <v>#N/A</v>
      </c>
    </row>
    <row r="391" spans="2:15" hidden="1" x14ac:dyDescent="0.3">
      <c r="B391" t="s">
        <v>8</v>
      </c>
      <c r="C391">
        <v>928</v>
      </c>
      <c r="D391" t="s">
        <v>9</v>
      </c>
      <c r="E391">
        <v>1202</v>
      </c>
      <c r="F391" t="s">
        <v>142</v>
      </c>
      <c r="G391">
        <v>652</v>
      </c>
      <c r="H391" t="s">
        <v>11</v>
      </c>
      <c r="I391" t="s">
        <v>2857</v>
      </c>
      <c r="J391" t="s">
        <v>8195</v>
      </c>
      <c r="K391">
        <v>2142980</v>
      </c>
      <c r="L391">
        <v>44866</v>
      </c>
      <c r="M391" t="s">
        <v>466</v>
      </c>
      <c r="N391">
        <v>1443000</v>
      </c>
      <c r="O391" t="e">
        <v>#N/A</v>
      </c>
    </row>
    <row r="392" spans="2:15" hidden="1" x14ac:dyDescent="0.3">
      <c r="B392" t="s">
        <v>41</v>
      </c>
      <c r="C392">
        <v>926</v>
      </c>
      <c r="D392" t="s">
        <v>56</v>
      </c>
      <c r="E392">
        <v>1207</v>
      </c>
      <c r="F392" t="s">
        <v>64</v>
      </c>
      <c r="G392">
        <v>201011</v>
      </c>
      <c r="H392" t="s">
        <v>11</v>
      </c>
      <c r="I392" t="s">
        <v>2858</v>
      </c>
      <c r="J392" t="s">
        <v>8196</v>
      </c>
      <c r="K392">
        <v>466900</v>
      </c>
      <c r="L392">
        <v>44866</v>
      </c>
      <c r="M392" t="s">
        <v>467</v>
      </c>
      <c r="N392">
        <v>466900</v>
      </c>
      <c r="O392" t="e">
        <v>#N/A</v>
      </c>
    </row>
    <row r="393" spans="2:15" hidden="1" x14ac:dyDescent="0.3">
      <c r="B393" t="s">
        <v>8</v>
      </c>
      <c r="C393">
        <v>928</v>
      </c>
      <c r="D393" t="s">
        <v>9</v>
      </c>
      <c r="E393">
        <v>1202</v>
      </c>
      <c r="F393" t="s">
        <v>27</v>
      </c>
      <c r="G393">
        <v>806</v>
      </c>
      <c r="H393" t="s">
        <v>11</v>
      </c>
      <c r="I393" t="s">
        <v>2860</v>
      </c>
      <c r="J393" t="s">
        <v>8197</v>
      </c>
      <c r="K393">
        <v>43490</v>
      </c>
      <c r="L393">
        <v>44866</v>
      </c>
      <c r="M393" t="s">
        <v>468</v>
      </c>
      <c r="N393">
        <v>43490</v>
      </c>
      <c r="O393" t="e">
        <v>#N/A</v>
      </c>
    </row>
    <row r="394" spans="2:15" hidden="1" x14ac:dyDescent="0.3">
      <c r="B394" t="s">
        <v>8</v>
      </c>
      <c r="C394">
        <v>928</v>
      </c>
      <c r="D394" t="s">
        <v>9</v>
      </c>
      <c r="E394">
        <v>1202</v>
      </c>
      <c r="F394" t="s">
        <v>20</v>
      </c>
      <c r="G394">
        <v>938</v>
      </c>
      <c r="H394" t="s">
        <v>11</v>
      </c>
      <c r="I394" t="s">
        <v>2862</v>
      </c>
      <c r="J394" t="s">
        <v>8198</v>
      </c>
      <c r="K394">
        <v>252580</v>
      </c>
      <c r="L394">
        <v>44866</v>
      </c>
      <c r="M394" t="s">
        <v>469</v>
      </c>
      <c r="N394">
        <v>252580</v>
      </c>
      <c r="O394" t="e">
        <v>#N/A</v>
      </c>
    </row>
    <row r="395" spans="2:15" hidden="1" x14ac:dyDescent="0.3">
      <c r="B395" t="s">
        <v>8</v>
      </c>
      <c r="C395">
        <v>928</v>
      </c>
      <c r="D395" t="s">
        <v>9</v>
      </c>
      <c r="E395">
        <v>1202</v>
      </c>
      <c r="F395" t="s">
        <v>220</v>
      </c>
      <c r="G395">
        <v>1211</v>
      </c>
      <c r="H395" t="s">
        <v>11</v>
      </c>
      <c r="I395" t="s">
        <v>2865</v>
      </c>
      <c r="J395" t="s">
        <v>8199</v>
      </c>
      <c r="K395">
        <v>801730</v>
      </c>
      <c r="L395">
        <v>44866</v>
      </c>
      <c r="M395" t="s">
        <v>470</v>
      </c>
      <c r="N395">
        <v>801730</v>
      </c>
      <c r="O395" t="e">
        <v>#N/A</v>
      </c>
    </row>
    <row r="396" spans="2:15" hidden="1" x14ac:dyDescent="0.3">
      <c r="B396" t="s">
        <v>8</v>
      </c>
      <c r="C396">
        <v>928</v>
      </c>
      <c r="D396" t="s">
        <v>9</v>
      </c>
      <c r="E396">
        <v>1202</v>
      </c>
      <c r="F396" t="s">
        <v>220</v>
      </c>
      <c r="G396">
        <v>1211</v>
      </c>
      <c r="H396" t="s">
        <v>11</v>
      </c>
      <c r="I396" t="s">
        <v>2866</v>
      </c>
      <c r="J396" t="s">
        <v>8200</v>
      </c>
      <c r="K396">
        <v>1388440</v>
      </c>
      <c r="L396">
        <v>44866</v>
      </c>
      <c r="M396" t="s">
        <v>471</v>
      </c>
      <c r="N396">
        <v>1388440</v>
      </c>
      <c r="O396" t="e">
        <v>#N/A</v>
      </c>
    </row>
    <row r="397" spans="2:15" hidden="1" x14ac:dyDescent="0.3">
      <c r="B397" t="s">
        <v>16</v>
      </c>
      <c r="C397">
        <v>927</v>
      </c>
      <c r="D397" t="s">
        <v>17</v>
      </c>
      <c r="E397">
        <v>1200</v>
      </c>
      <c r="F397" t="s">
        <v>93</v>
      </c>
      <c r="G397">
        <v>930</v>
      </c>
      <c r="H397" t="s">
        <v>11</v>
      </c>
      <c r="I397" t="s">
        <v>2867</v>
      </c>
      <c r="J397" t="s">
        <v>8201</v>
      </c>
      <c r="K397">
        <v>4337960</v>
      </c>
      <c r="L397">
        <v>44866</v>
      </c>
      <c r="M397" t="s">
        <v>472</v>
      </c>
      <c r="N397">
        <v>1237980</v>
      </c>
      <c r="O397" t="e">
        <v>#N/A</v>
      </c>
    </row>
    <row r="398" spans="2:15" hidden="1" x14ac:dyDescent="0.3">
      <c r="B398" t="s">
        <v>8</v>
      </c>
      <c r="C398">
        <v>928</v>
      </c>
      <c r="D398" t="s">
        <v>9</v>
      </c>
      <c r="E398">
        <v>1202</v>
      </c>
      <c r="F398" t="s">
        <v>37</v>
      </c>
      <c r="G398">
        <v>81</v>
      </c>
      <c r="H398" t="s">
        <v>11</v>
      </c>
      <c r="I398" t="s">
        <v>2868</v>
      </c>
      <c r="J398" t="s">
        <v>8202</v>
      </c>
      <c r="K398">
        <v>650360</v>
      </c>
      <c r="L398">
        <v>44866</v>
      </c>
      <c r="M398" t="s">
        <v>473</v>
      </c>
      <c r="N398">
        <v>650360</v>
      </c>
      <c r="O398" t="e">
        <v>#N/A</v>
      </c>
    </row>
    <row r="399" spans="2:15" hidden="1" x14ac:dyDescent="0.3">
      <c r="B399" t="s">
        <v>8</v>
      </c>
      <c r="C399">
        <v>928</v>
      </c>
      <c r="D399" t="s">
        <v>13</v>
      </c>
      <c r="E399">
        <v>1184</v>
      </c>
      <c r="F399" t="s">
        <v>335</v>
      </c>
      <c r="G399">
        <v>201090</v>
      </c>
      <c r="H399" t="s">
        <v>11</v>
      </c>
      <c r="I399" t="s">
        <v>2875</v>
      </c>
      <c r="J399" t="s">
        <v>8203</v>
      </c>
      <c r="K399">
        <v>151630</v>
      </c>
      <c r="L399">
        <v>44866</v>
      </c>
      <c r="M399" t="s">
        <v>474</v>
      </c>
      <c r="N399">
        <v>151630</v>
      </c>
      <c r="O399" t="e">
        <v>#N/A</v>
      </c>
    </row>
    <row r="400" spans="2:15" hidden="1" x14ac:dyDescent="0.3">
      <c r="B400" t="s">
        <v>8</v>
      </c>
      <c r="C400">
        <v>928</v>
      </c>
      <c r="D400" t="s">
        <v>13</v>
      </c>
      <c r="E400">
        <v>1184</v>
      </c>
      <c r="F400" t="s">
        <v>51</v>
      </c>
      <c r="G400">
        <v>1274</v>
      </c>
      <c r="H400" t="s">
        <v>11</v>
      </c>
      <c r="I400" t="s">
        <v>2876</v>
      </c>
      <c r="J400" t="s">
        <v>8204</v>
      </c>
      <c r="K400">
        <v>29460</v>
      </c>
      <c r="L400">
        <v>44866</v>
      </c>
      <c r="M400" t="s">
        <v>475</v>
      </c>
      <c r="N400">
        <v>29460</v>
      </c>
      <c r="O400" t="e">
        <v>#N/A</v>
      </c>
    </row>
    <row r="401" spans="2:15" hidden="1" x14ac:dyDescent="0.3">
      <c r="B401" t="s">
        <v>41</v>
      </c>
      <c r="C401">
        <v>926</v>
      </c>
      <c r="D401" t="s">
        <v>56</v>
      </c>
      <c r="E401">
        <v>1207</v>
      </c>
      <c r="F401" t="s">
        <v>62</v>
      </c>
      <c r="G401">
        <v>201037</v>
      </c>
      <c r="H401" t="s">
        <v>11</v>
      </c>
      <c r="I401" t="s">
        <v>2881</v>
      </c>
      <c r="J401" t="s">
        <v>8205</v>
      </c>
      <c r="K401">
        <v>500</v>
      </c>
      <c r="L401">
        <v>44866</v>
      </c>
      <c r="M401" t="s">
        <v>476</v>
      </c>
      <c r="N401">
        <v>500</v>
      </c>
      <c r="O401" t="e">
        <v>#N/A</v>
      </c>
    </row>
    <row r="402" spans="2:15" hidden="1" x14ac:dyDescent="0.3">
      <c r="B402" t="s">
        <v>8</v>
      </c>
      <c r="C402">
        <v>928</v>
      </c>
      <c r="D402" t="s">
        <v>9</v>
      </c>
      <c r="E402">
        <v>1202</v>
      </c>
      <c r="F402" t="s">
        <v>477</v>
      </c>
      <c r="G402">
        <v>201112</v>
      </c>
      <c r="H402" t="s">
        <v>11</v>
      </c>
      <c r="I402" t="s">
        <v>2882</v>
      </c>
      <c r="J402" t="s">
        <v>8206</v>
      </c>
      <c r="K402">
        <v>134620</v>
      </c>
      <c r="L402">
        <v>44866</v>
      </c>
      <c r="M402" t="s">
        <v>478</v>
      </c>
      <c r="N402">
        <v>134620</v>
      </c>
      <c r="O402" t="e">
        <v>#N/A</v>
      </c>
    </row>
    <row r="403" spans="2:15" hidden="1" x14ac:dyDescent="0.3">
      <c r="B403" t="s">
        <v>8</v>
      </c>
      <c r="C403">
        <v>928</v>
      </c>
      <c r="D403" t="s">
        <v>13</v>
      </c>
      <c r="E403">
        <v>1184</v>
      </c>
      <c r="F403" t="s">
        <v>217</v>
      </c>
      <c r="G403">
        <v>201027</v>
      </c>
      <c r="H403" t="s">
        <v>11</v>
      </c>
      <c r="I403" t="s">
        <v>2883</v>
      </c>
      <c r="J403" t="s">
        <v>8207</v>
      </c>
      <c r="K403">
        <v>15460</v>
      </c>
      <c r="L403">
        <v>44866</v>
      </c>
      <c r="M403" t="s">
        <v>479</v>
      </c>
      <c r="N403">
        <v>15460</v>
      </c>
      <c r="O403" t="e">
        <v>#N/A</v>
      </c>
    </row>
    <row r="404" spans="2:15" hidden="1" x14ac:dyDescent="0.3">
      <c r="B404" t="s">
        <v>41</v>
      </c>
      <c r="C404">
        <v>926</v>
      </c>
      <c r="D404" t="s">
        <v>56</v>
      </c>
      <c r="E404">
        <v>1207</v>
      </c>
      <c r="F404" t="s">
        <v>57</v>
      </c>
      <c r="G404">
        <v>200982</v>
      </c>
      <c r="H404" t="s">
        <v>11</v>
      </c>
      <c r="I404" t="s">
        <v>2884</v>
      </c>
      <c r="J404" t="s">
        <v>8208</v>
      </c>
      <c r="K404">
        <v>7020</v>
      </c>
      <c r="L404">
        <v>44866</v>
      </c>
      <c r="M404" t="s">
        <v>480</v>
      </c>
      <c r="N404">
        <v>7020</v>
      </c>
      <c r="O404" t="e">
        <v>#N/A</v>
      </c>
    </row>
    <row r="405" spans="2:15" hidden="1" x14ac:dyDescent="0.3">
      <c r="B405" t="s">
        <v>41</v>
      </c>
      <c r="C405">
        <v>926</v>
      </c>
      <c r="D405" t="s">
        <v>56</v>
      </c>
      <c r="E405">
        <v>1207</v>
      </c>
      <c r="F405" t="s">
        <v>64</v>
      </c>
      <c r="G405">
        <v>201011</v>
      </c>
      <c r="H405" t="s">
        <v>11</v>
      </c>
      <c r="I405" t="s">
        <v>2885</v>
      </c>
      <c r="J405" t="s">
        <v>8209</v>
      </c>
      <c r="K405">
        <v>174180</v>
      </c>
      <c r="L405">
        <v>44866</v>
      </c>
      <c r="M405" t="s">
        <v>481</v>
      </c>
      <c r="N405">
        <v>174180</v>
      </c>
      <c r="O405" t="e">
        <v>#N/A</v>
      </c>
    </row>
    <row r="406" spans="2:15" hidden="1" x14ac:dyDescent="0.3">
      <c r="B406" t="s">
        <v>8</v>
      </c>
      <c r="C406">
        <v>928</v>
      </c>
      <c r="D406" t="s">
        <v>9</v>
      </c>
      <c r="E406">
        <v>1202</v>
      </c>
      <c r="F406" t="s">
        <v>27</v>
      </c>
      <c r="G406">
        <v>806</v>
      </c>
      <c r="H406" t="s">
        <v>11</v>
      </c>
      <c r="I406" t="s">
        <v>2888</v>
      </c>
      <c r="J406" t="s">
        <v>8210</v>
      </c>
      <c r="K406">
        <v>822060</v>
      </c>
      <c r="L406">
        <v>44866</v>
      </c>
      <c r="M406" t="s">
        <v>482</v>
      </c>
      <c r="N406">
        <v>822060</v>
      </c>
      <c r="O406" t="e">
        <v>#N/A</v>
      </c>
    </row>
    <row r="407" spans="2:15" hidden="1" x14ac:dyDescent="0.3">
      <c r="B407" t="s">
        <v>8</v>
      </c>
      <c r="C407">
        <v>928</v>
      </c>
      <c r="D407" t="s">
        <v>9</v>
      </c>
      <c r="E407">
        <v>1202</v>
      </c>
      <c r="F407" t="s">
        <v>391</v>
      </c>
      <c r="G407">
        <v>1216</v>
      </c>
      <c r="H407" t="s">
        <v>11</v>
      </c>
      <c r="I407" t="s">
        <v>2889</v>
      </c>
      <c r="J407" t="s">
        <v>8211</v>
      </c>
      <c r="K407">
        <v>150</v>
      </c>
      <c r="L407">
        <v>44866</v>
      </c>
      <c r="M407" t="s">
        <v>483</v>
      </c>
      <c r="N407">
        <v>150</v>
      </c>
      <c r="O407" t="e">
        <v>#N/A</v>
      </c>
    </row>
    <row r="408" spans="2:15" hidden="1" x14ac:dyDescent="0.3">
      <c r="B408" t="s">
        <v>8</v>
      </c>
      <c r="C408">
        <v>928</v>
      </c>
      <c r="D408" t="s">
        <v>13</v>
      </c>
      <c r="E408">
        <v>1184</v>
      </c>
      <c r="F408" t="s">
        <v>374</v>
      </c>
      <c r="G408">
        <v>201022</v>
      </c>
      <c r="H408" t="s">
        <v>11</v>
      </c>
      <c r="I408" t="s">
        <v>2890</v>
      </c>
      <c r="J408" t="s">
        <v>8212</v>
      </c>
      <c r="K408">
        <v>98790</v>
      </c>
      <c r="L408">
        <v>44866</v>
      </c>
      <c r="M408" t="s">
        <v>484</v>
      </c>
      <c r="N408">
        <v>87760</v>
      </c>
      <c r="O408" t="e">
        <v>#N/A</v>
      </c>
    </row>
    <row r="409" spans="2:15" hidden="1" x14ac:dyDescent="0.3">
      <c r="B409" t="s">
        <v>16</v>
      </c>
      <c r="C409">
        <v>927</v>
      </c>
      <c r="D409" t="s">
        <v>17</v>
      </c>
      <c r="E409">
        <v>1200</v>
      </c>
      <c r="F409" t="s">
        <v>100</v>
      </c>
      <c r="G409">
        <v>201038</v>
      </c>
      <c r="H409" t="s">
        <v>11</v>
      </c>
      <c r="I409" t="s">
        <v>2894</v>
      </c>
      <c r="J409" t="s">
        <v>8213</v>
      </c>
      <c r="K409">
        <v>201780</v>
      </c>
      <c r="L409">
        <v>44866</v>
      </c>
      <c r="M409" t="s">
        <v>485</v>
      </c>
      <c r="N409">
        <v>201780</v>
      </c>
      <c r="O409" t="e">
        <v>#N/A</v>
      </c>
    </row>
    <row r="410" spans="2:15" x14ac:dyDescent="0.3">
      <c r="B410" t="s">
        <v>22</v>
      </c>
      <c r="C410">
        <v>809</v>
      </c>
      <c r="D410" t="s">
        <v>23</v>
      </c>
      <c r="E410">
        <v>810</v>
      </c>
      <c r="F410" t="s">
        <v>486</v>
      </c>
      <c r="G410">
        <v>201115</v>
      </c>
      <c r="H410" t="s">
        <v>11</v>
      </c>
      <c r="I410" t="s">
        <v>8214</v>
      </c>
      <c r="J410" t="s">
        <v>8215</v>
      </c>
      <c r="K410">
        <v>277470</v>
      </c>
      <c r="L410">
        <v>44866</v>
      </c>
      <c r="M410" t="s">
        <v>487</v>
      </c>
      <c r="N410" t="e">
        <v>#N/A</v>
      </c>
      <c r="O410" t="e">
        <v>#N/A</v>
      </c>
    </row>
    <row r="411" spans="2:15" hidden="1" x14ac:dyDescent="0.3">
      <c r="B411" t="s">
        <v>16</v>
      </c>
      <c r="C411">
        <v>927</v>
      </c>
      <c r="D411" t="s">
        <v>17</v>
      </c>
      <c r="E411">
        <v>1200</v>
      </c>
      <c r="F411" t="s">
        <v>137</v>
      </c>
      <c r="G411">
        <v>1012</v>
      </c>
      <c r="H411" t="s">
        <v>11</v>
      </c>
      <c r="I411" t="s">
        <v>2896</v>
      </c>
      <c r="J411" t="s">
        <v>8216</v>
      </c>
      <c r="K411">
        <v>15470</v>
      </c>
      <c r="L411">
        <v>44866</v>
      </c>
      <c r="M411" t="s">
        <v>488</v>
      </c>
      <c r="N411">
        <v>15470</v>
      </c>
      <c r="O411" t="e">
        <v>#N/A</v>
      </c>
    </row>
    <row r="412" spans="2:15" hidden="1" x14ac:dyDescent="0.3">
      <c r="B412" t="s">
        <v>8</v>
      </c>
      <c r="C412">
        <v>928</v>
      </c>
      <c r="D412" t="s">
        <v>9</v>
      </c>
      <c r="E412">
        <v>1202</v>
      </c>
      <c r="F412" t="s">
        <v>27</v>
      </c>
      <c r="G412">
        <v>806</v>
      </c>
      <c r="H412" t="s">
        <v>11</v>
      </c>
      <c r="I412" t="s">
        <v>2901</v>
      </c>
      <c r="J412" t="s">
        <v>8217</v>
      </c>
      <c r="K412">
        <v>468637</v>
      </c>
      <c r="L412">
        <v>44866</v>
      </c>
      <c r="M412" t="s">
        <v>489</v>
      </c>
      <c r="N412">
        <v>451970</v>
      </c>
      <c r="O412" t="e">
        <v>#N/A</v>
      </c>
    </row>
    <row r="413" spans="2:15" hidden="1" x14ac:dyDescent="0.3">
      <c r="B413" t="s">
        <v>8</v>
      </c>
      <c r="C413">
        <v>928</v>
      </c>
      <c r="D413" t="s">
        <v>9</v>
      </c>
      <c r="E413">
        <v>1202</v>
      </c>
      <c r="F413" t="s">
        <v>35</v>
      </c>
      <c r="G413">
        <v>51</v>
      </c>
      <c r="H413" t="s">
        <v>11</v>
      </c>
      <c r="I413" t="s">
        <v>2904</v>
      </c>
      <c r="J413" t="s">
        <v>8218</v>
      </c>
      <c r="K413">
        <v>1680</v>
      </c>
      <c r="L413">
        <v>44866</v>
      </c>
      <c r="M413" t="s">
        <v>490</v>
      </c>
      <c r="N413">
        <v>1680</v>
      </c>
      <c r="O413" t="e">
        <v>#N/A</v>
      </c>
    </row>
    <row r="414" spans="2:15" hidden="1" x14ac:dyDescent="0.3">
      <c r="B414" t="s">
        <v>8</v>
      </c>
      <c r="C414">
        <v>928</v>
      </c>
      <c r="D414" t="s">
        <v>9</v>
      </c>
      <c r="E414">
        <v>1202</v>
      </c>
      <c r="F414" t="s">
        <v>27</v>
      </c>
      <c r="G414">
        <v>806</v>
      </c>
      <c r="H414" t="s">
        <v>11</v>
      </c>
      <c r="I414" t="s">
        <v>2905</v>
      </c>
      <c r="J414" t="s">
        <v>8219</v>
      </c>
      <c r="K414">
        <v>189300</v>
      </c>
      <c r="L414">
        <v>44866</v>
      </c>
      <c r="M414" t="s">
        <v>77</v>
      </c>
      <c r="N414">
        <v>189300</v>
      </c>
      <c r="O414" t="e">
        <v>#N/A</v>
      </c>
    </row>
    <row r="415" spans="2:15" hidden="1" x14ac:dyDescent="0.3">
      <c r="B415" t="s">
        <v>8</v>
      </c>
      <c r="C415">
        <v>928</v>
      </c>
      <c r="D415" t="s">
        <v>9</v>
      </c>
      <c r="E415">
        <v>1202</v>
      </c>
      <c r="F415" t="s">
        <v>122</v>
      </c>
      <c r="G415">
        <v>251</v>
      </c>
      <c r="H415" t="s">
        <v>11</v>
      </c>
      <c r="I415" t="s">
        <v>2908</v>
      </c>
      <c r="J415" t="s">
        <v>8220</v>
      </c>
      <c r="K415">
        <v>405150</v>
      </c>
      <c r="L415">
        <v>44866</v>
      </c>
      <c r="M415" t="s">
        <v>491</v>
      </c>
      <c r="N415">
        <v>405150</v>
      </c>
      <c r="O415" t="e">
        <v>#N/A</v>
      </c>
    </row>
    <row r="416" spans="2:15" hidden="1" x14ac:dyDescent="0.3">
      <c r="B416" t="s">
        <v>8</v>
      </c>
      <c r="C416">
        <v>928</v>
      </c>
      <c r="D416" t="s">
        <v>9</v>
      </c>
      <c r="E416">
        <v>1202</v>
      </c>
      <c r="F416" t="s">
        <v>10</v>
      </c>
      <c r="G416">
        <v>939</v>
      </c>
      <c r="H416" t="s">
        <v>11</v>
      </c>
      <c r="I416" t="s">
        <v>2909</v>
      </c>
      <c r="J416" t="s">
        <v>8221</v>
      </c>
      <c r="K416">
        <v>86150</v>
      </c>
      <c r="L416">
        <v>44866</v>
      </c>
      <c r="M416" t="s">
        <v>492</v>
      </c>
      <c r="N416">
        <v>86150</v>
      </c>
      <c r="O416" t="e">
        <v>#N/A</v>
      </c>
    </row>
    <row r="417" spans="2:15" hidden="1" x14ac:dyDescent="0.3">
      <c r="B417" t="s">
        <v>8</v>
      </c>
      <c r="C417">
        <v>928</v>
      </c>
      <c r="D417" t="s">
        <v>13</v>
      </c>
      <c r="E417">
        <v>1184</v>
      </c>
      <c r="F417" t="s">
        <v>118</v>
      </c>
      <c r="G417">
        <v>201004</v>
      </c>
      <c r="H417" t="s">
        <v>11</v>
      </c>
      <c r="I417" t="s">
        <v>2912</v>
      </c>
      <c r="J417" t="s">
        <v>8222</v>
      </c>
      <c r="K417">
        <v>192690</v>
      </c>
      <c r="L417">
        <v>44866</v>
      </c>
      <c r="M417" t="s">
        <v>493</v>
      </c>
      <c r="N417">
        <v>192690</v>
      </c>
      <c r="O417" t="e">
        <v>#N/A</v>
      </c>
    </row>
    <row r="418" spans="2:15" hidden="1" x14ac:dyDescent="0.3">
      <c r="B418" t="s">
        <v>16</v>
      </c>
      <c r="C418">
        <v>927</v>
      </c>
      <c r="D418" t="s">
        <v>17</v>
      </c>
      <c r="E418">
        <v>1200</v>
      </c>
      <c r="F418" t="s">
        <v>100</v>
      </c>
      <c r="G418">
        <v>201038</v>
      </c>
      <c r="H418" t="s">
        <v>11</v>
      </c>
      <c r="I418" t="s">
        <v>2913</v>
      </c>
      <c r="J418" t="s">
        <v>8223</v>
      </c>
      <c r="K418">
        <v>47830</v>
      </c>
      <c r="L418">
        <v>44866</v>
      </c>
      <c r="M418" t="s">
        <v>494</v>
      </c>
      <c r="N418">
        <v>47830</v>
      </c>
      <c r="O418" t="e">
        <v>#N/A</v>
      </c>
    </row>
    <row r="419" spans="2:15" hidden="1" x14ac:dyDescent="0.3">
      <c r="B419" t="s">
        <v>8</v>
      </c>
      <c r="C419">
        <v>928</v>
      </c>
      <c r="D419" t="s">
        <v>9</v>
      </c>
      <c r="E419">
        <v>1202</v>
      </c>
      <c r="F419" t="s">
        <v>33</v>
      </c>
      <c r="G419">
        <v>933</v>
      </c>
      <c r="H419" t="s">
        <v>11</v>
      </c>
      <c r="I419" t="s">
        <v>2915</v>
      </c>
      <c r="J419" t="s">
        <v>8224</v>
      </c>
      <c r="K419">
        <v>309280</v>
      </c>
      <c r="L419">
        <v>44866</v>
      </c>
      <c r="M419" t="s">
        <v>495</v>
      </c>
      <c r="N419">
        <v>309280</v>
      </c>
      <c r="O419" t="e">
        <v>#N/A</v>
      </c>
    </row>
    <row r="420" spans="2:15" hidden="1" x14ac:dyDescent="0.3">
      <c r="B420" t="s">
        <v>8</v>
      </c>
      <c r="C420">
        <v>928</v>
      </c>
      <c r="D420" t="s">
        <v>13</v>
      </c>
      <c r="E420">
        <v>1184</v>
      </c>
      <c r="F420" t="s">
        <v>59</v>
      </c>
      <c r="G420">
        <v>9</v>
      </c>
      <c r="H420" t="s">
        <v>11</v>
      </c>
      <c r="I420" t="s">
        <v>2919</v>
      </c>
      <c r="J420" t="s">
        <v>8225</v>
      </c>
      <c r="K420">
        <v>5340</v>
      </c>
      <c r="L420">
        <v>44866</v>
      </c>
      <c r="M420" t="s">
        <v>496</v>
      </c>
      <c r="N420">
        <v>5340</v>
      </c>
      <c r="O420" t="e">
        <v>#N/A</v>
      </c>
    </row>
    <row r="421" spans="2:15" hidden="1" x14ac:dyDescent="0.3">
      <c r="B421" t="s">
        <v>41</v>
      </c>
      <c r="C421">
        <v>926</v>
      </c>
      <c r="D421" t="s">
        <v>56</v>
      </c>
      <c r="E421">
        <v>1207</v>
      </c>
      <c r="F421" t="s">
        <v>64</v>
      </c>
      <c r="G421">
        <v>201011</v>
      </c>
      <c r="H421" t="s">
        <v>11</v>
      </c>
      <c r="I421" t="s">
        <v>2920</v>
      </c>
      <c r="J421" t="s">
        <v>8226</v>
      </c>
      <c r="K421">
        <v>299860</v>
      </c>
      <c r="L421">
        <v>44866</v>
      </c>
      <c r="M421" t="s">
        <v>497</v>
      </c>
      <c r="N421">
        <v>299860</v>
      </c>
      <c r="O421" t="e">
        <v>#N/A</v>
      </c>
    </row>
    <row r="422" spans="2:15" hidden="1" x14ac:dyDescent="0.3">
      <c r="B422" t="s">
        <v>8</v>
      </c>
      <c r="C422">
        <v>928</v>
      </c>
      <c r="D422" t="s">
        <v>9</v>
      </c>
      <c r="E422">
        <v>1202</v>
      </c>
      <c r="F422" t="s">
        <v>73</v>
      </c>
      <c r="G422">
        <v>895</v>
      </c>
      <c r="H422" t="s">
        <v>11</v>
      </c>
      <c r="I422" t="s">
        <v>2921</v>
      </c>
      <c r="J422" t="s">
        <v>8227</v>
      </c>
      <c r="K422">
        <v>439880</v>
      </c>
      <c r="L422">
        <v>44866</v>
      </c>
      <c r="M422" t="s">
        <v>498</v>
      </c>
      <c r="N422">
        <v>439880</v>
      </c>
      <c r="O422" t="e">
        <v>#N/A</v>
      </c>
    </row>
    <row r="423" spans="2:15" hidden="1" x14ac:dyDescent="0.3">
      <c r="B423" t="s">
        <v>41</v>
      </c>
      <c r="C423">
        <v>926</v>
      </c>
      <c r="D423" t="s">
        <v>56</v>
      </c>
      <c r="E423">
        <v>1207</v>
      </c>
      <c r="F423" t="s">
        <v>64</v>
      </c>
      <c r="G423">
        <v>201011</v>
      </c>
      <c r="H423" t="s">
        <v>11</v>
      </c>
      <c r="I423" t="s">
        <v>2926</v>
      </c>
      <c r="J423" t="s">
        <v>8228</v>
      </c>
      <c r="K423">
        <v>151060</v>
      </c>
      <c r="L423">
        <v>44866</v>
      </c>
      <c r="M423" t="s">
        <v>499</v>
      </c>
      <c r="N423">
        <v>151060</v>
      </c>
      <c r="O423" t="e">
        <v>#N/A</v>
      </c>
    </row>
    <row r="424" spans="2:15" hidden="1" x14ac:dyDescent="0.3">
      <c r="B424" t="s">
        <v>8</v>
      </c>
      <c r="C424">
        <v>928</v>
      </c>
      <c r="D424" t="s">
        <v>13</v>
      </c>
      <c r="E424">
        <v>1184</v>
      </c>
      <c r="F424" t="s">
        <v>59</v>
      </c>
      <c r="G424">
        <v>9</v>
      </c>
      <c r="H424" t="s">
        <v>11</v>
      </c>
      <c r="I424" t="s">
        <v>2933</v>
      </c>
      <c r="J424" t="s">
        <v>8229</v>
      </c>
      <c r="K424">
        <v>24960</v>
      </c>
      <c r="L424">
        <v>44866</v>
      </c>
      <c r="M424" t="s">
        <v>500</v>
      </c>
      <c r="N424">
        <v>24960</v>
      </c>
      <c r="O424" t="e">
        <v>#N/A</v>
      </c>
    </row>
    <row r="425" spans="2:15" hidden="1" x14ac:dyDescent="0.3">
      <c r="B425" t="s">
        <v>16</v>
      </c>
      <c r="C425">
        <v>927</v>
      </c>
      <c r="D425" t="s">
        <v>17</v>
      </c>
      <c r="E425">
        <v>1200</v>
      </c>
      <c r="F425" t="s">
        <v>66</v>
      </c>
      <c r="G425">
        <v>33</v>
      </c>
      <c r="H425" t="s">
        <v>11</v>
      </c>
      <c r="I425" t="s">
        <v>2934</v>
      </c>
      <c r="J425" t="s">
        <v>8230</v>
      </c>
      <c r="K425">
        <v>72540</v>
      </c>
      <c r="L425">
        <v>44866</v>
      </c>
      <c r="M425" t="s">
        <v>501</v>
      </c>
      <c r="N425">
        <v>72540</v>
      </c>
      <c r="O425" t="e">
        <v>#N/A</v>
      </c>
    </row>
    <row r="426" spans="2:15" hidden="1" x14ac:dyDescent="0.3">
      <c r="B426" t="s">
        <v>8</v>
      </c>
      <c r="C426">
        <v>928</v>
      </c>
      <c r="D426" t="s">
        <v>9</v>
      </c>
      <c r="E426">
        <v>1202</v>
      </c>
      <c r="F426" t="s">
        <v>10</v>
      </c>
      <c r="G426">
        <v>939</v>
      </c>
      <c r="H426" t="s">
        <v>11</v>
      </c>
      <c r="I426" t="s">
        <v>2935</v>
      </c>
      <c r="J426" t="s">
        <v>8231</v>
      </c>
      <c r="K426">
        <v>2121080</v>
      </c>
      <c r="L426">
        <v>44866</v>
      </c>
      <c r="M426" t="s">
        <v>502</v>
      </c>
      <c r="N426">
        <v>2121080</v>
      </c>
      <c r="O426" t="e">
        <v>#N/A</v>
      </c>
    </row>
    <row r="427" spans="2:15" hidden="1" x14ac:dyDescent="0.3">
      <c r="B427" t="s">
        <v>8</v>
      </c>
      <c r="C427">
        <v>928</v>
      </c>
      <c r="D427" t="s">
        <v>13</v>
      </c>
      <c r="E427">
        <v>1184</v>
      </c>
      <c r="F427" t="s">
        <v>335</v>
      </c>
      <c r="G427">
        <v>201090</v>
      </c>
      <c r="H427" t="s">
        <v>11</v>
      </c>
      <c r="I427" t="s">
        <v>2937</v>
      </c>
      <c r="J427" t="s">
        <v>8232</v>
      </c>
      <c r="K427">
        <v>471210</v>
      </c>
      <c r="L427">
        <v>44866</v>
      </c>
      <c r="M427" t="s">
        <v>503</v>
      </c>
      <c r="N427">
        <v>471210</v>
      </c>
      <c r="O427" t="e">
        <v>#N/A</v>
      </c>
    </row>
    <row r="428" spans="2:15" hidden="1" x14ac:dyDescent="0.3">
      <c r="B428" t="s">
        <v>8</v>
      </c>
      <c r="C428">
        <v>928</v>
      </c>
      <c r="D428" t="s">
        <v>9</v>
      </c>
      <c r="E428">
        <v>1202</v>
      </c>
      <c r="F428" t="s">
        <v>47</v>
      </c>
      <c r="G428">
        <v>898</v>
      </c>
      <c r="H428" t="s">
        <v>11</v>
      </c>
      <c r="I428" t="s">
        <v>2939</v>
      </c>
      <c r="J428" t="s">
        <v>8233</v>
      </c>
      <c r="K428">
        <v>101620</v>
      </c>
      <c r="L428">
        <v>44866</v>
      </c>
      <c r="M428" t="s">
        <v>504</v>
      </c>
      <c r="N428">
        <v>101620</v>
      </c>
      <c r="O428" t="e">
        <v>#N/A</v>
      </c>
    </row>
    <row r="429" spans="2:15" hidden="1" x14ac:dyDescent="0.3">
      <c r="B429" t="s">
        <v>41</v>
      </c>
      <c r="C429">
        <v>926</v>
      </c>
      <c r="D429" t="s">
        <v>56</v>
      </c>
      <c r="E429">
        <v>1207</v>
      </c>
      <c r="F429" t="s">
        <v>253</v>
      </c>
      <c r="G429">
        <v>1328</v>
      </c>
      <c r="H429" t="s">
        <v>11</v>
      </c>
      <c r="I429" t="s">
        <v>2944</v>
      </c>
      <c r="J429" t="s">
        <v>8234</v>
      </c>
      <c r="K429">
        <v>210830</v>
      </c>
      <c r="L429">
        <v>44866</v>
      </c>
      <c r="M429" t="s">
        <v>505</v>
      </c>
      <c r="N429">
        <v>210830</v>
      </c>
      <c r="O429" t="e">
        <v>#N/A</v>
      </c>
    </row>
    <row r="430" spans="2:15" hidden="1" x14ac:dyDescent="0.3">
      <c r="B430" t="s">
        <v>8</v>
      </c>
      <c r="C430">
        <v>928</v>
      </c>
      <c r="D430" t="s">
        <v>13</v>
      </c>
      <c r="E430">
        <v>1184</v>
      </c>
      <c r="F430" t="s">
        <v>217</v>
      </c>
      <c r="G430">
        <v>201027</v>
      </c>
      <c r="H430" t="s">
        <v>11</v>
      </c>
      <c r="I430" t="s">
        <v>2946</v>
      </c>
      <c r="J430" t="s">
        <v>8235</v>
      </c>
      <c r="K430">
        <v>72150</v>
      </c>
      <c r="L430">
        <v>44866</v>
      </c>
      <c r="M430" t="s">
        <v>506</v>
      </c>
      <c r="N430">
        <v>72150</v>
      </c>
      <c r="O430" t="e">
        <v>#N/A</v>
      </c>
    </row>
    <row r="431" spans="2:15" hidden="1" x14ac:dyDescent="0.3">
      <c r="B431" t="s">
        <v>8</v>
      </c>
      <c r="C431">
        <v>928</v>
      </c>
      <c r="D431" t="s">
        <v>13</v>
      </c>
      <c r="E431">
        <v>1184</v>
      </c>
      <c r="F431" t="s">
        <v>115</v>
      </c>
      <c r="G431">
        <v>1548</v>
      </c>
      <c r="H431" t="s">
        <v>11</v>
      </c>
      <c r="I431" t="s">
        <v>2947</v>
      </c>
      <c r="J431" t="s">
        <v>8236</v>
      </c>
      <c r="K431">
        <v>70</v>
      </c>
      <c r="L431">
        <v>44866</v>
      </c>
      <c r="M431" t="s">
        <v>507</v>
      </c>
      <c r="N431">
        <v>70</v>
      </c>
      <c r="O431" t="e">
        <v>#N/A</v>
      </c>
    </row>
    <row r="432" spans="2:15" hidden="1" x14ac:dyDescent="0.3">
      <c r="B432" t="s">
        <v>41</v>
      </c>
      <c r="C432">
        <v>926</v>
      </c>
      <c r="D432" t="s">
        <v>56</v>
      </c>
      <c r="E432">
        <v>1207</v>
      </c>
      <c r="F432" t="s">
        <v>62</v>
      </c>
      <c r="G432">
        <v>201037</v>
      </c>
      <c r="H432" t="s">
        <v>11</v>
      </c>
      <c r="I432" t="s">
        <v>2948</v>
      </c>
      <c r="J432" t="s">
        <v>8237</v>
      </c>
      <c r="K432">
        <v>790</v>
      </c>
      <c r="L432">
        <v>44866</v>
      </c>
      <c r="M432" t="s">
        <v>508</v>
      </c>
      <c r="N432">
        <v>790</v>
      </c>
      <c r="O432" t="e">
        <v>#N/A</v>
      </c>
    </row>
    <row r="433" spans="2:15" hidden="1" x14ac:dyDescent="0.3">
      <c r="B433" t="s">
        <v>16</v>
      </c>
      <c r="C433">
        <v>927</v>
      </c>
      <c r="D433" t="s">
        <v>17</v>
      </c>
      <c r="E433">
        <v>1200</v>
      </c>
      <c r="F433" t="s">
        <v>229</v>
      </c>
      <c r="G433">
        <v>560</v>
      </c>
      <c r="H433" t="s">
        <v>11</v>
      </c>
      <c r="I433" t="s">
        <v>2949</v>
      </c>
      <c r="J433" t="s">
        <v>8238</v>
      </c>
      <c r="K433">
        <v>1001000</v>
      </c>
      <c r="L433">
        <v>44866</v>
      </c>
      <c r="M433" t="s">
        <v>509</v>
      </c>
      <c r="N433">
        <v>1001000</v>
      </c>
      <c r="O433" t="e">
        <v>#N/A</v>
      </c>
    </row>
    <row r="434" spans="2:15" hidden="1" x14ac:dyDescent="0.3">
      <c r="B434" t="s">
        <v>8</v>
      </c>
      <c r="C434">
        <v>928</v>
      </c>
      <c r="D434" t="s">
        <v>9</v>
      </c>
      <c r="E434">
        <v>1202</v>
      </c>
      <c r="F434" t="s">
        <v>20</v>
      </c>
      <c r="G434">
        <v>938</v>
      </c>
      <c r="H434" t="s">
        <v>11</v>
      </c>
      <c r="I434" t="s">
        <v>2950</v>
      </c>
      <c r="J434" t="s">
        <v>8239</v>
      </c>
      <c r="K434">
        <v>25120</v>
      </c>
      <c r="L434">
        <v>44866</v>
      </c>
      <c r="M434" t="s">
        <v>510</v>
      </c>
      <c r="N434">
        <v>25120</v>
      </c>
      <c r="O434" t="e">
        <v>#N/A</v>
      </c>
    </row>
    <row r="435" spans="2:15" hidden="1" x14ac:dyDescent="0.3">
      <c r="B435" t="s">
        <v>176</v>
      </c>
      <c r="C435">
        <v>1204</v>
      </c>
      <c r="D435" t="s">
        <v>177</v>
      </c>
      <c r="E435">
        <v>1205</v>
      </c>
      <c r="F435" t="s">
        <v>178</v>
      </c>
      <c r="G435">
        <v>201073</v>
      </c>
      <c r="H435" t="s">
        <v>11</v>
      </c>
      <c r="I435" t="s">
        <v>2951</v>
      </c>
      <c r="J435" t="s">
        <v>8240</v>
      </c>
      <c r="K435">
        <v>1182640</v>
      </c>
      <c r="L435">
        <v>44866</v>
      </c>
      <c r="M435" t="s">
        <v>511</v>
      </c>
      <c r="N435">
        <v>1182640</v>
      </c>
      <c r="O435" t="e">
        <v>#N/A</v>
      </c>
    </row>
    <row r="436" spans="2:15" hidden="1" x14ac:dyDescent="0.3">
      <c r="B436" t="s">
        <v>8</v>
      </c>
      <c r="C436">
        <v>928</v>
      </c>
      <c r="D436" t="s">
        <v>13</v>
      </c>
      <c r="E436">
        <v>1184</v>
      </c>
      <c r="F436" t="s">
        <v>217</v>
      </c>
      <c r="G436">
        <v>201027</v>
      </c>
      <c r="H436" t="s">
        <v>11</v>
      </c>
      <c r="I436" t="s">
        <v>2952</v>
      </c>
      <c r="J436" t="s">
        <v>8241</v>
      </c>
      <c r="K436">
        <v>70</v>
      </c>
      <c r="L436">
        <v>44866</v>
      </c>
      <c r="M436" t="s">
        <v>512</v>
      </c>
      <c r="N436">
        <v>70</v>
      </c>
      <c r="O436" t="e">
        <v>#N/A</v>
      </c>
    </row>
    <row r="437" spans="2:15" hidden="1" x14ac:dyDescent="0.3">
      <c r="B437" t="s">
        <v>16</v>
      </c>
      <c r="C437">
        <v>927</v>
      </c>
      <c r="D437" t="s">
        <v>17</v>
      </c>
      <c r="E437">
        <v>1200</v>
      </c>
      <c r="F437" t="s">
        <v>100</v>
      </c>
      <c r="G437">
        <v>201038</v>
      </c>
      <c r="H437" t="s">
        <v>11</v>
      </c>
      <c r="I437" t="s">
        <v>2955</v>
      </c>
      <c r="J437" t="s">
        <v>8242</v>
      </c>
      <c r="K437">
        <v>75310</v>
      </c>
      <c r="L437">
        <v>44866</v>
      </c>
      <c r="M437" t="s">
        <v>513</v>
      </c>
      <c r="N437">
        <v>75310</v>
      </c>
      <c r="O437" t="e">
        <v>#N/A</v>
      </c>
    </row>
    <row r="438" spans="2:15" hidden="1" x14ac:dyDescent="0.3">
      <c r="B438" t="s">
        <v>41</v>
      </c>
      <c r="C438">
        <v>926</v>
      </c>
      <c r="D438" t="s">
        <v>56</v>
      </c>
      <c r="E438">
        <v>1207</v>
      </c>
      <c r="F438" t="s">
        <v>62</v>
      </c>
      <c r="G438">
        <v>201037</v>
      </c>
      <c r="H438" t="s">
        <v>11</v>
      </c>
      <c r="I438" t="s">
        <v>2956</v>
      </c>
      <c r="J438" t="s">
        <v>8243</v>
      </c>
      <c r="K438">
        <v>4490</v>
      </c>
      <c r="L438">
        <v>44866</v>
      </c>
      <c r="M438" t="s">
        <v>514</v>
      </c>
      <c r="N438">
        <v>4490</v>
      </c>
      <c r="O438" t="e">
        <v>#N/A</v>
      </c>
    </row>
    <row r="439" spans="2:15" hidden="1" x14ac:dyDescent="0.3">
      <c r="B439" t="s">
        <v>8</v>
      </c>
      <c r="C439">
        <v>928</v>
      </c>
      <c r="D439" t="s">
        <v>9</v>
      </c>
      <c r="E439">
        <v>1202</v>
      </c>
      <c r="F439" t="s">
        <v>47</v>
      </c>
      <c r="G439">
        <v>898</v>
      </c>
      <c r="H439" t="s">
        <v>11</v>
      </c>
      <c r="I439" t="s">
        <v>2957</v>
      </c>
      <c r="J439" t="s">
        <v>8244</v>
      </c>
      <c r="K439">
        <v>3180</v>
      </c>
      <c r="L439">
        <v>44866</v>
      </c>
      <c r="M439" t="s">
        <v>515</v>
      </c>
      <c r="N439">
        <v>3180</v>
      </c>
      <c r="O439" t="e">
        <v>#N/A</v>
      </c>
    </row>
    <row r="440" spans="2:15" hidden="1" x14ac:dyDescent="0.3">
      <c r="B440" t="s">
        <v>16</v>
      </c>
      <c r="C440">
        <v>927</v>
      </c>
      <c r="D440" t="s">
        <v>17</v>
      </c>
      <c r="E440">
        <v>1200</v>
      </c>
      <c r="F440" t="s">
        <v>93</v>
      </c>
      <c r="G440">
        <v>930</v>
      </c>
      <c r="H440" t="s">
        <v>11</v>
      </c>
      <c r="I440" t="s">
        <v>2959</v>
      </c>
      <c r="J440" t="s">
        <v>8245</v>
      </c>
      <c r="K440">
        <v>13350</v>
      </c>
      <c r="L440">
        <v>44866</v>
      </c>
      <c r="M440" t="s">
        <v>422</v>
      </c>
      <c r="N440">
        <v>13350</v>
      </c>
      <c r="O440" t="e">
        <v>#N/A</v>
      </c>
    </row>
    <row r="441" spans="2:15" hidden="1" x14ac:dyDescent="0.3">
      <c r="B441" t="s">
        <v>8</v>
      </c>
      <c r="C441">
        <v>928</v>
      </c>
      <c r="D441" t="s">
        <v>9</v>
      </c>
      <c r="E441">
        <v>1202</v>
      </c>
      <c r="F441" t="s">
        <v>45</v>
      </c>
      <c r="G441">
        <v>26</v>
      </c>
      <c r="H441" t="s">
        <v>11</v>
      </c>
      <c r="I441" t="s">
        <v>2965</v>
      </c>
      <c r="J441" t="s">
        <v>8246</v>
      </c>
      <c r="K441">
        <v>307140</v>
      </c>
      <c r="L441">
        <v>44866</v>
      </c>
      <c r="M441" t="s">
        <v>516</v>
      </c>
      <c r="N441">
        <v>307140</v>
      </c>
      <c r="O441" t="e">
        <v>#N/A</v>
      </c>
    </row>
    <row r="442" spans="2:15" hidden="1" x14ac:dyDescent="0.3">
      <c r="B442" t="s">
        <v>8</v>
      </c>
      <c r="C442">
        <v>928</v>
      </c>
      <c r="D442" t="s">
        <v>9</v>
      </c>
      <c r="E442">
        <v>1202</v>
      </c>
      <c r="F442" t="s">
        <v>45</v>
      </c>
      <c r="G442">
        <v>26</v>
      </c>
      <c r="H442" t="s">
        <v>11</v>
      </c>
      <c r="I442" t="s">
        <v>2977</v>
      </c>
      <c r="J442" t="s">
        <v>8247</v>
      </c>
      <c r="K442">
        <v>808959</v>
      </c>
      <c r="L442">
        <v>44866</v>
      </c>
      <c r="M442" t="s">
        <v>517</v>
      </c>
      <c r="N442">
        <v>809008</v>
      </c>
      <c r="O442" t="e">
        <v>#N/A</v>
      </c>
    </row>
    <row r="443" spans="2:15" hidden="1" x14ac:dyDescent="0.3">
      <c r="B443" t="s">
        <v>8</v>
      </c>
      <c r="C443">
        <v>928</v>
      </c>
      <c r="D443" t="s">
        <v>13</v>
      </c>
      <c r="E443">
        <v>1184</v>
      </c>
      <c r="F443" t="s">
        <v>118</v>
      </c>
      <c r="G443">
        <v>201004</v>
      </c>
      <c r="H443" t="s">
        <v>11</v>
      </c>
      <c r="I443" t="s">
        <v>2979</v>
      </c>
      <c r="J443" t="s">
        <v>8248</v>
      </c>
      <c r="K443">
        <v>670</v>
      </c>
      <c r="L443">
        <v>44866</v>
      </c>
      <c r="M443" t="s">
        <v>518</v>
      </c>
      <c r="N443">
        <v>670</v>
      </c>
      <c r="O443" t="e">
        <v>#N/A</v>
      </c>
    </row>
    <row r="444" spans="2:15" hidden="1" x14ac:dyDescent="0.3">
      <c r="B444" t="s">
        <v>8</v>
      </c>
      <c r="C444">
        <v>928</v>
      </c>
      <c r="D444" t="s">
        <v>13</v>
      </c>
      <c r="E444">
        <v>1184</v>
      </c>
      <c r="F444" t="s">
        <v>118</v>
      </c>
      <c r="G444">
        <v>201004</v>
      </c>
      <c r="H444" t="s">
        <v>11</v>
      </c>
      <c r="I444" t="s">
        <v>2980</v>
      </c>
      <c r="J444" t="s">
        <v>8249</v>
      </c>
      <c r="K444">
        <v>1010</v>
      </c>
      <c r="L444">
        <v>44866</v>
      </c>
      <c r="M444" t="s">
        <v>519</v>
      </c>
      <c r="N444">
        <v>1010</v>
      </c>
      <c r="O444" t="e">
        <v>#N/A</v>
      </c>
    </row>
    <row r="445" spans="2:15" hidden="1" x14ac:dyDescent="0.3">
      <c r="B445" t="s">
        <v>41</v>
      </c>
      <c r="C445">
        <v>926</v>
      </c>
      <c r="D445" t="s">
        <v>56</v>
      </c>
      <c r="E445">
        <v>1207</v>
      </c>
      <c r="F445" t="s">
        <v>253</v>
      </c>
      <c r="G445">
        <v>1328</v>
      </c>
      <c r="H445" t="s">
        <v>11</v>
      </c>
      <c r="I445" t="s">
        <v>2982</v>
      </c>
      <c r="J445" t="s">
        <v>8250</v>
      </c>
      <c r="K445">
        <v>202690</v>
      </c>
      <c r="L445">
        <v>44866</v>
      </c>
      <c r="M445" t="s">
        <v>520</v>
      </c>
      <c r="N445">
        <v>202690</v>
      </c>
      <c r="O445" t="e">
        <v>#N/A</v>
      </c>
    </row>
    <row r="446" spans="2:15" hidden="1" x14ac:dyDescent="0.3">
      <c r="B446" t="s">
        <v>16</v>
      </c>
      <c r="C446">
        <v>927</v>
      </c>
      <c r="D446" t="s">
        <v>17</v>
      </c>
      <c r="E446">
        <v>1200</v>
      </c>
      <c r="F446" t="s">
        <v>66</v>
      </c>
      <c r="G446">
        <v>33</v>
      </c>
      <c r="H446" t="s">
        <v>11</v>
      </c>
      <c r="I446" t="s">
        <v>2987</v>
      </c>
      <c r="J446" t="s">
        <v>8251</v>
      </c>
      <c r="K446">
        <v>2333540</v>
      </c>
      <c r="L446">
        <v>44866</v>
      </c>
      <c r="M446" t="s">
        <v>521</v>
      </c>
      <c r="N446">
        <v>2333540</v>
      </c>
      <c r="O446" t="e">
        <v>#N/A</v>
      </c>
    </row>
    <row r="447" spans="2:15" hidden="1" x14ac:dyDescent="0.3">
      <c r="B447" t="s">
        <v>8</v>
      </c>
      <c r="C447">
        <v>928</v>
      </c>
      <c r="D447" t="s">
        <v>13</v>
      </c>
      <c r="E447">
        <v>1184</v>
      </c>
      <c r="F447" t="s">
        <v>115</v>
      </c>
      <c r="G447">
        <v>1548</v>
      </c>
      <c r="H447" t="s">
        <v>11</v>
      </c>
      <c r="I447" t="s">
        <v>2990</v>
      </c>
      <c r="J447" t="s">
        <v>8252</v>
      </c>
      <c r="K447">
        <v>1540600</v>
      </c>
      <c r="L447">
        <v>44866</v>
      </c>
      <c r="M447" t="s">
        <v>522</v>
      </c>
      <c r="N447">
        <v>1540600</v>
      </c>
      <c r="O447" t="e">
        <v>#N/A</v>
      </c>
    </row>
    <row r="448" spans="2:15" hidden="1" x14ac:dyDescent="0.3">
      <c r="B448" t="s">
        <v>16</v>
      </c>
      <c r="C448">
        <v>927</v>
      </c>
      <c r="D448" t="s">
        <v>17</v>
      </c>
      <c r="E448">
        <v>1200</v>
      </c>
      <c r="F448" t="s">
        <v>100</v>
      </c>
      <c r="G448">
        <v>201038</v>
      </c>
      <c r="H448" t="s">
        <v>11</v>
      </c>
      <c r="I448" t="s">
        <v>2992</v>
      </c>
      <c r="J448" t="s">
        <v>8253</v>
      </c>
      <c r="K448">
        <v>149600</v>
      </c>
      <c r="L448">
        <v>44866</v>
      </c>
      <c r="M448" t="s">
        <v>523</v>
      </c>
      <c r="N448">
        <v>149600</v>
      </c>
      <c r="O448" t="e">
        <v>#N/A</v>
      </c>
    </row>
    <row r="449" spans="2:15" hidden="1" x14ac:dyDescent="0.3">
      <c r="B449" t="s">
        <v>8</v>
      </c>
      <c r="C449">
        <v>928</v>
      </c>
      <c r="D449" t="s">
        <v>9</v>
      </c>
      <c r="E449">
        <v>1202</v>
      </c>
      <c r="F449" t="s">
        <v>220</v>
      </c>
      <c r="G449">
        <v>1211</v>
      </c>
      <c r="H449" t="s">
        <v>11</v>
      </c>
      <c r="I449" t="s">
        <v>2993</v>
      </c>
      <c r="J449" t="s">
        <v>8254</v>
      </c>
      <c r="K449">
        <v>438160</v>
      </c>
      <c r="L449">
        <v>44866</v>
      </c>
      <c r="M449" t="s">
        <v>524</v>
      </c>
      <c r="N449">
        <v>438160</v>
      </c>
      <c r="O449" t="e">
        <v>#N/A</v>
      </c>
    </row>
    <row r="450" spans="2:15" hidden="1" x14ac:dyDescent="0.3">
      <c r="B450" t="s">
        <v>41</v>
      </c>
      <c r="C450">
        <v>926</v>
      </c>
      <c r="D450" t="s">
        <v>525</v>
      </c>
      <c r="E450">
        <v>954</v>
      </c>
      <c r="F450" t="s">
        <v>526</v>
      </c>
      <c r="G450">
        <v>200999</v>
      </c>
      <c r="H450" t="s">
        <v>11</v>
      </c>
      <c r="I450" t="s">
        <v>2994</v>
      </c>
      <c r="J450" t="s">
        <v>8255</v>
      </c>
      <c r="K450">
        <v>228839</v>
      </c>
      <c r="L450">
        <v>44866</v>
      </c>
      <c r="M450" t="s">
        <v>527</v>
      </c>
      <c r="N450">
        <v>188840</v>
      </c>
      <c r="O450" t="e">
        <v>#N/A</v>
      </c>
    </row>
    <row r="451" spans="2:15" hidden="1" x14ac:dyDescent="0.3">
      <c r="B451" t="s">
        <v>41</v>
      </c>
      <c r="C451">
        <v>926</v>
      </c>
      <c r="D451" t="s">
        <v>525</v>
      </c>
      <c r="E451">
        <v>954</v>
      </c>
      <c r="F451" t="s">
        <v>526</v>
      </c>
      <c r="G451">
        <v>200999</v>
      </c>
      <c r="H451" t="s">
        <v>11</v>
      </c>
      <c r="I451" t="s">
        <v>2995</v>
      </c>
      <c r="J451" t="s">
        <v>8256</v>
      </c>
      <c r="K451">
        <v>1660550</v>
      </c>
      <c r="L451">
        <v>44866</v>
      </c>
      <c r="M451" t="s">
        <v>527</v>
      </c>
      <c r="N451">
        <v>1660550</v>
      </c>
      <c r="O451" t="e">
        <v>#N/A</v>
      </c>
    </row>
    <row r="452" spans="2:15" hidden="1" x14ac:dyDescent="0.3">
      <c r="B452" t="s">
        <v>8</v>
      </c>
      <c r="C452">
        <v>928</v>
      </c>
      <c r="D452" t="s">
        <v>9</v>
      </c>
      <c r="E452">
        <v>1202</v>
      </c>
      <c r="F452" t="s">
        <v>33</v>
      </c>
      <c r="G452">
        <v>933</v>
      </c>
      <c r="H452" t="s">
        <v>11</v>
      </c>
      <c r="I452" t="s">
        <v>2997</v>
      </c>
      <c r="J452" t="s">
        <v>8257</v>
      </c>
      <c r="K452">
        <v>448850</v>
      </c>
      <c r="L452">
        <v>44866</v>
      </c>
      <c r="M452" t="s">
        <v>528</v>
      </c>
      <c r="N452">
        <v>448850</v>
      </c>
      <c r="O452" t="e">
        <v>#N/A</v>
      </c>
    </row>
    <row r="453" spans="2:15" hidden="1" x14ac:dyDescent="0.3">
      <c r="B453" t="s">
        <v>22</v>
      </c>
      <c r="C453">
        <v>809</v>
      </c>
      <c r="D453" t="s">
        <v>23</v>
      </c>
      <c r="E453">
        <v>810</v>
      </c>
      <c r="F453" t="s">
        <v>529</v>
      </c>
      <c r="G453">
        <v>201053</v>
      </c>
      <c r="H453" t="s">
        <v>11</v>
      </c>
      <c r="I453" t="s">
        <v>2999</v>
      </c>
      <c r="J453" t="s">
        <v>8258</v>
      </c>
      <c r="K453">
        <v>5830</v>
      </c>
      <c r="L453">
        <v>44866</v>
      </c>
      <c r="M453" t="s">
        <v>530</v>
      </c>
      <c r="N453">
        <v>5830</v>
      </c>
      <c r="O453" t="e">
        <v>#N/A</v>
      </c>
    </row>
    <row r="454" spans="2:15" hidden="1" x14ac:dyDescent="0.3">
      <c r="B454" t="s">
        <v>41</v>
      </c>
      <c r="C454">
        <v>926</v>
      </c>
      <c r="D454" t="s">
        <v>56</v>
      </c>
      <c r="E454">
        <v>1207</v>
      </c>
      <c r="F454" t="s">
        <v>253</v>
      </c>
      <c r="G454">
        <v>1328</v>
      </c>
      <c r="H454" t="s">
        <v>11</v>
      </c>
      <c r="I454" t="s">
        <v>3000</v>
      </c>
      <c r="J454" t="s">
        <v>8259</v>
      </c>
      <c r="K454">
        <v>1798460</v>
      </c>
      <c r="L454">
        <v>44866</v>
      </c>
      <c r="M454" t="s">
        <v>531</v>
      </c>
      <c r="N454">
        <v>798480</v>
      </c>
      <c r="O454" t="e">
        <v>#N/A</v>
      </c>
    </row>
    <row r="455" spans="2:15" hidden="1" x14ac:dyDescent="0.3">
      <c r="B455" t="s">
        <v>41</v>
      </c>
      <c r="C455">
        <v>926</v>
      </c>
      <c r="D455" t="s">
        <v>525</v>
      </c>
      <c r="E455">
        <v>954</v>
      </c>
      <c r="F455" t="s">
        <v>526</v>
      </c>
      <c r="G455">
        <v>200999</v>
      </c>
      <c r="H455" t="s">
        <v>11</v>
      </c>
      <c r="I455" t="s">
        <v>3002</v>
      </c>
      <c r="J455" t="s">
        <v>8260</v>
      </c>
      <c r="K455">
        <v>1096930</v>
      </c>
      <c r="L455">
        <v>44866</v>
      </c>
      <c r="M455" t="s">
        <v>532</v>
      </c>
      <c r="N455">
        <v>596940</v>
      </c>
      <c r="O455" t="e">
        <v>#N/A</v>
      </c>
    </row>
    <row r="456" spans="2:15" hidden="1" x14ac:dyDescent="0.3">
      <c r="B456" t="s">
        <v>8</v>
      </c>
      <c r="C456">
        <v>928</v>
      </c>
      <c r="D456" t="s">
        <v>9</v>
      </c>
      <c r="E456">
        <v>1202</v>
      </c>
      <c r="F456" t="s">
        <v>27</v>
      </c>
      <c r="G456">
        <v>806</v>
      </c>
      <c r="H456" t="s">
        <v>11</v>
      </c>
      <c r="I456" t="s">
        <v>3003</v>
      </c>
      <c r="J456" t="s">
        <v>8261</v>
      </c>
      <c r="K456">
        <v>100</v>
      </c>
      <c r="L456">
        <v>44866</v>
      </c>
      <c r="M456" t="s">
        <v>533</v>
      </c>
      <c r="N456">
        <v>100</v>
      </c>
      <c r="O456" t="e">
        <v>#N/A</v>
      </c>
    </row>
    <row r="457" spans="2:15" hidden="1" x14ac:dyDescent="0.3">
      <c r="B457" t="s">
        <v>8</v>
      </c>
      <c r="C457">
        <v>928</v>
      </c>
      <c r="D457" t="s">
        <v>9</v>
      </c>
      <c r="E457">
        <v>1202</v>
      </c>
      <c r="F457" t="s">
        <v>10</v>
      </c>
      <c r="G457">
        <v>939</v>
      </c>
      <c r="H457" t="s">
        <v>11</v>
      </c>
      <c r="I457" t="s">
        <v>3004</v>
      </c>
      <c r="J457" t="s">
        <v>8262</v>
      </c>
      <c r="K457">
        <v>131340</v>
      </c>
      <c r="L457">
        <v>44866</v>
      </c>
      <c r="M457" t="s">
        <v>534</v>
      </c>
      <c r="N457">
        <v>131340</v>
      </c>
      <c r="O457" t="e">
        <v>#N/A</v>
      </c>
    </row>
    <row r="458" spans="2:15" hidden="1" x14ac:dyDescent="0.3">
      <c r="B458" t="s">
        <v>16</v>
      </c>
      <c r="C458">
        <v>927</v>
      </c>
      <c r="D458" t="s">
        <v>17</v>
      </c>
      <c r="E458">
        <v>1200</v>
      </c>
      <c r="F458" t="s">
        <v>244</v>
      </c>
      <c r="G458">
        <v>817</v>
      </c>
      <c r="H458" t="s">
        <v>11</v>
      </c>
      <c r="I458" t="s">
        <v>3005</v>
      </c>
      <c r="J458" t="s">
        <v>8263</v>
      </c>
      <c r="K458">
        <v>16040</v>
      </c>
      <c r="L458">
        <v>44866</v>
      </c>
      <c r="M458" t="s">
        <v>535</v>
      </c>
      <c r="N458">
        <v>16040</v>
      </c>
      <c r="O458" t="e">
        <v>#N/A</v>
      </c>
    </row>
    <row r="459" spans="2:15" hidden="1" x14ac:dyDescent="0.3">
      <c r="B459" t="s">
        <v>16</v>
      </c>
      <c r="C459">
        <v>927</v>
      </c>
      <c r="D459" t="s">
        <v>17</v>
      </c>
      <c r="E459">
        <v>1200</v>
      </c>
      <c r="F459" t="s">
        <v>29</v>
      </c>
      <c r="G459">
        <v>1496</v>
      </c>
      <c r="H459" t="s">
        <v>11</v>
      </c>
      <c r="I459" t="s">
        <v>3006</v>
      </c>
      <c r="J459" t="s">
        <v>8264</v>
      </c>
      <c r="K459">
        <v>2245030</v>
      </c>
      <c r="L459">
        <v>44866</v>
      </c>
      <c r="M459" t="s">
        <v>536</v>
      </c>
      <c r="N459">
        <v>2245030</v>
      </c>
      <c r="O459" t="e">
        <v>#N/A</v>
      </c>
    </row>
    <row r="460" spans="2:15" hidden="1" x14ac:dyDescent="0.3">
      <c r="B460" t="s">
        <v>8</v>
      </c>
      <c r="C460">
        <v>928</v>
      </c>
      <c r="D460" t="s">
        <v>9</v>
      </c>
      <c r="E460">
        <v>1202</v>
      </c>
      <c r="F460" t="s">
        <v>37</v>
      </c>
      <c r="G460">
        <v>81</v>
      </c>
      <c r="H460" t="s">
        <v>11</v>
      </c>
      <c r="I460" t="s">
        <v>3011</v>
      </c>
      <c r="J460" t="s">
        <v>8265</v>
      </c>
      <c r="K460">
        <v>533324</v>
      </c>
      <c r="L460">
        <v>44866</v>
      </c>
      <c r="M460" t="s">
        <v>537</v>
      </c>
      <c r="N460">
        <v>0</v>
      </c>
      <c r="O460" t="e">
        <v>#N/A</v>
      </c>
    </row>
    <row r="461" spans="2:15" hidden="1" x14ac:dyDescent="0.3">
      <c r="B461" t="s">
        <v>8</v>
      </c>
      <c r="C461">
        <v>928</v>
      </c>
      <c r="D461" t="s">
        <v>9</v>
      </c>
      <c r="E461">
        <v>1202</v>
      </c>
      <c r="F461" t="s">
        <v>47</v>
      </c>
      <c r="G461">
        <v>898</v>
      </c>
      <c r="H461" t="s">
        <v>11</v>
      </c>
      <c r="I461" t="s">
        <v>3012</v>
      </c>
      <c r="J461" t="s">
        <v>8266</v>
      </c>
      <c r="K461">
        <v>449060</v>
      </c>
      <c r="L461">
        <v>44866</v>
      </c>
      <c r="M461" t="s">
        <v>538</v>
      </c>
      <c r="N461">
        <v>449060</v>
      </c>
      <c r="O461" t="e">
        <v>#N/A</v>
      </c>
    </row>
    <row r="462" spans="2:15" hidden="1" x14ac:dyDescent="0.3">
      <c r="B462" t="s">
        <v>8</v>
      </c>
      <c r="C462">
        <v>928</v>
      </c>
      <c r="D462" t="s">
        <v>13</v>
      </c>
      <c r="E462">
        <v>1184</v>
      </c>
      <c r="F462" t="s">
        <v>102</v>
      </c>
      <c r="G462">
        <v>917</v>
      </c>
      <c r="H462" t="s">
        <v>11</v>
      </c>
      <c r="I462" t="s">
        <v>3013</v>
      </c>
      <c r="J462" t="s">
        <v>8267</v>
      </c>
      <c r="K462">
        <v>94290</v>
      </c>
      <c r="L462">
        <v>44866</v>
      </c>
      <c r="M462" t="s">
        <v>539</v>
      </c>
      <c r="N462">
        <v>94290</v>
      </c>
      <c r="O462" t="e">
        <v>#N/A</v>
      </c>
    </row>
    <row r="463" spans="2:15" hidden="1" x14ac:dyDescent="0.3">
      <c r="B463" t="s">
        <v>8</v>
      </c>
      <c r="C463">
        <v>928</v>
      </c>
      <c r="D463" t="s">
        <v>13</v>
      </c>
      <c r="E463">
        <v>1184</v>
      </c>
      <c r="F463" t="s">
        <v>102</v>
      </c>
      <c r="G463">
        <v>917</v>
      </c>
      <c r="H463" t="s">
        <v>11</v>
      </c>
      <c r="I463" t="s">
        <v>3015</v>
      </c>
      <c r="J463" t="s">
        <v>8268</v>
      </c>
      <c r="K463">
        <v>7050</v>
      </c>
      <c r="L463">
        <v>44866</v>
      </c>
      <c r="M463" t="s">
        <v>540</v>
      </c>
      <c r="N463">
        <v>7050</v>
      </c>
      <c r="O463" t="e">
        <v>#N/A</v>
      </c>
    </row>
    <row r="464" spans="2:15" hidden="1" x14ac:dyDescent="0.3">
      <c r="B464" t="s">
        <v>8</v>
      </c>
      <c r="C464">
        <v>928</v>
      </c>
      <c r="D464" t="s">
        <v>9</v>
      </c>
      <c r="E464">
        <v>1202</v>
      </c>
      <c r="F464" t="s">
        <v>110</v>
      </c>
      <c r="G464">
        <v>929</v>
      </c>
      <c r="H464" t="s">
        <v>11</v>
      </c>
      <c r="I464" t="s">
        <v>3016</v>
      </c>
      <c r="J464" t="s">
        <v>8269</v>
      </c>
      <c r="K464">
        <v>3632670</v>
      </c>
      <c r="L464">
        <v>44866</v>
      </c>
      <c r="M464" t="s">
        <v>541</v>
      </c>
      <c r="N464">
        <v>3632670</v>
      </c>
      <c r="O464" t="e">
        <v>#N/A</v>
      </c>
    </row>
    <row r="465" spans="2:15" hidden="1" x14ac:dyDescent="0.3">
      <c r="B465" t="s">
        <v>8</v>
      </c>
      <c r="C465">
        <v>928</v>
      </c>
      <c r="D465" t="s">
        <v>9</v>
      </c>
      <c r="E465">
        <v>1202</v>
      </c>
      <c r="F465" t="s">
        <v>31</v>
      </c>
      <c r="G465">
        <v>1040</v>
      </c>
      <c r="H465" t="s">
        <v>11</v>
      </c>
      <c r="I465" t="s">
        <v>3018</v>
      </c>
      <c r="J465" t="s">
        <v>8270</v>
      </c>
      <c r="K465">
        <v>163450</v>
      </c>
      <c r="L465">
        <v>44866</v>
      </c>
      <c r="M465" t="s">
        <v>542</v>
      </c>
      <c r="N465">
        <v>163450</v>
      </c>
      <c r="O465" t="e">
        <v>#N/A</v>
      </c>
    </row>
    <row r="466" spans="2:15" hidden="1" x14ac:dyDescent="0.3">
      <c r="B466" t="s">
        <v>8</v>
      </c>
      <c r="C466">
        <v>928</v>
      </c>
      <c r="D466" t="s">
        <v>9</v>
      </c>
      <c r="E466">
        <v>1202</v>
      </c>
      <c r="F466" t="s">
        <v>35</v>
      </c>
      <c r="G466">
        <v>51</v>
      </c>
      <c r="H466" t="s">
        <v>11</v>
      </c>
      <c r="I466" t="s">
        <v>3022</v>
      </c>
      <c r="J466" t="s">
        <v>8271</v>
      </c>
      <c r="K466">
        <v>1059220</v>
      </c>
      <c r="L466">
        <v>44866</v>
      </c>
      <c r="M466" t="s">
        <v>543</v>
      </c>
      <c r="N466">
        <v>1059220</v>
      </c>
      <c r="O466" t="e">
        <v>#N/A</v>
      </c>
    </row>
    <row r="467" spans="2:15" hidden="1" x14ac:dyDescent="0.3">
      <c r="B467" t="s">
        <v>8</v>
      </c>
      <c r="C467">
        <v>928</v>
      </c>
      <c r="D467" t="s">
        <v>13</v>
      </c>
      <c r="E467">
        <v>1184</v>
      </c>
      <c r="F467" t="s">
        <v>59</v>
      </c>
      <c r="G467">
        <v>9</v>
      </c>
      <c r="H467" t="s">
        <v>11</v>
      </c>
      <c r="I467" t="s">
        <v>3028</v>
      </c>
      <c r="J467" t="s">
        <v>8272</v>
      </c>
      <c r="K467">
        <v>10700</v>
      </c>
      <c r="L467">
        <v>44866</v>
      </c>
      <c r="M467" t="s">
        <v>544</v>
      </c>
      <c r="N467">
        <v>10700</v>
      </c>
      <c r="O467" t="e">
        <v>#N/A</v>
      </c>
    </row>
    <row r="468" spans="2:15" hidden="1" x14ac:dyDescent="0.3">
      <c r="B468" t="s">
        <v>41</v>
      </c>
      <c r="C468">
        <v>926</v>
      </c>
      <c r="D468" t="s">
        <v>56</v>
      </c>
      <c r="E468">
        <v>1207</v>
      </c>
      <c r="F468" t="s">
        <v>57</v>
      </c>
      <c r="G468">
        <v>200982</v>
      </c>
      <c r="H468" t="s">
        <v>11</v>
      </c>
      <c r="I468" t="s">
        <v>3032</v>
      </c>
      <c r="J468" t="s">
        <v>8273</v>
      </c>
      <c r="K468">
        <v>64190</v>
      </c>
      <c r="L468">
        <v>44866</v>
      </c>
      <c r="M468" t="s">
        <v>545</v>
      </c>
      <c r="N468">
        <v>64190</v>
      </c>
      <c r="O468" t="e">
        <v>#N/A</v>
      </c>
    </row>
    <row r="469" spans="2:15" hidden="1" x14ac:dyDescent="0.3">
      <c r="B469" t="s">
        <v>8</v>
      </c>
      <c r="C469">
        <v>928</v>
      </c>
      <c r="D469" t="s">
        <v>9</v>
      </c>
      <c r="E469">
        <v>1202</v>
      </c>
      <c r="F469" t="s">
        <v>75</v>
      </c>
      <c r="G469">
        <v>50</v>
      </c>
      <c r="H469" t="s">
        <v>11</v>
      </c>
      <c r="I469" t="s">
        <v>3033</v>
      </c>
      <c r="J469" t="s">
        <v>8274</v>
      </c>
      <c r="K469">
        <v>293880</v>
      </c>
      <c r="L469">
        <v>44866</v>
      </c>
      <c r="M469" t="s">
        <v>546</v>
      </c>
      <c r="N469">
        <v>259470</v>
      </c>
      <c r="O469" t="e">
        <v>#N/A</v>
      </c>
    </row>
    <row r="470" spans="2:15" hidden="1" x14ac:dyDescent="0.3">
      <c r="B470" t="s">
        <v>8</v>
      </c>
      <c r="C470">
        <v>928</v>
      </c>
      <c r="D470" t="s">
        <v>9</v>
      </c>
      <c r="E470">
        <v>1202</v>
      </c>
      <c r="F470" t="s">
        <v>27</v>
      </c>
      <c r="G470">
        <v>806</v>
      </c>
      <c r="H470" t="s">
        <v>11</v>
      </c>
      <c r="I470" t="s">
        <v>3034</v>
      </c>
      <c r="J470" t="s">
        <v>8275</v>
      </c>
      <c r="K470">
        <v>28330</v>
      </c>
      <c r="L470">
        <v>44866</v>
      </c>
      <c r="M470" t="s">
        <v>547</v>
      </c>
      <c r="N470">
        <v>28330</v>
      </c>
      <c r="O470" t="e">
        <v>#N/A</v>
      </c>
    </row>
    <row r="471" spans="2:15" hidden="1" x14ac:dyDescent="0.3">
      <c r="B471" t="s">
        <v>41</v>
      </c>
      <c r="C471">
        <v>926</v>
      </c>
      <c r="D471" t="s">
        <v>42</v>
      </c>
      <c r="E471">
        <v>964</v>
      </c>
      <c r="F471" t="s">
        <v>43</v>
      </c>
      <c r="G471">
        <v>200998</v>
      </c>
      <c r="H471" t="s">
        <v>11</v>
      </c>
      <c r="I471" t="s">
        <v>3035</v>
      </c>
      <c r="J471" t="s">
        <v>8276</v>
      </c>
      <c r="K471">
        <v>1300</v>
      </c>
      <c r="L471">
        <v>44866</v>
      </c>
      <c r="M471" t="s">
        <v>548</v>
      </c>
      <c r="N471">
        <v>1300</v>
      </c>
      <c r="O471" t="e">
        <v>#N/A</v>
      </c>
    </row>
    <row r="472" spans="2:15" hidden="1" x14ac:dyDescent="0.3">
      <c r="B472" t="s">
        <v>8</v>
      </c>
      <c r="C472">
        <v>928</v>
      </c>
      <c r="D472" t="s">
        <v>9</v>
      </c>
      <c r="E472">
        <v>1202</v>
      </c>
      <c r="F472" t="s">
        <v>33</v>
      </c>
      <c r="G472">
        <v>933</v>
      </c>
      <c r="H472" t="s">
        <v>11</v>
      </c>
      <c r="I472" t="s">
        <v>3038</v>
      </c>
      <c r="J472" t="s">
        <v>8277</v>
      </c>
      <c r="K472">
        <v>635910</v>
      </c>
      <c r="L472">
        <v>44866</v>
      </c>
      <c r="M472" t="s">
        <v>549</v>
      </c>
      <c r="N472">
        <v>635910</v>
      </c>
      <c r="O472" t="e">
        <v>#N/A</v>
      </c>
    </row>
    <row r="473" spans="2:15" hidden="1" x14ac:dyDescent="0.3">
      <c r="B473" t="s">
        <v>8</v>
      </c>
      <c r="C473">
        <v>928</v>
      </c>
      <c r="D473" t="s">
        <v>9</v>
      </c>
      <c r="E473">
        <v>1202</v>
      </c>
      <c r="F473" t="s">
        <v>20</v>
      </c>
      <c r="G473">
        <v>938</v>
      </c>
      <c r="H473" t="s">
        <v>11</v>
      </c>
      <c r="I473" t="s">
        <v>3040</v>
      </c>
      <c r="J473" t="s">
        <v>8278</v>
      </c>
      <c r="K473">
        <v>1030</v>
      </c>
      <c r="L473">
        <v>44866</v>
      </c>
      <c r="M473" t="s">
        <v>550</v>
      </c>
      <c r="N473">
        <v>1030</v>
      </c>
      <c r="O473" t="e">
        <v>#N/A</v>
      </c>
    </row>
    <row r="474" spans="2:15" hidden="1" x14ac:dyDescent="0.3">
      <c r="B474" t="s">
        <v>8</v>
      </c>
      <c r="C474">
        <v>928</v>
      </c>
      <c r="D474" t="s">
        <v>13</v>
      </c>
      <c r="E474">
        <v>1184</v>
      </c>
      <c r="F474" t="s">
        <v>118</v>
      </c>
      <c r="G474">
        <v>201004</v>
      </c>
      <c r="H474" t="s">
        <v>11</v>
      </c>
      <c r="I474" t="s">
        <v>3041</v>
      </c>
      <c r="J474" t="s">
        <v>8279</v>
      </c>
      <c r="K474">
        <v>10370</v>
      </c>
      <c r="L474">
        <v>44866</v>
      </c>
      <c r="M474" t="s">
        <v>551</v>
      </c>
      <c r="N474">
        <v>10370</v>
      </c>
      <c r="O474" t="e">
        <v>#N/A</v>
      </c>
    </row>
    <row r="475" spans="2:15" hidden="1" x14ac:dyDescent="0.3">
      <c r="B475" t="s">
        <v>41</v>
      </c>
      <c r="C475">
        <v>926</v>
      </c>
      <c r="D475" t="s">
        <v>56</v>
      </c>
      <c r="E475">
        <v>1207</v>
      </c>
      <c r="F475" t="s">
        <v>64</v>
      </c>
      <c r="G475">
        <v>201011</v>
      </c>
      <c r="H475" t="s">
        <v>11</v>
      </c>
      <c r="I475" t="s">
        <v>3042</v>
      </c>
      <c r="J475" t="s">
        <v>8280</v>
      </c>
      <c r="K475">
        <v>403230</v>
      </c>
      <c r="L475">
        <v>44866</v>
      </c>
      <c r="M475" t="s">
        <v>552</v>
      </c>
      <c r="N475">
        <v>403230</v>
      </c>
      <c r="O475" t="e">
        <v>#N/A</v>
      </c>
    </row>
    <row r="476" spans="2:15" hidden="1" x14ac:dyDescent="0.3">
      <c r="B476" t="s">
        <v>22</v>
      </c>
      <c r="C476">
        <v>809</v>
      </c>
      <c r="D476" t="s">
        <v>23</v>
      </c>
      <c r="E476">
        <v>810</v>
      </c>
      <c r="F476" t="s">
        <v>106</v>
      </c>
      <c r="G476">
        <v>1349</v>
      </c>
      <c r="H476" t="s">
        <v>11</v>
      </c>
      <c r="I476" t="s">
        <v>3044</v>
      </c>
      <c r="J476" t="s">
        <v>8281</v>
      </c>
      <c r="K476">
        <v>1957840</v>
      </c>
      <c r="L476">
        <v>44866</v>
      </c>
      <c r="M476" t="s">
        <v>553</v>
      </c>
      <c r="N476">
        <v>1957840</v>
      </c>
      <c r="O476" t="e">
        <v>#N/A</v>
      </c>
    </row>
    <row r="477" spans="2:15" hidden="1" x14ac:dyDescent="0.3">
      <c r="B477" t="s">
        <v>8</v>
      </c>
      <c r="C477">
        <v>928</v>
      </c>
      <c r="D477" t="s">
        <v>13</v>
      </c>
      <c r="E477">
        <v>1184</v>
      </c>
      <c r="F477" t="s">
        <v>115</v>
      </c>
      <c r="G477">
        <v>1548</v>
      </c>
      <c r="H477" t="s">
        <v>11</v>
      </c>
      <c r="I477" t="s">
        <v>3050</v>
      </c>
      <c r="J477" t="s">
        <v>8282</v>
      </c>
      <c r="K477">
        <v>77030</v>
      </c>
      <c r="L477">
        <v>44866</v>
      </c>
      <c r="M477" t="s">
        <v>554</v>
      </c>
      <c r="N477">
        <v>77030</v>
      </c>
      <c r="O477" t="e">
        <v>#N/A</v>
      </c>
    </row>
    <row r="478" spans="2:15" hidden="1" x14ac:dyDescent="0.3">
      <c r="B478" t="s">
        <v>8</v>
      </c>
      <c r="C478">
        <v>928</v>
      </c>
      <c r="D478" t="s">
        <v>13</v>
      </c>
      <c r="E478">
        <v>1184</v>
      </c>
      <c r="F478" t="s">
        <v>59</v>
      </c>
      <c r="G478">
        <v>9</v>
      </c>
      <c r="H478" t="s">
        <v>11</v>
      </c>
      <c r="I478" t="s">
        <v>3053</v>
      </c>
      <c r="J478" t="s">
        <v>8283</v>
      </c>
      <c r="K478">
        <v>33620</v>
      </c>
      <c r="L478">
        <v>44866</v>
      </c>
      <c r="M478" t="s">
        <v>555</v>
      </c>
      <c r="N478">
        <v>33620</v>
      </c>
      <c r="O478" t="e">
        <v>#N/A</v>
      </c>
    </row>
    <row r="479" spans="2:15" hidden="1" x14ac:dyDescent="0.3">
      <c r="B479" t="s">
        <v>8</v>
      </c>
      <c r="C479">
        <v>928</v>
      </c>
      <c r="D479" t="s">
        <v>13</v>
      </c>
      <c r="E479">
        <v>1184</v>
      </c>
      <c r="F479" t="s">
        <v>335</v>
      </c>
      <c r="G479">
        <v>201090</v>
      </c>
      <c r="H479" t="s">
        <v>11</v>
      </c>
      <c r="I479" t="s">
        <v>3056</v>
      </c>
      <c r="J479" t="s">
        <v>8284</v>
      </c>
      <c r="K479">
        <v>70340</v>
      </c>
      <c r="L479">
        <v>44866</v>
      </c>
      <c r="M479" t="s">
        <v>556</v>
      </c>
      <c r="N479">
        <v>70340</v>
      </c>
      <c r="O479" t="e">
        <v>#N/A</v>
      </c>
    </row>
    <row r="480" spans="2:15" hidden="1" x14ac:dyDescent="0.3">
      <c r="B480" t="s">
        <v>8</v>
      </c>
      <c r="C480">
        <v>928</v>
      </c>
      <c r="D480" t="s">
        <v>9</v>
      </c>
      <c r="E480">
        <v>1202</v>
      </c>
      <c r="F480" t="s">
        <v>45</v>
      </c>
      <c r="G480">
        <v>26</v>
      </c>
      <c r="H480" t="s">
        <v>11</v>
      </c>
      <c r="I480" t="s">
        <v>3057</v>
      </c>
      <c r="J480" t="s">
        <v>8285</v>
      </c>
      <c r="K480">
        <v>56910</v>
      </c>
      <c r="L480">
        <v>44866</v>
      </c>
      <c r="M480" t="s">
        <v>557</v>
      </c>
      <c r="N480">
        <v>56910</v>
      </c>
      <c r="O480" t="e">
        <v>#N/A</v>
      </c>
    </row>
    <row r="481" spans="2:15" hidden="1" x14ac:dyDescent="0.3">
      <c r="B481" t="s">
        <v>8</v>
      </c>
      <c r="C481">
        <v>928</v>
      </c>
      <c r="D481" t="s">
        <v>9</v>
      </c>
      <c r="E481">
        <v>1202</v>
      </c>
      <c r="F481" t="s">
        <v>310</v>
      </c>
      <c r="G481">
        <v>201113</v>
      </c>
      <c r="H481" t="s">
        <v>11</v>
      </c>
      <c r="I481" t="s">
        <v>3059</v>
      </c>
      <c r="J481" t="s">
        <v>8286</v>
      </c>
      <c r="K481">
        <v>413470</v>
      </c>
      <c r="L481">
        <v>44866</v>
      </c>
      <c r="M481" t="s">
        <v>558</v>
      </c>
      <c r="N481">
        <v>413470</v>
      </c>
      <c r="O481" t="e">
        <v>#N/A</v>
      </c>
    </row>
    <row r="482" spans="2:15" hidden="1" x14ac:dyDescent="0.3">
      <c r="B482" t="s">
        <v>8</v>
      </c>
      <c r="C482">
        <v>928</v>
      </c>
      <c r="D482" t="s">
        <v>9</v>
      </c>
      <c r="E482">
        <v>1202</v>
      </c>
      <c r="F482" t="s">
        <v>73</v>
      </c>
      <c r="G482">
        <v>895</v>
      </c>
      <c r="H482" t="s">
        <v>11</v>
      </c>
      <c r="I482" t="s">
        <v>3065</v>
      </c>
      <c r="J482" t="s">
        <v>8287</v>
      </c>
      <c r="K482">
        <v>510930</v>
      </c>
      <c r="L482">
        <v>44866</v>
      </c>
      <c r="M482" t="s">
        <v>559</v>
      </c>
      <c r="N482">
        <v>510930</v>
      </c>
      <c r="O482" t="e">
        <v>#N/A</v>
      </c>
    </row>
    <row r="483" spans="2:15" hidden="1" x14ac:dyDescent="0.3">
      <c r="B483" t="s">
        <v>41</v>
      </c>
      <c r="C483">
        <v>926</v>
      </c>
      <c r="D483" t="s">
        <v>56</v>
      </c>
      <c r="E483">
        <v>1207</v>
      </c>
      <c r="F483" t="s">
        <v>57</v>
      </c>
      <c r="G483">
        <v>200982</v>
      </c>
      <c r="H483" t="s">
        <v>11</v>
      </c>
      <c r="I483" t="s">
        <v>3067</v>
      </c>
      <c r="J483" t="s">
        <v>8288</v>
      </c>
      <c r="K483">
        <v>48950</v>
      </c>
      <c r="L483">
        <v>44866</v>
      </c>
      <c r="M483" t="s">
        <v>560</v>
      </c>
      <c r="N483">
        <v>48950</v>
      </c>
      <c r="O483" t="e">
        <v>#N/A</v>
      </c>
    </row>
    <row r="484" spans="2:15" hidden="1" x14ac:dyDescent="0.3">
      <c r="B484" t="s">
        <v>22</v>
      </c>
      <c r="C484">
        <v>809</v>
      </c>
      <c r="D484" t="s">
        <v>23</v>
      </c>
      <c r="E484">
        <v>810</v>
      </c>
      <c r="F484" t="s">
        <v>106</v>
      </c>
      <c r="G484">
        <v>1349</v>
      </c>
      <c r="H484" t="s">
        <v>11</v>
      </c>
      <c r="I484" t="s">
        <v>3068</v>
      </c>
      <c r="J484" t="s">
        <v>8289</v>
      </c>
      <c r="K484">
        <v>1460100</v>
      </c>
      <c r="L484">
        <v>44866</v>
      </c>
      <c r="M484" t="s">
        <v>561</v>
      </c>
      <c r="N484">
        <v>1460100</v>
      </c>
      <c r="O484" t="e">
        <v>#N/A</v>
      </c>
    </row>
    <row r="485" spans="2:15" hidden="1" x14ac:dyDescent="0.3">
      <c r="B485" t="s">
        <v>8</v>
      </c>
      <c r="C485">
        <v>928</v>
      </c>
      <c r="D485" t="s">
        <v>13</v>
      </c>
      <c r="E485">
        <v>1184</v>
      </c>
      <c r="F485" t="s">
        <v>14</v>
      </c>
      <c r="G485">
        <v>914</v>
      </c>
      <c r="H485" t="s">
        <v>11</v>
      </c>
      <c r="I485" t="s">
        <v>3070</v>
      </c>
      <c r="J485" t="s">
        <v>8290</v>
      </c>
      <c r="K485">
        <v>132910</v>
      </c>
      <c r="L485">
        <v>44866</v>
      </c>
      <c r="M485" t="s">
        <v>323</v>
      </c>
      <c r="N485">
        <v>132910</v>
      </c>
      <c r="O485" t="e">
        <v>#N/A</v>
      </c>
    </row>
    <row r="486" spans="2:15" hidden="1" x14ac:dyDescent="0.3">
      <c r="B486" t="s">
        <v>8</v>
      </c>
      <c r="C486">
        <v>928</v>
      </c>
      <c r="D486" t="s">
        <v>13</v>
      </c>
      <c r="E486">
        <v>1184</v>
      </c>
      <c r="F486" t="s">
        <v>118</v>
      </c>
      <c r="G486">
        <v>201004</v>
      </c>
      <c r="H486" t="s">
        <v>11</v>
      </c>
      <c r="I486" t="s">
        <v>3071</v>
      </c>
      <c r="J486" t="s">
        <v>8291</v>
      </c>
      <c r="K486">
        <v>264530</v>
      </c>
      <c r="L486">
        <v>44866</v>
      </c>
      <c r="M486" t="s">
        <v>562</v>
      </c>
      <c r="N486">
        <v>264530</v>
      </c>
      <c r="O486" t="e">
        <v>#N/A</v>
      </c>
    </row>
    <row r="487" spans="2:15" hidden="1" x14ac:dyDescent="0.3">
      <c r="B487" t="s">
        <v>8</v>
      </c>
      <c r="C487">
        <v>928</v>
      </c>
      <c r="D487" t="s">
        <v>9</v>
      </c>
      <c r="E487">
        <v>1202</v>
      </c>
      <c r="F487" t="s">
        <v>39</v>
      </c>
      <c r="G487">
        <v>25</v>
      </c>
      <c r="H487" t="s">
        <v>11</v>
      </c>
      <c r="I487" t="s">
        <v>3078</v>
      </c>
      <c r="J487" t="s">
        <v>8292</v>
      </c>
      <c r="K487">
        <v>8560</v>
      </c>
      <c r="L487">
        <v>44866</v>
      </c>
      <c r="M487" t="s">
        <v>563</v>
      </c>
      <c r="N487">
        <v>8560</v>
      </c>
      <c r="O487" t="e">
        <v>#N/A</v>
      </c>
    </row>
    <row r="488" spans="2:15" hidden="1" x14ac:dyDescent="0.3">
      <c r="B488" t="s">
        <v>41</v>
      </c>
      <c r="C488">
        <v>926</v>
      </c>
      <c r="D488" t="s">
        <v>56</v>
      </c>
      <c r="E488">
        <v>1207</v>
      </c>
      <c r="F488" t="s">
        <v>253</v>
      </c>
      <c r="G488">
        <v>1328</v>
      </c>
      <c r="H488" t="s">
        <v>11</v>
      </c>
      <c r="I488" t="s">
        <v>3080</v>
      </c>
      <c r="J488" t="s">
        <v>8293</v>
      </c>
      <c r="K488">
        <v>413910</v>
      </c>
      <c r="L488">
        <v>44866</v>
      </c>
      <c r="M488" t="s">
        <v>564</v>
      </c>
      <c r="N488">
        <v>413910</v>
      </c>
      <c r="O488" t="e">
        <v>#N/A</v>
      </c>
    </row>
    <row r="489" spans="2:15" hidden="1" x14ac:dyDescent="0.3">
      <c r="B489" t="s">
        <v>8</v>
      </c>
      <c r="C489">
        <v>928</v>
      </c>
      <c r="D489" t="s">
        <v>13</v>
      </c>
      <c r="E489">
        <v>1184</v>
      </c>
      <c r="F489" t="s">
        <v>59</v>
      </c>
      <c r="G489">
        <v>9</v>
      </c>
      <c r="H489" t="s">
        <v>11</v>
      </c>
      <c r="I489" t="s">
        <v>3082</v>
      </c>
      <c r="J489" t="s">
        <v>8294</v>
      </c>
      <c r="K489">
        <v>29270</v>
      </c>
      <c r="L489">
        <v>44866</v>
      </c>
      <c r="M489" t="s">
        <v>565</v>
      </c>
      <c r="N489">
        <v>29270</v>
      </c>
      <c r="O489" t="e">
        <v>#N/A</v>
      </c>
    </row>
    <row r="490" spans="2:15" hidden="1" x14ac:dyDescent="0.3">
      <c r="B490" t="s">
        <v>41</v>
      </c>
      <c r="C490">
        <v>926</v>
      </c>
      <c r="D490" t="s">
        <v>56</v>
      </c>
      <c r="E490">
        <v>1207</v>
      </c>
      <c r="F490" t="s">
        <v>253</v>
      </c>
      <c r="G490">
        <v>1328</v>
      </c>
      <c r="H490" t="s">
        <v>11</v>
      </c>
      <c r="I490" t="s">
        <v>3085</v>
      </c>
      <c r="J490" t="s">
        <v>8295</v>
      </c>
      <c r="K490">
        <v>1223940</v>
      </c>
      <c r="L490">
        <v>44866</v>
      </c>
      <c r="M490" t="s">
        <v>566</v>
      </c>
      <c r="N490">
        <v>1223940</v>
      </c>
      <c r="O490" t="e">
        <v>#N/A</v>
      </c>
    </row>
    <row r="491" spans="2:15" hidden="1" x14ac:dyDescent="0.3">
      <c r="B491" t="s">
        <v>16</v>
      </c>
      <c r="C491">
        <v>927</v>
      </c>
      <c r="D491" t="s">
        <v>17</v>
      </c>
      <c r="E491">
        <v>1200</v>
      </c>
      <c r="F491" t="s">
        <v>371</v>
      </c>
      <c r="G491">
        <v>551</v>
      </c>
      <c r="H491" t="s">
        <v>11</v>
      </c>
      <c r="I491" t="s">
        <v>3087</v>
      </c>
      <c r="J491" t="s">
        <v>8296</v>
      </c>
      <c r="K491">
        <v>1447880</v>
      </c>
      <c r="L491">
        <v>44866</v>
      </c>
      <c r="M491" t="s">
        <v>567</v>
      </c>
      <c r="N491">
        <v>1447880</v>
      </c>
      <c r="O491" t="e">
        <v>#N/A</v>
      </c>
    </row>
    <row r="492" spans="2:15" hidden="1" x14ac:dyDescent="0.3">
      <c r="B492" t="s">
        <v>8</v>
      </c>
      <c r="C492">
        <v>928</v>
      </c>
      <c r="D492" t="s">
        <v>9</v>
      </c>
      <c r="E492">
        <v>1202</v>
      </c>
      <c r="F492" t="s">
        <v>47</v>
      </c>
      <c r="G492">
        <v>898</v>
      </c>
      <c r="H492" t="s">
        <v>11</v>
      </c>
      <c r="I492" t="s">
        <v>3088</v>
      </c>
      <c r="J492" t="s">
        <v>8297</v>
      </c>
      <c r="K492">
        <v>882930</v>
      </c>
      <c r="L492">
        <v>44866</v>
      </c>
      <c r="M492" t="s">
        <v>568</v>
      </c>
      <c r="N492">
        <v>882930</v>
      </c>
      <c r="O492" t="e">
        <v>#N/A</v>
      </c>
    </row>
    <row r="493" spans="2:15" hidden="1" x14ac:dyDescent="0.3">
      <c r="B493" t="s">
        <v>8</v>
      </c>
      <c r="C493">
        <v>928</v>
      </c>
      <c r="D493" t="s">
        <v>13</v>
      </c>
      <c r="E493">
        <v>1184</v>
      </c>
      <c r="F493" t="s">
        <v>14</v>
      </c>
      <c r="G493">
        <v>914</v>
      </c>
      <c r="H493" t="s">
        <v>11</v>
      </c>
      <c r="I493" t="s">
        <v>3089</v>
      </c>
      <c r="J493" t="s">
        <v>8298</v>
      </c>
      <c r="K493">
        <v>2457770</v>
      </c>
      <c r="L493">
        <v>44866</v>
      </c>
      <c r="M493" t="s">
        <v>569</v>
      </c>
      <c r="N493">
        <v>2457770</v>
      </c>
      <c r="O493" t="e">
        <v>#N/A</v>
      </c>
    </row>
    <row r="494" spans="2:15" hidden="1" x14ac:dyDescent="0.3">
      <c r="B494" t="s">
        <v>8</v>
      </c>
      <c r="C494">
        <v>928</v>
      </c>
      <c r="D494" t="s">
        <v>13</v>
      </c>
      <c r="E494">
        <v>1184</v>
      </c>
      <c r="F494" t="s">
        <v>335</v>
      </c>
      <c r="G494">
        <v>201090</v>
      </c>
      <c r="H494" t="s">
        <v>11</v>
      </c>
      <c r="I494" t="s">
        <v>3090</v>
      </c>
      <c r="J494" t="s">
        <v>8299</v>
      </c>
      <c r="K494">
        <v>192330</v>
      </c>
      <c r="L494">
        <v>44866</v>
      </c>
      <c r="M494" t="s">
        <v>570</v>
      </c>
      <c r="N494">
        <v>192330</v>
      </c>
      <c r="O494" t="e">
        <v>#N/A</v>
      </c>
    </row>
    <row r="495" spans="2:15" hidden="1" x14ac:dyDescent="0.3">
      <c r="B495" t="s">
        <v>41</v>
      </c>
      <c r="C495">
        <v>926</v>
      </c>
      <c r="D495" t="s">
        <v>56</v>
      </c>
      <c r="E495">
        <v>1207</v>
      </c>
      <c r="F495" t="s">
        <v>57</v>
      </c>
      <c r="G495">
        <v>200982</v>
      </c>
      <c r="H495" t="s">
        <v>11</v>
      </c>
      <c r="I495" t="s">
        <v>3091</v>
      </c>
      <c r="J495" t="s">
        <v>8300</v>
      </c>
      <c r="K495">
        <v>26600</v>
      </c>
      <c r="L495">
        <v>44866</v>
      </c>
      <c r="M495" t="s">
        <v>571</v>
      </c>
      <c r="N495">
        <v>26600</v>
      </c>
      <c r="O495" t="e">
        <v>#N/A</v>
      </c>
    </row>
    <row r="496" spans="2:15" hidden="1" x14ac:dyDescent="0.3">
      <c r="B496" t="s">
        <v>8</v>
      </c>
      <c r="C496">
        <v>928</v>
      </c>
      <c r="D496" t="s">
        <v>223</v>
      </c>
      <c r="E496">
        <v>966</v>
      </c>
      <c r="F496" t="s">
        <v>224</v>
      </c>
      <c r="G496">
        <v>201008</v>
      </c>
      <c r="H496" t="s">
        <v>11</v>
      </c>
      <c r="I496" t="s">
        <v>3095</v>
      </c>
      <c r="J496" t="s">
        <v>8301</v>
      </c>
      <c r="K496">
        <v>1255710</v>
      </c>
      <c r="L496">
        <v>44866</v>
      </c>
      <c r="M496" t="s">
        <v>572</v>
      </c>
      <c r="N496">
        <v>1255710</v>
      </c>
      <c r="O496" t="e">
        <v>#N/A</v>
      </c>
    </row>
    <row r="497" spans="2:15" hidden="1" x14ac:dyDescent="0.3">
      <c r="B497" t="s">
        <v>8</v>
      </c>
      <c r="C497">
        <v>928</v>
      </c>
      <c r="D497" t="s">
        <v>9</v>
      </c>
      <c r="E497">
        <v>1202</v>
      </c>
      <c r="F497" t="s">
        <v>45</v>
      </c>
      <c r="G497">
        <v>26</v>
      </c>
      <c r="H497" t="s">
        <v>11</v>
      </c>
      <c r="I497" t="s">
        <v>3097</v>
      </c>
      <c r="J497" t="s">
        <v>8302</v>
      </c>
      <c r="K497">
        <v>948960</v>
      </c>
      <c r="L497">
        <v>44866</v>
      </c>
      <c r="M497" t="s">
        <v>573</v>
      </c>
      <c r="N497">
        <v>948960</v>
      </c>
      <c r="O497" t="e">
        <v>#N/A</v>
      </c>
    </row>
    <row r="498" spans="2:15" hidden="1" x14ac:dyDescent="0.3">
      <c r="B498" t="s">
        <v>16</v>
      </c>
      <c r="C498">
        <v>927</v>
      </c>
      <c r="D498" t="s">
        <v>17</v>
      </c>
      <c r="E498">
        <v>1200</v>
      </c>
      <c r="F498" t="s">
        <v>371</v>
      </c>
      <c r="G498">
        <v>551</v>
      </c>
      <c r="H498" t="s">
        <v>11</v>
      </c>
      <c r="I498" t="s">
        <v>3101</v>
      </c>
      <c r="J498" t="s">
        <v>8303</v>
      </c>
      <c r="K498">
        <v>559160</v>
      </c>
      <c r="L498">
        <v>44866</v>
      </c>
      <c r="M498" t="s">
        <v>574</v>
      </c>
      <c r="N498">
        <v>562230</v>
      </c>
      <c r="O498" t="e">
        <v>#N/A</v>
      </c>
    </row>
    <row r="499" spans="2:15" hidden="1" x14ac:dyDescent="0.3">
      <c r="B499" t="s">
        <v>16</v>
      </c>
      <c r="C499">
        <v>927</v>
      </c>
      <c r="D499" t="s">
        <v>17</v>
      </c>
      <c r="E499">
        <v>1200</v>
      </c>
      <c r="F499" t="s">
        <v>137</v>
      </c>
      <c r="G499">
        <v>1012</v>
      </c>
      <c r="H499" t="s">
        <v>11</v>
      </c>
      <c r="I499" t="s">
        <v>3102</v>
      </c>
      <c r="J499" t="s">
        <v>8304</v>
      </c>
      <c r="K499">
        <v>2234810</v>
      </c>
      <c r="L499">
        <v>44866</v>
      </c>
      <c r="M499" t="s">
        <v>575</v>
      </c>
      <c r="N499">
        <v>1036390</v>
      </c>
      <c r="O499" t="e">
        <v>#N/A</v>
      </c>
    </row>
    <row r="500" spans="2:15" hidden="1" x14ac:dyDescent="0.3">
      <c r="B500" t="s">
        <v>16</v>
      </c>
      <c r="C500">
        <v>927</v>
      </c>
      <c r="D500" t="s">
        <v>17</v>
      </c>
      <c r="E500">
        <v>1200</v>
      </c>
      <c r="F500" t="s">
        <v>93</v>
      </c>
      <c r="G500">
        <v>930</v>
      </c>
      <c r="H500" t="s">
        <v>11</v>
      </c>
      <c r="I500" t="s">
        <v>3103</v>
      </c>
      <c r="J500" t="s">
        <v>8305</v>
      </c>
      <c r="K500">
        <v>49610</v>
      </c>
      <c r="L500">
        <v>44866</v>
      </c>
      <c r="M500" t="s">
        <v>576</v>
      </c>
      <c r="N500">
        <v>49610</v>
      </c>
      <c r="O500" t="e">
        <v>#N/A</v>
      </c>
    </row>
    <row r="501" spans="2:15" hidden="1" x14ac:dyDescent="0.3">
      <c r="B501" t="s">
        <v>16</v>
      </c>
      <c r="C501">
        <v>927</v>
      </c>
      <c r="D501" t="s">
        <v>17</v>
      </c>
      <c r="E501">
        <v>1200</v>
      </c>
      <c r="F501" t="s">
        <v>262</v>
      </c>
      <c r="G501">
        <v>1594</v>
      </c>
      <c r="H501" t="s">
        <v>11</v>
      </c>
      <c r="I501" t="s">
        <v>3104</v>
      </c>
      <c r="J501" t="s">
        <v>8306</v>
      </c>
      <c r="K501">
        <v>1597070</v>
      </c>
      <c r="L501">
        <v>44866</v>
      </c>
      <c r="M501" t="s">
        <v>577</v>
      </c>
      <c r="N501">
        <v>1597070</v>
      </c>
      <c r="O501" t="e">
        <v>#N/A</v>
      </c>
    </row>
    <row r="502" spans="2:15" hidden="1" x14ac:dyDescent="0.3">
      <c r="B502" t="s">
        <v>16</v>
      </c>
      <c r="C502">
        <v>927</v>
      </c>
      <c r="D502" t="s">
        <v>17</v>
      </c>
      <c r="E502">
        <v>1200</v>
      </c>
      <c r="F502" t="s">
        <v>244</v>
      </c>
      <c r="G502">
        <v>817</v>
      </c>
      <c r="H502" t="s">
        <v>11</v>
      </c>
      <c r="I502" t="s">
        <v>3105</v>
      </c>
      <c r="J502" t="s">
        <v>8307</v>
      </c>
      <c r="K502">
        <v>198460</v>
      </c>
      <c r="L502">
        <v>44866</v>
      </c>
      <c r="M502" t="s">
        <v>578</v>
      </c>
      <c r="N502">
        <v>198460</v>
      </c>
      <c r="O502" t="e">
        <v>#N/A</v>
      </c>
    </row>
    <row r="503" spans="2:15" hidden="1" x14ac:dyDescent="0.3">
      <c r="B503" t="s">
        <v>8</v>
      </c>
      <c r="C503">
        <v>928</v>
      </c>
      <c r="D503" t="s">
        <v>13</v>
      </c>
      <c r="E503">
        <v>1184</v>
      </c>
      <c r="F503" t="s">
        <v>59</v>
      </c>
      <c r="G503">
        <v>9</v>
      </c>
      <c r="H503" t="s">
        <v>11</v>
      </c>
      <c r="I503" t="s">
        <v>3108</v>
      </c>
      <c r="J503" t="s">
        <v>8308</v>
      </c>
      <c r="K503">
        <v>3080</v>
      </c>
      <c r="L503">
        <v>44866</v>
      </c>
      <c r="M503" t="s">
        <v>579</v>
      </c>
      <c r="N503">
        <v>3080</v>
      </c>
      <c r="O503" t="e">
        <v>#N/A</v>
      </c>
    </row>
    <row r="504" spans="2:15" hidden="1" x14ac:dyDescent="0.3">
      <c r="B504" t="s">
        <v>16</v>
      </c>
      <c r="C504">
        <v>927</v>
      </c>
      <c r="D504" t="s">
        <v>17</v>
      </c>
      <c r="E504">
        <v>1200</v>
      </c>
      <c r="F504" t="s">
        <v>371</v>
      </c>
      <c r="G504">
        <v>551</v>
      </c>
      <c r="H504" t="s">
        <v>11</v>
      </c>
      <c r="I504" t="s">
        <v>3109</v>
      </c>
      <c r="J504" t="s">
        <v>8309</v>
      </c>
      <c r="K504">
        <v>210940</v>
      </c>
      <c r="L504">
        <v>44866</v>
      </c>
      <c r="M504" t="s">
        <v>580</v>
      </c>
      <c r="N504">
        <v>210940</v>
      </c>
      <c r="O504" t="e">
        <v>#N/A</v>
      </c>
    </row>
    <row r="505" spans="2:15" hidden="1" x14ac:dyDescent="0.3">
      <c r="B505" t="s">
        <v>22</v>
      </c>
      <c r="C505">
        <v>809</v>
      </c>
      <c r="D505" t="s">
        <v>23</v>
      </c>
      <c r="E505">
        <v>810</v>
      </c>
      <c r="F505" t="s">
        <v>86</v>
      </c>
      <c r="G505">
        <v>201021</v>
      </c>
      <c r="H505" t="s">
        <v>11</v>
      </c>
      <c r="I505" t="s">
        <v>3110</v>
      </c>
      <c r="J505" t="s">
        <v>8310</v>
      </c>
      <c r="K505">
        <v>1900420</v>
      </c>
      <c r="L505">
        <v>44866</v>
      </c>
      <c r="M505" t="s">
        <v>581</v>
      </c>
      <c r="N505">
        <v>1900420</v>
      </c>
      <c r="O505" t="e">
        <v>#N/A</v>
      </c>
    </row>
    <row r="506" spans="2:15" hidden="1" x14ac:dyDescent="0.3">
      <c r="B506" t="s">
        <v>41</v>
      </c>
      <c r="C506">
        <v>926</v>
      </c>
      <c r="D506" t="s">
        <v>42</v>
      </c>
      <c r="E506">
        <v>964</v>
      </c>
      <c r="F506" t="s">
        <v>43</v>
      </c>
      <c r="G506">
        <v>200998</v>
      </c>
      <c r="H506" t="s">
        <v>11</v>
      </c>
      <c r="I506" t="s">
        <v>8311</v>
      </c>
      <c r="J506" t="s">
        <v>7036</v>
      </c>
      <c r="K506">
        <v>3340</v>
      </c>
      <c r="L506">
        <v>44866</v>
      </c>
      <c r="M506" t="s">
        <v>582</v>
      </c>
      <c r="N506" t="e">
        <v>#N/A</v>
      </c>
      <c r="O506" t="s">
        <v>7037</v>
      </c>
    </row>
    <row r="507" spans="2:15" hidden="1" x14ac:dyDescent="0.3">
      <c r="B507" t="s">
        <v>8</v>
      </c>
      <c r="C507">
        <v>928</v>
      </c>
      <c r="D507" t="s">
        <v>9</v>
      </c>
      <c r="E507">
        <v>1202</v>
      </c>
      <c r="F507" t="s">
        <v>75</v>
      </c>
      <c r="G507">
        <v>50</v>
      </c>
      <c r="H507" t="s">
        <v>11</v>
      </c>
      <c r="I507" t="s">
        <v>3113</v>
      </c>
      <c r="J507" t="s">
        <v>8312</v>
      </c>
      <c r="K507">
        <v>1067340</v>
      </c>
      <c r="L507">
        <v>44866</v>
      </c>
      <c r="M507" t="s">
        <v>583</v>
      </c>
      <c r="N507">
        <v>1067340</v>
      </c>
      <c r="O507" t="e">
        <v>#N/A</v>
      </c>
    </row>
    <row r="508" spans="2:15" hidden="1" x14ac:dyDescent="0.3">
      <c r="B508" t="s">
        <v>41</v>
      </c>
      <c r="C508">
        <v>926</v>
      </c>
      <c r="D508" t="s">
        <v>42</v>
      </c>
      <c r="E508">
        <v>964</v>
      </c>
      <c r="F508" t="s">
        <v>43</v>
      </c>
      <c r="G508">
        <v>200998</v>
      </c>
      <c r="H508" t="s">
        <v>11</v>
      </c>
      <c r="I508" t="s">
        <v>3114</v>
      </c>
      <c r="J508" t="s">
        <v>8313</v>
      </c>
      <c r="K508">
        <v>7520</v>
      </c>
      <c r="L508">
        <v>44866</v>
      </c>
      <c r="M508" t="s">
        <v>584</v>
      </c>
      <c r="N508">
        <v>7520</v>
      </c>
      <c r="O508" t="e">
        <v>#N/A</v>
      </c>
    </row>
    <row r="509" spans="2:15" hidden="1" x14ac:dyDescent="0.3">
      <c r="B509" t="s">
        <v>22</v>
      </c>
      <c r="C509">
        <v>809</v>
      </c>
      <c r="D509" t="s">
        <v>23</v>
      </c>
      <c r="E509">
        <v>810</v>
      </c>
      <c r="F509" t="s">
        <v>106</v>
      </c>
      <c r="G509">
        <v>1349</v>
      </c>
      <c r="H509" t="s">
        <v>11</v>
      </c>
      <c r="I509" t="s">
        <v>3119</v>
      </c>
      <c r="J509" t="s">
        <v>8314</v>
      </c>
      <c r="K509">
        <v>3210840</v>
      </c>
      <c r="L509">
        <v>44866</v>
      </c>
      <c r="M509" t="s">
        <v>585</v>
      </c>
      <c r="N509">
        <v>2510860</v>
      </c>
      <c r="O509" t="e">
        <v>#N/A</v>
      </c>
    </row>
    <row r="510" spans="2:15" hidden="1" x14ac:dyDescent="0.3">
      <c r="B510" t="s">
        <v>16</v>
      </c>
      <c r="C510">
        <v>927</v>
      </c>
      <c r="D510" t="s">
        <v>17</v>
      </c>
      <c r="E510">
        <v>1200</v>
      </c>
      <c r="F510" t="s">
        <v>170</v>
      </c>
      <c r="G510">
        <v>1530</v>
      </c>
      <c r="H510" t="s">
        <v>11</v>
      </c>
      <c r="I510" t="s">
        <v>3122</v>
      </c>
      <c r="J510" t="s">
        <v>8315</v>
      </c>
      <c r="K510">
        <v>18092240</v>
      </c>
      <c r="L510">
        <v>44866</v>
      </c>
      <c r="M510" t="s">
        <v>586</v>
      </c>
      <c r="N510">
        <v>15392270</v>
      </c>
      <c r="O510" t="e">
        <v>#N/A</v>
      </c>
    </row>
    <row r="511" spans="2:15" hidden="1" x14ac:dyDescent="0.3">
      <c r="B511" t="s">
        <v>8</v>
      </c>
      <c r="C511">
        <v>928</v>
      </c>
      <c r="D511" t="s">
        <v>9</v>
      </c>
      <c r="E511">
        <v>1202</v>
      </c>
      <c r="F511" t="s">
        <v>27</v>
      </c>
      <c r="G511">
        <v>806</v>
      </c>
      <c r="H511" t="s">
        <v>11</v>
      </c>
      <c r="I511" t="s">
        <v>3123</v>
      </c>
      <c r="J511" t="s">
        <v>8316</v>
      </c>
      <c r="K511">
        <v>228680</v>
      </c>
      <c r="L511">
        <v>44866</v>
      </c>
      <c r="M511" t="s">
        <v>587</v>
      </c>
      <c r="N511">
        <v>228680</v>
      </c>
      <c r="O511" t="e">
        <v>#N/A</v>
      </c>
    </row>
    <row r="512" spans="2:15" hidden="1" x14ac:dyDescent="0.3">
      <c r="B512" t="s">
        <v>41</v>
      </c>
      <c r="C512">
        <v>926</v>
      </c>
      <c r="D512" t="s">
        <v>56</v>
      </c>
      <c r="E512">
        <v>1207</v>
      </c>
      <c r="F512" t="s">
        <v>62</v>
      </c>
      <c r="G512">
        <v>201037</v>
      </c>
      <c r="H512" t="s">
        <v>11</v>
      </c>
      <c r="I512" t="s">
        <v>3124</v>
      </c>
      <c r="J512" t="s">
        <v>8317</v>
      </c>
      <c r="K512">
        <v>61400</v>
      </c>
      <c r="L512">
        <v>44866</v>
      </c>
      <c r="M512" t="s">
        <v>588</v>
      </c>
      <c r="N512">
        <v>61840</v>
      </c>
      <c r="O512" t="e">
        <v>#N/A</v>
      </c>
    </row>
    <row r="513" spans="2:15" hidden="1" x14ac:dyDescent="0.3">
      <c r="B513" t="s">
        <v>22</v>
      </c>
      <c r="C513">
        <v>809</v>
      </c>
      <c r="D513" t="s">
        <v>23</v>
      </c>
      <c r="E513">
        <v>810</v>
      </c>
      <c r="F513" t="s">
        <v>106</v>
      </c>
      <c r="G513">
        <v>1349</v>
      </c>
      <c r="H513" t="s">
        <v>11</v>
      </c>
      <c r="I513" t="s">
        <v>3125</v>
      </c>
      <c r="J513" t="s">
        <v>8318</v>
      </c>
      <c r="K513">
        <v>140</v>
      </c>
      <c r="L513">
        <v>44866</v>
      </c>
      <c r="M513" t="s">
        <v>589</v>
      </c>
      <c r="N513">
        <v>140</v>
      </c>
      <c r="O513" t="e">
        <v>#N/A</v>
      </c>
    </row>
    <row r="514" spans="2:15" hidden="1" x14ac:dyDescent="0.3">
      <c r="B514" t="s">
        <v>41</v>
      </c>
      <c r="C514">
        <v>926</v>
      </c>
      <c r="D514" t="s">
        <v>56</v>
      </c>
      <c r="E514">
        <v>1207</v>
      </c>
      <c r="F514" t="s">
        <v>57</v>
      </c>
      <c r="G514">
        <v>200982</v>
      </c>
      <c r="H514" t="s">
        <v>11</v>
      </c>
      <c r="I514" t="s">
        <v>3126</v>
      </c>
      <c r="J514" t="s">
        <v>8319</v>
      </c>
      <c r="K514">
        <v>9960</v>
      </c>
      <c r="L514">
        <v>44866</v>
      </c>
      <c r="M514" t="s">
        <v>590</v>
      </c>
      <c r="N514">
        <v>9960</v>
      </c>
      <c r="O514" t="e">
        <v>#N/A</v>
      </c>
    </row>
    <row r="515" spans="2:15" hidden="1" x14ac:dyDescent="0.3">
      <c r="B515" t="s">
        <v>41</v>
      </c>
      <c r="C515">
        <v>926</v>
      </c>
      <c r="D515" t="s">
        <v>56</v>
      </c>
      <c r="E515">
        <v>1207</v>
      </c>
      <c r="F515" t="s">
        <v>62</v>
      </c>
      <c r="G515">
        <v>201037</v>
      </c>
      <c r="H515" t="s">
        <v>11</v>
      </c>
      <c r="I515" t="s">
        <v>3127</v>
      </c>
      <c r="J515" t="s">
        <v>8320</v>
      </c>
      <c r="K515">
        <v>694440</v>
      </c>
      <c r="L515">
        <v>44866</v>
      </c>
      <c r="M515" t="s">
        <v>591</v>
      </c>
      <c r="N515">
        <v>694440</v>
      </c>
      <c r="O515" t="e">
        <v>#N/A</v>
      </c>
    </row>
    <row r="516" spans="2:15" hidden="1" x14ac:dyDescent="0.3">
      <c r="B516" t="s">
        <v>41</v>
      </c>
      <c r="C516">
        <v>926</v>
      </c>
      <c r="D516" t="s">
        <v>42</v>
      </c>
      <c r="E516">
        <v>964</v>
      </c>
      <c r="F516" t="s">
        <v>43</v>
      </c>
      <c r="G516">
        <v>200998</v>
      </c>
      <c r="H516" t="s">
        <v>11</v>
      </c>
      <c r="I516" t="s">
        <v>3135</v>
      </c>
      <c r="J516" t="s">
        <v>8321</v>
      </c>
      <c r="K516">
        <v>63590</v>
      </c>
      <c r="L516">
        <v>44866</v>
      </c>
      <c r="M516" t="s">
        <v>592</v>
      </c>
      <c r="N516">
        <v>63590</v>
      </c>
      <c r="O516" t="e">
        <v>#N/A</v>
      </c>
    </row>
    <row r="517" spans="2:15" hidden="1" x14ac:dyDescent="0.3">
      <c r="B517" t="s">
        <v>41</v>
      </c>
      <c r="C517">
        <v>926</v>
      </c>
      <c r="D517" t="s">
        <v>56</v>
      </c>
      <c r="E517">
        <v>1207</v>
      </c>
      <c r="F517" t="s">
        <v>62</v>
      </c>
      <c r="G517">
        <v>201037</v>
      </c>
      <c r="H517" t="s">
        <v>11</v>
      </c>
      <c r="I517" t="s">
        <v>3136</v>
      </c>
      <c r="J517" t="s">
        <v>8322</v>
      </c>
      <c r="K517">
        <v>236650</v>
      </c>
      <c r="L517">
        <v>44866</v>
      </c>
      <c r="M517" t="s">
        <v>593</v>
      </c>
      <c r="N517">
        <v>236650</v>
      </c>
      <c r="O517" t="e">
        <v>#N/A</v>
      </c>
    </row>
    <row r="518" spans="2:15" hidden="1" x14ac:dyDescent="0.3">
      <c r="B518" t="s">
        <v>8</v>
      </c>
      <c r="C518">
        <v>928</v>
      </c>
      <c r="D518" t="s">
        <v>9</v>
      </c>
      <c r="E518">
        <v>1202</v>
      </c>
      <c r="F518" t="s">
        <v>33</v>
      </c>
      <c r="G518">
        <v>933</v>
      </c>
      <c r="H518" t="s">
        <v>11</v>
      </c>
      <c r="I518" t="s">
        <v>3142</v>
      </c>
      <c r="J518" t="s">
        <v>8323</v>
      </c>
      <c r="K518">
        <v>2880</v>
      </c>
      <c r="L518">
        <v>44866</v>
      </c>
      <c r="M518" t="s">
        <v>594</v>
      </c>
      <c r="N518">
        <v>2880</v>
      </c>
      <c r="O518" t="e">
        <v>#N/A</v>
      </c>
    </row>
    <row r="519" spans="2:15" hidden="1" x14ac:dyDescent="0.3">
      <c r="B519" t="s">
        <v>8</v>
      </c>
      <c r="C519">
        <v>928</v>
      </c>
      <c r="D519" t="s">
        <v>9</v>
      </c>
      <c r="E519">
        <v>1202</v>
      </c>
      <c r="F519" t="s">
        <v>10</v>
      </c>
      <c r="G519">
        <v>939</v>
      </c>
      <c r="H519" t="s">
        <v>11</v>
      </c>
      <c r="I519" t="s">
        <v>3144</v>
      </c>
      <c r="J519" t="s">
        <v>8324</v>
      </c>
      <c r="K519">
        <v>324990</v>
      </c>
      <c r="L519">
        <v>44866</v>
      </c>
      <c r="M519" t="s">
        <v>595</v>
      </c>
      <c r="N519">
        <v>324990</v>
      </c>
      <c r="O519" t="e">
        <v>#N/A</v>
      </c>
    </row>
    <row r="520" spans="2:15" hidden="1" x14ac:dyDescent="0.3">
      <c r="B520" t="s">
        <v>8</v>
      </c>
      <c r="C520">
        <v>928</v>
      </c>
      <c r="D520" t="s">
        <v>9</v>
      </c>
      <c r="E520">
        <v>1202</v>
      </c>
      <c r="F520" t="s">
        <v>37</v>
      </c>
      <c r="G520">
        <v>81</v>
      </c>
      <c r="H520" t="s">
        <v>11</v>
      </c>
      <c r="I520" t="s">
        <v>3145</v>
      </c>
      <c r="J520" t="s">
        <v>8325</v>
      </c>
      <c r="K520">
        <v>678340</v>
      </c>
      <c r="L520">
        <v>44866</v>
      </c>
      <c r="M520" t="s">
        <v>596</v>
      </c>
      <c r="N520">
        <v>678340</v>
      </c>
      <c r="O520" t="e">
        <v>#N/A</v>
      </c>
    </row>
    <row r="521" spans="2:15" hidden="1" x14ac:dyDescent="0.3">
      <c r="B521" t="s">
        <v>8</v>
      </c>
      <c r="C521">
        <v>928</v>
      </c>
      <c r="D521" t="s">
        <v>13</v>
      </c>
      <c r="E521">
        <v>1184</v>
      </c>
      <c r="F521" t="s">
        <v>51</v>
      </c>
      <c r="G521">
        <v>1274</v>
      </c>
      <c r="H521" t="s">
        <v>11</v>
      </c>
      <c r="I521" t="s">
        <v>3146</v>
      </c>
      <c r="J521" t="s">
        <v>8326</v>
      </c>
      <c r="K521">
        <v>860</v>
      </c>
      <c r="L521">
        <v>44866</v>
      </c>
      <c r="M521" t="s">
        <v>597</v>
      </c>
      <c r="N521">
        <v>860</v>
      </c>
      <c r="O521" t="e">
        <v>#N/A</v>
      </c>
    </row>
    <row r="522" spans="2:15" hidden="1" x14ac:dyDescent="0.3">
      <c r="B522" t="s">
        <v>8</v>
      </c>
      <c r="C522">
        <v>928</v>
      </c>
      <c r="D522" t="s">
        <v>13</v>
      </c>
      <c r="E522">
        <v>1184</v>
      </c>
      <c r="F522" t="s">
        <v>335</v>
      </c>
      <c r="G522">
        <v>201090</v>
      </c>
      <c r="H522" t="s">
        <v>11</v>
      </c>
      <c r="I522" t="s">
        <v>3149</v>
      </c>
      <c r="J522" t="s">
        <v>8327</v>
      </c>
      <c r="K522">
        <v>17660</v>
      </c>
      <c r="L522">
        <v>44866</v>
      </c>
      <c r="M522" t="s">
        <v>598</v>
      </c>
      <c r="N522">
        <v>17660</v>
      </c>
      <c r="O522" t="e">
        <v>#N/A</v>
      </c>
    </row>
    <row r="523" spans="2:15" hidden="1" x14ac:dyDescent="0.3">
      <c r="B523" t="s">
        <v>8</v>
      </c>
      <c r="C523">
        <v>928</v>
      </c>
      <c r="D523" t="s">
        <v>13</v>
      </c>
      <c r="E523">
        <v>1184</v>
      </c>
      <c r="F523" t="s">
        <v>14</v>
      </c>
      <c r="G523">
        <v>914</v>
      </c>
      <c r="H523" t="s">
        <v>11</v>
      </c>
      <c r="I523" t="s">
        <v>3151</v>
      </c>
      <c r="J523" t="s">
        <v>8328</v>
      </c>
      <c r="K523">
        <v>1038380</v>
      </c>
      <c r="L523">
        <v>44866</v>
      </c>
      <c r="M523" t="s">
        <v>599</v>
      </c>
      <c r="N523">
        <v>1038380</v>
      </c>
      <c r="O523" t="e">
        <v>#N/A</v>
      </c>
    </row>
    <row r="524" spans="2:15" x14ac:dyDescent="0.3">
      <c r="B524" t="s">
        <v>8</v>
      </c>
      <c r="C524">
        <v>928</v>
      </c>
      <c r="D524" t="s">
        <v>9</v>
      </c>
      <c r="E524">
        <v>1202</v>
      </c>
      <c r="F524" t="s">
        <v>104</v>
      </c>
      <c r="G524">
        <v>201009</v>
      </c>
      <c r="H524" t="s">
        <v>11</v>
      </c>
      <c r="I524" t="s">
        <v>8329</v>
      </c>
      <c r="J524" t="s">
        <v>8330</v>
      </c>
      <c r="K524">
        <v>195</v>
      </c>
      <c r="L524">
        <v>44866</v>
      </c>
      <c r="M524" t="s">
        <v>600</v>
      </c>
      <c r="N524" t="e">
        <v>#N/A</v>
      </c>
      <c r="O524" t="e">
        <v>#N/A</v>
      </c>
    </row>
    <row r="525" spans="2:15" hidden="1" x14ac:dyDescent="0.3">
      <c r="B525" t="s">
        <v>41</v>
      </c>
      <c r="C525">
        <v>926</v>
      </c>
      <c r="D525" t="s">
        <v>56</v>
      </c>
      <c r="E525">
        <v>1207</v>
      </c>
      <c r="F525" t="s">
        <v>57</v>
      </c>
      <c r="G525">
        <v>200982</v>
      </c>
      <c r="H525" t="s">
        <v>11</v>
      </c>
      <c r="I525" t="s">
        <v>3154</v>
      </c>
      <c r="J525" t="s">
        <v>8331</v>
      </c>
      <c r="K525">
        <v>24100</v>
      </c>
      <c r="L525">
        <v>44866</v>
      </c>
      <c r="M525" t="s">
        <v>601</v>
      </c>
      <c r="N525">
        <v>24100</v>
      </c>
      <c r="O525" t="e">
        <v>#N/A</v>
      </c>
    </row>
    <row r="526" spans="2:15" hidden="1" x14ac:dyDescent="0.3">
      <c r="B526" t="s">
        <v>8</v>
      </c>
      <c r="C526">
        <v>928</v>
      </c>
      <c r="D526" t="s">
        <v>9</v>
      </c>
      <c r="E526">
        <v>1202</v>
      </c>
      <c r="F526" t="s">
        <v>27</v>
      </c>
      <c r="G526">
        <v>806</v>
      </c>
      <c r="H526" t="s">
        <v>11</v>
      </c>
      <c r="I526" t="s">
        <v>3156</v>
      </c>
      <c r="J526" t="s">
        <v>8332</v>
      </c>
      <c r="K526">
        <v>70</v>
      </c>
      <c r="L526">
        <v>44866</v>
      </c>
      <c r="M526" t="s">
        <v>602</v>
      </c>
      <c r="N526">
        <v>70</v>
      </c>
      <c r="O526" t="e">
        <v>#N/A</v>
      </c>
    </row>
    <row r="527" spans="2:15" hidden="1" x14ac:dyDescent="0.3">
      <c r="B527" t="s">
        <v>41</v>
      </c>
      <c r="C527">
        <v>926</v>
      </c>
      <c r="D527" t="s">
        <v>56</v>
      </c>
      <c r="E527">
        <v>1207</v>
      </c>
      <c r="F527" t="s">
        <v>57</v>
      </c>
      <c r="G527">
        <v>200982</v>
      </c>
      <c r="H527" t="s">
        <v>11</v>
      </c>
      <c r="I527" t="s">
        <v>3158</v>
      </c>
      <c r="J527" t="s">
        <v>8333</v>
      </c>
      <c r="K527">
        <v>980</v>
      </c>
      <c r="L527">
        <v>44866</v>
      </c>
      <c r="M527" t="s">
        <v>603</v>
      </c>
      <c r="N527">
        <v>980</v>
      </c>
      <c r="O527" t="e">
        <v>#N/A</v>
      </c>
    </row>
    <row r="528" spans="2:15" hidden="1" x14ac:dyDescent="0.3">
      <c r="B528" t="s">
        <v>8</v>
      </c>
      <c r="C528">
        <v>928</v>
      </c>
      <c r="D528" t="s">
        <v>604</v>
      </c>
      <c r="E528">
        <v>958</v>
      </c>
      <c r="F528" t="s">
        <v>605</v>
      </c>
      <c r="G528">
        <v>1525</v>
      </c>
      <c r="H528" t="s">
        <v>11</v>
      </c>
      <c r="I528" t="s">
        <v>3162</v>
      </c>
      <c r="J528" t="s">
        <v>8334</v>
      </c>
      <c r="K528">
        <v>607170</v>
      </c>
      <c r="L528">
        <v>44866</v>
      </c>
      <c r="M528" t="s">
        <v>606</v>
      </c>
      <c r="N528">
        <v>607170</v>
      </c>
      <c r="O528" t="e">
        <v>#N/A</v>
      </c>
    </row>
    <row r="529" spans="2:15" hidden="1" x14ac:dyDescent="0.3">
      <c r="B529" t="s">
        <v>8</v>
      </c>
      <c r="C529">
        <v>928</v>
      </c>
      <c r="D529" t="s">
        <v>13</v>
      </c>
      <c r="E529">
        <v>1184</v>
      </c>
      <c r="F529" t="s">
        <v>118</v>
      </c>
      <c r="G529">
        <v>201004</v>
      </c>
      <c r="H529" t="s">
        <v>11</v>
      </c>
      <c r="I529" t="s">
        <v>3163</v>
      </c>
      <c r="J529" t="s">
        <v>8335</v>
      </c>
      <c r="K529">
        <v>51080</v>
      </c>
      <c r="L529">
        <v>44866</v>
      </c>
      <c r="M529" t="s">
        <v>607</v>
      </c>
      <c r="N529">
        <v>51080</v>
      </c>
      <c r="O529" t="e">
        <v>#N/A</v>
      </c>
    </row>
    <row r="530" spans="2:15" hidden="1" x14ac:dyDescent="0.3">
      <c r="B530" t="s">
        <v>41</v>
      </c>
      <c r="C530">
        <v>926</v>
      </c>
      <c r="D530" t="s">
        <v>56</v>
      </c>
      <c r="E530">
        <v>1207</v>
      </c>
      <c r="F530" t="s">
        <v>62</v>
      </c>
      <c r="G530">
        <v>201037</v>
      </c>
      <c r="H530" t="s">
        <v>11</v>
      </c>
      <c r="I530" t="s">
        <v>3167</v>
      </c>
      <c r="J530" t="s">
        <v>8336</v>
      </c>
      <c r="K530">
        <v>999980</v>
      </c>
      <c r="L530">
        <v>44866</v>
      </c>
      <c r="M530" t="s">
        <v>608</v>
      </c>
      <c r="N530">
        <v>0</v>
      </c>
      <c r="O530" t="e">
        <v>#N/A</v>
      </c>
    </row>
    <row r="531" spans="2:15" hidden="1" x14ac:dyDescent="0.3">
      <c r="B531" t="s">
        <v>8</v>
      </c>
      <c r="C531">
        <v>928</v>
      </c>
      <c r="D531" t="s">
        <v>9</v>
      </c>
      <c r="E531">
        <v>1202</v>
      </c>
      <c r="F531" t="s">
        <v>45</v>
      </c>
      <c r="G531">
        <v>26</v>
      </c>
      <c r="H531" t="s">
        <v>11</v>
      </c>
      <c r="I531" t="s">
        <v>3168</v>
      </c>
      <c r="J531" t="s">
        <v>8337</v>
      </c>
      <c r="K531">
        <v>42680</v>
      </c>
      <c r="L531">
        <v>44866</v>
      </c>
      <c r="M531" t="s">
        <v>609</v>
      </c>
      <c r="N531">
        <v>42680</v>
      </c>
      <c r="O531" t="e">
        <v>#N/A</v>
      </c>
    </row>
    <row r="532" spans="2:15" hidden="1" x14ac:dyDescent="0.3">
      <c r="B532" t="s">
        <v>8</v>
      </c>
      <c r="C532">
        <v>928</v>
      </c>
      <c r="D532" t="s">
        <v>13</v>
      </c>
      <c r="E532">
        <v>1184</v>
      </c>
      <c r="F532" t="s">
        <v>217</v>
      </c>
      <c r="G532">
        <v>201027</v>
      </c>
      <c r="H532" t="s">
        <v>11</v>
      </c>
      <c r="I532" t="s">
        <v>3175</v>
      </c>
      <c r="J532" t="s">
        <v>8338</v>
      </c>
      <c r="K532">
        <v>10310</v>
      </c>
      <c r="L532">
        <v>44866</v>
      </c>
      <c r="M532" t="s">
        <v>610</v>
      </c>
      <c r="N532">
        <v>10310</v>
      </c>
      <c r="O532" t="e">
        <v>#N/A</v>
      </c>
    </row>
    <row r="533" spans="2:15" hidden="1" x14ac:dyDescent="0.3">
      <c r="B533" t="s">
        <v>8</v>
      </c>
      <c r="C533">
        <v>928</v>
      </c>
      <c r="D533" t="s">
        <v>9</v>
      </c>
      <c r="E533">
        <v>1202</v>
      </c>
      <c r="F533" t="s">
        <v>220</v>
      </c>
      <c r="G533">
        <v>1211</v>
      </c>
      <c r="H533" t="s">
        <v>11</v>
      </c>
      <c r="I533" t="s">
        <v>3180</v>
      </c>
      <c r="J533" t="s">
        <v>8339</v>
      </c>
      <c r="K533">
        <v>635090</v>
      </c>
      <c r="L533">
        <v>44866</v>
      </c>
      <c r="M533" t="s">
        <v>611</v>
      </c>
      <c r="N533">
        <v>726000</v>
      </c>
      <c r="O533" t="e">
        <v>#N/A</v>
      </c>
    </row>
    <row r="534" spans="2:15" hidden="1" x14ac:dyDescent="0.3">
      <c r="B534" t="s">
        <v>8</v>
      </c>
      <c r="C534">
        <v>928</v>
      </c>
      <c r="D534" t="s">
        <v>223</v>
      </c>
      <c r="E534">
        <v>966</v>
      </c>
      <c r="F534" t="s">
        <v>612</v>
      </c>
      <c r="G534">
        <v>201129</v>
      </c>
      <c r="H534" t="s">
        <v>11</v>
      </c>
      <c r="I534" t="s">
        <v>3187</v>
      </c>
      <c r="J534" t="s">
        <v>8340</v>
      </c>
      <c r="K534">
        <v>55060222</v>
      </c>
      <c r="L534">
        <v>44866</v>
      </c>
      <c r="M534" t="s">
        <v>306</v>
      </c>
      <c r="N534">
        <v>36616920</v>
      </c>
      <c r="O534" t="e">
        <v>#N/A</v>
      </c>
    </row>
    <row r="535" spans="2:15" hidden="1" x14ac:dyDescent="0.3">
      <c r="B535" t="s">
        <v>41</v>
      </c>
      <c r="C535">
        <v>926</v>
      </c>
      <c r="D535" t="s">
        <v>56</v>
      </c>
      <c r="E535">
        <v>1207</v>
      </c>
      <c r="F535" t="s">
        <v>253</v>
      </c>
      <c r="G535">
        <v>1328</v>
      </c>
      <c r="H535" t="s">
        <v>11</v>
      </c>
      <c r="I535" t="s">
        <v>3193</v>
      </c>
      <c r="J535" t="s">
        <v>8341</v>
      </c>
      <c r="K535">
        <v>1823440</v>
      </c>
      <c r="L535">
        <v>44866</v>
      </c>
      <c r="M535" t="s">
        <v>613</v>
      </c>
      <c r="N535">
        <v>1823440</v>
      </c>
      <c r="O535" t="e">
        <v>#N/A</v>
      </c>
    </row>
    <row r="536" spans="2:15" hidden="1" x14ac:dyDescent="0.3">
      <c r="B536" t="s">
        <v>16</v>
      </c>
      <c r="C536">
        <v>927</v>
      </c>
      <c r="D536" t="s">
        <v>17</v>
      </c>
      <c r="E536">
        <v>1200</v>
      </c>
      <c r="F536" t="s">
        <v>66</v>
      </c>
      <c r="G536">
        <v>33</v>
      </c>
      <c r="H536" t="s">
        <v>11</v>
      </c>
      <c r="I536" t="s">
        <v>3194</v>
      </c>
      <c r="J536" t="s">
        <v>8342</v>
      </c>
      <c r="K536">
        <v>1990130</v>
      </c>
      <c r="L536">
        <v>44866</v>
      </c>
      <c r="M536" t="s">
        <v>614</v>
      </c>
      <c r="N536">
        <v>1990130</v>
      </c>
      <c r="O536" t="e">
        <v>#N/A</v>
      </c>
    </row>
    <row r="537" spans="2:15" hidden="1" x14ac:dyDescent="0.3">
      <c r="B537" t="s">
        <v>8</v>
      </c>
      <c r="C537">
        <v>928</v>
      </c>
      <c r="D537" t="s">
        <v>13</v>
      </c>
      <c r="E537">
        <v>1184</v>
      </c>
      <c r="F537" t="s">
        <v>51</v>
      </c>
      <c r="G537">
        <v>1274</v>
      </c>
      <c r="H537" t="s">
        <v>11</v>
      </c>
      <c r="I537" t="s">
        <v>3200</v>
      </c>
      <c r="J537" t="s">
        <v>8343</v>
      </c>
      <c r="K537">
        <v>181140</v>
      </c>
      <c r="L537">
        <v>44866</v>
      </c>
      <c r="M537" t="s">
        <v>615</v>
      </c>
      <c r="N537">
        <v>181140</v>
      </c>
      <c r="O537" t="e">
        <v>#N/A</v>
      </c>
    </row>
    <row r="538" spans="2:15" hidden="1" x14ac:dyDescent="0.3">
      <c r="B538" t="s">
        <v>8</v>
      </c>
      <c r="C538">
        <v>928</v>
      </c>
      <c r="D538" t="s">
        <v>9</v>
      </c>
      <c r="E538">
        <v>1202</v>
      </c>
      <c r="F538" t="s">
        <v>35</v>
      </c>
      <c r="G538">
        <v>51</v>
      </c>
      <c r="H538" t="s">
        <v>11</v>
      </c>
      <c r="I538" t="s">
        <v>8344</v>
      </c>
      <c r="J538" t="s">
        <v>7141</v>
      </c>
      <c r="K538">
        <v>1634420</v>
      </c>
      <c r="L538">
        <v>44866</v>
      </c>
      <c r="M538" t="s">
        <v>616</v>
      </c>
      <c r="N538" t="e">
        <v>#N/A</v>
      </c>
      <c r="O538" t="s">
        <v>7142</v>
      </c>
    </row>
    <row r="539" spans="2:15" hidden="1" x14ac:dyDescent="0.3">
      <c r="B539" t="s">
        <v>8</v>
      </c>
      <c r="C539">
        <v>928</v>
      </c>
      <c r="D539" t="s">
        <v>13</v>
      </c>
      <c r="E539">
        <v>1184</v>
      </c>
      <c r="F539" t="s">
        <v>115</v>
      </c>
      <c r="G539">
        <v>1548</v>
      </c>
      <c r="H539" t="s">
        <v>11</v>
      </c>
      <c r="I539" t="s">
        <v>3203</v>
      </c>
      <c r="J539" t="s">
        <v>8345</v>
      </c>
      <c r="K539">
        <v>9670</v>
      </c>
      <c r="L539">
        <v>44866</v>
      </c>
      <c r="M539" t="s">
        <v>617</v>
      </c>
      <c r="N539">
        <v>9670</v>
      </c>
      <c r="O539" t="e">
        <v>#N/A</v>
      </c>
    </row>
    <row r="540" spans="2:15" hidden="1" x14ac:dyDescent="0.3">
      <c r="B540" t="s">
        <v>8</v>
      </c>
      <c r="C540">
        <v>928</v>
      </c>
      <c r="D540" t="s">
        <v>9</v>
      </c>
      <c r="E540">
        <v>1202</v>
      </c>
      <c r="F540" t="s">
        <v>75</v>
      </c>
      <c r="G540">
        <v>50</v>
      </c>
      <c r="H540" t="s">
        <v>11</v>
      </c>
      <c r="I540" t="s">
        <v>3211</v>
      </c>
      <c r="J540" t="s">
        <v>8346</v>
      </c>
      <c r="K540">
        <v>129220</v>
      </c>
      <c r="L540">
        <v>44866</v>
      </c>
      <c r="M540" t="s">
        <v>618</v>
      </c>
      <c r="N540">
        <v>129220</v>
      </c>
      <c r="O540" t="e">
        <v>#N/A</v>
      </c>
    </row>
    <row r="541" spans="2:15" hidden="1" x14ac:dyDescent="0.3">
      <c r="B541" t="s">
        <v>8</v>
      </c>
      <c r="C541">
        <v>928</v>
      </c>
      <c r="D541" t="s">
        <v>9</v>
      </c>
      <c r="E541">
        <v>1202</v>
      </c>
      <c r="F541" t="s">
        <v>37</v>
      </c>
      <c r="G541">
        <v>81</v>
      </c>
      <c r="H541" t="s">
        <v>11</v>
      </c>
      <c r="I541" t="s">
        <v>3212</v>
      </c>
      <c r="J541" t="s">
        <v>8347</v>
      </c>
      <c r="K541">
        <v>222100</v>
      </c>
      <c r="L541">
        <v>44866</v>
      </c>
      <c r="M541" t="s">
        <v>619</v>
      </c>
      <c r="N541">
        <v>222100</v>
      </c>
      <c r="O541" t="e">
        <v>#N/A</v>
      </c>
    </row>
    <row r="542" spans="2:15" hidden="1" x14ac:dyDescent="0.3">
      <c r="B542" t="s">
        <v>16</v>
      </c>
      <c r="C542">
        <v>927</v>
      </c>
      <c r="D542" t="s">
        <v>17</v>
      </c>
      <c r="E542">
        <v>1200</v>
      </c>
      <c r="F542" t="s">
        <v>96</v>
      </c>
      <c r="G542">
        <v>1271</v>
      </c>
      <c r="H542" t="s">
        <v>11</v>
      </c>
      <c r="I542" t="s">
        <v>3215</v>
      </c>
      <c r="J542" t="s">
        <v>8348</v>
      </c>
      <c r="K542">
        <v>194150</v>
      </c>
      <c r="L542">
        <v>44866</v>
      </c>
      <c r="M542" t="s">
        <v>620</v>
      </c>
      <c r="N542">
        <v>194150</v>
      </c>
      <c r="O542" t="e">
        <v>#N/A</v>
      </c>
    </row>
    <row r="543" spans="2:15" hidden="1" x14ac:dyDescent="0.3">
      <c r="B543" t="s">
        <v>41</v>
      </c>
      <c r="C543">
        <v>926</v>
      </c>
      <c r="D543" t="s">
        <v>525</v>
      </c>
      <c r="E543">
        <v>954</v>
      </c>
      <c r="F543" t="s">
        <v>526</v>
      </c>
      <c r="G543">
        <v>200999</v>
      </c>
      <c r="H543" t="s">
        <v>11</v>
      </c>
      <c r="I543" t="s">
        <v>3216</v>
      </c>
      <c r="J543" t="s">
        <v>8349</v>
      </c>
      <c r="K543">
        <v>79862</v>
      </c>
      <c r="L543">
        <v>44866</v>
      </c>
      <c r="M543" t="s">
        <v>621</v>
      </c>
      <c r="N543">
        <v>83990</v>
      </c>
      <c r="O543" t="e">
        <v>#N/A</v>
      </c>
    </row>
    <row r="544" spans="2:15" hidden="1" x14ac:dyDescent="0.3">
      <c r="B544" t="s">
        <v>41</v>
      </c>
      <c r="C544">
        <v>926</v>
      </c>
      <c r="D544" t="s">
        <v>56</v>
      </c>
      <c r="E544">
        <v>1207</v>
      </c>
      <c r="F544" t="s">
        <v>57</v>
      </c>
      <c r="G544">
        <v>200982</v>
      </c>
      <c r="H544" t="s">
        <v>11</v>
      </c>
      <c r="I544" t="s">
        <v>3217</v>
      </c>
      <c r="J544" t="s">
        <v>8350</v>
      </c>
      <c r="K544">
        <v>25230</v>
      </c>
      <c r="L544">
        <v>44866</v>
      </c>
      <c r="M544" t="s">
        <v>622</v>
      </c>
      <c r="N544">
        <v>25230</v>
      </c>
      <c r="O544" t="e">
        <v>#N/A</v>
      </c>
    </row>
    <row r="545" spans="2:15" hidden="1" x14ac:dyDescent="0.3">
      <c r="B545" t="s">
        <v>8</v>
      </c>
      <c r="C545">
        <v>928</v>
      </c>
      <c r="D545" t="s">
        <v>9</v>
      </c>
      <c r="E545">
        <v>1202</v>
      </c>
      <c r="F545" t="s">
        <v>27</v>
      </c>
      <c r="G545">
        <v>806</v>
      </c>
      <c r="H545" t="s">
        <v>11</v>
      </c>
      <c r="I545" t="s">
        <v>3218</v>
      </c>
      <c r="J545" t="s">
        <v>8351</v>
      </c>
      <c r="K545">
        <v>700</v>
      </c>
      <c r="L545">
        <v>44866</v>
      </c>
      <c r="M545" t="s">
        <v>623</v>
      </c>
      <c r="N545">
        <v>700</v>
      </c>
      <c r="O545" t="e">
        <v>#N/A</v>
      </c>
    </row>
    <row r="546" spans="2:15" hidden="1" x14ac:dyDescent="0.3">
      <c r="B546" t="s">
        <v>8</v>
      </c>
      <c r="C546">
        <v>928</v>
      </c>
      <c r="D546" t="s">
        <v>9</v>
      </c>
      <c r="E546">
        <v>1202</v>
      </c>
      <c r="F546" t="s">
        <v>35</v>
      </c>
      <c r="G546">
        <v>51</v>
      </c>
      <c r="H546" t="s">
        <v>11</v>
      </c>
      <c r="I546" t="s">
        <v>3220</v>
      </c>
      <c r="J546" t="s">
        <v>8352</v>
      </c>
      <c r="K546">
        <v>8720</v>
      </c>
      <c r="L546">
        <v>44866</v>
      </c>
      <c r="M546" t="s">
        <v>624</v>
      </c>
      <c r="N546">
        <v>8720</v>
      </c>
      <c r="O546" t="e">
        <v>#N/A</v>
      </c>
    </row>
    <row r="547" spans="2:15" hidden="1" x14ac:dyDescent="0.3">
      <c r="B547" t="s">
        <v>8</v>
      </c>
      <c r="C547">
        <v>928</v>
      </c>
      <c r="D547" t="s">
        <v>9</v>
      </c>
      <c r="E547">
        <v>1202</v>
      </c>
      <c r="F547" t="s">
        <v>37</v>
      </c>
      <c r="G547">
        <v>81</v>
      </c>
      <c r="H547" t="s">
        <v>11</v>
      </c>
      <c r="I547" t="s">
        <v>3224</v>
      </c>
      <c r="J547" t="s">
        <v>8353</v>
      </c>
      <c r="K547">
        <v>440990</v>
      </c>
      <c r="L547">
        <v>44866</v>
      </c>
      <c r="M547" t="s">
        <v>625</v>
      </c>
      <c r="N547">
        <v>440990</v>
      </c>
      <c r="O547" t="e">
        <v>#N/A</v>
      </c>
    </row>
    <row r="548" spans="2:15" hidden="1" x14ac:dyDescent="0.3">
      <c r="B548" t="s">
        <v>41</v>
      </c>
      <c r="C548">
        <v>926</v>
      </c>
      <c r="D548" t="s">
        <v>56</v>
      </c>
      <c r="E548">
        <v>1207</v>
      </c>
      <c r="F548" t="s">
        <v>253</v>
      </c>
      <c r="G548">
        <v>1328</v>
      </c>
      <c r="H548" t="s">
        <v>11</v>
      </c>
      <c r="I548" t="s">
        <v>3225</v>
      </c>
      <c r="J548" t="s">
        <v>8354</v>
      </c>
      <c r="K548">
        <v>108920</v>
      </c>
      <c r="L548">
        <v>44866</v>
      </c>
      <c r="M548" t="s">
        <v>626</v>
      </c>
      <c r="N548">
        <v>108920</v>
      </c>
      <c r="O548" t="e">
        <v>#N/A</v>
      </c>
    </row>
    <row r="549" spans="2:15" hidden="1" x14ac:dyDescent="0.3">
      <c r="B549" t="s">
        <v>16</v>
      </c>
      <c r="C549">
        <v>927</v>
      </c>
      <c r="D549" t="s">
        <v>17</v>
      </c>
      <c r="E549">
        <v>1200</v>
      </c>
      <c r="F549" t="s">
        <v>229</v>
      </c>
      <c r="G549">
        <v>560</v>
      </c>
      <c r="H549" t="s">
        <v>11</v>
      </c>
      <c r="I549" t="s">
        <v>3226</v>
      </c>
      <c r="J549" t="s">
        <v>8355</v>
      </c>
      <c r="K549">
        <v>261990</v>
      </c>
      <c r="L549">
        <v>44866</v>
      </c>
      <c r="M549" t="s">
        <v>627</v>
      </c>
      <c r="N549">
        <v>261990</v>
      </c>
      <c r="O549" t="e">
        <v>#N/A</v>
      </c>
    </row>
    <row r="550" spans="2:15" hidden="1" x14ac:dyDescent="0.3">
      <c r="B550" t="s">
        <v>41</v>
      </c>
      <c r="C550">
        <v>926</v>
      </c>
      <c r="D550" t="s">
        <v>42</v>
      </c>
      <c r="E550">
        <v>964</v>
      </c>
      <c r="F550" t="s">
        <v>43</v>
      </c>
      <c r="G550">
        <v>200998</v>
      </c>
      <c r="H550" t="s">
        <v>11</v>
      </c>
      <c r="I550" t="s">
        <v>3229</v>
      </c>
      <c r="J550" t="s">
        <v>8356</v>
      </c>
      <c r="K550">
        <v>70</v>
      </c>
      <c r="L550">
        <v>44866</v>
      </c>
      <c r="M550" t="s">
        <v>628</v>
      </c>
      <c r="N550">
        <v>70</v>
      </c>
      <c r="O550" t="e">
        <v>#N/A</v>
      </c>
    </row>
    <row r="551" spans="2:15" hidden="1" x14ac:dyDescent="0.3">
      <c r="B551" t="s">
        <v>16</v>
      </c>
      <c r="C551">
        <v>927</v>
      </c>
      <c r="D551" t="s">
        <v>17</v>
      </c>
      <c r="E551">
        <v>1200</v>
      </c>
      <c r="F551" t="s">
        <v>96</v>
      </c>
      <c r="G551">
        <v>1271</v>
      </c>
      <c r="H551" t="s">
        <v>11</v>
      </c>
      <c r="I551" t="s">
        <v>3230</v>
      </c>
      <c r="J551" t="s">
        <v>8357</v>
      </c>
      <c r="K551">
        <v>2200</v>
      </c>
      <c r="L551">
        <v>44866</v>
      </c>
      <c r="M551" t="s">
        <v>629</v>
      </c>
      <c r="N551">
        <v>2200</v>
      </c>
      <c r="O551" t="e">
        <v>#N/A</v>
      </c>
    </row>
    <row r="552" spans="2:15" hidden="1" x14ac:dyDescent="0.3">
      <c r="B552" t="s">
        <v>41</v>
      </c>
      <c r="C552">
        <v>926</v>
      </c>
      <c r="D552" t="s">
        <v>56</v>
      </c>
      <c r="E552">
        <v>1207</v>
      </c>
      <c r="F552" t="s">
        <v>62</v>
      </c>
      <c r="G552">
        <v>201037</v>
      </c>
      <c r="H552" t="s">
        <v>11</v>
      </c>
      <c r="I552" t="s">
        <v>3231</v>
      </c>
      <c r="J552" t="s">
        <v>8358</v>
      </c>
      <c r="K552">
        <v>17990</v>
      </c>
      <c r="L552">
        <v>44866</v>
      </c>
      <c r="M552" t="s">
        <v>630</v>
      </c>
      <c r="N552">
        <v>17990</v>
      </c>
      <c r="O552" t="e">
        <v>#N/A</v>
      </c>
    </row>
    <row r="553" spans="2:15" hidden="1" x14ac:dyDescent="0.3">
      <c r="B553" t="s">
        <v>8</v>
      </c>
      <c r="C553">
        <v>928</v>
      </c>
      <c r="D553" t="s">
        <v>223</v>
      </c>
      <c r="E553">
        <v>966</v>
      </c>
      <c r="F553" t="s">
        <v>224</v>
      </c>
      <c r="G553">
        <v>201008</v>
      </c>
      <c r="H553" t="s">
        <v>11</v>
      </c>
      <c r="I553" t="s">
        <v>3232</v>
      </c>
      <c r="J553" t="s">
        <v>8359</v>
      </c>
      <c r="K553">
        <v>1382870</v>
      </c>
      <c r="L553">
        <v>44866</v>
      </c>
      <c r="M553" t="s">
        <v>631</v>
      </c>
      <c r="N553">
        <v>1382870</v>
      </c>
      <c r="O553" t="e">
        <v>#N/A</v>
      </c>
    </row>
    <row r="554" spans="2:15" hidden="1" x14ac:dyDescent="0.3">
      <c r="B554" t="s">
        <v>8</v>
      </c>
      <c r="C554">
        <v>928</v>
      </c>
      <c r="D554" t="s">
        <v>13</v>
      </c>
      <c r="E554">
        <v>1184</v>
      </c>
      <c r="F554" t="s">
        <v>217</v>
      </c>
      <c r="G554">
        <v>201027</v>
      </c>
      <c r="H554" t="s">
        <v>11</v>
      </c>
      <c r="I554" t="s">
        <v>3233</v>
      </c>
      <c r="J554" t="s">
        <v>8360</v>
      </c>
      <c r="K554">
        <v>60443</v>
      </c>
      <c r="L554">
        <v>44866</v>
      </c>
      <c r="M554" t="s">
        <v>632</v>
      </c>
      <c r="N554">
        <v>60489</v>
      </c>
      <c r="O554" t="e">
        <v>#N/A</v>
      </c>
    </row>
    <row r="555" spans="2:15" hidden="1" x14ac:dyDescent="0.3">
      <c r="B555" t="s">
        <v>41</v>
      </c>
      <c r="C555">
        <v>926</v>
      </c>
      <c r="D555" t="s">
        <v>56</v>
      </c>
      <c r="E555">
        <v>1207</v>
      </c>
      <c r="F555" t="s">
        <v>57</v>
      </c>
      <c r="G555">
        <v>200982</v>
      </c>
      <c r="H555" t="s">
        <v>11</v>
      </c>
      <c r="I555" t="s">
        <v>3234</v>
      </c>
      <c r="J555" t="s">
        <v>8361</v>
      </c>
      <c r="K555">
        <v>129190</v>
      </c>
      <c r="L555">
        <v>44866</v>
      </c>
      <c r="M555" t="s">
        <v>633</v>
      </c>
      <c r="N555">
        <v>129190</v>
      </c>
      <c r="O555" t="e">
        <v>#N/A</v>
      </c>
    </row>
    <row r="556" spans="2:15" hidden="1" x14ac:dyDescent="0.3">
      <c r="B556" t="s">
        <v>16</v>
      </c>
      <c r="C556">
        <v>927</v>
      </c>
      <c r="D556" t="s">
        <v>17</v>
      </c>
      <c r="E556">
        <v>1200</v>
      </c>
      <c r="F556" t="s">
        <v>96</v>
      </c>
      <c r="G556">
        <v>1271</v>
      </c>
      <c r="H556" t="s">
        <v>11</v>
      </c>
      <c r="I556" t="s">
        <v>3235</v>
      </c>
      <c r="J556" t="s">
        <v>8362</v>
      </c>
      <c r="K556">
        <v>930680</v>
      </c>
      <c r="L556">
        <v>44866</v>
      </c>
      <c r="M556" t="s">
        <v>634</v>
      </c>
      <c r="N556">
        <v>930680</v>
      </c>
      <c r="O556" t="e">
        <v>#N/A</v>
      </c>
    </row>
    <row r="557" spans="2:15" hidden="1" x14ac:dyDescent="0.3">
      <c r="B557" t="s">
        <v>16</v>
      </c>
      <c r="C557">
        <v>927</v>
      </c>
      <c r="D557" t="s">
        <v>17</v>
      </c>
      <c r="E557">
        <v>1200</v>
      </c>
      <c r="F557" t="s">
        <v>100</v>
      </c>
      <c r="G557">
        <v>201038</v>
      </c>
      <c r="H557" t="s">
        <v>11</v>
      </c>
      <c r="I557" t="s">
        <v>3240</v>
      </c>
      <c r="J557" t="s">
        <v>8363</v>
      </c>
      <c r="K557">
        <v>202020</v>
      </c>
      <c r="L557">
        <v>44866</v>
      </c>
      <c r="M557" t="s">
        <v>635</v>
      </c>
      <c r="N557">
        <v>202020</v>
      </c>
      <c r="O557" t="e">
        <v>#N/A</v>
      </c>
    </row>
    <row r="558" spans="2:15" hidden="1" x14ac:dyDescent="0.3">
      <c r="B558" t="s">
        <v>8</v>
      </c>
      <c r="C558">
        <v>928</v>
      </c>
      <c r="D558" t="s">
        <v>13</v>
      </c>
      <c r="E558">
        <v>1184</v>
      </c>
      <c r="F558" t="s">
        <v>14</v>
      </c>
      <c r="G558">
        <v>914</v>
      </c>
      <c r="H558" t="s">
        <v>11</v>
      </c>
      <c r="I558" t="s">
        <v>3244</v>
      </c>
      <c r="J558" t="s">
        <v>8364</v>
      </c>
      <c r="K558">
        <v>227960</v>
      </c>
      <c r="L558">
        <v>44866</v>
      </c>
      <c r="M558" t="s">
        <v>323</v>
      </c>
      <c r="N558">
        <v>227960</v>
      </c>
      <c r="O558" t="e">
        <v>#N/A</v>
      </c>
    </row>
    <row r="559" spans="2:15" hidden="1" x14ac:dyDescent="0.3">
      <c r="B559" t="s">
        <v>16</v>
      </c>
      <c r="C559">
        <v>927</v>
      </c>
      <c r="D559" t="s">
        <v>17</v>
      </c>
      <c r="E559">
        <v>1200</v>
      </c>
      <c r="F559" t="s">
        <v>262</v>
      </c>
      <c r="G559">
        <v>1594</v>
      </c>
      <c r="H559" t="s">
        <v>11</v>
      </c>
      <c r="I559" t="s">
        <v>3246</v>
      </c>
      <c r="J559" t="s">
        <v>8365</v>
      </c>
      <c r="K559">
        <v>47270</v>
      </c>
      <c r="L559">
        <v>44866</v>
      </c>
      <c r="M559" t="s">
        <v>636</v>
      </c>
      <c r="N559">
        <v>47270</v>
      </c>
      <c r="O559" t="e">
        <v>#N/A</v>
      </c>
    </row>
    <row r="560" spans="2:15" hidden="1" x14ac:dyDescent="0.3">
      <c r="B560" t="s">
        <v>8</v>
      </c>
      <c r="C560">
        <v>928</v>
      </c>
      <c r="D560" t="s">
        <v>13</v>
      </c>
      <c r="E560">
        <v>1184</v>
      </c>
      <c r="F560" t="s">
        <v>14</v>
      </c>
      <c r="G560">
        <v>914</v>
      </c>
      <c r="H560" t="s">
        <v>11</v>
      </c>
      <c r="I560" t="s">
        <v>3247</v>
      </c>
      <c r="J560" t="s">
        <v>8366</v>
      </c>
      <c r="K560">
        <v>1185670</v>
      </c>
      <c r="L560">
        <v>44866</v>
      </c>
      <c r="M560" t="s">
        <v>637</v>
      </c>
      <c r="N560">
        <v>1185670</v>
      </c>
      <c r="O560" t="e">
        <v>#N/A</v>
      </c>
    </row>
    <row r="561" spans="2:15" hidden="1" x14ac:dyDescent="0.3">
      <c r="B561" t="s">
        <v>8</v>
      </c>
      <c r="C561">
        <v>928</v>
      </c>
      <c r="D561" t="s">
        <v>13</v>
      </c>
      <c r="E561">
        <v>1184</v>
      </c>
      <c r="F561" t="s">
        <v>115</v>
      </c>
      <c r="G561">
        <v>1548</v>
      </c>
      <c r="H561" t="s">
        <v>11</v>
      </c>
      <c r="I561" t="s">
        <v>3249</v>
      </c>
      <c r="J561" t="s">
        <v>8367</v>
      </c>
      <c r="K561">
        <v>60210</v>
      </c>
      <c r="L561">
        <v>44866</v>
      </c>
      <c r="M561" t="s">
        <v>638</v>
      </c>
      <c r="N561">
        <v>60210</v>
      </c>
      <c r="O561" t="e">
        <v>#N/A</v>
      </c>
    </row>
    <row r="562" spans="2:15" hidden="1" x14ac:dyDescent="0.3">
      <c r="B562" t="s">
        <v>8</v>
      </c>
      <c r="C562">
        <v>928</v>
      </c>
      <c r="D562" t="s">
        <v>9</v>
      </c>
      <c r="E562">
        <v>1202</v>
      </c>
      <c r="F562" t="s">
        <v>47</v>
      </c>
      <c r="G562">
        <v>898</v>
      </c>
      <c r="H562" t="s">
        <v>11</v>
      </c>
      <c r="I562" t="s">
        <v>3251</v>
      </c>
      <c r="J562" t="s">
        <v>8368</v>
      </c>
      <c r="K562">
        <v>115180</v>
      </c>
      <c r="L562">
        <v>44866</v>
      </c>
      <c r="M562" t="s">
        <v>639</v>
      </c>
      <c r="N562">
        <v>115180</v>
      </c>
      <c r="O562" t="e">
        <v>#N/A</v>
      </c>
    </row>
    <row r="563" spans="2:15" hidden="1" x14ac:dyDescent="0.3">
      <c r="B563" t="s">
        <v>8</v>
      </c>
      <c r="C563">
        <v>928</v>
      </c>
      <c r="D563" t="s">
        <v>9</v>
      </c>
      <c r="E563">
        <v>1202</v>
      </c>
      <c r="F563" t="s">
        <v>27</v>
      </c>
      <c r="G563">
        <v>806</v>
      </c>
      <c r="H563" t="s">
        <v>11</v>
      </c>
      <c r="I563" t="s">
        <v>3252</v>
      </c>
      <c r="J563" t="s">
        <v>8369</v>
      </c>
      <c r="K563">
        <v>850</v>
      </c>
      <c r="L563">
        <v>44866</v>
      </c>
      <c r="M563" t="s">
        <v>640</v>
      </c>
      <c r="N563">
        <v>850</v>
      </c>
      <c r="O563" t="e">
        <v>#N/A</v>
      </c>
    </row>
    <row r="564" spans="2:15" hidden="1" x14ac:dyDescent="0.3">
      <c r="B564" t="s">
        <v>16</v>
      </c>
      <c r="C564">
        <v>927</v>
      </c>
      <c r="D564" t="s">
        <v>17</v>
      </c>
      <c r="E564">
        <v>1200</v>
      </c>
      <c r="F564" t="s">
        <v>96</v>
      </c>
      <c r="G564">
        <v>1271</v>
      </c>
      <c r="H564" t="s">
        <v>11</v>
      </c>
      <c r="I564" t="s">
        <v>3253</v>
      </c>
      <c r="J564" t="s">
        <v>8370</v>
      </c>
      <c r="K564">
        <v>2725960</v>
      </c>
      <c r="L564">
        <v>44866</v>
      </c>
      <c r="M564" t="s">
        <v>641</v>
      </c>
      <c r="N564">
        <v>2725960</v>
      </c>
      <c r="O564" t="e">
        <v>#N/A</v>
      </c>
    </row>
    <row r="565" spans="2:15" hidden="1" x14ac:dyDescent="0.3">
      <c r="B565" t="s">
        <v>8</v>
      </c>
      <c r="C565">
        <v>928</v>
      </c>
      <c r="D565" t="s">
        <v>13</v>
      </c>
      <c r="E565">
        <v>1184</v>
      </c>
      <c r="F565" t="s">
        <v>14</v>
      </c>
      <c r="G565">
        <v>914</v>
      </c>
      <c r="H565" t="s">
        <v>11</v>
      </c>
      <c r="I565" t="s">
        <v>3254</v>
      </c>
      <c r="J565" t="s">
        <v>8371</v>
      </c>
      <c r="K565">
        <v>301460</v>
      </c>
      <c r="L565">
        <v>44866</v>
      </c>
      <c r="M565" t="s">
        <v>323</v>
      </c>
      <c r="N565">
        <v>301460</v>
      </c>
      <c r="O565" t="e">
        <v>#N/A</v>
      </c>
    </row>
    <row r="566" spans="2:15" hidden="1" x14ac:dyDescent="0.3">
      <c r="B566" t="s">
        <v>8</v>
      </c>
      <c r="C566">
        <v>928</v>
      </c>
      <c r="D566" t="s">
        <v>13</v>
      </c>
      <c r="E566">
        <v>1184</v>
      </c>
      <c r="F566" t="s">
        <v>51</v>
      </c>
      <c r="G566">
        <v>1274</v>
      </c>
      <c r="H566" t="s">
        <v>11</v>
      </c>
      <c r="I566" t="s">
        <v>3255</v>
      </c>
      <c r="J566" t="s">
        <v>8372</v>
      </c>
      <c r="K566">
        <v>420</v>
      </c>
      <c r="L566">
        <v>44866</v>
      </c>
      <c r="M566" t="s">
        <v>642</v>
      </c>
      <c r="N566">
        <v>420</v>
      </c>
      <c r="O566" t="e">
        <v>#N/A</v>
      </c>
    </row>
    <row r="567" spans="2:15" hidden="1" x14ac:dyDescent="0.3">
      <c r="B567" t="s">
        <v>8</v>
      </c>
      <c r="C567">
        <v>928</v>
      </c>
      <c r="D567" t="s">
        <v>13</v>
      </c>
      <c r="E567">
        <v>1184</v>
      </c>
      <c r="F567" t="s">
        <v>14</v>
      </c>
      <c r="G567">
        <v>914</v>
      </c>
      <c r="H567" t="s">
        <v>11</v>
      </c>
      <c r="I567" t="s">
        <v>3260</v>
      </c>
      <c r="J567" t="s">
        <v>8373</v>
      </c>
      <c r="K567">
        <v>10640</v>
      </c>
      <c r="L567">
        <v>44866</v>
      </c>
      <c r="M567" t="s">
        <v>643</v>
      </c>
      <c r="N567">
        <v>10640</v>
      </c>
      <c r="O567" t="e">
        <v>#N/A</v>
      </c>
    </row>
    <row r="568" spans="2:15" hidden="1" x14ac:dyDescent="0.3">
      <c r="B568" t="s">
        <v>41</v>
      </c>
      <c r="C568">
        <v>926</v>
      </c>
      <c r="D568" t="s">
        <v>56</v>
      </c>
      <c r="E568">
        <v>1207</v>
      </c>
      <c r="F568" t="s">
        <v>57</v>
      </c>
      <c r="G568">
        <v>200982</v>
      </c>
      <c r="H568" t="s">
        <v>11</v>
      </c>
      <c r="I568" t="s">
        <v>3262</v>
      </c>
      <c r="J568" t="s">
        <v>8374</v>
      </c>
      <c r="K568">
        <v>1780680</v>
      </c>
      <c r="L568">
        <v>44866</v>
      </c>
      <c r="M568" t="s">
        <v>644</v>
      </c>
      <c r="N568">
        <v>1780680</v>
      </c>
      <c r="O568" t="e">
        <v>#N/A</v>
      </c>
    </row>
    <row r="569" spans="2:15" hidden="1" x14ac:dyDescent="0.3">
      <c r="B569" t="s">
        <v>8</v>
      </c>
      <c r="C569">
        <v>928</v>
      </c>
      <c r="D569" t="s">
        <v>13</v>
      </c>
      <c r="E569">
        <v>1184</v>
      </c>
      <c r="F569" t="s">
        <v>51</v>
      </c>
      <c r="G569">
        <v>1274</v>
      </c>
      <c r="H569" t="s">
        <v>11</v>
      </c>
      <c r="I569" t="s">
        <v>3266</v>
      </c>
      <c r="J569" t="s">
        <v>8375</v>
      </c>
      <c r="K569">
        <v>280</v>
      </c>
      <c r="L569">
        <v>44866</v>
      </c>
      <c r="M569" t="s">
        <v>645</v>
      </c>
      <c r="N569">
        <v>280</v>
      </c>
      <c r="O569" t="e">
        <v>#N/A</v>
      </c>
    </row>
    <row r="570" spans="2:15" hidden="1" x14ac:dyDescent="0.3">
      <c r="B570" t="s">
        <v>8</v>
      </c>
      <c r="C570">
        <v>928</v>
      </c>
      <c r="D570" t="s">
        <v>13</v>
      </c>
      <c r="E570">
        <v>1184</v>
      </c>
      <c r="F570" t="s">
        <v>51</v>
      </c>
      <c r="G570">
        <v>1274</v>
      </c>
      <c r="H570" t="s">
        <v>11</v>
      </c>
      <c r="I570" t="s">
        <v>3268</v>
      </c>
      <c r="J570" t="s">
        <v>8376</v>
      </c>
      <c r="K570">
        <v>140</v>
      </c>
      <c r="L570">
        <v>44866</v>
      </c>
      <c r="M570" t="s">
        <v>646</v>
      </c>
      <c r="N570">
        <v>140</v>
      </c>
      <c r="O570" t="e">
        <v>#N/A</v>
      </c>
    </row>
    <row r="571" spans="2:15" hidden="1" x14ac:dyDescent="0.3">
      <c r="B571" t="s">
        <v>8</v>
      </c>
      <c r="C571">
        <v>928</v>
      </c>
      <c r="D571" t="s">
        <v>9</v>
      </c>
      <c r="E571">
        <v>1202</v>
      </c>
      <c r="F571" t="s">
        <v>33</v>
      </c>
      <c r="G571">
        <v>933</v>
      </c>
      <c r="H571" t="s">
        <v>11</v>
      </c>
      <c r="I571" t="s">
        <v>3271</v>
      </c>
      <c r="J571" t="s">
        <v>8377</v>
      </c>
      <c r="K571">
        <v>6860</v>
      </c>
      <c r="L571">
        <v>44866</v>
      </c>
      <c r="M571" t="s">
        <v>647</v>
      </c>
      <c r="N571">
        <v>6860</v>
      </c>
      <c r="O571" t="e">
        <v>#N/A</v>
      </c>
    </row>
    <row r="572" spans="2:15" hidden="1" x14ac:dyDescent="0.3">
      <c r="B572" t="s">
        <v>8</v>
      </c>
      <c r="C572">
        <v>928</v>
      </c>
      <c r="D572" t="s">
        <v>9</v>
      </c>
      <c r="E572">
        <v>1202</v>
      </c>
      <c r="F572" t="s">
        <v>75</v>
      </c>
      <c r="G572">
        <v>50</v>
      </c>
      <c r="H572" t="s">
        <v>11</v>
      </c>
      <c r="I572" t="s">
        <v>3272</v>
      </c>
      <c r="J572" t="s">
        <v>8378</v>
      </c>
      <c r="K572">
        <v>5293450</v>
      </c>
      <c r="L572">
        <v>44866</v>
      </c>
      <c r="M572" t="s">
        <v>648</v>
      </c>
      <c r="N572">
        <v>5293450</v>
      </c>
      <c r="O572" t="e">
        <v>#N/A</v>
      </c>
    </row>
    <row r="573" spans="2:15" hidden="1" x14ac:dyDescent="0.3">
      <c r="B573" t="s">
        <v>8</v>
      </c>
      <c r="C573">
        <v>928</v>
      </c>
      <c r="D573" t="s">
        <v>9</v>
      </c>
      <c r="E573">
        <v>1202</v>
      </c>
      <c r="F573" t="s">
        <v>45</v>
      </c>
      <c r="G573">
        <v>26</v>
      </c>
      <c r="H573" t="s">
        <v>11</v>
      </c>
      <c r="I573" t="s">
        <v>3278</v>
      </c>
      <c r="J573" t="s">
        <v>8379</v>
      </c>
      <c r="K573">
        <v>23039460</v>
      </c>
      <c r="L573">
        <v>44866</v>
      </c>
      <c r="M573" t="s">
        <v>649</v>
      </c>
      <c r="N573">
        <v>22039480</v>
      </c>
      <c r="O573" t="e">
        <v>#N/A</v>
      </c>
    </row>
    <row r="574" spans="2:15" hidden="1" x14ac:dyDescent="0.3">
      <c r="B574" t="s">
        <v>8</v>
      </c>
      <c r="C574">
        <v>928</v>
      </c>
      <c r="D574" t="s">
        <v>9</v>
      </c>
      <c r="E574">
        <v>1202</v>
      </c>
      <c r="F574" t="s">
        <v>37</v>
      </c>
      <c r="G574">
        <v>81</v>
      </c>
      <c r="H574" t="s">
        <v>11</v>
      </c>
      <c r="I574" t="s">
        <v>3279</v>
      </c>
      <c r="J574" t="s">
        <v>8380</v>
      </c>
      <c r="K574">
        <v>2224048</v>
      </c>
      <c r="L574">
        <v>44866</v>
      </c>
      <c r="M574" t="s">
        <v>650</v>
      </c>
      <c r="N574">
        <v>1357400</v>
      </c>
      <c r="O574" t="e">
        <v>#N/A</v>
      </c>
    </row>
    <row r="575" spans="2:15" hidden="1" x14ac:dyDescent="0.3">
      <c r="B575" t="s">
        <v>8</v>
      </c>
      <c r="C575">
        <v>928</v>
      </c>
      <c r="D575" t="s">
        <v>9</v>
      </c>
      <c r="E575">
        <v>1202</v>
      </c>
      <c r="F575" t="s">
        <v>10</v>
      </c>
      <c r="G575">
        <v>939</v>
      </c>
      <c r="H575" t="s">
        <v>11</v>
      </c>
      <c r="I575" t="s">
        <v>3281</v>
      </c>
      <c r="J575" t="s">
        <v>8381</v>
      </c>
      <c r="K575">
        <v>799700</v>
      </c>
      <c r="L575">
        <v>44866</v>
      </c>
      <c r="M575" t="s">
        <v>651</v>
      </c>
      <c r="N575">
        <v>799700</v>
      </c>
      <c r="O575" t="e">
        <v>#N/A</v>
      </c>
    </row>
    <row r="576" spans="2:15" hidden="1" x14ac:dyDescent="0.3">
      <c r="B576" t="s">
        <v>8</v>
      </c>
      <c r="C576">
        <v>928</v>
      </c>
      <c r="D576" t="s">
        <v>9</v>
      </c>
      <c r="E576">
        <v>1202</v>
      </c>
      <c r="F576" t="s">
        <v>75</v>
      </c>
      <c r="G576">
        <v>50</v>
      </c>
      <c r="H576" t="s">
        <v>11</v>
      </c>
      <c r="I576" t="s">
        <v>3284</v>
      </c>
      <c r="J576" t="s">
        <v>8382</v>
      </c>
      <c r="K576">
        <v>244880</v>
      </c>
      <c r="L576">
        <v>44866</v>
      </c>
      <c r="M576" t="s">
        <v>400</v>
      </c>
      <c r="N576">
        <v>244880</v>
      </c>
      <c r="O576" t="e">
        <v>#N/A</v>
      </c>
    </row>
    <row r="577" spans="2:15" hidden="1" x14ac:dyDescent="0.3">
      <c r="B577" t="s">
        <v>8</v>
      </c>
      <c r="C577">
        <v>928</v>
      </c>
      <c r="D577" t="s">
        <v>9</v>
      </c>
      <c r="E577">
        <v>1202</v>
      </c>
      <c r="F577" t="s">
        <v>31</v>
      </c>
      <c r="G577">
        <v>1040</v>
      </c>
      <c r="H577" t="s">
        <v>11</v>
      </c>
      <c r="I577" t="s">
        <v>3286</v>
      </c>
      <c r="J577" t="s">
        <v>8383</v>
      </c>
      <c r="K577">
        <v>137000</v>
      </c>
      <c r="L577">
        <v>44866</v>
      </c>
      <c r="M577" t="s">
        <v>652</v>
      </c>
      <c r="N577">
        <v>137000</v>
      </c>
      <c r="O577" t="e">
        <v>#N/A</v>
      </c>
    </row>
    <row r="578" spans="2:15" hidden="1" x14ac:dyDescent="0.3">
      <c r="B578" t="s">
        <v>22</v>
      </c>
      <c r="C578">
        <v>809</v>
      </c>
      <c r="D578" t="s">
        <v>23</v>
      </c>
      <c r="E578">
        <v>810</v>
      </c>
      <c r="F578" t="s">
        <v>24</v>
      </c>
      <c r="G578">
        <v>201032</v>
      </c>
      <c r="H578" t="s">
        <v>11</v>
      </c>
      <c r="I578" t="s">
        <v>3290</v>
      </c>
      <c r="J578" t="s">
        <v>8384</v>
      </c>
      <c r="K578">
        <v>42860</v>
      </c>
      <c r="L578">
        <v>44866</v>
      </c>
      <c r="M578" t="s">
        <v>653</v>
      </c>
      <c r="N578">
        <v>42860</v>
      </c>
      <c r="O578" t="e">
        <v>#N/A</v>
      </c>
    </row>
    <row r="579" spans="2:15" hidden="1" x14ac:dyDescent="0.3">
      <c r="B579" t="s">
        <v>16</v>
      </c>
      <c r="C579">
        <v>927</v>
      </c>
      <c r="D579" t="s">
        <v>17</v>
      </c>
      <c r="E579">
        <v>1200</v>
      </c>
      <c r="F579" t="s">
        <v>170</v>
      </c>
      <c r="G579">
        <v>1530</v>
      </c>
      <c r="H579" t="s">
        <v>11</v>
      </c>
      <c r="I579" t="s">
        <v>3294</v>
      </c>
      <c r="J579" t="s">
        <v>8385</v>
      </c>
      <c r="K579">
        <v>255920</v>
      </c>
      <c r="L579">
        <v>44866</v>
      </c>
      <c r="M579" t="s">
        <v>654</v>
      </c>
      <c r="N579">
        <v>255920</v>
      </c>
      <c r="O579" t="e">
        <v>#N/A</v>
      </c>
    </row>
    <row r="580" spans="2:15" hidden="1" x14ac:dyDescent="0.3">
      <c r="B580" t="s">
        <v>16</v>
      </c>
      <c r="C580">
        <v>927</v>
      </c>
      <c r="D580" t="s">
        <v>17</v>
      </c>
      <c r="E580">
        <v>1200</v>
      </c>
      <c r="F580" t="s">
        <v>371</v>
      </c>
      <c r="G580">
        <v>551</v>
      </c>
      <c r="H580" t="s">
        <v>11</v>
      </c>
      <c r="I580" t="s">
        <v>3299</v>
      </c>
      <c r="J580" t="s">
        <v>8386</v>
      </c>
      <c r="K580">
        <v>4240</v>
      </c>
      <c r="L580">
        <v>44866</v>
      </c>
      <c r="M580" t="s">
        <v>655</v>
      </c>
      <c r="N580">
        <v>4240</v>
      </c>
      <c r="O580" t="e">
        <v>#N/A</v>
      </c>
    </row>
    <row r="581" spans="2:15" hidden="1" x14ac:dyDescent="0.3">
      <c r="B581" t="s">
        <v>16</v>
      </c>
      <c r="C581">
        <v>927</v>
      </c>
      <c r="D581" t="s">
        <v>17</v>
      </c>
      <c r="E581">
        <v>1200</v>
      </c>
      <c r="F581" t="s">
        <v>170</v>
      </c>
      <c r="G581">
        <v>1530</v>
      </c>
      <c r="H581" t="s">
        <v>11</v>
      </c>
      <c r="I581" t="s">
        <v>3304</v>
      </c>
      <c r="J581" t="s">
        <v>8387</v>
      </c>
      <c r="K581">
        <v>4198210</v>
      </c>
      <c r="L581">
        <v>44866</v>
      </c>
      <c r="M581" t="s">
        <v>656</v>
      </c>
      <c r="N581">
        <v>4198210</v>
      </c>
      <c r="O581" t="e">
        <v>#N/A</v>
      </c>
    </row>
    <row r="582" spans="2:15" hidden="1" x14ac:dyDescent="0.3">
      <c r="B582" t="s">
        <v>16</v>
      </c>
      <c r="C582">
        <v>927</v>
      </c>
      <c r="D582" t="s">
        <v>17</v>
      </c>
      <c r="E582">
        <v>1200</v>
      </c>
      <c r="F582" t="s">
        <v>244</v>
      </c>
      <c r="G582">
        <v>817</v>
      </c>
      <c r="H582" t="s">
        <v>11</v>
      </c>
      <c r="I582" t="s">
        <v>3306</v>
      </c>
      <c r="J582" t="s">
        <v>8388</v>
      </c>
      <c r="K582">
        <v>41510</v>
      </c>
      <c r="L582">
        <v>44866</v>
      </c>
      <c r="M582" t="s">
        <v>657</v>
      </c>
      <c r="N582">
        <v>41510</v>
      </c>
      <c r="O582" t="e">
        <v>#N/A</v>
      </c>
    </row>
    <row r="583" spans="2:15" hidden="1" x14ac:dyDescent="0.3">
      <c r="B583" t="s">
        <v>8</v>
      </c>
      <c r="C583">
        <v>928</v>
      </c>
      <c r="D583" t="s">
        <v>13</v>
      </c>
      <c r="E583">
        <v>1184</v>
      </c>
      <c r="F583" t="s">
        <v>51</v>
      </c>
      <c r="G583">
        <v>1274</v>
      </c>
      <c r="H583" t="s">
        <v>11</v>
      </c>
      <c r="I583" t="s">
        <v>3307</v>
      </c>
      <c r="J583" t="s">
        <v>8389</v>
      </c>
      <c r="K583">
        <v>4230420</v>
      </c>
      <c r="L583">
        <v>44866</v>
      </c>
      <c r="M583" t="s">
        <v>658</v>
      </c>
      <c r="N583">
        <v>4230420</v>
      </c>
      <c r="O583" t="e">
        <v>#N/A</v>
      </c>
    </row>
    <row r="584" spans="2:15" hidden="1" x14ac:dyDescent="0.3">
      <c r="B584" t="s">
        <v>8</v>
      </c>
      <c r="C584">
        <v>928</v>
      </c>
      <c r="D584" t="s">
        <v>9</v>
      </c>
      <c r="E584">
        <v>1202</v>
      </c>
      <c r="F584" t="s">
        <v>39</v>
      </c>
      <c r="G584">
        <v>25</v>
      </c>
      <c r="H584" t="s">
        <v>11</v>
      </c>
      <c r="I584" t="s">
        <v>3308</v>
      </c>
      <c r="J584" t="s">
        <v>8390</v>
      </c>
      <c r="K584">
        <v>726430</v>
      </c>
      <c r="L584">
        <v>44866</v>
      </c>
      <c r="M584" t="s">
        <v>659</v>
      </c>
      <c r="N584">
        <v>726430</v>
      </c>
      <c r="O584" t="e">
        <v>#N/A</v>
      </c>
    </row>
    <row r="585" spans="2:15" hidden="1" x14ac:dyDescent="0.3">
      <c r="B585" t="s">
        <v>8</v>
      </c>
      <c r="C585">
        <v>928</v>
      </c>
      <c r="D585" t="s">
        <v>9</v>
      </c>
      <c r="E585">
        <v>1202</v>
      </c>
      <c r="F585" t="s">
        <v>73</v>
      </c>
      <c r="G585">
        <v>895</v>
      </c>
      <c r="H585" t="s">
        <v>11</v>
      </c>
      <c r="I585" t="s">
        <v>8391</v>
      </c>
      <c r="J585" t="s">
        <v>6919</v>
      </c>
      <c r="K585">
        <v>182890</v>
      </c>
      <c r="L585">
        <v>44866</v>
      </c>
      <c r="M585" t="s">
        <v>660</v>
      </c>
      <c r="N585" t="e">
        <v>#N/A</v>
      </c>
      <c r="O585" t="s">
        <v>6918</v>
      </c>
    </row>
    <row r="586" spans="2:15" hidden="1" x14ac:dyDescent="0.3">
      <c r="B586" t="s">
        <v>8</v>
      </c>
      <c r="C586">
        <v>928</v>
      </c>
      <c r="D586" t="s">
        <v>13</v>
      </c>
      <c r="E586">
        <v>1184</v>
      </c>
      <c r="F586" t="s">
        <v>661</v>
      </c>
      <c r="G586">
        <v>200969</v>
      </c>
      <c r="H586" t="s">
        <v>11</v>
      </c>
      <c r="I586" t="s">
        <v>3310</v>
      </c>
      <c r="J586" t="s">
        <v>8392</v>
      </c>
      <c r="K586">
        <v>31367538</v>
      </c>
      <c r="L586">
        <v>44866</v>
      </c>
      <c r="M586" t="s">
        <v>662</v>
      </c>
      <c r="N586">
        <v>19307580</v>
      </c>
      <c r="O586" t="e">
        <v>#N/A</v>
      </c>
    </row>
    <row r="587" spans="2:15" hidden="1" x14ac:dyDescent="0.3">
      <c r="B587" t="s">
        <v>16</v>
      </c>
      <c r="C587">
        <v>927</v>
      </c>
      <c r="D587" t="s">
        <v>17</v>
      </c>
      <c r="E587">
        <v>1200</v>
      </c>
      <c r="F587" t="s">
        <v>96</v>
      </c>
      <c r="G587">
        <v>1271</v>
      </c>
      <c r="H587" t="s">
        <v>11</v>
      </c>
      <c r="I587" t="s">
        <v>3311</v>
      </c>
      <c r="J587" t="s">
        <v>8393</v>
      </c>
      <c r="K587">
        <v>7324540</v>
      </c>
      <c r="L587">
        <v>44866</v>
      </c>
      <c r="M587" t="s">
        <v>663</v>
      </c>
      <c r="N587">
        <v>7420500</v>
      </c>
      <c r="O587" t="e">
        <v>#N/A</v>
      </c>
    </row>
    <row r="588" spans="2:15" hidden="1" x14ac:dyDescent="0.3">
      <c r="B588" t="s">
        <v>8</v>
      </c>
      <c r="C588">
        <v>928</v>
      </c>
      <c r="D588" t="s">
        <v>9</v>
      </c>
      <c r="E588">
        <v>1202</v>
      </c>
      <c r="F588" t="s">
        <v>27</v>
      </c>
      <c r="G588">
        <v>806</v>
      </c>
      <c r="H588" t="s">
        <v>11</v>
      </c>
      <c r="I588" t="s">
        <v>3312</v>
      </c>
      <c r="J588" t="s">
        <v>8394</v>
      </c>
      <c r="K588">
        <v>119160</v>
      </c>
      <c r="L588">
        <v>44866</v>
      </c>
      <c r="M588" t="s">
        <v>664</v>
      </c>
      <c r="N588">
        <v>119160</v>
      </c>
      <c r="O588" t="e">
        <v>#N/A</v>
      </c>
    </row>
    <row r="589" spans="2:15" hidden="1" x14ac:dyDescent="0.3">
      <c r="B589" t="s">
        <v>8</v>
      </c>
      <c r="C589">
        <v>928</v>
      </c>
      <c r="D589" t="s">
        <v>13</v>
      </c>
      <c r="E589">
        <v>1184</v>
      </c>
      <c r="F589" t="s">
        <v>51</v>
      </c>
      <c r="G589">
        <v>1274</v>
      </c>
      <c r="H589" t="s">
        <v>11</v>
      </c>
      <c r="I589" t="s">
        <v>3315</v>
      </c>
      <c r="J589" t="s">
        <v>8395</v>
      </c>
      <c r="K589">
        <v>117310</v>
      </c>
      <c r="L589">
        <v>44866</v>
      </c>
      <c r="M589" t="s">
        <v>665</v>
      </c>
      <c r="N589">
        <v>117310</v>
      </c>
      <c r="O589" t="e">
        <v>#N/A</v>
      </c>
    </row>
    <row r="590" spans="2:15" hidden="1" x14ac:dyDescent="0.3">
      <c r="B590" t="s">
        <v>8</v>
      </c>
      <c r="C590">
        <v>928</v>
      </c>
      <c r="D590" t="s">
        <v>9</v>
      </c>
      <c r="E590">
        <v>1202</v>
      </c>
      <c r="F590" t="s">
        <v>10</v>
      </c>
      <c r="G590">
        <v>939</v>
      </c>
      <c r="H590" t="s">
        <v>11</v>
      </c>
      <c r="I590" t="s">
        <v>3318</v>
      </c>
      <c r="J590" t="s">
        <v>8396</v>
      </c>
      <c r="K590">
        <v>651530</v>
      </c>
      <c r="L590">
        <v>44866</v>
      </c>
      <c r="M590" t="s">
        <v>666</v>
      </c>
      <c r="N590">
        <v>651530</v>
      </c>
      <c r="O590" t="e">
        <v>#N/A</v>
      </c>
    </row>
    <row r="591" spans="2:15" hidden="1" x14ac:dyDescent="0.3">
      <c r="B591" t="s">
        <v>8</v>
      </c>
      <c r="C591">
        <v>928</v>
      </c>
      <c r="D591" t="s">
        <v>9</v>
      </c>
      <c r="E591">
        <v>1202</v>
      </c>
      <c r="F591" t="s">
        <v>27</v>
      </c>
      <c r="G591">
        <v>806</v>
      </c>
      <c r="H591" t="s">
        <v>11</v>
      </c>
      <c r="I591" t="s">
        <v>3319</v>
      </c>
      <c r="J591" t="s">
        <v>8397</v>
      </c>
      <c r="K591">
        <v>31210</v>
      </c>
      <c r="L591">
        <v>44866</v>
      </c>
      <c r="M591" t="s">
        <v>667</v>
      </c>
      <c r="N591">
        <v>31210</v>
      </c>
      <c r="O591" t="e">
        <v>#N/A</v>
      </c>
    </row>
    <row r="592" spans="2:15" hidden="1" x14ac:dyDescent="0.3">
      <c r="B592" t="s">
        <v>8</v>
      </c>
      <c r="C592">
        <v>928</v>
      </c>
      <c r="D592" t="s">
        <v>9</v>
      </c>
      <c r="E592">
        <v>1202</v>
      </c>
      <c r="F592" t="s">
        <v>27</v>
      </c>
      <c r="G592">
        <v>806</v>
      </c>
      <c r="H592" t="s">
        <v>11</v>
      </c>
      <c r="I592" t="s">
        <v>3320</v>
      </c>
      <c r="J592" t="s">
        <v>8398</v>
      </c>
      <c r="K592">
        <v>2420130</v>
      </c>
      <c r="L592">
        <v>44866</v>
      </c>
      <c r="M592" t="s">
        <v>667</v>
      </c>
      <c r="N592">
        <v>2420130</v>
      </c>
      <c r="O592" t="e">
        <v>#N/A</v>
      </c>
    </row>
    <row r="593" spans="2:15" hidden="1" x14ac:dyDescent="0.3">
      <c r="B593" t="s">
        <v>8</v>
      </c>
      <c r="C593">
        <v>928</v>
      </c>
      <c r="D593" t="s">
        <v>9</v>
      </c>
      <c r="E593">
        <v>1202</v>
      </c>
      <c r="F593" t="s">
        <v>39</v>
      </c>
      <c r="G593">
        <v>25</v>
      </c>
      <c r="H593" t="s">
        <v>11</v>
      </c>
      <c r="I593" t="s">
        <v>3321</v>
      </c>
      <c r="J593" t="s">
        <v>8399</v>
      </c>
      <c r="K593">
        <v>181890</v>
      </c>
      <c r="L593">
        <v>44866</v>
      </c>
      <c r="M593" t="s">
        <v>668</v>
      </c>
      <c r="N593">
        <v>181890</v>
      </c>
      <c r="O593" t="e">
        <v>#N/A</v>
      </c>
    </row>
    <row r="594" spans="2:15" hidden="1" x14ac:dyDescent="0.3">
      <c r="B594" t="s">
        <v>16</v>
      </c>
      <c r="C594">
        <v>927</v>
      </c>
      <c r="D594" t="s">
        <v>17</v>
      </c>
      <c r="E594">
        <v>1200</v>
      </c>
      <c r="F594" t="s">
        <v>290</v>
      </c>
      <c r="G594">
        <v>556</v>
      </c>
      <c r="H594" t="s">
        <v>11</v>
      </c>
      <c r="I594" t="s">
        <v>3325</v>
      </c>
      <c r="J594" t="s">
        <v>8400</v>
      </c>
      <c r="K594">
        <v>750</v>
      </c>
      <c r="L594">
        <v>44866</v>
      </c>
      <c r="M594" t="s">
        <v>669</v>
      </c>
      <c r="N594">
        <v>750</v>
      </c>
      <c r="O594" t="e">
        <v>#N/A</v>
      </c>
    </row>
    <row r="595" spans="2:15" hidden="1" x14ac:dyDescent="0.3">
      <c r="B595" t="s">
        <v>8</v>
      </c>
      <c r="C595">
        <v>928</v>
      </c>
      <c r="D595" t="s">
        <v>9</v>
      </c>
      <c r="E595">
        <v>1202</v>
      </c>
      <c r="F595" t="s">
        <v>27</v>
      </c>
      <c r="G595">
        <v>806</v>
      </c>
      <c r="H595" t="s">
        <v>11</v>
      </c>
      <c r="I595" t="s">
        <v>3331</v>
      </c>
      <c r="J595" t="s">
        <v>8401</v>
      </c>
      <c r="K595">
        <v>180870</v>
      </c>
      <c r="L595">
        <v>44866</v>
      </c>
      <c r="M595" t="s">
        <v>109</v>
      </c>
      <c r="N595">
        <v>180870</v>
      </c>
      <c r="O595" t="e">
        <v>#N/A</v>
      </c>
    </row>
    <row r="596" spans="2:15" hidden="1" x14ac:dyDescent="0.3">
      <c r="B596" t="s">
        <v>8</v>
      </c>
      <c r="C596">
        <v>928</v>
      </c>
      <c r="D596" t="s">
        <v>13</v>
      </c>
      <c r="E596">
        <v>1184</v>
      </c>
      <c r="F596" t="s">
        <v>102</v>
      </c>
      <c r="G596">
        <v>917</v>
      </c>
      <c r="H596" t="s">
        <v>11</v>
      </c>
      <c r="I596" t="s">
        <v>3333</v>
      </c>
      <c r="J596" t="s">
        <v>8402</v>
      </c>
      <c r="K596">
        <v>18520</v>
      </c>
      <c r="L596">
        <v>44866</v>
      </c>
      <c r="M596" t="s">
        <v>670</v>
      </c>
      <c r="N596">
        <v>18520</v>
      </c>
      <c r="O596" t="e">
        <v>#N/A</v>
      </c>
    </row>
    <row r="597" spans="2:15" hidden="1" x14ac:dyDescent="0.3">
      <c r="B597" t="s">
        <v>8</v>
      </c>
      <c r="C597">
        <v>928</v>
      </c>
      <c r="D597" t="s">
        <v>167</v>
      </c>
      <c r="E597">
        <v>935</v>
      </c>
      <c r="F597" t="s">
        <v>168</v>
      </c>
      <c r="G597">
        <v>2</v>
      </c>
      <c r="H597" t="s">
        <v>11</v>
      </c>
      <c r="I597" t="s">
        <v>3336</v>
      </c>
      <c r="J597" t="s">
        <v>8403</v>
      </c>
      <c r="K597">
        <v>13495460</v>
      </c>
      <c r="L597">
        <v>44866</v>
      </c>
      <c r="M597" t="s">
        <v>671</v>
      </c>
      <c r="N597">
        <v>13495460</v>
      </c>
      <c r="O597" t="e">
        <v>#N/A</v>
      </c>
    </row>
    <row r="598" spans="2:15" hidden="1" x14ac:dyDescent="0.3">
      <c r="B598" t="s">
        <v>16</v>
      </c>
      <c r="C598">
        <v>927</v>
      </c>
      <c r="D598" t="s">
        <v>17</v>
      </c>
      <c r="E598">
        <v>1200</v>
      </c>
      <c r="F598" t="s">
        <v>262</v>
      </c>
      <c r="G598">
        <v>1594</v>
      </c>
      <c r="H598" t="s">
        <v>11</v>
      </c>
      <c r="I598" t="s">
        <v>3337</v>
      </c>
      <c r="J598" t="s">
        <v>8404</v>
      </c>
      <c r="K598">
        <v>3065810</v>
      </c>
      <c r="L598">
        <v>44866</v>
      </c>
      <c r="M598" t="s">
        <v>672</v>
      </c>
      <c r="N598">
        <v>3065810</v>
      </c>
      <c r="O598" t="e">
        <v>#N/A</v>
      </c>
    </row>
    <row r="599" spans="2:15" hidden="1" x14ac:dyDescent="0.3">
      <c r="B599" t="s">
        <v>41</v>
      </c>
      <c r="C599">
        <v>926</v>
      </c>
      <c r="D599" t="s">
        <v>56</v>
      </c>
      <c r="E599">
        <v>1207</v>
      </c>
      <c r="F599" t="s">
        <v>57</v>
      </c>
      <c r="G599">
        <v>200982</v>
      </c>
      <c r="H599" t="s">
        <v>11</v>
      </c>
      <c r="I599" t="s">
        <v>3338</v>
      </c>
      <c r="J599" t="s">
        <v>8405</v>
      </c>
      <c r="K599">
        <v>6330</v>
      </c>
      <c r="L599">
        <v>44866</v>
      </c>
      <c r="M599" t="s">
        <v>673</v>
      </c>
      <c r="N599">
        <v>6330</v>
      </c>
      <c r="O599" t="e">
        <v>#N/A</v>
      </c>
    </row>
    <row r="600" spans="2:15" hidden="1" x14ac:dyDescent="0.3">
      <c r="B600" t="s">
        <v>16</v>
      </c>
      <c r="C600">
        <v>927</v>
      </c>
      <c r="D600" t="s">
        <v>17</v>
      </c>
      <c r="E600">
        <v>1200</v>
      </c>
      <c r="F600" t="s">
        <v>170</v>
      </c>
      <c r="G600">
        <v>1530</v>
      </c>
      <c r="H600" t="s">
        <v>11</v>
      </c>
      <c r="I600" t="s">
        <v>3340</v>
      </c>
      <c r="J600" t="s">
        <v>8406</v>
      </c>
      <c r="K600">
        <v>716010</v>
      </c>
      <c r="L600">
        <v>44866</v>
      </c>
      <c r="M600" t="s">
        <v>674</v>
      </c>
      <c r="N600">
        <v>716010</v>
      </c>
      <c r="O600" t="e">
        <v>#N/A</v>
      </c>
    </row>
    <row r="601" spans="2:15" hidden="1" x14ac:dyDescent="0.3">
      <c r="B601" t="s">
        <v>8</v>
      </c>
      <c r="C601">
        <v>928</v>
      </c>
      <c r="D601" t="s">
        <v>13</v>
      </c>
      <c r="E601">
        <v>1184</v>
      </c>
      <c r="F601" t="s">
        <v>115</v>
      </c>
      <c r="G601">
        <v>1548</v>
      </c>
      <c r="H601" t="s">
        <v>11</v>
      </c>
      <c r="I601" t="s">
        <v>3343</v>
      </c>
      <c r="J601" t="s">
        <v>8407</v>
      </c>
      <c r="K601">
        <v>440240</v>
      </c>
      <c r="L601">
        <v>44866</v>
      </c>
      <c r="M601" t="s">
        <v>675</v>
      </c>
      <c r="N601">
        <v>440240</v>
      </c>
      <c r="O601" t="e">
        <v>#N/A</v>
      </c>
    </row>
    <row r="602" spans="2:15" hidden="1" x14ac:dyDescent="0.3">
      <c r="B602" t="s">
        <v>8</v>
      </c>
      <c r="C602">
        <v>928</v>
      </c>
      <c r="D602" t="s">
        <v>9</v>
      </c>
      <c r="E602">
        <v>1202</v>
      </c>
      <c r="F602" t="s">
        <v>45</v>
      </c>
      <c r="G602">
        <v>26</v>
      </c>
      <c r="H602" t="s">
        <v>11</v>
      </c>
      <c r="I602" t="s">
        <v>3352</v>
      </c>
      <c r="J602" t="s">
        <v>8408</v>
      </c>
      <c r="K602">
        <v>7714812</v>
      </c>
      <c r="L602">
        <v>44866</v>
      </c>
      <c r="M602" t="s">
        <v>676</v>
      </c>
      <c r="N602">
        <v>7746830</v>
      </c>
      <c r="O602" t="e">
        <v>#N/A</v>
      </c>
    </row>
    <row r="603" spans="2:15" hidden="1" x14ac:dyDescent="0.3">
      <c r="B603" t="s">
        <v>16</v>
      </c>
      <c r="C603">
        <v>927</v>
      </c>
      <c r="D603" t="s">
        <v>17</v>
      </c>
      <c r="E603">
        <v>1200</v>
      </c>
      <c r="F603" t="s">
        <v>78</v>
      </c>
      <c r="G603">
        <v>57</v>
      </c>
      <c r="H603" t="s">
        <v>11</v>
      </c>
      <c r="I603" t="s">
        <v>3353</v>
      </c>
      <c r="J603" t="s">
        <v>8409</v>
      </c>
      <c r="K603">
        <v>111780</v>
      </c>
      <c r="L603">
        <v>44866</v>
      </c>
      <c r="M603" t="s">
        <v>677</v>
      </c>
      <c r="N603">
        <v>111960</v>
      </c>
      <c r="O603" t="e">
        <v>#N/A</v>
      </c>
    </row>
    <row r="604" spans="2:15" hidden="1" x14ac:dyDescent="0.3">
      <c r="B604" t="s">
        <v>8</v>
      </c>
      <c r="C604">
        <v>928</v>
      </c>
      <c r="D604" t="s">
        <v>9</v>
      </c>
      <c r="E604">
        <v>1202</v>
      </c>
      <c r="F604" t="s">
        <v>20</v>
      </c>
      <c r="G604">
        <v>938</v>
      </c>
      <c r="H604" t="s">
        <v>11</v>
      </c>
      <c r="I604" t="s">
        <v>3354</v>
      </c>
      <c r="J604" t="s">
        <v>8410</v>
      </c>
      <c r="K604">
        <v>21870</v>
      </c>
      <c r="L604">
        <v>44866</v>
      </c>
      <c r="M604" t="s">
        <v>678</v>
      </c>
      <c r="N604">
        <v>21870</v>
      </c>
      <c r="O604" t="e">
        <v>#N/A</v>
      </c>
    </row>
    <row r="605" spans="2:15" hidden="1" x14ac:dyDescent="0.3">
      <c r="B605" t="s">
        <v>22</v>
      </c>
      <c r="C605">
        <v>809</v>
      </c>
      <c r="D605" t="s">
        <v>679</v>
      </c>
      <c r="E605">
        <v>980</v>
      </c>
      <c r="F605" t="s">
        <v>680</v>
      </c>
      <c r="G605">
        <v>200938</v>
      </c>
      <c r="H605" t="s">
        <v>11</v>
      </c>
      <c r="I605" t="s">
        <v>3359</v>
      </c>
      <c r="J605" t="s">
        <v>8411</v>
      </c>
      <c r="K605">
        <v>1097410</v>
      </c>
      <c r="L605">
        <v>44866</v>
      </c>
      <c r="M605" t="s">
        <v>681</v>
      </c>
      <c r="N605">
        <v>1097410</v>
      </c>
      <c r="O605" t="e">
        <v>#N/A</v>
      </c>
    </row>
    <row r="606" spans="2:15" hidden="1" x14ac:dyDescent="0.3">
      <c r="B606" t="s">
        <v>8</v>
      </c>
      <c r="C606">
        <v>928</v>
      </c>
      <c r="D606" t="s">
        <v>9</v>
      </c>
      <c r="E606">
        <v>1202</v>
      </c>
      <c r="F606" t="s">
        <v>37</v>
      </c>
      <c r="G606">
        <v>81</v>
      </c>
      <c r="H606" t="s">
        <v>11</v>
      </c>
      <c r="I606" t="s">
        <v>3360</v>
      </c>
      <c r="J606" t="s">
        <v>8412</v>
      </c>
      <c r="K606">
        <v>116640</v>
      </c>
      <c r="L606">
        <v>44866</v>
      </c>
      <c r="M606" t="s">
        <v>682</v>
      </c>
      <c r="N606">
        <v>116640</v>
      </c>
      <c r="O606" t="e">
        <v>#N/A</v>
      </c>
    </row>
    <row r="607" spans="2:15" hidden="1" x14ac:dyDescent="0.3">
      <c r="B607" t="s">
        <v>41</v>
      </c>
      <c r="C607">
        <v>926</v>
      </c>
      <c r="D607" t="s">
        <v>56</v>
      </c>
      <c r="E607">
        <v>1207</v>
      </c>
      <c r="F607" t="s">
        <v>253</v>
      </c>
      <c r="G607">
        <v>1328</v>
      </c>
      <c r="H607" t="s">
        <v>11</v>
      </c>
      <c r="I607" t="s">
        <v>3361</v>
      </c>
      <c r="J607" t="s">
        <v>8413</v>
      </c>
      <c r="K607">
        <v>13834060</v>
      </c>
      <c r="L607">
        <v>44866</v>
      </c>
      <c r="M607" t="s">
        <v>683</v>
      </c>
      <c r="N607">
        <v>13834060</v>
      </c>
      <c r="O607" t="e">
        <v>#N/A</v>
      </c>
    </row>
    <row r="608" spans="2:15" hidden="1" x14ac:dyDescent="0.3">
      <c r="B608" t="s">
        <v>8</v>
      </c>
      <c r="C608">
        <v>928</v>
      </c>
      <c r="D608" t="s">
        <v>9</v>
      </c>
      <c r="E608">
        <v>1202</v>
      </c>
      <c r="F608" t="s">
        <v>73</v>
      </c>
      <c r="G608">
        <v>895</v>
      </c>
      <c r="H608" t="s">
        <v>11</v>
      </c>
      <c r="I608" t="s">
        <v>3364</v>
      </c>
      <c r="J608" t="s">
        <v>8414</v>
      </c>
      <c r="K608">
        <v>246440</v>
      </c>
      <c r="L608">
        <v>44866</v>
      </c>
      <c r="M608" t="s">
        <v>684</v>
      </c>
      <c r="N608">
        <v>246440</v>
      </c>
      <c r="O608" t="e">
        <v>#N/A</v>
      </c>
    </row>
    <row r="609" spans="2:15" hidden="1" x14ac:dyDescent="0.3">
      <c r="B609" t="s">
        <v>41</v>
      </c>
      <c r="C609">
        <v>926</v>
      </c>
      <c r="D609" t="s">
        <v>56</v>
      </c>
      <c r="E609">
        <v>1207</v>
      </c>
      <c r="F609" t="s">
        <v>64</v>
      </c>
      <c r="G609">
        <v>201011</v>
      </c>
      <c r="H609" t="s">
        <v>11</v>
      </c>
      <c r="I609" t="s">
        <v>3366</v>
      </c>
      <c r="J609" t="s">
        <v>8415</v>
      </c>
      <c r="K609">
        <v>192612</v>
      </c>
      <c r="L609">
        <v>44866</v>
      </c>
      <c r="M609" t="s">
        <v>685</v>
      </c>
      <c r="N609">
        <v>192656</v>
      </c>
      <c r="O609" t="e">
        <v>#N/A</v>
      </c>
    </row>
    <row r="610" spans="2:15" hidden="1" x14ac:dyDescent="0.3">
      <c r="B610" t="s">
        <v>8</v>
      </c>
      <c r="C610">
        <v>928</v>
      </c>
      <c r="D610" t="s">
        <v>9</v>
      </c>
      <c r="E610">
        <v>1202</v>
      </c>
      <c r="F610" t="s">
        <v>73</v>
      </c>
      <c r="G610">
        <v>895</v>
      </c>
      <c r="H610" t="s">
        <v>11</v>
      </c>
      <c r="I610" t="s">
        <v>3367</v>
      </c>
      <c r="J610" t="s">
        <v>8416</v>
      </c>
      <c r="K610">
        <v>12750</v>
      </c>
      <c r="L610">
        <v>44866</v>
      </c>
      <c r="M610" t="s">
        <v>686</v>
      </c>
      <c r="N610">
        <v>12750</v>
      </c>
      <c r="O610" t="e">
        <v>#N/A</v>
      </c>
    </row>
    <row r="611" spans="2:15" hidden="1" x14ac:dyDescent="0.3">
      <c r="B611" t="s">
        <v>41</v>
      </c>
      <c r="C611">
        <v>926</v>
      </c>
      <c r="D611" t="s">
        <v>56</v>
      </c>
      <c r="E611">
        <v>1207</v>
      </c>
      <c r="F611" t="s">
        <v>156</v>
      </c>
      <c r="G611">
        <v>201103</v>
      </c>
      <c r="H611" t="s">
        <v>11</v>
      </c>
      <c r="I611" t="s">
        <v>3368</v>
      </c>
      <c r="J611" t="s">
        <v>8417</v>
      </c>
      <c r="K611">
        <v>180170</v>
      </c>
      <c r="L611">
        <v>44866</v>
      </c>
      <c r="M611" t="s">
        <v>687</v>
      </c>
      <c r="N611">
        <v>180170</v>
      </c>
      <c r="O611" t="e">
        <v>#N/A</v>
      </c>
    </row>
    <row r="612" spans="2:15" hidden="1" x14ac:dyDescent="0.3">
      <c r="B612" t="s">
        <v>8</v>
      </c>
      <c r="C612">
        <v>928</v>
      </c>
      <c r="D612" t="s">
        <v>9</v>
      </c>
      <c r="E612">
        <v>1202</v>
      </c>
      <c r="F612" t="s">
        <v>391</v>
      </c>
      <c r="G612">
        <v>1216</v>
      </c>
      <c r="H612" t="s">
        <v>11</v>
      </c>
      <c r="I612" t="s">
        <v>3369</v>
      </c>
      <c r="J612" t="s">
        <v>8418</v>
      </c>
      <c r="K612">
        <v>133680</v>
      </c>
      <c r="L612">
        <v>44866</v>
      </c>
      <c r="M612" t="s">
        <v>688</v>
      </c>
      <c r="N612">
        <v>133680</v>
      </c>
      <c r="O612" t="e">
        <v>#N/A</v>
      </c>
    </row>
    <row r="613" spans="2:15" hidden="1" x14ac:dyDescent="0.3">
      <c r="B613" t="s">
        <v>8</v>
      </c>
      <c r="C613">
        <v>928</v>
      </c>
      <c r="D613" t="s">
        <v>9</v>
      </c>
      <c r="E613">
        <v>1202</v>
      </c>
      <c r="F613" t="s">
        <v>47</v>
      </c>
      <c r="G613">
        <v>898</v>
      </c>
      <c r="H613" t="s">
        <v>11</v>
      </c>
      <c r="I613" t="s">
        <v>3374</v>
      </c>
      <c r="J613" t="s">
        <v>8419</v>
      </c>
      <c r="K613">
        <v>10772550</v>
      </c>
      <c r="L613">
        <v>44866</v>
      </c>
      <c r="M613" t="s">
        <v>689</v>
      </c>
      <c r="N613">
        <v>6172580</v>
      </c>
      <c r="O613" t="e">
        <v>#N/A</v>
      </c>
    </row>
    <row r="614" spans="2:15" hidden="1" x14ac:dyDescent="0.3">
      <c r="B614" t="s">
        <v>8</v>
      </c>
      <c r="C614">
        <v>928</v>
      </c>
      <c r="D614" t="s">
        <v>9</v>
      </c>
      <c r="E614">
        <v>1202</v>
      </c>
      <c r="F614" t="s">
        <v>47</v>
      </c>
      <c r="G614">
        <v>898</v>
      </c>
      <c r="H614" t="s">
        <v>11</v>
      </c>
      <c r="I614" t="s">
        <v>3375</v>
      </c>
      <c r="J614" t="s">
        <v>8420</v>
      </c>
      <c r="K614">
        <v>801390</v>
      </c>
      <c r="L614">
        <v>44866</v>
      </c>
      <c r="M614" t="s">
        <v>690</v>
      </c>
      <c r="N614">
        <v>801390</v>
      </c>
      <c r="O614" t="e">
        <v>#N/A</v>
      </c>
    </row>
    <row r="615" spans="2:15" hidden="1" x14ac:dyDescent="0.3">
      <c r="B615" t="s">
        <v>8</v>
      </c>
      <c r="C615">
        <v>928</v>
      </c>
      <c r="D615" t="s">
        <v>9</v>
      </c>
      <c r="E615">
        <v>1202</v>
      </c>
      <c r="F615" t="s">
        <v>110</v>
      </c>
      <c r="G615">
        <v>929</v>
      </c>
      <c r="H615" t="s">
        <v>11</v>
      </c>
      <c r="I615" t="s">
        <v>3378</v>
      </c>
      <c r="J615" t="s">
        <v>8421</v>
      </c>
      <c r="K615">
        <v>3429530</v>
      </c>
      <c r="L615">
        <v>44866</v>
      </c>
      <c r="M615" t="s">
        <v>691</v>
      </c>
      <c r="N615">
        <v>3429530</v>
      </c>
      <c r="O615" t="e">
        <v>#N/A</v>
      </c>
    </row>
    <row r="616" spans="2:15" hidden="1" x14ac:dyDescent="0.3">
      <c r="B616" t="s">
        <v>8</v>
      </c>
      <c r="C616">
        <v>928</v>
      </c>
      <c r="D616" t="s">
        <v>9</v>
      </c>
      <c r="E616">
        <v>1202</v>
      </c>
      <c r="F616" t="s">
        <v>20</v>
      </c>
      <c r="G616">
        <v>938</v>
      </c>
      <c r="H616" t="s">
        <v>11</v>
      </c>
      <c r="I616" t="s">
        <v>3380</v>
      </c>
      <c r="J616" t="s">
        <v>8422</v>
      </c>
      <c r="K616">
        <v>1965450</v>
      </c>
      <c r="L616">
        <v>44866</v>
      </c>
      <c r="M616" t="s">
        <v>692</v>
      </c>
      <c r="N616">
        <v>1965450</v>
      </c>
      <c r="O616" t="e">
        <v>#N/A</v>
      </c>
    </row>
    <row r="617" spans="2:15" hidden="1" x14ac:dyDescent="0.3">
      <c r="B617" t="s">
        <v>8</v>
      </c>
      <c r="C617">
        <v>928</v>
      </c>
      <c r="D617" t="s">
        <v>9</v>
      </c>
      <c r="E617">
        <v>1202</v>
      </c>
      <c r="F617" t="s">
        <v>75</v>
      </c>
      <c r="G617">
        <v>50</v>
      </c>
      <c r="H617" t="s">
        <v>11</v>
      </c>
      <c r="I617" t="s">
        <v>3382</v>
      </c>
      <c r="J617" t="s">
        <v>8423</v>
      </c>
      <c r="K617">
        <v>1468720</v>
      </c>
      <c r="L617">
        <v>44866</v>
      </c>
      <c r="M617" t="s">
        <v>693</v>
      </c>
      <c r="N617">
        <v>1468720</v>
      </c>
      <c r="O617" t="e">
        <v>#N/A</v>
      </c>
    </row>
    <row r="618" spans="2:15" hidden="1" x14ac:dyDescent="0.3">
      <c r="B618" t="s">
        <v>41</v>
      </c>
      <c r="C618">
        <v>926</v>
      </c>
      <c r="D618" t="s">
        <v>56</v>
      </c>
      <c r="E618">
        <v>1207</v>
      </c>
      <c r="F618" t="s">
        <v>64</v>
      </c>
      <c r="G618">
        <v>201011</v>
      </c>
      <c r="H618" t="s">
        <v>11</v>
      </c>
      <c r="I618" t="s">
        <v>3383</v>
      </c>
      <c r="J618" t="s">
        <v>7059</v>
      </c>
      <c r="K618">
        <v>221780</v>
      </c>
      <c r="L618">
        <v>44866</v>
      </c>
      <c r="M618" t="s">
        <v>694</v>
      </c>
      <c r="N618">
        <v>221780</v>
      </c>
      <c r="O618" t="s">
        <v>7058</v>
      </c>
    </row>
    <row r="619" spans="2:15" hidden="1" x14ac:dyDescent="0.3">
      <c r="B619" t="s">
        <v>8</v>
      </c>
      <c r="C619">
        <v>928</v>
      </c>
      <c r="D619" t="s">
        <v>9</v>
      </c>
      <c r="E619">
        <v>1202</v>
      </c>
      <c r="F619" t="s">
        <v>27</v>
      </c>
      <c r="G619">
        <v>806</v>
      </c>
      <c r="H619" t="s">
        <v>11</v>
      </c>
      <c r="I619" t="s">
        <v>3384</v>
      </c>
      <c r="J619" t="s">
        <v>8424</v>
      </c>
      <c r="K619">
        <v>154990</v>
      </c>
      <c r="L619">
        <v>44866</v>
      </c>
      <c r="M619" t="s">
        <v>695</v>
      </c>
      <c r="N619">
        <v>154990</v>
      </c>
      <c r="O619" t="e">
        <v>#N/A</v>
      </c>
    </row>
    <row r="620" spans="2:15" hidden="1" x14ac:dyDescent="0.3">
      <c r="B620" t="s">
        <v>8</v>
      </c>
      <c r="C620">
        <v>928</v>
      </c>
      <c r="D620" t="s">
        <v>9</v>
      </c>
      <c r="E620">
        <v>1202</v>
      </c>
      <c r="F620" t="s">
        <v>27</v>
      </c>
      <c r="G620">
        <v>806</v>
      </c>
      <c r="H620" t="s">
        <v>11</v>
      </c>
      <c r="I620" t="s">
        <v>3386</v>
      </c>
      <c r="J620" t="s">
        <v>8425</v>
      </c>
      <c r="K620">
        <v>663300</v>
      </c>
      <c r="L620">
        <v>44866</v>
      </c>
      <c r="M620" t="s">
        <v>696</v>
      </c>
      <c r="N620">
        <v>664330</v>
      </c>
      <c r="O620" t="e">
        <v>#N/A</v>
      </c>
    </row>
    <row r="621" spans="2:15" hidden="1" x14ac:dyDescent="0.3">
      <c r="B621" t="s">
        <v>8</v>
      </c>
      <c r="C621">
        <v>928</v>
      </c>
      <c r="D621" t="s">
        <v>9</v>
      </c>
      <c r="E621">
        <v>1202</v>
      </c>
      <c r="F621" t="s">
        <v>10</v>
      </c>
      <c r="G621">
        <v>939</v>
      </c>
      <c r="H621" t="s">
        <v>11</v>
      </c>
      <c r="I621" t="s">
        <v>3388</v>
      </c>
      <c r="J621" t="s">
        <v>8426</v>
      </c>
      <c r="K621">
        <v>5260</v>
      </c>
      <c r="L621">
        <v>44866</v>
      </c>
      <c r="M621" t="s">
        <v>697</v>
      </c>
      <c r="N621">
        <v>5260</v>
      </c>
      <c r="O621" t="e">
        <v>#N/A</v>
      </c>
    </row>
    <row r="622" spans="2:15" hidden="1" x14ac:dyDescent="0.3">
      <c r="B622" t="s">
        <v>41</v>
      </c>
      <c r="C622">
        <v>926</v>
      </c>
      <c r="D622" t="s">
        <v>42</v>
      </c>
      <c r="E622">
        <v>964</v>
      </c>
      <c r="F622" t="s">
        <v>43</v>
      </c>
      <c r="G622">
        <v>200998</v>
      </c>
      <c r="H622" t="s">
        <v>11</v>
      </c>
      <c r="I622" t="s">
        <v>3389</v>
      </c>
      <c r="J622" t="s">
        <v>8427</v>
      </c>
      <c r="K622">
        <v>50</v>
      </c>
      <c r="L622">
        <v>44866</v>
      </c>
      <c r="M622" t="s">
        <v>698</v>
      </c>
      <c r="N622">
        <v>50</v>
      </c>
      <c r="O622" t="e">
        <v>#N/A</v>
      </c>
    </row>
    <row r="623" spans="2:15" hidden="1" x14ac:dyDescent="0.3">
      <c r="B623" t="s">
        <v>8</v>
      </c>
      <c r="C623">
        <v>928</v>
      </c>
      <c r="D623" t="s">
        <v>13</v>
      </c>
      <c r="E623">
        <v>1184</v>
      </c>
      <c r="F623" t="s">
        <v>14</v>
      </c>
      <c r="G623">
        <v>914</v>
      </c>
      <c r="H623" t="s">
        <v>11</v>
      </c>
      <c r="I623" t="s">
        <v>3391</v>
      </c>
      <c r="J623" t="s">
        <v>8428</v>
      </c>
      <c r="K623">
        <v>252740</v>
      </c>
      <c r="L623">
        <v>44866</v>
      </c>
      <c r="M623" t="s">
        <v>323</v>
      </c>
      <c r="N623">
        <v>252740</v>
      </c>
      <c r="O623" t="e">
        <v>#N/A</v>
      </c>
    </row>
    <row r="624" spans="2:15" hidden="1" x14ac:dyDescent="0.3">
      <c r="B624" t="s">
        <v>8</v>
      </c>
      <c r="C624">
        <v>928</v>
      </c>
      <c r="D624" t="s">
        <v>9</v>
      </c>
      <c r="E624">
        <v>1202</v>
      </c>
      <c r="F624" t="s">
        <v>10</v>
      </c>
      <c r="G624">
        <v>939</v>
      </c>
      <c r="H624" t="s">
        <v>11</v>
      </c>
      <c r="I624" t="s">
        <v>3392</v>
      </c>
      <c r="J624" t="s">
        <v>8429</v>
      </c>
      <c r="K624">
        <v>526180</v>
      </c>
      <c r="L624">
        <v>44866</v>
      </c>
      <c r="M624" t="s">
        <v>699</v>
      </c>
      <c r="N624">
        <v>526180</v>
      </c>
      <c r="O624" t="e">
        <v>#N/A</v>
      </c>
    </row>
    <row r="625" spans="2:15" hidden="1" x14ac:dyDescent="0.3">
      <c r="B625" t="s">
        <v>8</v>
      </c>
      <c r="C625">
        <v>928</v>
      </c>
      <c r="D625" t="s">
        <v>9</v>
      </c>
      <c r="E625">
        <v>1202</v>
      </c>
      <c r="F625" t="s">
        <v>10</v>
      </c>
      <c r="G625">
        <v>939</v>
      </c>
      <c r="H625" t="s">
        <v>11</v>
      </c>
      <c r="I625" t="s">
        <v>3393</v>
      </c>
      <c r="J625" t="s">
        <v>8430</v>
      </c>
      <c r="K625">
        <v>283570</v>
      </c>
      <c r="L625">
        <v>44866</v>
      </c>
      <c r="M625" t="s">
        <v>700</v>
      </c>
      <c r="N625">
        <v>283570</v>
      </c>
      <c r="O625" t="e">
        <v>#N/A</v>
      </c>
    </row>
    <row r="626" spans="2:15" hidden="1" x14ac:dyDescent="0.3">
      <c r="B626" t="s">
        <v>16</v>
      </c>
      <c r="C626">
        <v>927</v>
      </c>
      <c r="D626" t="s">
        <v>17</v>
      </c>
      <c r="E626">
        <v>1200</v>
      </c>
      <c r="F626" t="s">
        <v>100</v>
      </c>
      <c r="G626">
        <v>201038</v>
      </c>
      <c r="H626" t="s">
        <v>11</v>
      </c>
      <c r="I626" t="s">
        <v>3395</v>
      </c>
      <c r="J626" t="s">
        <v>8431</v>
      </c>
      <c r="K626">
        <v>51780</v>
      </c>
      <c r="L626">
        <v>44866</v>
      </c>
      <c r="M626" t="s">
        <v>701</v>
      </c>
      <c r="N626">
        <v>51780</v>
      </c>
      <c r="O626" t="e">
        <v>#N/A</v>
      </c>
    </row>
    <row r="627" spans="2:15" hidden="1" x14ac:dyDescent="0.3">
      <c r="B627" t="s">
        <v>8</v>
      </c>
      <c r="C627">
        <v>928</v>
      </c>
      <c r="D627" t="s">
        <v>9</v>
      </c>
      <c r="E627">
        <v>1202</v>
      </c>
      <c r="F627" t="s">
        <v>10</v>
      </c>
      <c r="G627">
        <v>939</v>
      </c>
      <c r="H627" t="s">
        <v>11</v>
      </c>
      <c r="I627" t="s">
        <v>3399</v>
      </c>
      <c r="J627" t="s">
        <v>8432</v>
      </c>
      <c r="K627">
        <v>142200</v>
      </c>
      <c r="L627">
        <v>44866</v>
      </c>
      <c r="M627" t="s">
        <v>702</v>
      </c>
      <c r="N627">
        <v>142200</v>
      </c>
      <c r="O627" t="e">
        <v>#N/A</v>
      </c>
    </row>
    <row r="628" spans="2:15" hidden="1" x14ac:dyDescent="0.3">
      <c r="B628" t="s">
        <v>176</v>
      </c>
      <c r="C628">
        <v>1204</v>
      </c>
      <c r="D628" t="s">
        <v>177</v>
      </c>
      <c r="E628">
        <v>1205</v>
      </c>
      <c r="F628" t="s">
        <v>178</v>
      </c>
      <c r="G628">
        <v>201073</v>
      </c>
      <c r="H628" t="s">
        <v>11</v>
      </c>
      <c r="I628" t="s">
        <v>3400</v>
      </c>
      <c r="J628" t="s">
        <v>8433</v>
      </c>
      <c r="K628">
        <v>203743070</v>
      </c>
      <c r="L628">
        <v>44866</v>
      </c>
      <c r="M628" t="s">
        <v>703</v>
      </c>
      <c r="N628">
        <v>203743070</v>
      </c>
      <c r="O628" t="e">
        <v>#N/A</v>
      </c>
    </row>
    <row r="629" spans="2:15" hidden="1" x14ac:dyDescent="0.3">
      <c r="B629" t="s">
        <v>41</v>
      </c>
      <c r="C629">
        <v>926</v>
      </c>
      <c r="D629" t="s">
        <v>42</v>
      </c>
      <c r="E629">
        <v>964</v>
      </c>
      <c r="F629" t="s">
        <v>704</v>
      </c>
      <c r="G629">
        <v>1616</v>
      </c>
      <c r="H629" t="s">
        <v>11</v>
      </c>
      <c r="I629" t="s">
        <v>3403</v>
      </c>
      <c r="J629" t="s">
        <v>8434</v>
      </c>
      <c r="K629">
        <v>70</v>
      </c>
      <c r="L629">
        <v>44866</v>
      </c>
      <c r="M629" t="s">
        <v>705</v>
      </c>
      <c r="N629">
        <v>70</v>
      </c>
      <c r="O629" t="e">
        <v>#N/A</v>
      </c>
    </row>
    <row r="630" spans="2:15" hidden="1" x14ac:dyDescent="0.3">
      <c r="B630" t="s">
        <v>16</v>
      </c>
      <c r="C630">
        <v>927</v>
      </c>
      <c r="D630" t="s">
        <v>17</v>
      </c>
      <c r="E630">
        <v>1200</v>
      </c>
      <c r="F630" t="s">
        <v>244</v>
      </c>
      <c r="G630">
        <v>817</v>
      </c>
      <c r="H630" t="s">
        <v>11</v>
      </c>
      <c r="I630" t="s">
        <v>3406</v>
      </c>
      <c r="J630" t="s">
        <v>8435</v>
      </c>
      <c r="K630">
        <v>1630410</v>
      </c>
      <c r="L630">
        <v>44866</v>
      </c>
      <c r="M630" t="s">
        <v>706</v>
      </c>
      <c r="N630">
        <v>1630410</v>
      </c>
      <c r="O630" t="e">
        <v>#N/A</v>
      </c>
    </row>
    <row r="631" spans="2:15" hidden="1" x14ac:dyDescent="0.3">
      <c r="B631" t="s">
        <v>8</v>
      </c>
      <c r="C631">
        <v>928</v>
      </c>
      <c r="D631" t="s">
        <v>9</v>
      </c>
      <c r="E631">
        <v>1202</v>
      </c>
      <c r="F631" t="s">
        <v>73</v>
      </c>
      <c r="G631">
        <v>895</v>
      </c>
      <c r="H631" t="s">
        <v>11</v>
      </c>
      <c r="I631" t="s">
        <v>3408</v>
      </c>
      <c r="J631" t="s">
        <v>8436</v>
      </c>
      <c r="K631">
        <v>81600</v>
      </c>
      <c r="L631">
        <v>44866</v>
      </c>
      <c r="M631" t="s">
        <v>707</v>
      </c>
      <c r="N631">
        <v>81600</v>
      </c>
      <c r="O631" t="e">
        <v>#N/A</v>
      </c>
    </row>
    <row r="632" spans="2:15" hidden="1" x14ac:dyDescent="0.3">
      <c r="B632" t="s">
        <v>16</v>
      </c>
      <c r="C632">
        <v>927</v>
      </c>
      <c r="D632" t="s">
        <v>17</v>
      </c>
      <c r="E632">
        <v>1200</v>
      </c>
      <c r="F632" t="s">
        <v>100</v>
      </c>
      <c r="G632">
        <v>201038</v>
      </c>
      <c r="H632" t="s">
        <v>11</v>
      </c>
      <c r="I632" t="s">
        <v>3412</v>
      </c>
      <c r="J632" t="s">
        <v>8437</v>
      </c>
      <c r="K632">
        <v>168020</v>
      </c>
      <c r="L632">
        <v>44866</v>
      </c>
      <c r="M632" t="s">
        <v>708</v>
      </c>
      <c r="N632">
        <v>172610</v>
      </c>
      <c r="O632" t="e">
        <v>#N/A</v>
      </c>
    </row>
    <row r="633" spans="2:15" hidden="1" x14ac:dyDescent="0.3">
      <c r="B633" t="s">
        <v>8</v>
      </c>
      <c r="C633">
        <v>928</v>
      </c>
      <c r="D633" t="s">
        <v>9</v>
      </c>
      <c r="E633">
        <v>1202</v>
      </c>
      <c r="F633" t="s">
        <v>27</v>
      </c>
      <c r="G633">
        <v>806</v>
      </c>
      <c r="H633" t="s">
        <v>11</v>
      </c>
      <c r="I633" t="s">
        <v>3413</v>
      </c>
      <c r="J633" t="s">
        <v>8438</v>
      </c>
      <c r="K633">
        <v>66500</v>
      </c>
      <c r="L633">
        <v>44866</v>
      </c>
      <c r="M633" t="s">
        <v>709</v>
      </c>
      <c r="N633">
        <v>66500</v>
      </c>
      <c r="O633" t="e">
        <v>#N/A</v>
      </c>
    </row>
    <row r="634" spans="2:15" hidden="1" x14ac:dyDescent="0.3">
      <c r="B634" t="s">
        <v>41</v>
      </c>
      <c r="C634">
        <v>926</v>
      </c>
      <c r="D634" t="s">
        <v>42</v>
      </c>
      <c r="E634">
        <v>964</v>
      </c>
      <c r="F634" t="s">
        <v>43</v>
      </c>
      <c r="G634">
        <v>200998</v>
      </c>
      <c r="H634" t="s">
        <v>11</v>
      </c>
      <c r="I634" t="s">
        <v>3415</v>
      </c>
      <c r="J634" t="s">
        <v>8439</v>
      </c>
      <c r="K634">
        <v>5100</v>
      </c>
      <c r="L634">
        <v>44866</v>
      </c>
      <c r="M634" t="s">
        <v>710</v>
      </c>
      <c r="N634">
        <v>5100</v>
      </c>
      <c r="O634" t="e">
        <v>#N/A</v>
      </c>
    </row>
    <row r="635" spans="2:15" hidden="1" x14ac:dyDescent="0.3">
      <c r="B635" t="s">
        <v>41</v>
      </c>
      <c r="C635">
        <v>926</v>
      </c>
      <c r="D635" t="s">
        <v>56</v>
      </c>
      <c r="E635">
        <v>1207</v>
      </c>
      <c r="F635" t="s">
        <v>57</v>
      </c>
      <c r="G635">
        <v>200982</v>
      </c>
      <c r="H635" t="s">
        <v>11</v>
      </c>
      <c r="I635" t="s">
        <v>3416</v>
      </c>
      <c r="J635" t="s">
        <v>8440</v>
      </c>
      <c r="K635">
        <v>12080</v>
      </c>
      <c r="L635">
        <v>44866</v>
      </c>
      <c r="M635" t="s">
        <v>711</v>
      </c>
      <c r="N635">
        <v>12080</v>
      </c>
      <c r="O635" t="e">
        <v>#N/A</v>
      </c>
    </row>
    <row r="636" spans="2:15" hidden="1" x14ac:dyDescent="0.3">
      <c r="B636" t="s">
        <v>16</v>
      </c>
      <c r="C636">
        <v>927</v>
      </c>
      <c r="D636" t="s">
        <v>17</v>
      </c>
      <c r="E636">
        <v>1200</v>
      </c>
      <c r="F636" t="s">
        <v>96</v>
      </c>
      <c r="G636">
        <v>1271</v>
      </c>
      <c r="H636" t="s">
        <v>11</v>
      </c>
      <c r="I636" t="s">
        <v>3418</v>
      </c>
      <c r="J636" t="s">
        <v>8441</v>
      </c>
      <c r="K636">
        <v>364270</v>
      </c>
      <c r="L636">
        <v>44866</v>
      </c>
      <c r="M636" t="s">
        <v>712</v>
      </c>
      <c r="N636">
        <v>364270</v>
      </c>
      <c r="O636" t="e">
        <v>#N/A</v>
      </c>
    </row>
    <row r="637" spans="2:15" hidden="1" x14ac:dyDescent="0.3">
      <c r="B637" t="s">
        <v>16</v>
      </c>
      <c r="C637">
        <v>927</v>
      </c>
      <c r="D637" t="s">
        <v>17</v>
      </c>
      <c r="E637">
        <v>1200</v>
      </c>
      <c r="F637" t="s">
        <v>78</v>
      </c>
      <c r="G637">
        <v>57</v>
      </c>
      <c r="H637" t="s">
        <v>11</v>
      </c>
      <c r="I637" t="s">
        <v>8442</v>
      </c>
      <c r="J637" t="s">
        <v>7044</v>
      </c>
      <c r="K637">
        <v>4530</v>
      </c>
      <c r="L637">
        <v>44866</v>
      </c>
      <c r="M637" t="s">
        <v>713</v>
      </c>
      <c r="N637" t="e">
        <v>#N/A</v>
      </c>
      <c r="O637" t="s">
        <v>7045</v>
      </c>
    </row>
    <row r="638" spans="2:15" hidden="1" x14ac:dyDescent="0.3">
      <c r="B638" t="s">
        <v>16</v>
      </c>
      <c r="C638">
        <v>927</v>
      </c>
      <c r="D638" t="s">
        <v>17</v>
      </c>
      <c r="E638">
        <v>1200</v>
      </c>
      <c r="F638" t="s">
        <v>100</v>
      </c>
      <c r="G638">
        <v>201038</v>
      </c>
      <c r="H638" t="s">
        <v>11</v>
      </c>
      <c r="I638" t="s">
        <v>3423</v>
      </c>
      <c r="J638" t="s">
        <v>8443</v>
      </c>
      <c r="K638">
        <v>25870</v>
      </c>
      <c r="L638">
        <v>44866</v>
      </c>
      <c r="M638" t="s">
        <v>714</v>
      </c>
      <c r="N638">
        <v>25870</v>
      </c>
      <c r="O638" t="e">
        <v>#N/A</v>
      </c>
    </row>
    <row r="639" spans="2:15" hidden="1" x14ac:dyDescent="0.3">
      <c r="B639" t="s">
        <v>8</v>
      </c>
      <c r="C639">
        <v>928</v>
      </c>
      <c r="D639" t="s">
        <v>13</v>
      </c>
      <c r="E639">
        <v>1184</v>
      </c>
      <c r="F639" t="s">
        <v>335</v>
      </c>
      <c r="G639">
        <v>201090</v>
      </c>
      <c r="H639" t="s">
        <v>11</v>
      </c>
      <c r="I639" t="s">
        <v>3429</v>
      </c>
      <c r="J639" t="s">
        <v>8444</v>
      </c>
      <c r="K639">
        <v>4980</v>
      </c>
      <c r="L639">
        <v>44866</v>
      </c>
      <c r="M639" t="s">
        <v>715</v>
      </c>
      <c r="N639">
        <v>4980</v>
      </c>
      <c r="O639" t="e">
        <v>#N/A</v>
      </c>
    </row>
    <row r="640" spans="2:15" hidden="1" x14ac:dyDescent="0.3">
      <c r="B640" t="s">
        <v>8</v>
      </c>
      <c r="C640">
        <v>928</v>
      </c>
      <c r="D640" t="s">
        <v>13</v>
      </c>
      <c r="E640">
        <v>1184</v>
      </c>
      <c r="F640" t="s">
        <v>335</v>
      </c>
      <c r="G640">
        <v>201090</v>
      </c>
      <c r="H640" t="s">
        <v>11</v>
      </c>
      <c r="I640" t="s">
        <v>3430</v>
      </c>
      <c r="J640" t="s">
        <v>8445</v>
      </c>
      <c r="K640">
        <v>55900</v>
      </c>
      <c r="L640">
        <v>44866</v>
      </c>
      <c r="M640" t="s">
        <v>716</v>
      </c>
      <c r="N640">
        <v>55900</v>
      </c>
      <c r="O640" t="e">
        <v>#N/A</v>
      </c>
    </row>
    <row r="641" spans="2:15" hidden="1" x14ac:dyDescent="0.3">
      <c r="B641" t="s">
        <v>8</v>
      </c>
      <c r="C641">
        <v>928</v>
      </c>
      <c r="D641" t="s">
        <v>9</v>
      </c>
      <c r="E641">
        <v>1202</v>
      </c>
      <c r="F641" t="s">
        <v>10</v>
      </c>
      <c r="G641">
        <v>939</v>
      </c>
      <c r="H641" t="s">
        <v>11</v>
      </c>
      <c r="I641" t="s">
        <v>3434</v>
      </c>
      <c r="J641" t="s">
        <v>8446</v>
      </c>
      <c r="K641">
        <v>2971640</v>
      </c>
      <c r="L641">
        <v>44866</v>
      </c>
      <c r="M641" t="s">
        <v>717</v>
      </c>
      <c r="N641">
        <v>2971640</v>
      </c>
      <c r="O641" t="e">
        <v>#N/A</v>
      </c>
    </row>
    <row r="642" spans="2:15" hidden="1" x14ac:dyDescent="0.3">
      <c r="B642" t="s">
        <v>8</v>
      </c>
      <c r="C642">
        <v>928</v>
      </c>
      <c r="D642" t="s">
        <v>9</v>
      </c>
      <c r="E642">
        <v>1202</v>
      </c>
      <c r="F642" t="s">
        <v>33</v>
      </c>
      <c r="G642">
        <v>933</v>
      </c>
      <c r="H642" t="s">
        <v>11</v>
      </c>
      <c r="I642" t="s">
        <v>3437</v>
      </c>
      <c r="J642" t="s">
        <v>8447</v>
      </c>
      <c r="K642">
        <v>432200</v>
      </c>
      <c r="L642">
        <v>44866</v>
      </c>
      <c r="M642" t="s">
        <v>718</v>
      </c>
      <c r="N642">
        <v>432200</v>
      </c>
      <c r="O642" t="e">
        <v>#N/A</v>
      </c>
    </row>
    <row r="643" spans="2:15" hidden="1" x14ac:dyDescent="0.3">
      <c r="B643" t="s">
        <v>8</v>
      </c>
      <c r="C643">
        <v>928</v>
      </c>
      <c r="D643" t="s">
        <v>9</v>
      </c>
      <c r="E643">
        <v>1202</v>
      </c>
      <c r="F643" t="s">
        <v>33</v>
      </c>
      <c r="G643">
        <v>933</v>
      </c>
      <c r="H643" t="s">
        <v>11</v>
      </c>
      <c r="I643" t="s">
        <v>3440</v>
      </c>
      <c r="J643" t="s">
        <v>8448</v>
      </c>
      <c r="K643">
        <v>4000</v>
      </c>
      <c r="L643">
        <v>44866</v>
      </c>
      <c r="M643" t="s">
        <v>719</v>
      </c>
      <c r="N643">
        <v>4000</v>
      </c>
      <c r="O643" t="e">
        <v>#N/A</v>
      </c>
    </row>
    <row r="644" spans="2:15" hidden="1" x14ac:dyDescent="0.3">
      <c r="B644" t="s">
        <v>8</v>
      </c>
      <c r="C644">
        <v>928</v>
      </c>
      <c r="D644" t="s">
        <v>13</v>
      </c>
      <c r="E644">
        <v>1184</v>
      </c>
      <c r="F644" t="s">
        <v>102</v>
      </c>
      <c r="G644">
        <v>917</v>
      </c>
      <c r="H644" t="s">
        <v>11</v>
      </c>
      <c r="I644" t="s">
        <v>3443</v>
      </c>
      <c r="J644" t="s">
        <v>8449</v>
      </c>
      <c r="K644">
        <v>636120</v>
      </c>
      <c r="L644">
        <v>44866</v>
      </c>
      <c r="M644" t="s">
        <v>720</v>
      </c>
      <c r="N644">
        <v>650300</v>
      </c>
      <c r="O644" t="e">
        <v>#N/A</v>
      </c>
    </row>
    <row r="645" spans="2:15" hidden="1" x14ac:dyDescent="0.3">
      <c r="B645" t="s">
        <v>8</v>
      </c>
      <c r="C645">
        <v>928</v>
      </c>
      <c r="D645" t="s">
        <v>9</v>
      </c>
      <c r="E645">
        <v>1202</v>
      </c>
      <c r="F645" t="s">
        <v>75</v>
      </c>
      <c r="G645">
        <v>50</v>
      </c>
      <c r="H645" t="s">
        <v>11</v>
      </c>
      <c r="I645" t="s">
        <v>3444</v>
      </c>
      <c r="J645" t="s">
        <v>8450</v>
      </c>
      <c r="K645">
        <v>912950</v>
      </c>
      <c r="L645">
        <v>44866</v>
      </c>
      <c r="M645" t="s">
        <v>721</v>
      </c>
      <c r="N645">
        <v>912950</v>
      </c>
      <c r="O645" t="e">
        <v>#N/A</v>
      </c>
    </row>
    <row r="646" spans="2:15" hidden="1" x14ac:dyDescent="0.3">
      <c r="B646" t="s">
        <v>8</v>
      </c>
      <c r="C646">
        <v>928</v>
      </c>
      <c r="D646" t="s">
        <v>9</v>
      </c>
      <c r="E646">
        <v>1202</v>
      </c>
      <c r="F646" t="s">
        <v>10</v>
      </c>
      <c r="G646">
        <v>939</v>
      </c>
      <c r="H646" t="s">
        <v>11</v>
      </c>
      <c r="I646" t="s">
        <v>3445</v>
      </c>
      <c r="J646" t="s">
        <v>8451</v>
      </c>
      <c r="K646">
        <v>79900</v>
      </c>
      <c r="L646">
        <v>44866</v>
      </c>
      <c r="M646" t="s">
        <v>722</v>
      </c>
      <c r="N646">
        <v>79900</v>
      </c>
      <c r="O646" t="e">
        <v>#N/A</v>
      </c>
    </row>
    <row r="647" spans="2:15" x14ac:dyDescent="0.3">
      <c r="B647" t="s">
        <v>8</v>
      </c>
      <c r="C647">
        <v>928</v>
      </c>
      <c r="D647" t="s">
        <v>9</v>
      </c>
      <c r="E647">
        <v>1202</v>
      </c>
      <c r="F647" t="s">
        <v>47</v>
      </c>
      <c r="G647">
        <v>898</v>
      </c>
      <c r="H647" t="s">
        <v>11</v>
      </c>
      <c r="I647" t="s">
        <v>8452</v>
      </c>
      <c r="J647" t="s">
        <v>8453</v>
      </c>
      <c r="K647">
        <v>3260</v>
      </c>
      <c r="L647">
        <v>44866</v>
      </c>
      <c r="M647" t="s">
        <v>723</v>
      </c>
      <c r="N647" t="e">
        <v>#N/A</v>
      </c>
      <c r="O647" t="e">
        <v>#N/A</v>
      </c>
    </row>
    <row r="648" spans="2:15" hidden="1" x14ac:dyDescent="0.3">
      <c r="B648" t="s">
        <v>16</v>
      </c>
      <c r="C648">
        <v>927</v>
      </c>
      <c r="D648" t="s">
        <v>17</v>
      </c>
      <c r="E648">
        <v>1200</v>
      </c>
      <c r="F648" t="s">
        <v>371</v>
      </c>
      <c r="G648">
        <v>551</v>
      </c>
      <c r="H648" t="s">
        <v>11</v>
      </c>
      <c r="I648" t="s">
        <v>3447</v>
      </c>
      <c r="J648" t="s">
        <v>8454</v>
      </c>
      <c r="K648">
        <v>652030</v>
      </c>
      <c r="L648">
        <v>44866</v>
      </c>
      <c r="M648" t="s">
        <v>724</v>
      </c>
      <c r="N648">
        <v>697340</v>
      </c>
      <c r="O648" t="e">
        <v>#N/A</v>
      </c>
    </row>
    <row r="649" spans="2:15" hidden="1" x14ac:dyDescent="0.3">
      <c r="B649" t="s">
        <v>8</v>
      </c>
      <c r="C649">
        <v>928</v>
      </c>
      <c r="D649" t="s">
        <v>9</v>
      </c>
      <c r="E649">
        <v>1202</v>
      </c>
      <c r="F649" t="s">
        <v>27</v>
      </c>
      <c r="G649">
        <v>806</v>
      </c>
      <c r="H649" t="s">
        <v>11</v>
      </c>
      <c r="I649" t="s">
        <v>3449</v>
      </c>
      <c r="J649" t="s">
        <v>8455</v>
      </c>
      <c r="K649">
        <v>139380</v>
      </c>
      <c r="L649">
        <v>44866</v>
      </c>
      <c r="M649" t="s">
        <v>725</v>
      </c>
      <c r="N649">
        <v>139380</v>
      </c>
      <c r="O649" t="e">
        <v>#N/A</v>
      </c>
    </row>
    <row r="650" spans="2:15" hidden="1" x14ac:dyDescent="0.3">
      <c r="B650" t="s">
        <v>22</v>
      </c>
      <c r="C650">
        <v>809</v>
      </c>
      <c r="D650" t="s">
        <v>23</v>
      </c>
      <c r="E650">
        <v>810</v>
      </c>
      <c r="F650" t="s">
        <v>428</v>
      </c>
      <c r="G650">
        <v>201062</v>
      </c>
      <c r="H650" t="s">
        <v>11</v>
      </c>
      <c r="I650" t="s">
        <v>3452</v>
      </c>
      <c r="J650" t="s">
        <v>8456</v>
      </c>
      <c r="K650">
        <v>81190</v>
      </c>
      <c r="L650">
        <v>44866</v>
      </c>
      <c r="M650" t="s">
        <v>726</v>
      </c>
      <c r="N650">
        <v>81190</v>
      </c>
      <c r="O650" t="e">
        <v>#N/A</v>
      </c>
    </row>
    <row r="651" spans="2:15" hidden="1" x14ac:dyDescent="0.3">
      <c r="B651" t="s">
        <v>8</v>
      </c>
      <c r="C651">
        <v>928</v>
      </c>
      <c r="D651" t="s">
        <v>9</v>
      </c>
      <c r="E651">
        <v>1202</v>
      </c>
      <c r="F651" t="s">
        <v>45</v>
      </c>
      <c r="G651">
        <v>26</v>
      </c>
      <c r="H651" t="s">
        <v>11</v>
      </c>
      <c r="I651" t="s">
        <v>3457</v>
      </c>
      <c r="J651" t="s">
        <v>8457</v>
      </c>
      <c r="K651">
        <v>2226440</v>
      </c>
      <c r="L651">
        <v>44866</v>
      </c>
      <c r="M651" t="s">
        <v>727</v>
      </c>
      <c r="N651">
        <v>2226490</v>
      </c>
      <c r="O651" t="e">
        <v>#N/A</v>
      </c>
    </row>
    <row r="652" spans="2:15" hidden="1" x14ac:dyDescent="0.3">
      <c r="B652" t="s">
        <v>8</v>
      </c>
      <c r="C652">
        <v>928</v>
      </c>
      <c r="D652" t="s">
        <v>9</v>
      </c>
      <c r="E652">
        <v>1202</v>
      </c>
      <c r="F652" t="s">
        <v>27</v>
      </c>
      <c r="G652">
        <v>806</v>
      </c>
      <c r="H652" t="s">
        <v>11</v>
      </c>
      <c r="I652" t="s">
        <v>3458</v>
      </c>
      <c r="J652" t="s">
        <v>8458</v>
      </c>
      <c r="K652">
        <v>100240</v>
      </c>
      <c r="L652">
        <v>44866</v>
      </c>
      <c r="M652" t="s">
        <v>728</v>
      </c>
      <c r="N652">
        <v>100240</v>
      </c>
      <c r="O652" t="e">
        <v>#N/A</v>
      </c>
    </row>
    <row r="653" spans="2:15" hidden="1" x14ac:dyDescent="0.3">
      <c r="B653" t="s">
        <v>8</v>
      </c>
      <c r="C653">
        <v>928</v>
      </c>
      <c r="D653" t="s">
        <v>9</v>
      </c>
      <c r="E653">
        <v>1202</v>
      </c>
      <c r="F653" t="s">
        <v>27</v>
      </c>
      <c r="G653">
        <v>806</v>
      </c>
      <c r="H653" t="s">
        <v>11</v>
      </c>
      <c r="I653" t="s">
        <v>3459</v>
      </c>
      <c r="J653" t="s">
        <v>8459</v>
      </c>
      <c r="K653">
        <v>441890</v>
      </c>
      <c r="L653">
        <v>44866</v>
      </c>
      <c r="M653" t="s">
        <v>729</v>
      </c>
      <c r="N653">
        <v>441890</v>
      </c>
      <c r="O653" t="e">
        <v>#N/A</v>
      </c>
    </row>
    <row r="654" spans="2:15" hidden="1" x14ac:dyDescent="0.3">
      <c r="B654" t="s">
        <v>8</v>
      </c>
      <c r="C654">
        <v>928</v>
      </c>
      <c r="D654" t="s">
        <v>9</v>
      </c>
      <c r="E654">
        <v>1202</v>
      </c>
      <c r="F654" t="s">
        <v>47</v>
      </c>
      <c r="G654">
        <v>898</v>
      </c>
      <c r="H654" t="s">
        <v>11</v>
      </c>
      <c r="I654" t="s">
        <v>3460</v>
      </c>
      <c r="J654" t="s">
        <v>8460</v>
      </c>
      <c r="K654">
        <v>3210</v>
      </c>
      <c r="L654">
        <v>44866</v>
      </c>
      <c r="M654" t="s">
        <v>730</v>
      </c>
      <c r="N654">
        <v>3210</v>
      </c>
      <c r="O654" t="e">
        <v>#N/A</v>
      </c>
    </row>
    <row r="655" spans="2:15" hidden="1" x14ac:dyDescent="0.3">
      <c r="B655" t="s">
        <v>8</v>
      </c>
      <c r="C655">
        <v>928</v>
      </c>
      <c r="D655" t="s">
        <v>9</v>
      </c>
      <c r="E655">
        <v>1202</v>
      </c>
      <c r="F655" t="s">
        <v>10</v>
      </c>
      <c r="G655">
        <v>939</v>
      </c>
      <c r="H655" t="s">
        <v>11</v>
      </c>
      <c r="I655" t="s">
        <v>3462</v>
      </c>
      <c r="J655" t="s">
        <v>8461</v>
      </c>
      <c r="K655">
        <v>1018980</v>
      </c>
      <c r="L655">
        <v>44866</v>
      </c>
      <c r="M655" t="s">
        <v>731</v>
      </c>
      <c r="N655">
        <v>1018980</v>
      </c>
      <c r="O655" t="e">
        <v>#N/A</v>
      </c>
    </row>
    <row r="656" spans="2:15" hidden="1" x14ac:dyDescent="0.3">
      <c r="B656" t="s">
        <v>8</v>
      </c>
      <c r="C656">
        <v>928</v>
      </c>
      <c r="D656" t="s">
        <v>9</v>
      </c>
      <c r="E656">
        <v>1202</v>
      </c>
      <c r="F656" t="s">
        <v>27</v>
      </c>
      <c r="G656">
        <v>806</v>
      </c>
      <c r="H656" t="s">
        <v>11</v>
      </c>
      <c r="I656" t="s">
        <v>3463</v>
      </c>
      <c r="J656" t="s">
        <v>8462</v>
      </c>
      <c r="K656">
        <v>3792000</v>
      </c>
      <c r="L656">
        <v>44866</v>
      </c>
      <c r="M656" t="s">
        <v>732</v>
      </c>
      <c r="N656">
        <v>3792000</v>
      </c>
      <c r="O656" t="e">
        <v>#N/A</v>
      </c>
    </row>
    <row r="657" spans="2:15" hidden="1" x14ac:dyDescent="0.3">
      <c r="B657" t="s">
        <v>8</v>
      </c>
      <c r="C657">
        <v>928</v>
      </c>
      <c r="D657" t="s">
        <v>9</v>
      </c>
      <c r="E657">
        <v>1202</v>
      </c>
      <c r="F657" t="s">
        <v>45</v>
      </c>
      <c r="G657">
        <v>26</v>
      </c>
      <c r="H657" t="s">
        <v>11</v>
      </c>
      <c r="I657" t="s">
        <v>3465</v>
      </c>
      <c r="J657" t="s">
        <v>8463</v>
      </c>
      <c r="K657">
        <v>390750</v>
      </c>
      <c r="L657">
        <v>44866</v>
      </c>
      <c r="M657" t="s">
        <v>733</v>
      </c>
      <c r="N657">
        <v>390750</v>
      </c>
      <c r="O657" t="e">
        <v>#N/A</v>
      </c>
    </row>
    <row r="658" spans="2:15" hidden="1" x14ac:dyDescent="0.3">
      <c r="B658" t="s">
        <v>41</v>
      </c>
      <c r="C658">
        <v>926</v>
      </c>
      <c r="D658" t="s">
        <v>56</v>
      </c>
      <c r="E658">
        <v>1207</v>
      </c>
      <c r="F658" t="s">
        <v>62</v>
      </c>
      <c r="G658">
        <v>201037</v>
      </c>
      <c r="H658" t="s">
        <v>11</v>
      </c>
      <c r="I658" t="s">
        <v>3467</v>
      </c>
      <c r="J658" t="s">
        <v>8464</v>
      </c>
      <c r="K658">
        <v>22943</v>
      </c>
      <c r="L658">
        <v>44866</v>
      </c>
      <c r="M658" t="s">
        <v>734</v>
      </c>
      <c r="N658">
        <v>22993</v>
      </c>
      <c r="O658" t="e">
        <v>#N/A</v>
      </c>
    </row>
    <row r="659" spans="2:15" x14ac:dyDescent="0.3">
      <c r="B659" t="s">
        <v>41</v>
      </c>
      <c r="C659">
        <v>926</v>
      </c>
      <c r="D659" t="s">
        <v>56</v>
      </c>
      <c r="E659">
        <v>1207</v>
      </c>
      <c r="F659" t="s">
        <v>253</v>
      </c>
      <c r="G659">
        <v>1328</v>
      </c>
      <c r="H659" t="s">
        <v>11</v>
      </c>
      <c r="I659" t="s">
        <v>8465</v>
      </c>
      <c r="J659" t="s">
        <v>8466</v>
      </c>
      <c r="K659">
        <v>4770</v>
      </c>
      <c r="L659">
        <v>44866</v>
      </c>
      <c r="M659" t="s">
        <v>735</v>
      </c>
      <c r="N659" t="e">
        <v>#N/A</v>
      </c>
      <c r="O659" t="e">
        <v>#N/A</v>
      </c>
    </row>
    <row r="660" spans="2:15" hidden="1" x14ac:dyDescent="0.3">
      <c r="B660" t="s">
        <v>8</v>
      </c>
      <c r="C660">
        <v>928</v>
      </c>
      <c r="D660" t="s">
        <v>9</v>
      </c>
      <c r="E660">
        <v>1202</v>
      </c>
      <c r="F660" t="s">
        <v>220</v>
      </c>
      <c r="G660">
        <v>1211</v>
      </c>
      <c r="H660" t="s">
        <v>11</v>
      </c>
      <c r="I660" t="s">
        <v>3468</v>
      </c>
      <c r="J660" t="s">
        <v>8467</v>
      </c>
      <c r="K660">
        <v>87800</v>
      </c>
      <c r="L660">
        <v>44866</v>
      </c>
      <c r="M660" t="s">
        <v>221</v>
      </c>
      <c r="N660">
        <v>87800</v>
      </c>
      <c r="O660" t="e">
        <v>#N/A</v>
      </c>
    </row>
    <row r="661" spans="2:15" hidden="1" x14ac:dyDescent="0.3">
      <c r="B661" t="s">
        <v>8</v>
      </c>
      <c r="C661">
        <v>928</v>
      </c>
      <c r="D661" t="s">
        <v>13</v>
      </c>
      <c r="E661">
        <v>1184</v>
      </c>
      <c r="F661" t="s">
        <v>51</v>
      </c>
      <c r="G661">
        <v>1274</v>
      </c>
      <c r="H661" t="s">
        <v>11</v>
      </c>
      <c r="I661" t="s">
        <v>3472</v>
      </c>
      <c r="J661" t="s">
        <v>8468</v>
      </c>
      <c r="K661">
        <v>13400</v>
      </c>
      <c r="L661">
        <v>44866</v>
      </c>
      <c r="M661" t="s">
        <v>736</v>
      </c>
      <c r="N661">
        <v>13400</v>
      </c>
      <c r="O661" t="e">
        <v>#N/A</v>
      </c>
    </row>
    <row r="662" spans="2:15" hidden="1" x14ac:dyDescent="0.3">
      <c r="B662" t="s">
        <v>8</v>
      </c>
      <c r="C662">
        <v>928</v>
      </c>
      <c r="D662" t="s">
        <v>9</v>
      </c>
      <c r="E662">
        <v>1202</v>
      </c>
      <c r="F662" t="s">
        <v>142</v>
      </c>
      <c r="G662">
        <v>652</v>
      </c>
      <c r="H662" t="s">
        <v>11</v>
      </c>
      <c r="I662" t="s">
        <v>3473</v>
      </c>
      <c r="J662" t="s">
        <v>8469</v>
      </c>
      <c r="K662">
        <v>123070</v>
      </c>
      <c r="L662">
        <v>44866</v>
      </c>
      <c r="M662" t="s">
        <v>737</v>
      </c>
      <c r="N662">
        <v>123070</v>
      </c>
      <c r="O662" t="e">
        <v>#N/A</v>
      </c>
    </row>
    <row r="663" spans="2:15" hidden="1" x14ac:dyDescent="0.3">
      <c r="B663" t="s">
        <v>8</v>
      </c>
      <c r="C663">
        <v>928</v>
      </c>
      <c r="D663" t="s">
        <v>13</v>
      </c>
      <c r="E663">
        <v>1184</v>
      </c>
      <c r="F663" t="s">
        <v>51</v>
      </c>
      <c r="G663">
        <v>1274</v>
      </c>
      <c r="H663" t="s">
        <v>11</v>
      </c>
      <c r="I663" t="s">
        <v>3475</v>
      </c>
      <c r="J663" t="s">
        <v>8470</v>
      </c>
      <c r="K663">
        <v>127160</v>
      </c>
      <c r="L663">
        <v>44866</v>
      </c>
      <c r="M663" t="s">
        <v>738</v>
      </c>
      <c r="N663">
        <v>127160</v>
      </c>
      <c r="O663" t="e">
        <v>#N/A</v>
      </c>
    </row>
    <row r="664" spans="2:15" hidden="1" x14ac:dyDescent="0.3">
      <c r="B664" t="s">
        <v>8</v>
      </c>
      <c r="C664">
        <v>928</v>
      </c>
      <c r="D664" t="s">
        <v>13</v>
      </c>
      <c r="E664">
        <v>1184</v>
      </c>
      <c r="F664" t="s">
        <v>217</v>
      </c>
      <c r="G664">
        <v>201027</v>
      </c>
      <c r="H664" t="s">
        <v>11</v>
      </c>
      <c r="I664" t="s">
        <v>3476</v>
      </c>
      <c r="J664" t="s">
        <v>8471</v>
      </c>
      <c r="K664">
        <v>56590</v>
      </c>
      <c r="L664">
        <v>44866</v>
      </c>
      <c r="M664" t="s">
        <v>739</v>
      </c>
      <c r="N664">
        <v>56590</v>
      </c>
      <c r="O664" t="e">
        <v>#N/A</v>
      </c>
    </row>
    <row r="665" spans="2:15" hidden="1" x14ac:dyDescent="0.3">
      <c r="B665" t="s">
        <v>16</v>
      </c>
      <c r="C665">
        <v>927</v>
      </c>
      <c r="D665" t="s">
        <v>17</v>
      </c>
      <c r="E665">
        <v>1200</v>
      </c>
      <c r="F665" t="s">
        <v>100</v>
      </c>
      <c r="G665">
        <v>201038</v>
      </c>
      <c r="H665" t="s">
        <v>11</v>
      </c>
      <c r="I665" t="s">
        <v>3477</v>
      </c>
      <c r="J665" t="s">
        <v>8472</v>
      </c>
      <c r="K665">
        <v>93100</v>
      </c>
      <c r="L665">
        <v>44866</v>
      </c>
      <c r="M665" t="s">
        <v>740</v>
      </c>
      <c r="N665">
        <v>93100</v>
      </c>
      <c r="O665" t="e">
        <v>#N/A</v>
      </c>
    </row>
    <row r="666" spans="2:15" hidden="1" x14ac:dyDescent="0.3">
      <c r="B666" t="s">
        <v>8</v>
      </c>
      <c r="C666">
        <v>928</v>
      </c>
      <c r="D666" t="s">
        <v>9</v>
      </c>
      <c r="E666">
        <v>1202</v>
      </c>
      <c r="F666" t="s">
        <v>27</v>
      </c>
      <c r="G666">
        <v>806</v>
      </c>
      <c r="H666" t="s">
        <v>11</v>
      </c>
      <c r="I666" t="s">
        <v>3480</v>
      </c>
      <c r="J666" t="s">
        <v>8473</v>
      </c>
      <c r="K666">
        <v>1427890</v>
      </c>
      <c r="L666">
        <v>44866</v>
      </c>
      <c r="M666" t="s">
        <v>741</v>
      </c>
      <c r="N666">
        <v>1427890</v>
      </c>
      <c r="O666" t="e">
        <v>#N/A</v>
      </c>
    </row>
    <row r="667" spans="2:15" hidden="1" x14ac:dyDescent="0.3">
      <c r="B667" t="s">
        <v>8</v>
      </c>
      <c r="C667">
        <v>928</v>
      </c>
      <c r="D667" t="s">
        <v>9</v>
      </c>
      <c r="E667">
        <v>1202</v>
      </c>
      <c r="F667" t="s">
        <v>10</v>
      </c>
      <c r="G667">
        <v>939</v>
      </c>
      <c r="H667" t="s">
        <v>11</v>
      </c>
      <c r="I667" t="s">
        <v>3481</v>
      </c>
      <c r="J667" t="s">
        <v>8474</v>
      </c>
      <c r="K667">
        <v>780</v>
      </c>
      <c r="L667">
        <v>44866</v>
      </c>
      <c r="M667" t="s">
        <v>742</v>
      </c>
      <c r="N667">
        <v>780</v>
      </c>
      <c r="O667" t="e">
        <v>#N/A</v>
      </c>
    </row>
    <row r="668" spans="2:15" hidden="1" x14ac:dyDescent="0.3">
      <c r="B668" t="s">
        <v>16</v>
      </c>
      <c r="C668">
        <v>927</v>
      </c>
      <c r="D668" t="s">
        <v>17</v>
      </c>
      <c r="E668">
        <v>1200</v>
      </c>
      <c r="F668" t="s">
        <v>29</v>
      </c>
      <c r="G668">
        <v>1496</v>
      </c>
      <c r="H668" t="s">
        <v>11</v>
      </c>
      <c r="I668" t="s">
        <v>3482</v>
      </c>
      <c r="J668" t="s">
        <v>8475</v>
      </c>
      <c r="K668">
        <v>1570390</v>
      </c>
      <c r="L668">
        <v>44866</v>
      </c>
      <c r="M668" t="s">
        <v>743</v>
      </c>
      <c r="N668">
        <v>1570390</v>
      </c>
      <c r="O668" t="e">
        <v>#N/A</v>
      </c>
    </row>
    <row r="669" spans="2:15" hidden="1" x14ac:dyDescent="0.3">
      <c r="B669" t="s">
        <v>16</v>
      </c>
      <c r="C669">
        <v>927</v>
      </c>
      <c r="D669" t="s">
        <v>17</v>
      </c>
      <c r="E669">
        <v>1200</v>
      </c>
      <c r="F669" t="s">
        <v>53</v>
      </c>
      <c r="G669">
        <v>201080</v>
      </c>
      <c r="H669" t="s">
        <v>11</v>
      </c>
      <c r="I669" t="s">
        <v>3483</v>
      </c>
      <c r="J669" t="s">
        <v>8476</v>
      </c>
      <c r="K669">
        <v>233610</v>
      </c>
      <c r="L669">
        <v>44866</v>
      </c>
      <c r="M669" t="s">
        <v>744</v>
      </c>
      <c r="N669">
        <v>233940</v>
      </c>
      <c r="O669" t="e">
        <v>#N/A</v>
      </c>
    </row>
    <row r="670" spans="2:15" hidden="1" x14ac:dyDescent="0.3">
      <c r="B670" t="s">
        <v>16</v>
      </c>
      <c r="C670">
        <v>927</v>
      </c>
      <c r="D670" t="s">
        <v>17</v>
      </c>
      <c r="E670">
        <v>1200</v>
      </c>
      <c r="F670" t="s">
        <v>137</v>
      </c>
      <c r="G670">
        <v>1012</v>
      </c>
      <c r="H670" t="s">
        <v>11</v>
      </c>
      <c r="I670" t="s">
        <v>3484</v>
      </c>
      <c r="J670" t="s">
        <v>8477</v>
      </c>
      <c r="K670">
        <v>265540</v>
      </c>
      <c r="L670">
        <v>44866</v>
      </c>
      <c r="M670" t="s">
        <v>745</v>
      </c>
      <c r="N670">
        <v>265540</v>
      </c>
      <c r="O670" t="e">
        <v>#N/A</v>
      </c>
    </row>
    <row r="671" spans="2:15" hidden="1" x14ac:dyDescent="0.3">
      <c r="B671" t="s">
        <v>16</v>
      </c>
      <c r="C671">
        <v>927</v>
      </c>
      <c r="D671" t="s">
        <v>17</v>
      </c>
      <c r="E671">
        <v>1200</v>
      </c>
      <c r="F671" t="s">
        <v>446</v>
      </c>
      <c r="G671">
        <v>566</v>
      </c>
      <c r="H671" t="s">
        <v>11</v>
      </c>
      <c r="I671" t="s">
        <v>3488</v>
      </c>
      <c r="J671" t="s">
        <v>8478</v>
      </c>
      <c r="K671">
        <v>317760</v>
      </c>
      <c r="L671">
        <v>44866</v>
      </c>
      <c r="M671" t="s">
        <v>746</v>
      </c>
      <c r="N671">
        <v>9420</v>
      </c>
      <c r="O671" t="e">
        <v>#N/A</v>
      </c>
    </row>
    <row r="672" spans="2:15" hidden="1" x14ac:dyDescent="0.3">
      <c r="B672" t="s">
        <v>8</v>
      </c>
      <c r="C672">
        <v>928</v>
      </c>
      <c r="D672" t="s">
        <v>9</v>
      </c>
      <c r="E672">
        <v>1202</v>
      </c>
      <c r="F672" t="s">
        <v>75</v>
      </c>
      <c r="G672">
        <v>50</v>
      </c>
      <c r="H672" t="s">
        <v>11</v>
      </c>
      <c r="I672" t="s">
        <v>3489</v>
      </c>
      <c r="J672" t="s">
        <v>8479</v>
      </c>
      <c r="K672">
        <v>2409055</v>
      </c>
      <c r="L672">
        <v>44866</v>
      </c>
      <c r="M672" t="s">
        <v>747</v>
      </c>
      <c r="N672">
        <v>1975730</v>
      </c>
      <c r="O672" t="e">
        <v>#N/A</v>
      </c>
    </row>
    <row r="673" spans="2:15" hidden="1" x14ac:dyDescent="0.3">
      <c r="B673" t="s">
        <v>8</v>
      </c>
      <c r="C673">
        <v>928</v>
      </c>
      <c r="D673" t="s">
        <v>9</v>
      </c>
      <c r="E673">
        <v>1202</v>
      </c>
      <c r="F673" t="s">
        <v>45</v>
      </c>
      <c r="G673">
        <v>26</v>
      </c>
      <c r="H673" t="s">
        <v>11</v>
      </c>
      <c r="I673" t="s">
        <v>3492</v>
      </c>
      <c r="J673" t="s">
        <v>8480</v>
      </c>
      <c r="K673">
        <v>93823840</v>
      </c>
      <c r="L673">
        <v>44866</v>
      </c>
      <c r="M673" t="s">
        <v>748</v>
      </c>
      <c r="N673">
        <v>92823860</v>
      </c>
      <c r="O673" t="e">
        <v>#N/A</v>
      </c>
    </row>
    <row r="674" spans="2:15" hidden="1" x14ac:dyDescent="0.3">
      <c r="B674" t="s">
        <v>8</v>
      </c>
      <c r="C674">
        <v>928</v>
      </c>
      <c r="D674" t="s">
        <v>9</v>
      </c>
      <c r="E674">
        <v>1202</v>
      </c>
      <c r="F674" t="s">
        <v>20</v>
      </c>
      <c r="G674">
        <v>938</v>
      </c>
      <c r="H674" t="s">
        <v>11</v>
      </c>
      <c r="I674" t="s">
        <v>3493</v>
      </c>
      <c r="J674" t="s">
        <v>8481</v>
      </c>
      <c r="K674">
        <v>32270</v>
      </c>
      <c r="L674">
        <v>44866</v>
      </c>
      <c r="M674" t="s">
        <v>749</v>
      </c>
      <c r="N674">
        <v>32270</v>
      </c>
      <c r="O674" t="e">
        <v>#N/A</v>
      </c>
    </row>
    <row r="675" spans="2:15" hidden="1" x14ac:dyDescent="0.3">
      <c r="B675" t="s">
        <v>8</v>
      </c>
      <c r="C675">
        <v>928</v>
      </c>
      <c r="D675" t="s">
        <v>13</v>
      </c>
      <c r="E675">
        <v>1184</v>
      </c>
      <c r="F675" t="s">
        <v>14</v>
      </c>
      <c r="G675">
        <v>914</v>
      </c>
      <c r="H675" t="s">
        <v>11</v>
      </c>
      <c r="I675" t="s">
        <v>3495</v>
      </c>
      <c r="J675" t="s">
        <v>8482</v>
      </c>
      <c r="K675">
        <v>11880</v>
      </c>
      <c r="L675">
        <v>44866</v>
      </c>
      <c r="M675" t="s">
        <v>750</v>
      </c>
      <c r="N675">
        <v>11880</v>
      </c>
      <c r="O675" t="e">
        <v>#N/A</v>
      </c>
    </row>
    <row r="676" spans="2:15" hidden="1" x14ac:dyDescent="0.3">
      <c r="B676" t="s">
        <v>8</v>
      </c>
      <c r="C676">
        <v>928</v>
      </c>
      <c r="D676" t="s">
        <v>9</v>
      </c>
      <c r="E676">
        <v>1202</v>
      </c>
      <c r="F676" t="s">
        <v>75</v>
      </c>
      <c r="G676">
        <v>50</v>
      </c>
      <c r="H676" t="s">
        <v>11</v>
      </c>
      <c r="I676" t="s">
        <v>3496</v>
      </c>
      <c r="J676" t="s">
        <v>8483</v>
      </c>
      <c r="K676">
        <v>726870</v>
      </c>
      <c r="L676">
        <v>44866</v>
      </c>
      <c r="M676" t="s">
        <v>751</v>
      </c>
      <c r="N676">
        <v>731380</v>
      </c>
      <c r="O676" t="e">
        <v>#N/A</v>
      </c>
    </row>
    <row r="677" spans="2:15" hidden="1" x14ac:dyDescent="0.3">
      <c r="B677" t="s">
        <v>8</v>
      </c>
      <c r="C677">
        <v>928</v>
      </c>
      <c r="D677" t="s">
        <v>13</v>
      </c>
      <c r="E677">
        <v>1184</v>
      </c>
      <c r="F677" t="s">
        <v>102</v>
      </c>
      <c r="G677">
        <v>917</v>
      </c>
      <c r="H677" t="s">
        <v>11</v>
      </c>
      <c r="I677" t="s">
        <v>3497</v>
      </c>
      <c r="J677" t="s">
        <v>8484</v>
      </c>
      <c r="K677">
        <v>1066230</v>
      </c>
      <c r="L677">
        <v>44866</v>
      </c>
      <c r="M677" t="s">
        <v>752</v>
      </c>
      <c r="N677">
        <v>1066230</v>
      </c>
      <c r="O677" t="e">
        <v>#N/A</v>
      </c>
    </row>
    <row r="678" spans="2:15" hidden="1" x14ac:dyDescent="0.3">
      <c r="B678" t="s">
        <v>8</v>
      </c>
      <c r="C678">
        <v>928</v>
      </c>
      <c r="D678" t="s">
        <v>13</v>
      </c>
      <c r="E678">
        <v>1184</v>
      </c>
      <c r="F678" t="s">
        <v>14</v>
      </c>
      <c r="G678">
        <v>914</v>
      </c>
      <c r="H678" t="s">
        <v>11</v>
      </c>
      <c r="I678" t="s">
        <v>3500</v>
      </c>
      <c r="J678" t="s">
        <v>8485</v>
      </c>
      <c r="K678">
        <v>179230</v>
      </c>
      <c r="L678">
        <v>44866</v>
      </c>
      <c r="M678" t="s">
        <v>753</v>
      </c>
      <c r="N678">
        <v>179230</v>
      </c>
      <c r="O678" t="e">
        <v>#N/A</v>
      </c>
    </row>
    <row r="679" spans="2:15" hidden="1" x14ac:dyDescent="0.3">
      <c r="B679" t="s">
        <v>8</v>
      </c>
      <c r="C679">
        <v>928</v>
      </c>
      <c r="D679" t="s">
        <v>9</v>
      </c>
      <c r="E679">
        <v>1202</v>
      </c>
      <c r="F679" t="s">
        <v>122</v>
      </c>
      <c r="G679">
        <v>251</v>
      </c>
      <c r="H679" t="s">
        <v>11</v>
      </c>
      <c r="I679" t="s">
        <v>3503</v>
      </c>
      <c r="J679" t="s">
        <v>8486</v>
      </c>
      <c r="K679">
        <v>1262320</v>
      </c>
      <c r="L679">
        <v>44866</v>
      </c>
      <c r="M679" t="s">
        <v>754</v>
      </c>
      <c r="N679">
        <v>1262320</v>
      </c>
      <c r="O679" t="e">
        <v>#N/A</v>
      </c>
    </row>
    <row r="680" spans="2:15" hidden="1" x14ac:dyDescent="0.3">
      <c r="B680" t="s">
        <v>8</v>
      </c>
      <c r="C680">
        <v>928</v>
      </c>
      <c r="D680" t="s">
        <v>13</v>
      </c>
      <c r="E680">
        <v>1184</v>
      </c>
      <c r="F680" t="s">
        <v>14</v>
      </c>
      <c r="G680">
        <v>914</v>
      </c>
      <c r="H680" t="s">
        <v>11</v>
      </c>
      <c r="I680" t="s">
        <v>3504</v>
      </c>
      <c r="J680" t="s">
        <v>8487</v>
      </c>
      <c r="K680">
        <v>3876020</v>
      </c>
      <c r="L680">
        <v>44866</v>
      </c>
      <c r="M680" t="s">
        <v>755</v>
      </c>
      <c r="N680">
        <v>3876020</v>
      </c>
      <c r="O680" t="e">
        <v>#N/A</v>
      </c>
    </row>
    <row r="681" spans="2:15" hidden="1" x14ac:dyDescent="0.3">
      <c r="B681" t="s">
        <v>41</v>
      </c>
      <c r="C681">
        <v>926</v>
      </c>
      <c r="D681" t="s">
        <v>525</v>
      </c>
      <c r="E681">
        <v>954</v>
      </c>
      <c r="F681" t="s">
        <v>526</v>
      </c>
      <c r="G681">
        <v>200999</v>
      </c>
      <c r="H681" t="s">
        <v>11</v>
      </c>
      <c r="I681" t="s">
        <v>3506</v>
      </c>
      <c r="J681" t="s">
        <v>8488</v>
      </c>
      <c r="K681">
        <v>2683240</v>
      </c>
      <c r="L681">
        <v>44866</v>
      </c>
      <c r="M681" t="s">
        <v>756</v>
      </c>
      <c r="N681">
        <v>2683240</v>
      </c>
      <c r="O681" t="e">
        <v>#N/A</v>
      </c>
    </row>
    <row r="682" spans="2:15" hidden="1" x14ac:dyDescent="0.3">
      <c r="B682" t="s">
        <v>8</v>
      </c>
      <c r="C682">
        <v>928</v>
      </c>
      <c r="D682" t="s">
        <v>9</v>
      </c>
      <c r="E682">
        <v>1202</v>
      </c>
      <c r="F682" t="s">
        <v>39</v>
      </c>
      <c r="G682">
        <v>25</v>
      </c>
      <c r="H682" t="s">
        <v>11</v>
      </c>
      <c r="I682" t="s">
        <v>3507</v>
      </c>
      <c r="J682" t="s">
        <v>8489</v>
      </c>
      <c r="K682">
        <v>541320</v>
      </c>
      <c r="L682">
        <v>44866</v>
      </c>
      <c r="M682" t="s">
        <v>757</v>
      </c>
      <c r="N682">
        <v>541320</v>
      </c>
      <c r="O682" t="e">
        <v>#N/A</v>
      </c>
    </row>
    <row r="683" spans="2:15" hidden="1" x14ac:dyDescent="0.3">
      <c r="B683" t="s">
        <v>8</v>
      </c>
      <c r="C683">
        <v>928</v>
      </c>
      <c r="D683" t="s">
        <v>13</v>
      </c>
      <c r="E683">
        <v>1184</v>
      </c>
      <c r="F683" t="s">
        <v>118</v>
      </c>
      <c r="G683">
        <v>201004</v>
      </c>
      <c r="H683" t="s">
        <v>11</v>
      </c>
      <c r="I683" t="s">
        <v>3509</v>
      </c>
      <c r="J683" t="s">
        <v>8490</v>
      </c>
      <c r="K683">
        <v>66170</v>
      </c>
      <c r="L683">
        <v>44866</v>
      </c>
      <c r="M683" t="s">
        <v>758</v>
      </c>
      <c r="N683">
        <v>66170</v>
      </c>
      <c r="O683" t="e">
        <v>#N/A</v>
      </c>
    </row>
    <row r="684" spans="2:15" hidden="1" x14ac:dyDescent="0.3">
      <c r="B684" t="s">
        <v>8</v>
      </c>
      <c r="C684">
        <v>928</v>
      </c>
      <c r="D684" t="s">
        <v>9</v>
      </c>
      <c r="E684">
        <v>1202</v>
      </c>
      <c r="F684" t="s">
        <v>31</v>
      </c>
      <c r="G684">
        <v>1040</v>
      </c>
      <c r="H684" t="s">
        <v>11</v>
      </c>
      <c r="I684" t="s">
        <v>3511</v>
      </c>
      <c r="J684" t="s">
        <v>8491</v>
      </c>
      <c r="K684">
        <v>247010</v>
      </c>
      <c r="L684">
        <v>44866</v>
      </c>
      <c r="M684" t="s">
        <v>759</v>
      </c>
      <c r="N684">
        <v>247010</v>
      </c>
      <c r="O684" t="e">
        <v>#N/A</v>
      </c>
    </row>
    <row r="685" spans="2:15" hidden="1" x14ac:dyDescent="0.3">
      <c r="B685" t="s">
        <v>16</v>
      </c>
      <c r="C685">
        <v>927</v>
      </c>
      <c r="D685" t="s">
        <v>17</v>
      </c>
      <c r="E685">
        <v>1200</v>
      </c>
      <c r="F685" t="s">
        <v>371</v>
      </c>
      <c r="G685">
        <v>551</v>
      </c>
      <c r="H685" t="s">
        <v>11</v>
      </c>
      <c r="I685" t="s">
        <v>3518</v>
      </c>
      <c r="J685" t="s">
        <v>8492</v>
      </c>
      <c r="K685">
        <v>289940</v>
      </c>
      <c r="L685">
        <v>44866</v>
      </c>
      <c r="M685" t="s">
        <v>760</v>
      </c>
      <c r="N685">
        <v>289940</v>
      </c>
      <c r="O685" t="e">
        <v>#N/A</v>
      </c>
    </row>
    <row r="686" spans="2:15" hidden="1" x14ac:dyDescent="0.3">
      <c r="B686" t="s">
        <v>16</v>
      </c>
      <c r="C686">
        <v>927</v>
      </c>
      <c r="D686" t="s">
        <v>17</v>
      </c>
      <c r="E686">
        <v>1200</v>
      </c>
      <c r="F686" t="s">
        <v>137</v>
      </c>
      <c r="G686">
        <v>1012</v>
      </c>
      <c r="H686" t="s">
        <v>11</v>
      </c>
      <c r="I686" t="s">
        <v>3520</v>
      </c>
      <c r="J686" t="s">
        <v>8493</v>
      </c>
      <c r="K686">
        <v>27670</v>
      </c>
      <c r="L686">
        <v>44866</v>
      </c>
      <c r="M686" t="s">
        <v>761</v>
      </c>
      <c r="N686">
        <v>27800</v>
      </c>
      <c r="O686" t="e">
        <v>#N/A</v>
      </c>
    </row>
    <row r="687" spans="2:15" hidden="1" x14ac:dyDescent="0.3">
      <c r="B687" t="s">
        <v>16</v>
      </c>
      <c r="C687">
        <v>927</v>
      </c>
      <c r="D687" t="s">
        <v>17</v>
      </c>
      <c r="E687">
        <v>1200</v>
      </c>
      <c r="F687" t="s">
        <v>93</v>
      </c>
      <c r="G687">
        <v>930</v>
      </c>
      <c r="H687" t="s">
        <v>11</v>
      </c>
      <c r="I687" t="s">
        <v>3524</v>
      </c>
      <c r="J687" t="s">
        <v>8494</v>
      </c>
      <c r="K687">
        <v>5690120</v>
      </c>
      <c r="L687">
        <v>44866</v>
      </c>
      <c r="M687" t="s">
        <v>762</v>
      </c>
      <c r="N687">
        <v>5695360</v>
      </c>
      <c r="O687" t="e">
        <v>#N/A</v>
      </c>
    </row>
    <row r="688" spans="2:15" hidden="1" x14ac:dyDescent="0.3">
      <c r="B688" t="s">
        <v>8</v>
      </c>
      <c r="C688">
        <v>928</v>
      </c>
      <c r="D688" t="s">
        <v>9</v>
      </c>
      <c r="E688">
        <v>1202</v>
      </c>
      <c r="F688" t="s">
        <v>37</v>
      </c>
      <c r="G688">
        <v>81</v>
      </c>
      <c r="H688" t="s">
        <v>11</v>
      </c>
      <c r="I688" t="s">
        <v>3527</v>
      </c>
      <c r="J688" t="s">
        <v>8495</v>
      </c>
      <c r="K688">
        <v>996150</v>
      </c>
      <c r="L688">
        <v>44866</v>
      </c>
      <c r="M688" t="s">
        <v>763</v>
      </c>
      <c r="N688">
        <v>996150</v>
      </c>
      <c r="O688" t="e">
        <v>#N/A</v>
      </c>
    </row>
    <row r="689" spans="2:15" hidden="1" x14ac:dyDescent="0.3">
      <c r="B689" t="s">
        <v>8</v>
      </c>
      <c r="C689">
        <v>928</v>
      </c>
      <c r="D689" t="s">
        <v>9</v>
      </c>
      <c r="E689">
        <v>1202</v>
      </c>
      <c r="F689" t="s">
        <v>45</v>
      </c>
      <c r="G689">
        <v>26</v>
      </c>
      <c r="H689" t="s">
        <v>11</v>
      </c>
      <c r="I689" t="s">
        <v>3529</v>
      </c>
      <c r="J689" t="s">
        <v>8496</v>
      </c>
      <c r="K689">
        <v>928200</v>
      </c>
      <c r="L689">
        <v>44866</v>
      </c>
      <c r="M689" t="s">
        <v>764</v>
      </c>
      <c r="N689">
        <v>928200</v>
      </c>
      <c r="O689" t="e">
        <v>#N/A</v>
      </c>
    </row>
    <row r="690" spans="2:15" hidden="1" x14ac:dyDescent="0.3">
      <c r="B690" t="s">
        <v>16</v>
      </c>
      <c r="C690">
        <v>927</v>
      </c>
      <c r="D690" t="s">
        <v>17</v>
      </c>
      <c r="E690">
        <v>1200</v>
      </c>
      <c r="F690" t="s">
        <v>244</v>
      </c>
      <c r="G690">
        <v>817</v>
      </c>
      <c r="H690" t="s">
        <v>11</v>
      </c>
      <c r="I690" t="s">
        <v>3536</v>
      </c>
      <c r="J690" t="s">
        <v>8497</v>
      </c>
      <c r="K690">
        <v>120</v>
      </c>
      <c r="L690">
        <v>44866</v>
      </c>
      <c r="M690" t="s">
        <v>765</v>
      </c>
      <c r="N690">
        <v>120</v>
      </c>
      <c r="O690" t="e">
        <v>#N/A</v>
      </c>
    </row>
    <row r="691" spans="2:15" hidden="1" x14ac:dyDescent="0.3">
      <c r="B691" t="s">
        <v>8</v>
      </c>
      <c r="C691">
        <v>928</v>
      </c>
      <c r="D691" t="s">
        <v>13</v>
      </c>
      <c r="E691">
        <v>1184</v>
      </c>
      <c r="F691" t="s">
        <v>14</v>
      </c>
      <c r="G691">
        <v>914</v>
      </c>
      <c r="H691" t="s">
        <v>11</v>
      </c>
      <c r="I691" t="s">
        <v>3537</v>
      </c>
      <c r="J691" t="s">
        <v>8498</v>
      </c>
      <c r="K691">
        <v>7581840</v>
      </c>
      <c r="L691">
        <v>44866</v>
      </c>
      <c r="M691" t="s">
        <v>323</v>
      </c>
      <c r="N691">
        <v>7581840</v>
      </c>
      <c r="O691" t="e">
        <v>#N/A</v>
      </c>
    </row>
    <row r="692" spans="2:15" hidden="1" x14ac:dyDescent="0.3">
      <c r="B692" t="s">
        <v>8</v>
      </c>
      <c r="C692">
        <v>928</v>
      </c>
      <c r="D692" t="s">
        <v>13</v>
      </c>
      <c r="E692">
        <v>1184</v>
      </c>
      <c r="F692" t="s">
        <v>14</v>
      </c>
      <c r="G692">
        <v>914</v>
      </c>
      <c r="H692" t="s">
        <v>11</v>
      </c>
      <c r="I692" t="s">
        <v>3538</v>
      </c>
      <c r="J692" t="s">
        <v>8499</v>
      </c>
      <c r="K692">
        <v>401050</v>
      </c>
      <c r="L692">
        <v>44866</v>
      </c>
      <c r="M692" t="s">
        <v>323</v>
      </c>
      <c r="N692">
        <v>401050</v>
      </c>
      <c r="O692" t="e">
        <v>#N/A</v>
      </c>
    </row>
    <row r="693" spans="2:15" hidden="1" x14ac:dyDescent="0.3">
      <c r="B693" t="s">
        <v>8</v>
      </c>
      <c r="C693">
        <v>928</v>
      </c>
      <c r="D693" t="s">
        <v>13</v>
      </c>
      <c r="E693">
        <v>1184</v>
      </c>
      <c r="F693" t="s">
        <v>14</v>
      </c>
      <c r="G693">
        <v>914</v>
      </c>
      <c r="H693" t="s">
        <v>11</v>
      </c>
      <c r="I693" t="s">
        <v>3539</v>
      </c>
      <c r="J693" t="s">
        <v>8500</v>
      </c>
      <c r="K693">
        <v>1170960</v>
      </c>
      <c r="L693">
        <v>44866</v>
      </c>
      <c r="M693" t="s">
        <v>323</v>
      </c>
      <c r="N693">
        <v>1170960</v>
      </c>
      <c r="O693" t="e">
        <v>#N/A</v>
      </c>
    </row>
    <row r="694" spans="2:15" hidden="1" x14ac:dyDescent="0.3">
      <c r="B694" t="s">
        <v>8</v>
      </c>
      <c r="C694">
        <v>928</v>
      </c>
      <c r="D694" t="s">
        <v>13</v>
      </c>
      <c r="E694">
        <v>1184</v>
      </c>
      <c r="F694" t="s">
        <v>14</v>
      </c>
      <c r="G694">
        <v>914</v>
      </c>
      <c r="H694" t="s">
        <v>11</v>
      </c>
      <c r="I694" t="s">
        <v>3540</v>
      </c>
      <c r="J694" t="s">
        <v>8501</v>
      </c>
      <c r="K694">
        <v>348020</v>
      </c>
      <c r="L694">
        <v>44866</v>
      </c>
      <c r="M694" t="s">
        <v>323</v>
      </c>
      <c r="N694">
        <v>348020</v>
      </c>
      <c r="O694" t="e">
        <v>#N/A</v>
      </c>
    </row>
    <row r="695" spans="2:15" hidden="1" x14ac:dyDescent="0.3">
      <c r="B695" t="s">
        <v>8</v>
      </c>
      <c r="C695">
        <v>928</v>
      </c>
      <c r="D695" t="s">
        <v>13</v>
      </c>
      <c r="E695">
        <v>1184</v>
      </c>
      <c r="F695" t="s">
        <v>14</v>
      </c>
      <c r="G695">
        <v>914</v>
      </c>
      <c r="H695" t="s">
        <v>11</v>
      </c>
      <c r="I695" t="s">
        <v>3541</v>
      </c>
      <c r="J695" t="s">
        <v>8502</v>
      </c>
      <c r="K695">
        <v>809950</v>
      </c>
      <c r="L695">
        <v>44866</v>
      </c>
      <c r="M695" t="s">
        <v>323</v>
      </c>
      <c r="N695">
        <v>809950</v>
      </c>
      <c r="O695" t="e">
        <v>#N/A</v>
      </c>
    </row>
    <row r="696" spans="2:15" hidden="1" x14ac:dyDescent="0.3">
      <c r="B696" t="s">
        <v>8</v>
      </c>
      <c r="C696">
        <v>928</v>
      </c>
      <c r="D696" t="s">
        <v>13</v>
      </c>
      <c r="E696">
        <v>1184</v>
      </c>
      <c r="F696" t="s">
        <v>14</v>
      </c>
      <c r="G696">
        <v>914</v>
      </c>
      <c r="H696" t="s">
        <v>11</v>
      </c>
      <c r="I696" t="s">
        <v>3543</v>
      </c>
      <c r="J696" t="s">
        <v>8503</v>
      </c>
      <c r="K696">
        <v>231190</v>
      </c>
      <c r="L696">
        <v>44866</v>
      </c>
      <c r="M696" t="s">
        <v>323</v>
      </c>
      <c r="N696">
        <v>231190</v>
      </c>
      <c r="O696" t="e">
        <v>#N/A</v>
      </c>
    </row>
    <row r="697" spans="2:15" hidden="1" x14ac:dyDescent="0.3">
      <c r="B697" t="s">
        <v>8</v>
      </c>
      <c r="C697">
        <v>928</v>
      </c>
      <c r="D697" t="s">
        <v>13</v>
      </c>
      <c r="E697">
        <v>1184</v>
      </c>
      <c r="F697" t="s">
        <v>14</v>
      </c>
      <c r="G697">
        <v>914</v>
      </c>
      <c r="H697" t="s">
        <v>11</v>
      </c>
      <c r="I697" t="s">
        <v>3544</v>
      </c>
      <c r="J697" t="s">
        <v>8504</v>
      </c>
      <c r="K697">
        <v>1695330</v>
      </c>
      <c r="L697">
        <v>44866</v>
      </c>
      <c r="M697" t="s">
        <v>323</v>
      </c>
      <c r="N697">
        <v>1695330</v>
      </c>
      <c r="O697" t="e">
        <v>#N/A</v>
      </c>
    </row>
    <row r="698" spans="2:15" hidden="1" x14ac:dyDescent="0.3">
      <c r="B698" t="s">
        <v>8</v>
      </c>
      <c r="C698">
        <v>928</v>
      </c>
      <c r="D698" t="s">
        <v>13</v>
      </c>
      <c r="E698">
        <v>1184</v>
      </c>
      <c r="F698" t="s">
        <v>14</v>
      </c>
      <c r="G698">
        <v>914</v>
      </c>
      <c r="H698" t="s">
        <v>11</v>
      </c>
      <c r="I698" t="s">
        <v>3545</v>
      </c>
      <c r="J698" t="s">
        <v>8505</v>
      </c>
      <c r="K698">
        <v>539270</v>
      </c>
      <c r="L698">
        <v>44866</v>
      </c>
      <c r="M698" t="s">
        <v>323</v>
      </c>
      <c r="N698">
        <v>539270</v>
      </c>
      <c r="O698" t="e">
        <v>#N/A</v>
      </c>
    </row>
    <row r="699" spans="2:15" hidden="1" x14ac:dyDescent="0.3">
      <c r="B699" t="s">
        <v>16</v>
      </c>
      <c r="C699">
        <v>927</v>
      </c>
      <c r="D699" t="s">
        <v>17</v>
      </c>
      <c r="E699">
        <v>1200</v>
      </c>
      <c r="F699" t="s">
        <v>66</v>
      </c>
      <c r="G699">
        <v>33</v>
      </c>
      <c r="H699" t="s">
        <v>11</v>
      </c>
      <c r="I699" t="s">
        <v>3546</v>
      </c>
      <c r="J699" t="s">
        <v>8506</v>
      </c>
      <c r="K699">
        <v>732100</v>
      </c>
      <c r="L699">
        <v>44866</v>
      </c>
      <c r="M699" t="s">
        <v>766</v>
      </c>
      <c r="N699">
        <v>732100</v>
      </c>
      <c r="O699" t="e">
        <v>#N/A</v>
      </c>
    </row>
    <row r="700" spans="2:15" hidden="1" x14ac:dyDescent="0.3">
      <c r="B700" t="s">
        <v>16</v>
      </c>
      <c r="C700">
        <v>927</v>
      </c>
      <c r="D700" t="s">
        <v>17</v>
      </c>
      <c r="E700">
        <v>1200</v>
      </c>
      <c r="F700" t="s">
        <v>371</v>
      </c>
      <c r="G700">
        <v>551</v>
      </c>
      <c r="H700" t="s">
        <v>11</v>
      </c>
      <c r="I700" t="s">
        <v>3553</v>
      </c>
      <c r="J700" t="s">
        <v>8507</v>
      </c>
      <c r="K700">
        <v>814240</v>
      </c>
      <c r="L700">
        <v>44866</v>
      </c>
      <c r="M700" t="s">
        <v>767</v>
      </c>
      <c r="N700">
        <v>814240</v>
      </c>
      <c r="O700" t="e">
        <v>#N/A</v>
      </c>
    </row>
    <row r="701" spans="2:15" hidden="1" x14ac:dyDescent="0.3">
      <c r="B701" t="s">
        <v>8</v>
      </c>
      <c r="C701">
        <v>928</v>
      </c>
      <c r="D701" t="s">
        <v>9</v>
      </c>
      <c r="E701">
        <v>1202</v>
      </c>
      <c r="F701" t="s">
        <v>142</v>
      </c>
      <c r="G701">
        <v>652</v>
      </c>
      <c r="H701" t="s">
        <v>11</v>
      </c>
      <c r="I701" t="s">
        <v>3559</v>
      </c>
      <c r="J701" t="s">
        <v>8508</v>
      </c>
      <c r="K701">
        <v>699980</v>
      </c>
      <c r="L701">
        <v>44866</v>
      </c>
      <c r="M701" t="s">
        <v>768</v>
      </c>
      <c r="N701">
        <v>0</v>
      </c>
      <c r="O701" t="e">
        <v>#N/A</v>
      </c>
    </row>
    <row r="702" spans="2:15" hidden="1" x14ac:dyDescent="0.3">
      <c r="B702" t="s">
        <v>8</v>
      </c>
      <c r="C702">
        <v>928</v>
      </c>
      <c r="D702" t="s">
        <v>13</v>
      </c>
      <c r="E702">
        <v>1184</v>
      </c>
      <c r="F702" t="s">
        <v>217</v>
      </c>
      <c r="G702">
        <v>201027</v>
      </c>
      <c r="H702" t="s">
        <v>11</v>
      </c>
      <c r="I702" t="s">
        <v>3561</v>
      </c>
      <c r="J702" t="s">
        <v>8509</v>
      </c>
      <c r="K702">
        <v>13060</v>
      </c>
      <c r="L702">
        <v>44866</v>
      </c>
      <c r="M702" t="s">
        <v>769</v>
      </c>
      <c r="N702">
        <v>13060</v>
      </c>
      <c r="O702" t="e">
        <v>#N/A</v>
      </c>
    </row>
    <row r="703" spans="2:15" hidden="1" x14ac:dyDescent="0.3">
      <c r="B703" t="s">
        <v>8</v>
      </c>
      <c r="C703">
        <v>928</v>
      </c>
      <c r="D703" t="s">
        <v>9</v>
      </c>
      <c r="E703">
        <v>1202</v>
      </c>
      <c r="F703" t="s">
        <v>39</v>
      </c>
      <c r="G703">
        <v>25</v>
      </c>
      <c r="H703" t="s">
        <v>11</v>
      </c>
      <c r="I703" t="s">
        <v>3566</v>
      </c>
      <c r="J703" t="s">
        <v>8510</v>
      </c>
      <c r="K703">
        <v>298980</v>
      </c>
      <c r="L703">
        <v>44866</v>
      </c>
      <c r="M703" t="s">
        <v>770</v>
      </c>
      <c r="N703">
        <v>298980</v>
      </c>
      <c r="O703" t="e">
        <v>#N/A</v>
      </c>
    </row>
    <row r="704" spans="2:15" hidden="1" x14ac:dyDescent="0.3">
      <c r="B704" t="s">
        <v>16</v>
      </c>
      <c r="C704">
        <v>927</v>
      </c>
      <c r="D704" t="s">
        <v>17</v>
      </c>
      <c r="E704">
        <v>1200</v>
      </c>
      <c r="F704" t="s">
        <v>244</v>
      </c>
      <c r="G704">
        <v>817</v>
      </c>
      <c r="H704" t="s">
        <v>11</v>
      </c>
      <c r="I704" t="s">
        <v>3567</v>
      </c>
      <c r="J704" t="s">
        <v>8511</v>
      </c>
      <c r="K704">
        <v>6900</v>
      </c>
      <c r="L704">
        <v>44866</v>
      </c>
      <c r="M704" t="s">
        <v>771</v>
      </c>
      <c r="N704">
        <v>6900</v>
      </c>
      <c r="O704" t="e">
        <v>#N/A</v>
      </c>
    </row>
    <row r="705" spans="2:15" hidden="1" x14ac:dyDescent="0.3">
      <c r="B705" t="s">
        <v>8</v>
      </c>
      <c r="C705">
        <v>928</v>
      </c>
      <c r="D705" t="s">
        <v>9</v>
      </c>
      <c r="E705">
        <v>1202</v>
      </c>
      <c r="F705" t="s">
        <v>110</v>
      </c>
      <c r="G705">
        <v>929</v>
      </c>
      <c r="H705" t="s">
        <v>11</v>
      </c>
      <c r="I705" t="s">
        <v>3570</v>
      </c>
      <c r="J705" t="s">
        <v>8512</v>
      </c>
      <c r="K705">
        <v>6750020</v>
      </c>
      <c r="L705">
        <v>44866</v>
      </c>
      <c r="M705" t="s">
        <v>772</v>
      </c>
      <c r="N705">
        <v>6750020</v>
      </c>
      <c r="O705" t="e">
        <v>#N/A</v>
      </c>
    </row>
    <row r="706" spans="2:15" hidden="1" x14ac:dyDescent="0.3">
      <c r="B706" t="s">
        <v>8</v>
      </c>
      <c r="C706">
        <v>928</v>
      </c>
      <c r="D706" t="s">
        <v>9</v>
      </c>
      <c r="E706">
        <v>1202</v>
      </c>
      <c r="F706" t="s">
        <v>39</v>
      </c>
      <c r="G706">
        <v>25</v>
      </c>
      <c r="H706" t="s">
        <v>11</v>
      </c>
      <c r="I706" t="s">
        <v>3573</v>
      </c>
      <c r="J706" t="s">
        <v>8513</v>
      </c>
      <c r="K706">
        <v>185310</v>
      </c>
      <c r="L706">
        <v>44866</v>
      </c>
      <c r="M706" t="s">
        <v>773</v>
      </c>
      <c r="N706">
        <v>185310</v>
      </c>
      <c r="O706" t="e">
        <v>#N/A</v>
      </c>
    </row>
    <row r="707" spans="2:15" hidden="1" x14ac:dyDescent="0.3">
      <c r="B707" t="s">
        <v>16</v>
      </c>
      <c r="C707">
        <v>927</v>
      </c>
      <c r="D707" t="s">
        <v>17</v>
      </c>
      <c r="E707">
        <v>1200</v>
      </c>
      <c r="F707" t="s">
        <v>437</v>
      </c>
      <c r="G707">
        <v>201118</v>
      </c>
      <c r="H707" t="s">
        <v>11</v>
      </c>
      <c r="I707" t="s">
        <v>3575</v>
      </c>
      <c r="J707" t="s">
        <v>8514</v>
      </c>
      <c r="K707">
        <v>96114</v>
      </c>
      <c r="L707">
        <v>44866</v>
      </c>
      <c r="M707" t="s">
        <v>774</v>
      </c>
      <c r="N707">
        <v>101530</v>
      </c>
      <c r="O707" t="e">
        <v>#N/A</v>
      </c>
    </row>
    <row r="708" spans="2:15" hidden="1" x14ac:dyDescent="0.3">
      <c r="B708" t="s">
        <v>8</v>
      </c>
      <c r="C708">
        <v>928</v>
      </c>
      <c r="D708" t="s">
        <v>9</v>
      </c>
      <c r="E708">
        <v>1202</v>
      </c>
      <c r="F708" t="s">
        <v>33</v>
      </c>
      <c r="G708">
        <v>933</v>
      </c>
      <c r="H708" t="s">
        <v>11</v>
      </c>
      <c r="I708" t="s">
        <v>3576</v>
      </c>
      <c r="J708" t="s">
        <v>8515</v>
      </c>
      <c r="K708">
        <v>378540</v>
      </c>
      <c r="L708">
        <v>44866</v>
      </c>
      <c r="M708" t="s">
        <v>775</v>
      </c>
      <c r="N708">
        <v>378540</v>
      </c>
      <c r="O708" t="e">
        <v>#N/A</v>
      </c>
    </row>
    <row r="709" spans="2:15" hidden="1" x14ac:dyDescent="0.3">
      <c r="B709" t="s">
        <v>16</v>
      </c>
      <c r="C709">
        <v>927</v>
      </c>
      <c r="D709" t="s">
        <v>17</v>
      </c>
      <c r="E709">
        <v>1200</v>
      </c>
      <c r="F709" t="s">
        <v>96</v>
      </c>
      <c r="G709">
        <v>1271</v>
      </c>
      <c r="H709" t="s">
        <v>11</v>
      </c>
      <c r="I709" t="s">
        <v>3581</v>
      </c>
      <c r="J709" t="s">
        <v>8516</v>
      </c>
      <c r="K709">
        <v>174470</v>
      </c>
      <c r="L709">
        <v>44866</v>
      </c>
      <c r="M709" t="s">
        <v>776</v>
      </c>
      <c r="N709">
        <v>174470</v>
      </c>
      <c r="O709" t="e">
        <v>#N/A</v>
      </c>
    </row>
    <row r="710" spans="2:15" hidden="1" x14ac:dyDescent="0.3">
      <c r="B710" t="s">
        <v>176</v>
      </c>
      <c r="C710">
        <v>1204</v>
      </c>
      <c r="D710" t="s">
        <v>177</v>
      </c>
      <c r="E710">
        <v>1205</v>
      </c>
      <c r="F710" t="s">
        <v>178</v>
      </c>
      <c r="G710">
        <v>201073</v>
      </c>
      <c r="H710" t="s">
        <v>11</v>
      </c>
      <c r="I710" t="s">
        <v>3582</v>
      </c>
      <c r="J710" t="s">
        <v>8517</v>
      </c>
      <c r="K710">
        <v>7364110</v>
      </c>
      <c r="L710">
        <v>44866</v>
      </c>
      <c r="M710" t="s">
        <v>777</v>
      </c>
      <c r="N710">
        <v>6164140</v>
      </c>
      <c r="O710" t="e">
        <v>#N/A</v>
      </c>
    </row>
    <row r="711" spans="2:15" hidden="1" x14ac:dyDescent="0.3">
      <c r="B711" t="s">
        <v>16</v>
      </c>
      <c r="C711">
        <v>927</v>
      </c>
      <c r="D711" t="s">
        <v>17</v>
      </c>
      <c r="E711">
        <v>1200</v>
      </c>
      <c r="F711" t="s">
        <v>170</v>
      </c>
      <c r="G711">
        <v>1530</v>
      </c>
      <c r="H711" t="s">
        <v>11</v>
      </c>
      <c r="I711" t="s">
        <v>3585</v>
      </c>
      <c r="J711" t="s">
        <v>8518</v>
      </c>
      <c r="K711">
        <v>430790</v>
      </c>
      <c r="L711">
        <v>44866</v>
      </c>
      <c r="M711" t="s">
        <v>778</v>
      </c>
      <c r="N711">
        <v>430790</v>
      </c>
      <c r="O711" t="e">
        <v>#N/A</v>
      </c>
    </row>
    <row r="712" spans="2:15" hidden="1" x14ac:dyDescent="0.3">
      <c r="B712" t="s">
        <v>8</v>
      </c>
      <c r="C712">
        <v>928</v>
      </c>
      <c r="D712" t="s">
        <v>9</v>
      </c>
      <c r="E712">
        <v>1202</v>
      </c>
      <c r="F712" t="s">
        <v>47</v>
      </c>
      <c r="G712">
        <v>898</v>
      </c>
      <c r="H712" t="s">
        <v>11</v>
      </c>
      <c r="I712" t="s">
        <v>3589</v>
      </c>
      <c r="J712" t="s">
        <v>8519</v>
      </c>
      <c r="K712">
        <v>263250</v>
      </c>
      <c r="L712">
        <v>44866</v>
      </c>
      <c r="M712" t="s">
        <v>779</v>
      </c>
      <c r="N712">
        <v>263250</v>
      </c>
      <c r="O712" t="e">
        <v>#N/A</v>
      </c>
    </row>
    <row r="713" spans="2:15" hidden="1" x14ac:dyDescent="0.3">
      <c r="B713" t="s">
        <v>8</v>
      </c>
      <c r="C713">
        <v>928</v>
      </c>
      <c r="D713" t="s">
        <v>9</v>
      </c>
      <c r="E713">
        <v>1202</v>
      </c>
      <c r="F713" t="s">
        <v>27</v>
      </c>
      <c r="G713">
        <v>806</v>
      </c>
      <c r="H713" t="s">
        <v>11</v>
      </c>
      <c r="I713" t="s">
        <v>3592</v>
      </c>
      <c r="J713" t="s">
        <v>8520</v>
      </c>
      <c r="K713">
        <v>1084090</v>
      </c>
      <c r="L713">
        <v>44866</v>
      </c>
      <c r="M713" t="s">
        <v>780</v>
      </c>
      <c r="N713">
        <v>384110</v>
      </c>
      <c r="O713" t="e">
        <v>#N/A</v>
      </c>
    </row>
    <row r="714" spans="2:15" hidden="1" x14ac:dyDescent="0.3">
      <c r="B714" t="s">
        <v>8</v>
      </c>
      <c r="C714">
        <v>928</v>
      </c>
      <c r="D714" t="s">
        <v>9</v>
      </c>
      <c r="E714">
        <v>1202</v>
      </c>
      <c r="F714" t="s">
        <v>110</v>
      </c>
      <c r="G714">
        <v>929</v>
      </c>
      <c r="H714" t="s">
        <v>11</v>
      </c>
      <c r="I714" t="s">
        <v>3598</v>
      </c>
      <c r="J714" t="s">
        <v>8521</v>
      </c>
      <c r="K714">
        <v>991480</v>
      </c>
      <c r="L714">
        <v>44866</v>
      </c>
      <c r="M714" t="s">
        <v>781</v>
      </c>
      <c r="N714">
        <v>991480</v>
      </c>
      <c r="O714" t="e">
        <v>#N/A</v>
      </c>
    </row>
    <row r="715" spans="2:15" hidden="1" x14ac:dyDescent="0.3">
      <c r="B715" t="s">
        <v>8</v>
      </c>
      <c r="C715">
        <v>928</v>
      </c>
      <c r="D715" t="s">
        <v>9</v>
      </c>
      <c r="E715">
        <v>1202</v>
      </c>
      <c r="F715" t="s">
        <v>37</v>
      </c>
      <c r="G715">
        <v>81</v>
      </c>
      <c r="H715" t="s">
        <v>11</v>
      </c>
      <c r="I715" t="s">
        <v>3599</v>
      </c>
      <c r="J715" t="s">
        <v>8522</v>
      </c>
      <c r="K715">
        <v>2631570</v>
      </c>
      <c r="L715">
        <v>44866</v>
      </c>
      <c r="M715" t="s">
        <v>782</v>
      </c>
      <c r="N715">
        <v>2631570</v>
      </c>
      <c r="O715" t="e">
        <v>#N/A</v>
      </c>
    </row>
    <row r="716" spans="2:15" hidden="1" x14ac:dyDescent="0.3">
      <c r="B716" t="s">
        <v>8</v>
      </c>
      <c r="C716">
        <v>928</v>
      </c>
      <c r="D716" t="s">
        <v>223</v>
      </c>
      <c r="E716">
        <v>966</v>
      </c>
      <c r="F716" t="s">
        <v>224</v>
      </c>
      <c r="G716">
        <v>201008</v>
      </c>
      <c r="H716" t="s">
        <v>11</v>
      </c>
      <c r="I716" t="s">
        <v>3600</v>
      </c>
      <c r="J716" t="s">
        <v>8523</v>
      </c>
      <c r="K716">
        <v>22873850</v>
      </c>
      <c r="L716">
        <v>44866</v>
      </c>
      <c r="M716" t="s">
        <v>631</v>
      </c>
      <c r="N716">
        <v>20673870</v>
      </c>
      <c r="O716" t="e">
        <v>#N/A</v>
      </c>
    </row>
    <row r="717" spans="2:15" hidden="1" x14ac:dyDescent="0.3">
      <c r="B717" t="s">
        <v>8</v>
      </c>
      <c r="C717">
        <v>928</v>
      </c>
      <c r="D717" t="s">
        <v>9</v>
      </c>
      <c r="E717">
        <v>1202</v>
      </c>
      <c r="F717" t="s">
        <v>35</v>
      </c>
      <c r="G717">
        <v>51</v>
      </c>
      <c r="H717" t="s">
        <v>11</v>
      </c>
      <c r="I717" t="s">
        <v>3603</v>
      </c>
      <c r="J717" t="s">
        <v>8524</v>
      </c>
      <c r="K717">
        <v>228880</v>
      </c>
      <c r="L717">
        <v>44866</v>
      </c>
      <c r="M717" t="s">
        <v>783</v>
      </c>
      <c r="N717">
        <v>228880</v>
      </c>
      <c r="O717" t="e">
        <v>#N/A</v>
      </c>
    </row>
    <row r="718" spans="2:15" hidden="1" x14ac:dyDescent="0.3">
      <c r="B718" t="s">
        <v>8</v>
      </c>
      <c r="C718">
        <v>928</v>
      </c>
      <c r="D718" t="s">
        <v>9</v>
      </c>
      <c r="E718">
        <v>1202</v>
      </c>
      <c r="F718" t="s">
        <v>37</v>
      </c>
      <c r="G718">
        <v>81</v>
      </c>
      <c r="H718" t="s">
        <v>11</v>
      </c>
      <c r="I718" t="s">
        <v>3605</v>
      </c>
      <c r="J718" t="s">
        <v>8525</v>
      </c>
      <c r="K718">
        <v>393050</v>
      </c>
      <c r="L718">
        <v>44866</v>
      </c>
      <c r="M718" t="s">
        <v>784</v>
      </c>
      <c r="N718">
        <v>393050</v>
      </c>
      <c r="O718" t="e">
        <v>#N/A</v>
      </c>
    </row>
    <row r="719" spans="2:15" hidden="1" x14ac:dyDescent="0.3">
      <c r="B719" t="s">
        <v>8</v>
      </c>
      <c r="C719">
        <v>928</v>
      </c>
      <c r="D719" t="s">
        <v>9</v>
      </c>
      <c r="E719">
        <v>1202</v>
      </c>
      <c r="F719" t="s">
        <v>39</v>
      </c>
      <c r="G719">
        <v>25</v>
      </c>
      <c r="H719" t="s">
        <v>11</v>
      </c>
      <c r="I719" t="s">
        <v>3608</v>
      </c>
      <c r="J719" t="s">
        <v>8526</v>
      </c>
      <c r="K719">
        <v>365780</v>
      </c>
      <c r="L719">
        <v>44866</v>
      </c>
      <c r="M719" t="s">
        <v>785</v>
      </c>
      <c r="N719">
        <v>365780</v>
      </c>
      <c r="O719" t="e">
        <v>#N/A</v>
      </c>
    </row>
    <row r="720" spans="2:15" hidden="1" x14ac:dyDescent="0.3">
      <c r="B720" t="s">
        <v>8</v>
      </c>
      <c r="C720">
        <v>928</v>
      </c>
      <c r="D720" t="s">
        <v>13</v>
      </c>
      <c r="E720">
        <v>1184</v>
      </c>
      <c r="F720" t="s">
        <v>59</v>
      </c>
      <c r="G720">
        <v>9</v>
      </c>
      <c r="H720" t="s">
        <v>11</v>
      </c>
      <c r="I720" t="s">
        <v>3609</v>
      </c>
      <c r="J720" t="s">
        <v>8527</v>
      </c>
      <c r="K720">
        <v>8310</v>
      </c>
      <c r="L720">
        <v>44866</v>
      </c>
      <c r="M720" t="s">
        <v>786</v>
      </c>
      <c r="N720">
        <v>8310</v>
      </c>
      <c r="O720" t="e">
        <v>#N/A</v>
      </c>
    </row>
    <row r="721" spans="2:15" hidden="1" x14ac:dyDescent="0.3">
      <c r="B721" t="s">
        <v>8</v>
      </c>
      <c r="C721">
        <v>928</v>
      </c>
      <c r="D721" t="s">
        <v>13</v>
      </c>
      <c r="E721">
        <v>1184</v>
      </c>
      <c r="F721" t="s">
        <v>59</v>
      </c>
      <c r="G721">
        <v>9</v>
      </c>
      <c r="H721" t="s">
        <v>11</v>
      </c>
      <c r="I721" t="s">
        <v>3610</v>
      </c>
      <c r="J721" t="s">
        <v>8528</v>
      </c>
      <c r="K721">
        <v>4940</v>
      </c>
      <c r="L721">
        <v>44866</v>
      </c>
      <c r="M721" t="s">
        <v>787</v>
      </c>
      <c r="N721">
        <v>4940</v>
      </c>
      <c r="O721" t="e">
        <v>#N/A</v>
      </c>
    </row>
    <row r="722" spans="2:15" hidden="1" x14ac:dyDescent="0.3">
      <c r="B722" t="s">
        <v>22</v>
      </c>
      <c r="C722">
        <v>809</v>
      </c>
      <c r="D722" t="s">
        <v>23</v>
      </c>
      <c r="E722">
        <v>810</v>
      </c>
      <c r="F722" t="s">
        <v>529</v>
      </c>
      <c r="G722">
        <v>201053</v>
      </c>
      <c r="H722" t="s">
        <v>11</v>
      </c>
      <c r="I722" t="s">
        <v>3611</v>
      </c>
      <c r="J722" t="s">
        <v>8529</v>
      </c>
      <c r="K722">
        <v>91130</v>
      </c>
      <c r="L722">
        <v>44866</v>
      </c>
      <c r="M722" t="s">
        <v>788</v>
      </c>
      <c r="N722">
        <v>91180</v>
      </c>
      <c r="O722" t="e">
        <v>#N/A</v>
      </c>
    </row>
    <row r="723" spans="2:15" hidden="1" x14ac:dyDescent="0.3">
      <c r="B723" t="s">
        <v>8</v>
      </c>
      <c r="C723">
        <v>928</v>
      </c>
      <c r="D723" t="s">
        <v>9</v>
      </c>
      <c r="E723">
        <v>1202</v>
      </c>
      <c r="F723" t="s">
        <v>39</v>
      </c>
      <c r="G723">
        <v>25</v>
      </c>
      <c r="H723" t="s">
        <v>11</v>
      </c>
      <c r="I723" t="s">
        <v>3612</v>
      </c>
      <c r="J723" t="s">
        <v>8530</v>
      </c>
      <c r="K723">
        <v>76960</v>
      </c>
      <c r="L723">
        <v>44866</v>
      </c>
      <c r="M723" t="s">
        <v>789</v>
      </c>
      <c r="N723">
        <v>76960</v>
      </c>
      <c r="O723" t="e">
        <v>#N/A</v>
      </c>
    </row>
    <row r="724" spans="2:15" hidden="1" x14ac:dyDescent="0.3">
      <c r="B724" t="s">
        <v>8</v>
      </c>
      <c r="C724">
        <v>928</v>
      </c>
      <c r="D724" t="s">
        <v>9</v>
      </c>
      <c r="E724">
        <v>1202</v>
      </c>
      <c r="F724" t="s">
        <v>39</v>
      </c>
      <c r="G724">
        <v>25</v>
      </c>
      <c r="H724" t="s">
        <v>11</v>
      </c>
      <c r="I724" t="s">
        <v>3614</v>
      </c>
      <c r="J724" t="s">
        <v>8531</v>
      </c>
      <c r="K724">
        <v>147420</v>
      </c>
      <c r="L724">
        <v>44866</v>
      </c>
      <c r="M724" t="s">
        <v>790</v>
      </c>
      <c r="N724">
        <v>147420</v>
      </c>
      <c r="O724" t="e">
        <v>#N/A</v>
      </c>
    </row>
    <row r="725" spans="2:15" hidden="1" x14ac:dyDescent="0.3">
      <c r="B725" t="s">
        <v>41</v>
      </c>
      <c r="C725">
        <v>926</v>
      </c>
      <c r="D725" t="s">
        <v>56</v>
      </c>
      <c r="E725">
        <v>1207</v>
      </c>
      <c r="F725" t="s">
        <v>253</v>
      </c>
      <c r="G725">
        <v>1328</v>
      </c>
      <c r="H725" t="s">
        <v>11</v>
      </c>
      <c r="I725" t="s">
        <v>3626</v>
      </c>
      <c r="J725" t="s">
        <v>8532</v>
      </c>
      <c r="K725">
        <v>2610</v>
      </c>
      <c r="L725">
        <v>44866</v>
      </c>
      <c r="M725" t="s">
        <v>791</v>
      </c>
      <c r="N725">
        <v>2610</v>
      </c>
      <c r="O725" t="e">
        <v>#N/A</v>
      </c>
    </row>
    <row r="726" spans="2:15" hidden="1" x14ac:dyDescent="0.3">
      <c r="B726" t="s">
        <v>8</v>
      </c>
      <c r="C726">
        <v>928</v>
      </c>
      <c r="D726" t="s">
        <v>9</v>
      </c>
      <c r="E726">
        <v>1202</v>
      </c>
      <c r="F726" t="s">
        <v>10</v>
      </c>
      <c r="G726">
        <v>939</v>
      </c>
      <c r="H726" t="s">
        <v>11</v>
      </c>
      <c r="I726" t="s">
        <v>3629</v>
      </c>
      <c r="J726" t="s">
        <v>8533</v>
      </c>
      <c r="K726">
        <v>110380</v>
      </c>
      <c r="L726">
        <v>44866</v>
      </c>
      <c r="M726" t="s">
        <v>792</v>
      </c>
      <c r="N726">
        <v>110380</v>
      </c>
      <c r="O726" t="e">
        <v>#N/A</v>
      </c>
    </row>
    <row r="727" spans="2:15" hidden="1" x14ac:dyDescent="0.3">
      <c r="B727" t="s">
        <v>176</v>
      </c>
      <c r="C727">
        <v>1204</v>
      </c>
      <c r="D727" t="s">
        <v>177</v>
      </c>
      <c r="E727">
        <v>1205</v>
      </c>
      <c r="F727" t="s">
        <v>178</v>
      </c>
      <c r="G727">
        <v>201073</v>
      </c>
      <c r="H727" t="s">
        <v>11</v>
      </c>
      <c r="I727" t="s">
        <v>3632</v>
      </c>
      <c r="J727" t="s">
        <v>8534</v>
      </c>
      <c r="K727">
        <v>588970</v>
      </c>
      <c r="L727">
        <v>44866</v>
      </c>
      <c r="M727" t="s">
        <v>793</v>
      </c>
      <c r="N727">
        <v>588970</v>
      </c>
      <c r="O727" t="e">
        <v>#N/A</v>
      </c>
    </row>
    <row r="728" spans="2:15" hidden="1" x14ac:dyDescent="0.3">
      <c r="B728" t="s">
        <v>176</v>
      </c>
      <c r="C728">
        <v>1204</v>
      </c>
      <c r="D728" t="s">
        <v>177</v>
      </c>
      <c r="E728">
        <v>1205</v>
      </c>
      <c r="F728" t="s">
        <v>178</v>
      </c>
      <c r="G728">
        <v>201073</v>
      </c>
      <c r="H728" t="s">
        <v>11</v>
      </c>
      <c r="I728" t="s">
        <v>3633</v>
      </c>
      <c r="J728" t="s">
        <v>8535</v>
      </c>
      <c r="K728">
        <v>122700</v>
      </c>
      <c r="L728">
        <v>44866</v>
      </c>
      <c r="M728" t="s">
        <v>794</v>
      </c>
      <c r="N728">
        <v>122700</v>
      </c>
      <c r="O728" t="e">
        <v>#N/A</v>
      </c>
    </row>
    <row r="729" spans="2:15" hidden="1" x14ac:dyDescent="0.3">
      <c r="B729" t="s">
        <v>8</v>
      </c>
      <c r="C729">
        <v>928</v>
      </c>
      <c r="D729" t="s">
        <v>13</v>
      </c>
      <c r="E729">
        <v>1184</v>
      </c>
      <c r="F729" t="s">
        <v>115</v>
      </c>
      <c r="G729">
        <v>1548</v>
      </c>
      <c r="H729" t="s">
        <v>11</v>
      </c>
      <c r="I729" t="s">
        <v>3636</v>
      </c>
      <c r="J729" t="s">
        <v>8536</v>
      </c>
      <c r="K729">
        <v>140</v>
      </c>
      <c r="L729">
        <v>44866</v>
      </c>
      <c r="M729" t="s">
        <v>795</v>
      </c>
      <c r="N729">
        <v>140</v>
      </c>
      <c r="O729" t="e">
        <v>#N/A</v>
      </c>
    </row>
    <row r="730" spans="2:15" hidden="1" x14ac:dyDescent="0.3">
      <c r="B730" t="s">
        <v>8</v>
      </c>
      <c r="C730">
        <v>928</v>
      </c>
      <c r="D730" t="s">
        <v>9</v>
      </c>
      <c r="E730">
        <v>1202</v>
      </c>
      <c r="F730" t="s">
        <v>31</v>
      </c>
      <c r="G730">
        <v>1040</v>
      </c>
      <c r="H730" t="s">
        <v>11</v>
      </c>
      <c r="I730" t="s">
        <v>3639</v>
      </c>
      <c r="J730" t="s">
        <v>8537</v>
      </c>
      <c r="K730">
        <v>6820</v>
      </c>
      <c r="L730">
        <v>44866</v>
      </c>
      <c r="M730" t="s">
        <v>796</v>
      </c>
      <c r="N730">
        <v>6820</v>
      </c>
      <c r="O730" t="e">
        <v>#N/A</v>
      </c>
    </row>
    <row r="731" spans="2:15" hidden="1" x14ac:dyDescent="0.3">
      <c r="B731" t="s">
        <v>8</v>
      </c>
      <c r="C731">
        <v>928</v>
      </c>
      <c r="D731" t="s">
        <v>9</v>
      </c>
      <c r="E731">
        <v>1202</v>
      </c>
      <c r="F731" t="s">
        <v>391</v>
      </c>
      <c r="G731">
        <v>1216</v>
      </c>
      <c r="H731" t="s">
        <v>11</v>
      </c>
      <c r="I731" t="s">
        <v>3641</v>
      </c>
      <c r="J731" t="s">
        <v>8538</v>
      </c>
      <c r="K731">
        <v>2843270</v>
      </c>
      <c r="L731">
        <v>44866</v>
      </c>
      <c r="M731" t="s">
        <v>797</v>
      </c>
      <c r="N731">
        <v>2493280</v>
      </c>
      <c r="O731" t="e">
        <v>#N/A</v>
      </c>
    </row>
    <row r="732" spans="2:15" hidden="1" x14ac:dyDescent="0.3">
      <c r="B732" t="s">
        <v>8</v>
      </c>
      <c r="C732">
        <v>928</v>
      </c>
      <c r="D732" t="s">
        <v>13</v>
      </c>
      <c r="E732">
        <v>1184</v>
      </c>
      <c r="F732" t="s">
        <v>59</v>
      </c>
      <c r="G732">
        <v>9</v>
      </c>
      <c r="H732" t="s">
        <v>11</v>
      </c>
      <c r="I732" t="s">
        <v>3642</v>
      </c>
      <c r="J732" t="s">
        <v>8539</v>
      </c>
      <c r="K732">
        <v>17730</v>
      </c>
      <c r="L732">
        <v>44866</v>
      </c>
      <c r="M732" t="s">
        <v>798</v>
      </c>
      <c r="N732">
        <v>17730</v>
      </c>
      <c r="O732" t="e">
        <v>#N/A</v>
      </c>
    </row>
    <row r="733" spans="2:15" hidden="1" x14ac:dyDescent="0.3">
      <c r="B733" t="s">
        <v>41</v>
      </c>
      <c r="C733">
        <v>926</v>
      </c>
      <c r="D733" t="s">
        <v>56</v>
      </c>
      <c r="E733">
        <v>1207</v>
      </c>
      <c r="F733" t="s">
        <v>57</v>
      </c>
      <c r="G733">
        <v>200982</v>
      </c>
      <c r="H733" t="s">
        <v>11</v>
      </c>
      <c r="I733" t="s">
        <v>3644</v>
      </c>
      <c r="J733" t="s">
        <v>8540</v>
      </c>
      <c r="K733">
        <v>48540</v>
      </c>
      <c r="L733">
        <v>44866</v>
      </c>
      <c r="M733" t="s">
        <v>799</v>
      </c>
      <c r="N733">
        <v>48540</v>
      </c>
      <c r="O733" t="e">
        <v>#N/A</v>
      </c>
    </row>
    <row r="734" spans="2:15" hidden="1" x14ac:dyDescent="0.3">
      <c r="B734" t="s">
        <v>8</v>
      </c>
      <c r="C734">
        <v>928</v>
      </c>
      <c r="D734" t="s">
        <v>9</v>
      </c>
      <c r="E734">
        <v>1202</v>
      </c>
      <c r="F734" t="s">
        <v>142</v>
      </c>
      <c r="G734">
        <v>652</v>
      </c>
      <c r="H734" t="s">
        <v>11</v>
      </c>
      <c r="I734" t="s">
        <v>3645</v>
      </c>
      <c r="J734" t="s">
        <v>8541</v>
      </c>
      <c r="K734">
        <v>8060</v>
      </c>
      <c r="L734">
        <v>44866</v>
      </c>
      <c r="M734" t="s">
        <v>800</v>
      </c>
      <c r="N734">
        <v>8060</v>
      </c>
      <c r="O734" t="e">
        <v>#N/A</v>
      </c>
    </row>
    <row r="735" spans="2:15" hidden="1" x14ac:dyDescent="0.3">
      <c r="B735" t="s">
        <v>8</v>
      </c>
      <c r="C735">
        <v>928</v>
      </c>
      <c r="D735" t="s">
        <v>223</v>
      </c>
      <c r="E735">
        <v>966</v>
      </c>
      <c r="F735" t="s">
        <v>224</v>
      </c>
      <c r="G735">
        <v>201008</v>
      </c>
      <c r="H735" t="s">
        <v>11</v>
      </c>
      <c r="I735" t="s">
        <v>3647</v>
      </c>
      <c r="J735" t="s">
        <v>8542</v>
      </c>
      <c r="K735">
        <v>151920</v>
      </c>
      <c r="L735">
        <v>44866</v>
      </c>
      <c r="M735" t="s">
        <v>225</v>
      </c>
      <c r="N735">
        <v>151920</v>
      </c>
      <c r="O735" t="e">
        <v>#N/A</v>
      </c>
    </row>
    <row r="736" spans="2:15" hidden="1" x14ac:dyDescent="0.3">
      <c r="B736" t="s">
        <v>8</v>
      </c>
      <c r="C736">
        <v>928</v>
      </c>
      <c r="D736" t="s">
        <v>13</v>
      </c>
      <c r="E736">
        <v>1184</v>
      </c>
      <c r="F736" t="s">
        <v>102</v>
      </c>
      <c r="G736">
        <v>917</v>
      </c>
      <c r="H736" t="s">
        <v>11</v>
      </c>
      <c r="I736" t="s">
        <v>3650</v>
      </c>
      <c r="J736" t="s">
        <v>8543</v>
      </c>
      <c r="K736">
        <v>296410</v>
      </c>
      <c r="L736">
        <v>44866</v>
      </c>
      <c r="M736" t="s">
        <v>801</v>
      </c>
      <c r="N736">
        <v>296410</v>
      </c>
      <c r="O736" t="e">
        <v>#N/A</v>
      </c>
    </row>
    <row r="737" spans="2:15" hidden="1" x14ac:dyDescent="0.3">
      <c r="B737" t="s">
        <v>8</v>
      </c>
      <c r="C737">
        <v>928</v>
      </c>
      <c r="D737" t="s">
        <v>9</v>
      </c>
      <c r="E737">
        <v>1202</v>
      </c>
      <c r="F737" t="s">
        <v>27</v>
      </c>
      <c r="G737">
        <v>806</v>
      </c>
      <c r="H737" t="s">
        <v>11</v>
      </c>
      <c r="I737" t="s">
        <v>3653</v>
      </c>
      <c r="J737" t="s">
        <v>8544</v>
      </c>
      <c r="K737">
        <v>1646580</v>
      </c>
      <c r="L737">
        <v>44866</v>
      </c>
      <c r="M737" t="s">
        <v>802</v>
      </c>
      <c r="N737">
        <v>1646580</v>
      </c>
      <c r="O737" t="e">
        <v>#N/A</v>
      </c>
    </row>
    <row r="738" spans="2:15" hidden="1" x14ac:dyDescent="0.3">
      <c r="B738" t="s">
        <v>16</v>
      </c>
      <c r="C738">
        <v>927</v>
      </c>
      <c r="D738" t="s">
        <v>17</v>
      </c>
      <c r="E738">
        <v>1200</v>
      </c>
      <c r="F738" t="s">
        <v>100</v>
      </c>
      <c r="G738">
        <v>201038</v>
      </c>
      <c r="H738" t="s">
        <v>11</v>
      </c>
      <c r="I738" t="s">
        <v>3654</v>
      </c>
      <c r="J738" t="s">
        <v>8545</v>
      </c>
      <c r="K738">
        <v>861120</v>
      </c>
      <c r="L738">
        <v>44866</v>
      </c>
      <c r="M738" t="s">
        <v>803</v>
      </c>
      <c r="N738">
        <v>861120</v>
      </c>
      <c r="O738" t="e">
        <v>#N/A</v>
      </c>
    </row>
    <row r="739" spans="2:15" hidden="1" x14ac:dyDescent="0.3">
      <c r="B739" t="s">
        <v>8</v>
      </c>
      <c r="C739">
        <v>928</v>
      </c>
      <c r="D739" t="s">
        <v>13</v>
      </c>
      <c r="E739">
        <v>1184</v>
      </c>
      <c r="F739" t="s">
        <v>115</v>
      </c>
      <c r="G739">
        <v>1548</v>
      </c>
      <c r="H739" t="s">
        <v>11</v>
      </c>
      <c r="I739" t="s">
        <v>3661</v>
      </c>
      <c r="J739" t="s">
        <v>8546</v>
      </c>
      <c r="K739">
        <v>597160</v>
      </c>
      <c r="L739">
        <v>44866</v>
      </c>
      <c r="M739" t="s">
        <v>804</v>
      </c>
      <c r="N739">
        <v>597160</v>
      </c>
      <c r="O739" t="e">
        <v>#N/A</v>
      </c>
    </row>
    <row r="740" spans="2:15" hidden="1" x14ac:dyDescent="0.3">
      <c r="B740" t="s">
        <v>16</v>
      </c>
      <c r="C740">
        <v>927</v>
      </c>
      <c r="D740" t="s">
        <v>17</v>
      </c>
      <c r="E740">
        <v>1200</v>
      </c>
      <c r="F740" t="s">
        <v>100</v>
      </c>
      <c r="G740">
        <v>201038</v>
      </c>
      <c r="H740" t="s">
        <v>11</v>
      </c>
      <c r="I740" t="s">
        <v>3665</v>
      </c>
      <c r="J740" t="s">
        <v>8547</v>
      </c>
      <c r="K740">
        <v>40980</v>
      </c>
      <c r="L740">
        <v>44866</v>
      </c>
      <c r="M740" t="s">
        <v>805</v>
      </c>
      <c r="N740">
        <v>40980</v>
      </c>
      <c r="O740" t="e">
        <v>#N/A</v>
      </c>
    </row>
    <row r="741" spans="2:15" hidden="1" x14ac:dyDescent="0.3">
      <c r="B741" t="s">
        <v>8</v>
      </c>
      <c r="C741">
        <v>928</v>
      </c>
      <c r="D741" t="s">
        <v>9</v>
      </c>
      <c r="E741">
        <v>1202</v>
      </c>
      <c r="F741" t="s">
        <v>45</v>
      </c>
      <c r="G741">
        <v>26</v>
      </c>
      <c r="H741" t="s">
        <v>11</v>
      </c>
      <c r="I741" t="s">
        <v>3666</v>
      </c>
      <c r="J741" t="s">
        <v>8548</v>
      </c>
      <c r="K741">
        <v>299760</v>
      </c>
      <c r="L741">
        <v>44866</v>
      </c>
      <c r="M741" t="s">
        <v>806</v>
      </c>
      <c r="N741">
        <v>299760</v>
      </c>
      <c r="O741" t="e">
        <v>#N/A</v>
      </c>
    </row>
    <row r="742" spans="2:15" hidden="1" x14ac:dyDescent="0.3">
      <c r="B742" t="s">
        <v>8</v>
      </c>
      <c r="C742">
        <v>928</v>
      </c>
      <c r="D742" t="s">
        <v>13</v>
      </c>
      <c r="E742">
        <v>1184</v>
      </c>
      <c r="F742" t="s">
        <v>102</v>
      </c>
      <c r="G742">
        <v>917</v>
      </c>
      <c r="H742" t="s">
        <v>11</v>
      </c>
      <c r="I742" t="s">
        <v>3669</v>
      </c>
      <c r="J742" t="s">
        <v>8549</v>
      </c>
      <c r="K742">
        <v>2102810</v>
      </c>
      <c r="L742">
        <v>44866</v>
      </c>
      <c r="M742" t="s">
        <v>807</v>
      </c>
      <c r="N742">
        <v>2102810</v>
      </c>
      <c r="O742" t="e">
        <v>#N/A</v>
      </c>
    </row>
    <row r="743" spans="2:15" hidden="1" x14ac:dyDescent="0.3">
      <c r="B743" t="s">
        <v>8</v>
      </c>
      <c r="C743">
        <v>928</v>
      </c>
      <c r="D743" t="s">
        <v>13</v>
      </c>
      <c r="E743">
        <v>1184</v>
      </c>
      <c r="F743" t="s">
        <v>102</v>
      </c>
      <c r="G743">
        <v>917</v>
      </c>
      <c r="H743" t="s">
        <v>11</v>
      </c>
      <c r="I743" t="s">
        <v>3670</v>
      </c>
      <c r="J743" t="s">
        <v>8550</v>
      </c>
      <c r="K743">
        <v>628140</v>
      </c>
      <c r="L743">
        <v>44866</v>
      </c>
      <c r="M743" t="s">
        <v>808</v>
      </c>
      <c r="N743">
        <v>628140</v>
      </c>
      <c r="O743" t="e">
        <v>#N/A</v>
      </c>
    </row>
    <row r="744" spans="2:15" hidden="1" x14ac:dyDescent="0.3">
      <c r="B744" t="s">
        <v>16</v>
      </c>
      <c r="C744">
        <v>927</v>
      </c>
      <c r="D744" t="s">
        <v>17</v>
      </c>
      <c r="E744">
        <v>1200</v>
      </c>
      <c r="F744" t="s">
        <v>244</v>
      </c>
      <c r="G744">
        <v>817</v>
      </c>
      <c r="H744" t="s">
        <v>11</v>
      </c>
      <c r="I744" t="s">
        <v>3673</v>
      </c>
      <c r="J744" t="s">
        <v>8551</v>
      </c>
      <c r="K744">
        <v>8326630</v>
      </c>
      <c r="L744">
        <v>44866</v>
      </c>
      <c r="M744" t="s">
        <v>809</v>
      </c>
      <c r="N744">
        <v>8326630</v>
      </c>
      <c r="O744" t="e">
        <v>#N/A</v>
      </c>
    </row>
    <row r="745" spans="2:15" hidden="1" x14ac:dyDescent="0.3">
      <c r="B745" t="s">
        <v>8</v>
      </c>
      <c r="C745">
        <v>928</v>
      </c>
      <c r="D745" t="s">
        <v>13</v>
      </c>
      <c r="E745">
        <v>1184</v>
      </c>
      <c r="F745" t="s">
        <v>810</v>
      </c>
      <c r="G745">
        <v>201100</v>
      </c>
      <c r="H745" t="s">
        <v>11</v>
      </c>
      <c r="I745" t="s">
        <v>3674</v>
      </c>
      <c r="J745" t="s">
        <v>8552</v>
      </c>
      <c r="K745">
        <v>1121320</v>
      </c>
      <c r="L745">
        <v>44866</v>
      </c>
      <c r="M745" t="s">
        <v>811</v>
      </c>
      <c r="N745">
        <v>1121320</v>
      </c>
      <c r="O745" t="e">
        <v>#N/A</v>
      </c>
    </row>
    <row r="746" spans="2:15" hidden="1" x14ac:dyDescent="0.3">
      <c r="B746" t="s">
        <v>8</v>
      </c>
      <c r="C746">
        <v>928</v>
      </c>
      <c r="D746" t="s">
        <v>9</v>
      </c>
      <c r="E746">
        <v>1202</v>
      </c>
      <c r="F746" t="s">
        <v>45</v>
      </c>
      <c r="G746">
        <v>26</v>
      </c>
      <c r="H746" t="s">
        <v>11</v>
      </c>
      <c r="I746" t="s">
        <v>3676</v>
      </c>
      <c r="J746" t="s">
        <v>8553</v>
      </c>
      <c r="K746">
        <v>3730</v>
      </c>
      <c r="L746">
        <v>44866</v>
      </c>
      <c r="M746" t="s">
        <v>812</v>
      </c>
      <c r="N746">
        <v>3730</v>
      </c>
      <c r="O746" t="e">
        <v>#N/A</v>
      </c>
    </row>
    <row r="747" spans="2:15" hidden="1" x14ac:dyDescent="0.3">
      <c r="B747" t="s">
        <v>8</v>
      </c>
      <c r="C747">
        <v>928</v>
      </c>
      <c r="D747" t="s">
        <v>9</v>
      </c>
      <c r="E747">
        <v>1202</v>
      </c>
      <c r="F747" t="s">
        <v>104</v>
      </c>
      <c r="G747">
        <v>201009</v>
      </c>
      <c r="H747" t="s">
        <v>11</v>
      </c>
      <c r="I747" t="s">
        <v>3677</v>
      </c>
      <c r="J747" t="s">
        <v>8554</v>
      </c>
      <c r="K747">
        <v>2262380</v>
      </c>
      <c r="L747">
        <v>44866</v>
      </c>
      <c r="M747" t="s">
        <v>813</v>
      </c>
      <c r="N747">
        <v>2262380</v>
      </c>
      <c r="O747" t="e">
        <v>#N/A</v>
      </c>
    </row>
    <row r="748" spans="2:15" hidden="1" x14ac:dyDescent="0.3">
      <c r="B748" t="s">
        <v>8</v>
      </c>
      <c r="C748">
        <v>928</v>
      </c>
      <c r="D748" t="s">
        <v>9</v>
      </c>
      <c r="E748">
        <v>1202</v>
      </c>
      <c r="F748" t="s">
        <v>37</v>
      </c>
      <c r="G748">
        <v>81</v>
      </c>
      <c r="H748" t="s">
        <v>11</v>
      </c>
      <c r="I748" t="s">
        <v>3681</v>
      </c>
      <c r="J748" t="s">
        <v>8555</v>
      </c>
      <c r="K748">
        <v>311360</v>
      </c>
      <c r="L748">
        <v>44866</v>
      </c>
      <c r="M748" t="s">
        <v>814</v>
      </c>
      <c r="N748">
        <v>311360</v>
      </c>
      <c r="O748" t="e">
        <v>#N/A</v>
      </c>
    </row>
    <row r="749" spans="2:15" hidden="1" x14ac:dyDescent="0.3">
      <c r="B749" t="s">
        <v>8</v>
      </c>
      <c r="C749">
        <v>928</v>
      </c>
      <c r="D749" t="s">
        <v>9</v>
      </c>
      <c r="E749">
        <v>1202</v>
      </c>
      <c r="F749" t="s">
        <v>20</v>
      </c>
      <c r="G749">
        <v>938</v>
      </c>
      <c r="H749" t="s">
        <v>11</v>
      </c>
      <c r="I749" t="s">
        <v>3682</v>
      </c>
      <c r="J749" t="s">
        <v>8556</v>
      </c>
      <c r="K749">
        <v>595940</v>
      </c>
      <c r="L749">
        <v>44866</v>
      </c>
      <c r="M749" t="s">
        <v>815</v>
      </c>
      <c r="N749">
        <v>595940</v>
      </c>
      <c r="O749" t="e">
        <v>#N/A</v>
      </c>
    </row>
    <row r="750" spans="2:15" hidden="1" x14ac:dyDescent="0.3">
      <c r="B750" t="s">
        <v>8</v>
      </c>
      <c r="C750">
        <v>928</v>
      </c>
      <c r="D750" t="s">
        <v>9</v>
      </c>
      <c r="E750">
        <v>1202</v>
      </c>
      <c r="F750" t="s">
        <v>27</v>
      </c>
      <c r="G750">
        <v>806</v>
      </c>
      <c r="H750" t="s">
        <v>11</v>
      </c>
      <c r="I750" t="s">
        <v>3683</v>
      </c>
      <c r="J750" t="s">
        <v>8557</v>
      </c>
      <c r="K750">
        <v>252830</v>
      </c>
      <c r="L750">
        <v>44866</v>
      </c>
      <c r="M750" t="s">
        <v>816</v>
      </c>
      <c r="N750">
        <v>256320</v>
      </c>
      <c r="O750" t="e">
        <v>#N/A</v>
      </c>
    </row>
    <row r="751" spans="2:15" hidden="1" x14ac:dyDescent="0.3">
      <c r="B751" t="s">
        <v>8</v>
      </c>
      <c r="C751">
        <v>928</v>
      </c>
      <c r="D751" t="s">
        <v>9</v>
      </c>
      <c r="E751">
        <v>1202</v>
      </c>
      <c r="F751" t="s">
        <v>37</v>
      </c>
      <c r="G751">
        <v>81</v>
      </c>
      <c r="H751" t="s">
        <v>11</v>
      </c>
      <c r="I751" t="s">
        <v>3684</v>
      </c>
      <c r="J751" t="s">
        <v>8558</v>
      </c>
      <c r="K751">
        <v>1199970</v>
      </c>
      <c r="L751">
        <v>44866</v>
      </c>
      <c r="M751" t="s">
        <v>817</v>
      </c>
      <c r="N751">
        <v>0</v>
      </c>
      <c r="O751" t="e">
        <v>#N/A</v>
      </c>
    </row>
    <row r="752" spans="2:15" hidden="1" x14ac:dyDescent="0.3">
      <c r="B752" t="s">
        <v>16</v>
      </c>
      <c r="C752">
        <v>927</v>
      </c>
      <c r="D752" t="s">
        <v>17</v>
      </c>
      <c r="E752">
        <v>1200</v>
      </c>
      <c r="F752" t="s">
        <v>96</v>
      </c>
      <c r="G752">
        <v>1271</v>
      </c>
      <c r="H752" t="s">
        <v>11</v>
      </c>
      <c r="I752" t="s">
        <v>3690</v>
      </c>
      <c r="J752" t="s">
        <v>8559</v>
      </c>
      <c r="K752">
        <v>8054500</v>
      </c>
      <c r="L752">
        <v>44866</v>
      </c>
      <c r="M752" t="s">
        <v>818</v>
      </c>
      <c r="N752">
        <v>8054500</v>
      </c>
      <c r="O752" t="e">
        <v>#N/A</v>
      </c>
    </row>
    <row r="753" spans="2:15" hidden="1" x14ac:dyDescent="0.3">
      <c r="B753" t="s">
        <v>8</v>
      </c>
      <c r="C753">
        <v>928</v>
      </c>
      <c r="D753" t="s">
        <v>9</v>
      </c>
      <c r="E753">
        <v>1202</v>
      </c>
      <c r="F753" t="s">
        <v>122</v>
      </c>
      <c r="G753">
        <v>251</v>
      </c>
      <c r="H753" t="s">
        <v>11</v>
      </c>
      <c r="I753" t="s">
        <v>3691</v>
      </c>
      <c r="J753" t="s">
        <v>8560</v>
      </c>
      <c r="K753">
        <v>873330</v>
      </c>
      <c r="L753">
        <v>44866</v>
      </c>
      <c r="M753" t="s">
        <v>819</v>
      </c>
      <c r="N753">
        <v>873330</v>
      </c>
      <c r="O753" t="e">
        <v>#N/A</v>
      </c>
    </row>
    <row r="754" spans="2:15" hidden="1" x14ac:dyDescent="0.3">
      <c r="B754" t="s">
        <v>8</v>
      </c>
      <c r="C754">
        <v>928</v>
      </c>
      <c r="D754" t="s">
        <v>13</v>
      </c>
      <c r="E754">
        <v>1184</v>
      </c>
      <c r="F754" t="s">
        <v>102</v>
      </c>
      <c r="G754">
        <v>917</v>
      </c>
      <c r="H754" t="s">
        <v>11</v>
      </c>
      <c r="I754" t="s">
        <v>3697</v>
      </c>
      <c r="J754" t="s">
        <v>8561</v>
      </c>
      <c r="K754">
        <v>3544470</v>
      </c>
      <c r="L754">
        <v>44866</v>
      </c>
      <c r="M754" t="s">
        <v>820</v>
      </c>
      <c r="N754">
        <v>3544470</v>
      </c>
      <c r="O754" t="e">
        <v>#N/A</v>
      </c>
    </row>
    <row r="755" spans="2:15" hidden="1" x14ac:dyDescent="0.3">
      <c r="B755" t="s">
        <v>8</v>
      </c>
      <c r="C755">
        <v>928</v>
      </c>
      <c r="D755" t="s">
        <v>9</v>
      </c>
      <c r="E755">
        <v>1202</v>
      </c>
      <c r="F755" t="s">
        <v>45</v>
      </c>
      <c r="G755">
        <v>26</v>
      </c>
      <c r="H755" t="s">
        <v>11</v>
      </c>
      <c r="I755" t="s">
        <v>3702</v>
      </c>
      <c r="J755" t="s">
        <v>8562</v>
      </c>
      <c r="K755">
        <v>2168820</v>
      </c>
      <c r="L755">
        <v>44866</v>
      </c>
      <c r="M755" t="s">
        <v>821</v>
      </c>
      <c r="N755">
        <v>2168820</v>
      </c>
      <c r="O755" t="e">
        <v>#N/A</v>
      </c>
    </row>
    <row r="756" spans="2:15" hidden="1" x14ac:dyDescent="0.3">
      <c r="B756" t="s">
        <v>8</v>
      </c>
      <c r="C756">
        <v>928</v>
      </c>
      <c r="D756" t="s">
        <v>9</v>
      </c>
      <c r="E756">
        <v>1202</v>
      </c>
      <c r="F756" t="s">
        <v>45</v>
      </c>
      <c r="G756">
        <v>26</v>
      </c>
      <c r="H756" t="s">
        <v>11</v>
      </c>
      <c r="I756" t="s">
        <v>3705</v>
      </c>
      <c r="J756" t="s">
        <v>8563</v>
      </c>
      <c r="K756">
        <v>560</v>
      </c>
      <c r="L756">
        <v>44866</v>
      </c>
      <c r="M756" t="s">
        <v>822</v>
      </c>
      <c r="N756">
        <v>560</v>
      </c>
      <c r="O756" t="e">
        <v>#N/A</v>
      </c>
    </row>
    <row r="757" spans="2:15" hidden="1" x14ac:dyDescent="0.3">
      <c r="B757" t="s">
        <v>8</v>
      </c>
      <c r="C757">
        <v>928</v>
      </c>
      <c r="D757" t="s">
        <v>13</v>
      </c>
      <c r="E757">
        <v>1184</v>
      </c>
      <c r="F757" t="s">
        <v>59</v>
      </c>
      <c r="G757">
        <v>9</v>
      </c>
      <c r="H757" t="s">
        <v>11</v>
      </c>
      <c r="I757" t="s">
        <v>3708</v>
      </c>
      <c r="J757" t="s">
        <v>8564</v>
      </c>
      <c r="K757">
        <v>66760</v>
      </c>
      <c r="L757">
        <v>44866</v>
      </c>
      <c r="M757" t="s">
        <v>823</v>
      </c>
      <c r="N757">
        <v>66760</v>
      </c>
      <c r="O757" t="e">
        <v>#N/A</v>
      </c>
    </row>
    <row r="758" spans="2:15" hidden="1" x14ac:dyDescent="0.3">
      <c r="B758" t="s">
        <v>8</v>
      </c>
      <c r="C758">
        <v>928</v>
      </c>
      <c r="D758" t="s">
        <v>13</v>
      </c>
      <c r="E758">
        <v>1184</v>
      </c>
      <c r="F758" t="s">
        <v>115</v>
      </c>
      <c r="G758">
        <v>1548</v>
      </c>
      <c r="H758" t="s">
        <v>11</v>
      </c>
      <c r="I758" t="s">
        <v>3710</v>
      </c>
      <c r="J758" t="s">
        <v>8565</v>
      </c>
      <c r="K758">
        <v>1320</v>
      </c>
      <c r="L758">
        <v>44866</v>
      </c>
      <c r="M758" t="s">
        <v>824</v>
      </c>
      <c r="N758">
        <v>1320</v>
      </c>
      <c r="O758" t="e">
        <v>#N/A</v>
      </c>
    </row>
    <row r="759" spans="2:15" hidden="1" x14ac:dyDescent="0.3">
      <c r="B759" t="s">
        <v>16</v>
      </c>
      <c r="C759">
        <v>927</v>
      </c>
      <c r="D759" t="s">
        <v>17</v>
      </c>
      <c r="E759">
        <v>1200</v>
      </c>
      <c r="F759" t="s">
        <v>371</v>
      </c>
      <c r="G759">
        <v>551</v>
      </c>
      <c r="H759" t="s">
        <v>11</v>
      </c>
      <c r="I759" t="s">
        <v>3711</v>
      </c>
      <c r="J759" t="s">
        <v>8566</v>
      </c>
      <c r="K759">
        <v>289800</v>
      </c>
      <c r="L759">
        <v>44866</v>
      </c>
      <c r="M759" t="s">
        <v>825</v>
      </c>
      <c r="N759">
        <v>289800</v>
      </c>
      <c r="O759" t="e">
        <v>#N/A</v>
      </c>
    </row>
    <row r="760" spans="2:15" hidden="1" x14ac:dyDescent="0.3">
      <c r="B760" t="s">
        <v>41</v>
      </c>
      <c r="C760">
        <v>926</v>
      </c>
      <c r="D760" t="s">
        <v>42</v>
      </c>
      <c r="E760">
        <v>964</v>
      </c>
      <c r="F760" t="s">
        <v>43</v>
      </c>
      <c r="G760">
        <v>200998</v>
      </c>
      <c r="H760" t="s">
        <v>11</v>
      </c>
      <c r="I760" t="s">
        <v>3712</v>
      </c>
      <c r="J760" t="s">
        <v>8567</v>
      </c>
      <c r="K760">
        <v>18600</v>
      </c>
      <c r="L760">
        <v>44866</v>
      </c>
      <c r="M760" t="s">
        <v>826</v>
      </c>
      <c r="N760">
        <v>18600</v>
      </c>
      <c r="O760" t="e">
        <v>#N/A</v>
      </c>
    </row>
    <row r="761" spans="2:15" hidden="1" x14ac:dyDescent="0.3">
      <c r="B761" t="s">
        <v>22</v>
      </c>
      <c r="C761">
        <v>809</v>
      </c>
      <c r="D761" t="s">
        <v>23</v>
      </c>
      <c r="E761">
        <v>810</v>
      </c>
      <c r="F761" t="s">
        <v>529</v>
      </c>
      <c r="G761">
        <v>201053</v>
      </c>
      <c r="H761" t="s">
        <v>11</v>
      </c>
      <c r="I761" t="s">
        <v>3713</v>
      </c>
      <c r="J761" t="s">
        <v>8568</v>
      </c>
      <c r="K761">
        <v>343722</v>
      </c>
      <c r="L761">
        <v>44866</v>
      </c>
      <c r="M761" t="s">
        <v>827</v>
      </c>
      <c r="N761">
        <v>362750</v>
      </c>
      <c r="O761" t="e">
        <v>#N/A</v>
      </c>
    </row>
    <row r="762" spans="2:15" hidden="1" x14ac:dyDescent="0.3">
      <c r="B762" t="s">
        <v>22</v>
      </c>
      <c r="C762">
        <v>809</v>
      </c>
      <c r="D762" t="s">
        <v>23</v>
      </c>
      <c r="E762">
        <v>810</v>
      </c>
      <c r="F762" t="s">
        <v>86</v>
      </c>
      <c r="G762">
        <v>201021</v>
      </c>
      <c r="H762" t="s">
        <v>11</v>
      </c>
      <c r="I762" t="s">
        <v>3714</v>
      </c>
      <c r="J762" t="s">
        <v>8569</v>
      </c>
      <c r="K762">
        <v>37220</v>
      </c>
      <c r="L762">
        <v>44866</v>
      </c>
      <c r="M762" t="s">
        <v>828</v>
      </c>
      <c r="N762">
        <v>37220</v>
      </c>
      <c r="O762" t="e">
        <v>#N/A</v>
      </c>
    </row>
    <row r="763" spans="2:15" hidden="1" x14ac:dyDescent="0.3">
      <c r="B763" t="s">
        <v>41</v>
      </c>
      <c r="C763">
        <v>926</v>
      </c>
      <c r="D763" t="s">
        <v>56</v>
      </c>
      <c r="E763">
        <v>1207</v>
      </c>
      <c r="F763" t="s">
        <v>253</v>
      </c>
      <c r="G763">
        <v>1328</v>
      </c>
      <c r="H763" t="s">
        <v>11</v>
      </c>
      <c r="I763" t="s">
        <v>3716</v>
      </c>
      <c r="J763" t="s">
        <v>8570</v>
      </c>
      <c r="K763">
        <v>474740</v>
      </c>
      <c r="L763">
        <v>44866</v>
      </c>
      <c r="M763" t="s">
        <v>829</v>
      </c>
      <c r="N763">
        <v>474740</v>
      </c>
      <c r="O763" t="e">
        <v>#N/A</v>
      </c>
    </row>
    <row r="764" spans="2:15" hidden="1" x14ac:dyDescent="0.3">
      <c r="B764" t="s">
        <v>8</v>
      </c>
      <c r="C764">
        <v>928</v>
      </c>
      <c r="D764" t="s">
        <v>223</v>
      </c>
      <c r="E764">
        <v>966</v>
      </c>
      <c r="F764" t="s">
        <v>224</v>
      </c>
      <c r="G764">
        <v>201008</v>
      </c>
      <c r="H764" t="s">
        <v>11</v>
      </c>
      <c r="I764" t="s">
        <v>3717</v>
      </c>
      <c r="J764" t="s">
        <v>8571</v>
      </c>
      <c r="K764">
        <v>679330</v>
      </c>
      <c r="L764">
        <v>44866</v>
      </c>
      <c r="M764" t="s">
        <v>225</v>
      </c>
      <c r="N764">
        <v>679330</v>
      </c>
      <c r="O764" t="e">
        <v>#N/A</v>
      </c>
    </row>
    <row r="765" spans="2:15" hidden="1" x14ac:dyDescent="0.3">
      <c r="B765" t="s">
        <v>41</v>
      </c>
      <c r="C765">
        <v>926</v>
      </c>
      <c r="D765" t="s">
        <v>56</v>
      </c>
      <c r="E765">
        <v>1207</v>
      </c>
      <c r="F765" t="s">
        <v>57</v>
      </c>
      <c r="G765">
        <v>200982</v>
      </c>
      <c r="H765" t="s">
        <v>11</v>
      </c>
      <c r="I765" t="s">
        <v>3719</v>
      </c>
      <c r="J765" t="s">
        <v>8572</v>
      </c>
      <c r="K765">
        <v>28190</v>
      </c>
      <c r="L765">
        <v>44866</v>
      </c>
      <c r="M765" t="s">
        <v>830</v>
      </c>
      <c r="N765">
        <v>28190</v>
      </c>
      <c r="O765" t="e">
        <v>#N/A</v>
      </c>
    </row>
    <row r="766" spans="2:15" x14ac:dyDescent="0.3">
      <c r="B766" t="s">
        <v>41</v>
      </c>
      <c r="C766">
        <v>926</v>
      </c>
      <c r="D766" t="s">
        <v>56</v>
      </c>
      <c r="E766">
        <v>1207</v>
      </c>
      <c r="F766" t="s">
        <v>64</v>
      </c>
      <c r="G766">
        <v>201011</v>
      </c>
      <c r="H766" t="s">
        <v>11</v>
      </c>
      <c r="I766" t="s">
        <v>8573</v>
      </c>
      <c r="J766" t="s">
        <v>8574</v>
      </c>
      <c r="K766">
        <v>4095820</v>
      </c>
      <c r="L766">
        <v>44866</v>
      </c>
      <c r="M766" t="s">
        <v>831</v>
      </c>
      <c r="N766" t="e">
        <v>#N/A</v>
      </c>
      <c r="O766" t="e">
        <v>#N/A</v>
      </c>
    </row>
    <row r="767" spans="2:15" hidden="1" x14ac:dyDescent="0.3">
      <c r="B767" t="s">
        <v>41</v>
      </c>
      <c r="C767">
        <v>926</v>
      </c>
      <c r="D767" t="s">
        <v>56</v>
      </c>
      <c r="E767">
        <v>1207</v>
      </c>
      <c r="F767" t="s">
        <v>57</v>
      </c>
      <c r="G767">
        <v>200982</v>
      </c>
      <c r="H767" t="s">
        <v>11</v>
      </c>
      <c r="I767" t="s">
        <v>3721</v>
      </c>
      <c r="J767" t="s">
        <v>8575</v>
      </c>
      <c r="K767">
        <v>1080320</v>
      </c>
      <c r="L767">
        <v>44866</v>
      </c>
      <c r="M767" t="s">
        <v>832</v>
      </c>
      <c r="N767">
        <v>1080320</v>
      </c>
      <c r="O767" t="e">
        <v>#N/A</v>
      </c>
    </row>
    <row r="768" spans="2:15" hidden="1" x14ac:dyDescent="0.3">
      <c r="B768" t="s">
        <v>8</v>
      </c>
      <c r="C768">
        <v>928</v>
      </c>
      <c r="D768" t="s">
        <v>13</v>
      </c>
      <c r="E768">
        <v>1184</v>
      </c>
      <c r="F768" t="s">
        <v>14</v>
      </c>
      <c r="G768">
        <v>914</v>
      </c>
      <c r="H768" t="s">
        <v>11</v>
      </c>
      <c r="I768" t="s">
        <v>3725</v>
      </c>
      <c r="J768" t="s">
        <v>8576</v>
      </c>
      <c r="K768">
        <v>417850</v>
      </c>
      <c r="L768">
        <v>44866</v>
      </c>
      <c r="M768" t="s">
        <v>323</v>
      </c>
      <c r="N768">
        <v>417850</v>
      </c>
      <c r="O768" t="e">
        <v>#N/A</v>
      </c>
    </row>
    <row r="769" spans="2:15" hidden="1" x14ac:dyDescent="0.3">
      <c r="B769" t="s">
        <v>8</v>
      </c>
      <c r="C769">
        <v>928</v>
      </c>
      <c r="D769" t="s">
        <v>9</v>
      </c>
      <c r="E769">
        <v>1202</v>
      </c>
      <c r="F769" t="s">
        <v>45</v>
      </c>
      <c r="G769">
        <v>26</v>
      </c>
      <c r="H769" t="s">
        <v>11</v>
      </c>
      <c r="I769" t="s">
        <v>3727</v>
      </c>
      <c r="J769" t="s">
        <v>8577</v>
      </c>
      <c r="K769">
        <v>1530730</v>
      </c>
      <c r="L769">
        <v>44866</v>
      </c>
      <c r="M769" t="s">
        <v>833</v>
      </c>
      <c r="N769">
        <v>1514100</v>
      </c>
      <c r="O769" t="e">
        <v>#N/A</v>
      </c>
    </row>
    <row r="770" spans="2:15" hidden="1" x14ac:dyDescent="0.3">
      <c r="B770" t="s">
        <v>8</v>
      </c>
      <c r="C770">
        <v>928</v>
      </c>
      <c r="D770" t="s">
        <v>13</v>
      </c>
      <c r="E770">
        <v>1184</v>
      </c>
      <c r="F770" t="s">
        <v>14</v>
      </c>
      <c r="G770">
        <v>914</v>
      </c>
      <c r="H770" t="s">
        <v>11</v>
      </c>
      <c r="I770" t="s">
        <v>3732</v>
      </c>
      <c r="J770" t="s">
        <v>8578</v>
      </c>
      <c r="K770">
        <v>560</v>
      </c>
      <c r="L770">
        <v>44866</v>
      </c>
      <c r="M770" t="s">
        <v>834</v>
      </c>
      <c r="N770">
        <v>560</v>
      </c>
      <c r="O770" t="e">
        <v>#N/A</v>
      </c>
    </row>
    <row r="771" spans="2:15" hidden="1" x14ac:dyDescent="0.3">
      <c r="B771" t="s">
        <v>41</v>
      </c>
      <c r="C771">
        <v>926</v>
      </c>
      <c r="D771" t="s">
        <v>56</v>
      </c>
      <c r="E771">
        <v>1207</v>
      </c>
      <c r="F771" t="s">
        <v>57</v>
      </c>
      <c r="G771">
        <v>200982</v>
      </c>
      <c r="H771" t="s">
        <v>11</v>
      </c>
      <c r="I771" t="s">
        <v>3733</v>
      </c>
      <c r="J771" t="s">
        <v>8579</v>
      </c>
      <c r="K771">
        <v>181310</v>
      </c>
      <c r="L771">
        <v>44866</v>
      </c>
      <c r="M771" t="s">
        <v>835</v>
      </c>
      <c r="N771">
        <v>181310</v>
      </c>
      <c r="O771" t="e">
        <v>#N/A</v>
      </c>
    </row>
    <row r="772" spans="2:15" hidden="1" x14ac:dyDescent="0.3">
      <c r="B772" t="s">
        <v>16</v>
      </c>
      <c r="C772">
        <v>927</v>
      </c>
      <c r="D772" t="s">
        <v>17</v>
      </c>
      <c r="E772">
        <v>1200</v>
      </c>
      <c r="F772" t="s">
        <v>170</v>
      </c>
      <c r="G772">
        <v>1530</v>
      </c>
      <c r="H772" t="s">
        <v>11</v>
      </c>
      <c r="I772" t="s">
        <v>3735</v>
      </c>
      <c r="J772" t="s">
        <v>8580</v>
      </c>
      <c r="K772">
        <v>2080</v>
      </c>
      <c r="L772">
        <v>44866</v>
      </c>
      <c r="M772" t="s">
        <v>836</v>
      </c>
      <c r="N772">
        <v>2080</v>
      </c>
      <c r="O772" t="e">
        <v>#N/A</v>
      </c>
    </row>
    <row r="773" spans="2:15" hidden="1" x14ac:dyDescent="0.3">
      <c r="B773" t="s">
        <v>8</v>
      </c>
      <c r="C773">
        <v>928</v>
      </c>
      <c r="D773" t="s">
        <v>13</v>
      </c>
      <c r="E773">
        <v>1184</v>
      </c>
      <c r="F773" t="s">
        <v>51</v>
      </c>
      <c r="G773">
        <v>1274</v>
      </c>
      <c r="H773" t="s">
        <v>11</v>
      </c>
      <c r="I773" t="s">
        <v>3736</v>
      </c>
      <c r="J773" t="s">
        <v>8581</v>
      </c>
      <c r="K773">
        <v>1344680</v>
      </c>
      <c r="L773">
        <v>44866</v>
      </c>
      <c r="M773" t="s">
        <v>837</v>
      </c>
      <c r="N773">
        <v>1344680</v>
      </c>
      <c r="O773" t="e">
        <v>#N/A</v>
      </c>
    </row>
    <row r="774" spans="2:15" hidden="1" x14ac:dyDescent="0.3">
      <c r="B774" t="s">
        <v>16</v>
      </c>
      <c r="C774">
        <v>927</v>
      </c>
      <c r="D774" t="s">
        <v>17</v>
      </c>
      <c r="E774">
        <v>1200</v>
      </c>
      <c r="F774" t="s">
        <v>137</v>
      </c>
      <c r="G774">
        <v>1012</v>
      </c>
      <c r="H774" t="s">
        <v>11</v>
      </c>
      <c r="I774" t="s">
        <v>3741</v>
      </c>
      <c r="J774" t="s">
        <v>8582</v>
      </c>
      <c r="K774">
        <v>3400</v>
      </c>
      <c r="L774">
        <v>44866</v>
      </c>
      <c r="M774" t="s">
        <v>838</v>
      </c>
      <c r="N774">
        <v>3400</v>
      </c>
      <c r="O774" t="e">
        <v>#N/A</v>
      </c>
    </row>
    <row r="775" spans="2:15" hidden="1" x14ac:dyDescent="0.3">
      <c r="B775" t="s">
        <v>41</v>
      </c>
      <c r="C775">
        <v>926</v>
      </c>
      <c r="D775" t="s">
        <v>56</v>
      </c>
      <c r="E775">
        <v>1207</v>
      </c>
      <c r="F775" t="s">
        <v>156</v>
      </c>
      <c r="G775">
        <v>201103</v>
      </c>
      <c r="H775" t="s">
        <v>11</v>
      </c>
      <c r="I775" t="s">
        <v>3742</v>
      </c>
      <c r="J775" t="s">
        <v>8583</v>
      </c>
      <c r="K775">
        <v>2084180</v>
      </c>
      <c r="L775">
        <v>44866</v>
      </c>
      <c r="M775" t="s">
        <v>839</v>
      </c>
      <c r="N775">
        <v>2084180</v>
      </c>
      <c r="O775" t="e">
        <v>#N/A</v>
      </c>
    </row>
    <row r="776" spans="2:15" hidden="1" x14ac:dyDescent="0.3">
      <c r="B776" t="s">
        <v>41</v>
      </c>
      <c r="C776">
        <v>926</v>
      </c>
      <c r="D776" t="s">
        <v>56</v>
      </c>
      <c r="E776">
        <v>1207</v>
      </c>
      <c r="F776" t="s">
        <v>64</v>
      </c>
      <c r="G776">
        <v>201011</v>
      </c>
      <c r="H776" t="s">
        <v>11</v>
      </c>
      <c r="I776" t="s">
        <v>3745</v>
      </c>
      <c r="J776" t="s">
        <v>8584</v>
      </c>
      <c r="K776">
        <v>2610</v>
      </c>
      <c r="L776">
        <v>44866</v>
      </c>
      <c r="M776" t="s">
        <v>840</v>
      </c>
      <c r="N776">
        <v>2610</v>
      </c>
      <c r="O776" t="e">
        <v>#N/A</v>
      </c>
    </row>
    <row r="777" spans="2:15" hidden="1" x14ac:dyDescent="0.3">
      <c r="B777" t="s">
        <v>8</v>
      </c>
      <c r="C777">
        <v>928</v>
      </c>
      <c r="D777" t="s">
        <v>9</v>
      </c>
      <c r="E777">
        <v>1202</v>
      </c>
      <c r="F777" t="s">
        <v>31</v>
      </c>
      <c r="G777">
        <v>1040</v>
      </c>
      <c r="H777" t="s">
        <v>11</v>
      </c>
      <c r="I777" t="s">
        <v>3749</v>
      </c>
      <c r="J777" t="s">
        <v>8585</v>
      </c>
      <c r="K777">
        <v>238840</v>
      </c>
      <c r="L777">
        <v>44866</v>
      </c>
      <c r="M777" t="s">
        <v>841</v>
      </c>
      <c r="N777">
        <v>238840</v>
      </c>
      <c r="O777" t="e">
        <v>#N/A</v>
      </c>
    </row>
    <row r="778" spans="2:15" hidden="1" x14ac:dyDescent="0.3">
      <c r="B778" t="s">
        <v>8</v>
      </c>
      <c r="C778">
        <v>928</v>
      </c>
      <c r="D778" t="s">
        <v>13</v>
      </c>
      <c r="E778">
        <v>1184</v>
      </c>
      <c r="F778" t="s">
        <v>115</v>
      </c>
      <c r="G778">
        <v>1548</v>
      </c>
      <c r="H778" t="s">
        <v>11</v>
      </c>
      <c r="I778" t="s">
        <v>3750</v>
      </c>
      <c r="J778" t="s">
        <v>8586</v>
      </c>
      <c r="K778">
        <v>13330</v>
      </c>
      <c r="L778">
        <v>44866</v>
      </c>
      <c r="M778" t="s">
        <v>842</v>
      </c>
      <c r="N778">
        <v>13330</v>
      </c>
      <c r="O778" t="e">
        <v>#N/A</v>
      </c>
    </row>
    <row r="779" spans="2:15" hidden="1" x14ac:dyDescent="0.3">
      <c r="B779" t="s">
        <v>8</v>
      </c>
      <c r="C779">
        <v>928</v>
      </c>
      <c r="D779" t="s">
        <v>9</v>
      </c>
      <c r="E779">
        <v>1202</v>
      </c>
      <c r="F779" t="s">
        <v>73</v>
      </c>
      <c r="G779">
        <v>895</v>
      </c>
      <c r="H779" t="s">
        <v>11</v>
      </c>
      <c r="I779" t="s">
        <v>3753</v>
      </c>
      <c r="J779" t="s">
        <v>8587</v>
      </c>
      <c r="K779">
        <v>449140</v>
      </c>
      <c r="L779">
        <v>44866</v>
      </c>
      <c r="M779" t="s">
        <v>843</v>
      </c>
      <c r="N779">
        <v>449140</v>
      </c>
      <c r="O779" t="e">
        <v>#N/A</v>
      </c>
    </row>
    <row r="780" spans="2:15" hidden="1" x14ac:dyDescent="0.3">
      <c r="B780" t="s">
        <v>41</v>
      </c>
      <c r="C780">
        <v>926</v>
      </c>
      <c r="D780" t="s">
        <v>56</v>
      </c>
      <c r="E780">
        <v>1207</v>
      </c>
      <c r="F780" t="s">
        <v>57</v>
      </c>
      <c r="G780">
        <v>200982</v>
      </c>
      <c r="H780" t="s">
        <v>11</v>
      </c>
      <c r="I780" t="s">
        <v>3754</v>
      </c>
      <c r="J780" t="s">
        <v>8588</v>
      </c>
      <c r="K780">
        <v>51260</v>
      </c>
      <c r="L780">
        <v>44866</v>
      </c>
      <c r="M780" t="s">
        <v>844</v>
      </c>
      <c r="N780">
        <v>51260</v>
      </c>
      <c r="O780" t="e">
        <v>#N/A</v>
      </c>
    </row>
    <row r="781" spans="2:15" hidden="1" x14ac:dyDescent="0.3">
      <c r="B781" t="s">
        <v>8</v>
      </c>
      <c r="C781">
        <v>928</v>
      </c>
      <c r="D781" t="s">
        <v>13</v>
      </c>
      <c r="E781">
        <v>1184</v>
      </c>
      <c r="F781" t="s">
        <v>102</v>
      </c>
      <c r="G781">
        <v>917</v>
      </c>
      <c r="H781" t="s">
        <v>11</v>
      </c>
      <c r="I781" t="s">
        <v>3755</v>
      </c>
      <c r="J781" t="s">
        <v>8589</v>
      </c>
      <c r="K781">
        <v>2410</v>
      </c>
      <c r="L781">
        <v>44866</v>
      </c>
      <c r="M781" t="s">
        <v>845</v>
      </c>
      <c r="N781">
        <v>2410</v>
      </c>
      <c r="O781" t="e">
        <v>#N/A</v>
      </c>
    </row>
    <row r="782" spans="2:15" hidden="1" x14ac:dyDescent="0.3">
      <c r="B782" t="s">
        <v>41</v>
      </c>
      <c r="C782">
        <v>926</v>
      </c>
      <c r="D782" t="s">
        <v>56</v>
      </c>
      <c r="E782">
        <v>1207</v>
      </c>
      <c r="F782" t="s">
        <v>64</v>
      </c>
      <c r="G782">
        <v>201011</v>
      </c>
      <c r="H782" t="s">
        <v>11</v>
      </c>
      <c r="I782" t="s">
        <v>3760</v>
      </c>
      <c r="J782" t="s">
        <v>8590</v>
      </c>
      <c r="K782">
        <v>302780</v>
      </c>
      <c r="L782">
        <v>44866</v>
      </c>
      <c r="M782" t="s">
        <v>846</v>
      </c>
      <c r="N782">
        <v>302780</v>
      </c>
      <c r="O782" t="e">
        <v>#N/A</v>
      </c>
    </row>
    <row r="783" spans="2:15" hidden="1" x14ac:dyDescent="0.3">
      <c r="B783" t="s">
        <v>16</v>
      </c>
      <c r="C783">
        <v>927</v>
      </c>
      <c r="D783" t="s">
        <v>17</v>
      </c>
      <c r="E783">
        <v>1200</v>
      </c>
      <c r="F783" t="s">
        <v>66</v>
      </c>
      <c r="G783">
        <v>33</v>
      </c>
      <c r="H783" t="s">
        <v>11</v>
      </c>
      <c r="I783" t="s">
        <v>3761</v>
      </c>
      <c r="J783" t="s">
        <v>8591</v>
      </c>
      <c r="K783">
        <v>72520</v>
      </c>
      <c r="L783">
        <v>44866</v>
      </c>
      <c r="M783" t="s">
        <v>847</v>
      </c>
      <c r="N783">
        <v>72520</v>
      </c>
      <c r="O783" t="e">
        <v>#N/A</v>
      </c>
    </row>
    <row r="784" spans="2:15" hidden="1" x14ac:dyDescent="0.3">
      <c r="B784" t="s">
        <v>41</v>
      </c>
      <c r="C784">
        <v>926</v>
      </c>
      <c r="D784" t="s">
        <v>56</v>
      </c>
      <c r="E784">
        <v>1207</v>
      </c>
      <c r="F784" t="s">
        <v>62</v>
      </c>
      <c r="G784">
        <v>201037</v>
      </c>
      <c r="H784" t="s">
        <v>11</v>
      </c>
      <c r="I784" t="s">
        <v>3762</v>
      </c>
      <c r="J784" t="s">
        <v>8592</v>
      </c>
      <c r="K784">
        <v>860560</v>
      </c>
      <c r="L784">
        <v>44866</v>
      </c>
      <c r="M784" t="s">
        <v>848</v>
      </c>
      <c r="N784">
        <v>360570</v>
      </c>
      <c r="O784" t="e">
        <v>#N/A</v>
      </c>
    </row>
    <row r="785" spans="2:15" hidden="1" x14ac:dyDescent="0.3">
      <c r="B785" t="s">
        <v>8</v>
      </c>
      <c r="C785">
        <v>928</v>
      </c>
      <c r="D785" t="s">
        <v>9</v>
      </c>
      <c r="E785">
        <v>1202</v>
      </c>
      <c r="F785" t="s">
        <v>75</v>
      </c>
      <c r="G785">
        <v>50</v>
      </c>
      <c r="H785" t="s">
        <v>11</v>
      </c>
      <c r="I785" t="s">
        <v>3765</v>
      </c>
      <c r="J785" t="s">
        <v>8593</v>
      </c>
      <c r="K785">
        <v>19860</v>
      </c>
      <c r="L785">
        <v>44866</v>
      </c>
      <c r="M785" t="s">
        <v>849</v>
      </c>
      <c r="N785">
        <v>19860</v>
      </c>
      <c r="O785" t="e">
        <v>#N/A</v>
      </c>
    </row>
    <row r="786" spans="2:15" hidden="1" x14ac:dyDescent="0.3">
      <c r="B786" t="s">
        <v>16</v>
      </c>
      <c r="C786">
        <v>927</v>
      </c>
      <c r="D786" t="s">
        <v>17</v>
      </c>
      <c r="E786">
        <v>1200</v>
      </c>
      <c r="F786" t="s">
        <v>66</v>
      </c>
      <c r="G786">
        <v>33</v>
      </c>
      <c r="H786" t="s">
        <v>11</v>
      </c>
      <c r="I786" t="s">
        <v>3770</v>
      </c>
      <c r="J786" t="s">
        <v>8594</v>
      </c>
      <c r="K786">
        <v>215520</v>
      </c>
      <c r="L786">
        <v>44866</v>
      </c>
      <c r="M786" t="s">
        <v>850</v>
      </c>
      <c r="N786">
        <v>215520</v>
      </c>
      <c r="O786" t="e">
        <v>#N/A</v>
      </c>
    </row>
    <row r="787" spans="2:15" hidden="1" x14ac:dyDescent="0.3">
      <c r="B787" t="s">
        <v>8</v>
      </c>
      <c r="C787">
        <v>928</v>
      </c>
      <c r="D787" t="s">
        <v>9</v>
      </c>
      <c r="E787">
        <v>1202</v>
      </c>
      <c r="F787" t="s">
        <v>33</v>
      </c>
      <c r="G787">
        <v>933</v>
      </c>
      <c r="H787" t="s">
        <v>11</v>
      </c>
      <c r="I787" t="s">
        <v>3774</v>
      </c>
      <c r="J787" t="s">
        <v>8595</v>
      </c>
      <c r="K787">
        <v>62410</v>
      </c>
      <c r="L787">
        <v>44866</v>
      </c>
      <c r="M787" t="s">
        <v>851</v>
      </c>
      <c r="N787">
        <v>62410</v>
      </c>
      <c r="O787" t="e">
        <v>#N/A</v>
      </c>
    </row>
    <row r="788" spans="2:15" hidden="1" x14ac:dyDescent="0.3">
      <c r="B788" t="s">
        <v>8</v>
      </c>
      <c r="C788">
        <v>928</v>
      </c>
      <c r="D788" t="s">
        <v>9</v>
      </c>
      <c r="E788">
        <v>1202</v>
      </c>
      <c r="F788" t="s">
        <v>39</v>
      </c>
      <c r="G788">
        <v>25</v>
      </c>
      <c r="H788" t="s">
        <v>11</v>
      </c>
      <c r="I788" t="s">
        <v>3775</v>
      </c>
      <c r="J788" t="s">
        <v>8596</v>
      </c>
      <c r="K788">
        <v>229860</v>
      </c>
      <c r="L788">
        <v>44866</v>
      </c>
      <c r="M788" t="s">
        <v>852</v>
      </c>
      <c r="N788">
        <v>229860</v>
      </c>
      <c r="O788" t="e">
        <v>#N/A</v>
      </c>
    </row>
    <row r="789" spans="2:15" hidden="1" x14ac:dyDescent="0.3">
      <c r="B789" t="s">
        <v>8</v>
      </c>
      <c r="C789">
        <v>928</v>
      </c>
      <c r="D789" t="s">
        <v>9</v>
      </c>
      <c r="E789">
        <v>1202</v>
      </c>
      <c r="F789" t="s">
        <v>31</v>
      </c>
      <c r="G789">
        <v>1040</v>
      </c>
      <c r="H789" t="s">
        <v>11</v>
      </c>
      <c r="I789" t="s">
        <v>3781</v>
      </c>
      <c r="J789" t="s">
        <v>8597</v>
      </c>
      <c r="K789">
        <v>2370</v>
      </c>
      <c r="L789">
        <v>44866</v>
      </c>
      <c r="M789" t="s">
        <v>853</v>
      </c>
      <c r="N789">
        <v>2370</v>
      </c>
      <c r="O789" t="e">
        <v>#N/A</v>
      </c>
    </row>
    <row r="790" spans="2:15" hidden="1" x14ac:dyDescent="0.3">
      <c r="B790" t="s">
        <v>8</v>
      </c>
      <c r="C790">
        <v>928</v>
      </c>
      <c r="D790" t="s">
        <v>9</v>
      </c>
      <c r="E790">
        <v>1202</v>
      </c>
      <c r="F790" t="s">
        <v>37</v>
      </c>
      <c r="G790">
        <v>81</v>
      </c>
      <c r="H790" t="s">
        <v>11</v>
      </c>
      <c r="I790" t="s">
        <v>3782</v>
      </c>
      <c r="J790" t="s">
        <v>8598</v>
      </c>
      <c r="K790">
        <v>456970</v>
      </c>
      <c r="L790">
        <v>44866</v>
      </c>
      <c r="M790" t="s">
        <v>854</v>
      </c>
      <c r="N790">
        <v>456970</v>
      </c>
      <c r="O790" t="e">
        <v>#N/A</v>
      </c>
    </row>
    <row r="791" spans="2:15" hidden="1" x14ac:dyDescent="0.3">
      <c r="B791" t="s">
        <v>8</v>
      </c>
      <c r="C791">
        <v>928</v>
      </c>
      <c r="D791" t="s">
        <v>13</v>
      </c>
      <c r="E791">
        <v>1184</v>
      </c>
      <c r="F791" t="s">
        <v>115</v>
      </c>
      <c r="G791">
        <v>1548</v>
      </c>
      <c r="H791" t="s">
        <v>11</v>
      </c>
      <c r="I791" t="s">
        <v>3784</v>
      </c>
      <c r="J791" t="s">
        <v>8599</v>
      </c>
      <c r="K791">
        <v>1920</v>
      </c>
      <c r="L791">
        <v>44866</v>
      </c>
      <c r="M791" t="s">
        <v>855</v>
      </c>
      <c r="N791">
        <v>1920</v>
      </c>
      <c r="O791" t="e">
        <v>#N/A</v>
      </c>
    </row>
    <row r="792" spans="2:15" hidden="1" x14ac:dyDescent="0.3">
      <c r="B792" t="s">
        <v>41</v>
      </c>
      <c r="C792">
        <v>926</v>
      </c>
      <c r="D792" t="s">
        <v>56</v>
      </c>
      <c r="E792">
        <v>1207</v>
      </c>
      <c r="F792" t="s">
        <v>57</v>
      </c>
      <c r="G792">
        <v>200982</v>
      </c>
      <c r="H792" t="s">
        <v>11</v>
      </c>
      <c r="I792" t="s">
        <v>3786</v>
      </c>
      <c r="J792" t="s">
        <v>8600</v>
      </c>
      <c r="K792">
        <v>5890</v>
      </c>
      <c r="L792">
        <v>44866</v>
      </c>
      <c r="M792" t="s">
        <v>856</v>
      </c>
      <c r="N792">
        <v>5890</v>
      </c>
      <c r="O792" t="e">
        <v>#N/A</v>
      </c>
    </row>
    <row r="793" spans="2:15" hidden="1" x14ac:dyDescent="0.3">
      <c r="B793" t="s">
        <v>16</v>
      </c>
      <c r="C793">
        <v>927</v>
      </c>
      <c r="D793" t="s">
        <v>17</v>
      </c>
      <c r="E793">
        <v>1200</v>
      </c>
      <c r="F793" t="s">
        <v>93</v>
      </c>
      <c r="G793">
        <v>930</v>
      </c>
      <c r="H793" t="s">
        <v>11</v>
      </c>
      <c r="I793" t="s">
        <v>3788</v>
      </c>
      <c r="J793" t="s">
        <v>8601</v>
      </c>
      <c r="K793">
        <v>548420</v>
      </c>
      <c r="L793">
        <v>44866</v>
      </c>
      <c r="M793" t="s">
        <v>857</v>
      </c>
      <c r="N793">
        <v>548420</v>
      </c>
      <c r="O793" t="e">
        <v>#N/A</v>
      </c>
    </row>
    <row r="794" spans="2:15" hidden="1" x14ac:dyDescent="0.3">
      <c r="B794" t="s">
        <v>16</v>
      </c>
      <c r="C794">
        <v>927</v>
      </c>
      <c r="D794" t="s">
        <v>17</v>
      </c>
      <c r="E794">
        <v>1200</v>
      </c>
      <c r="F794" t="s">
        <v>93</v>
      </c>
      <c r="G794">
        <v>930</v>
      </c>
      <c r="H794" t="s">
        <v>11</v>
      </c>
      <c r="I794" t="s">
        <v>3790</v>
      </c>
      <c r="J794" t="s">
        <v>8602</v>
      </c>
      <c r="K794">
        <v>214580</v>
      </c>
      <c r="L794">
        <v>44866</v>
      </c>
      <c r="M794" t="s">
        <v>858</v>
      </c>
      <c r="N794">
        <v>214580</v>
      </c>
      <c r="O794" t="e">
        <v>#N/A</v>
      </c>
    </row>
    <row r="795" spans="2:15" hidden="1" x14ac:dyDescent="0.3">
      <c r="B795" t="s">
        <v>8</v>
      </c>
      <c r="C795">
        <v>928</v>
      </c>
      <c r="D795" t="s">
        <v>9</v>
      </c>
      <c r="E795">
        <v>1202</v>
      </c>
      <c r="F795" t="s">
        <v>142</v>
      </c>
      <c r="G795">
        <v>652</v>
      </c>
      <c r="H795" t="s">
        <v>11</v>
      </c>
      <c r="I795" t="s">
        <v>3793</v>
      </c>
      <c r="J795" t="s">
        <v>8603</v>
      </c>
      <c r="K795">
        <v>1213800</v>
      </c>
      <c r="L795">
        <v>44866</v>
      </c>
      <c r="M795" t="s">
        <v>859</v>
      </c>
      <c r="N795">
        <v>1213800</v>
      </c>
      <c r="O795" t="e">
        <v>#N/A</v>
      </c>
    </row>
    <row r="796" spans="2:15" hidden="1" x14ac:dyDescent="0.3">
      <c r="B796" t="s">
        <v>8</v>
      </c>
      <c r="C796">
        <v>928</v>
      </c>
      <c r="D796" t="s">
        <v>13</v>
      </c>
      <c r="E796">
        <v>1184</v>
      </c>
      <c r="F796" t="s">
        <v>102</v>
      </c>
      <c r="G796">
        <v>917</v>
      </c>
      <c r="H796" t="s">
        <v>11</v>
      </c>
      <c r="I796" t="s">
        <v>3794</v>
      </c>
      <c r="J796" t="s">
        <v>8604</v>
      </c>
      <c r="K796">
        <v>373170</v>
      </c>
      <c r="L796">
        <v>44866</v>
      </c>
      <c r="M796" t="s">
        <v>860</v>
      </c>
      <c r="N796">
        <v>373170</v>
      </c>
      <c r="O796" t="e">
        <v>#N/A</v>
      </c>
    </row>
    <row r="797" spans="2:15" hidden="1" x14ac:dyDescent="0.3">
      <c r="B797" t="s">
        <v>41</v>
      </c>
      <c r="C797">
        <v>926</v>
      </c>
      <c r="D797" t="s">
        <v>56</v>
      </c>
      <c r="E797">
        <v>1207</v>
      </c>
      <c r="F797" t="s">
        <v>253</v>
      </c>
      <c r="G797">
        <v>1328</v>
      </c>
      <c r="H797" t="s">
        <v>11</v>
      </c>
      <c r="I797" t="s">
        <v>3797</v>
      </c>
      <c r="J797" t="s">
        <v>8605</v>
      </c>
      <c r="K797">
        <v>4120</v>
      </c>
      <c r="L797">
        <v>44866</v>
      </c>
      <c r="M797" t="s">
        <v>861</v>
      </c>
      <c r="N797">
        <v>4120</v>
      </c>
      <c r="O797" t="e">
        <v>#N/A</v>
      </c>
    </row>
    <row r="798" spans="2:15" hidden="1" x14ac:dyDescent="0.3">
      <c r="B798" t="s">
        <v>8</v>
      </c>
      <c r="C798">
        <v>928</v>
      </c>
      <c r="D798" t="s">
        <v>9</v>
      </c>
      <c r="E798">
        <v>1202</v>
      </c>
      <c r="F798" t="s">
        <v>33</v>
      </c>
      <c r="G798">
        <v>933</v>
      </c>
      <c r="H798" t="s">
        <v>11</v>
      </c>
      <c r="I798" t="s">
        <v>3802</v>
      </c>
      <c r="J798" t="s">
        <v>8606</v>
      </c>
      <c r="K798">
        <v>226060</v>
      </c>
      <c r="L798">
        <v>44866</v>
      </c>
      <c r="M798" t="s">
        <v>862</v>
      </c>
      <c r="N798">
        <v>226060</v>
      </c>
      <c r="O798" t="e">
        <v>#N/A</v>
      </c>
    </row>
    <row r="799" spans="2:15" hidden="1" x14ac:dyDescent="0.3">
      <c r="B799" t="s">
        <v>8</v>
      </c>
      <c r="C799">
        <v>928</v>
      </c>
      <c r="D799" t="s">
        <v>9</v>
      </c>
      <c r="E799">
        <v>1202</v>
      </c>
      <c r="F799" t="s">
        <v>33</v>
      </c>
      <c r="G799">
        <v>933</v>
      </c>
      <c r="H799" t="s">
        <v>11</v>
      </c>
      <c r="I799" t="s">
        <v>3803</v>
      </c>
      <c r="J799" t="s">
        <v>8607</v>
      </c>
      <c r="K799">
        <v>31450</v>
      </c>
      <c r="L799">
        <v>44866</v>
      </c>
      <c r="M799" t="s">
        <v>863</v>
      </c>
      <c r="N799">
        <v>31450</v>
      </c>
      <c r="O799" t="e">
        <v>#N/A</v>
      </c>
    </row>
    <row r="800" spans="2:15" hidden="1" x14ac:dyDescent="0.3">
      <c r="B800" t="s">
        <v>8</v>
      </c>
      <c r="C800">
        <v>928</v>
      </c>
      <c r="D800" t="s">
        <v>9</v>
      </c>
      <c r="E800">
        <v>1202</v>
      </c>
      <c r="F800" t="s">
        <v>27</v>
      </c>
      <c r="G800">
        <v>806</v>
      </c>
      <c r="H800" t="s">
        <v>11</v>
      </c>
      <c r="I800" t="s">
        <v>3804</v>
      </c>
      <c r="J800" t="s">
        <v>8608</v>
      </c>
      <c r="K800">
        <v>127700</v>
      </c>
      <c r="L800">
        <v>44866</v>
      </c>
      <c r="M800" t="s">
        <v>864</v>
      </c>
      <c r="N800">
        <v>127700</v>
      </c>
      <c r="O800" t="e">
        <v>#N/A</v>
      </c>
    </row>
    <row r="801" spans="2:15" hidden="1" x14ac:dyDescent="0.3">
      <c r="B801" t="s">
        <v>8</v>
      </c>
      <c r="C801">
        <v>928</v>
      </c>
      <c r="D801" t="s">
        <v>9</v>
      </c>
      <c r="E801">
        <v>1202</v>
      </c>
      <c r="F801" t="s">
        <v>27</v>
      </c>
      <c r="G801">
        <v>806</v>
      </c>
      <c r="H801" t="s">
        <v>11</v>
      </c>
      <c r="I801" t="s">
        <v>3805</v>
      </c>
      <c r="J801" t="s">
        <v>8609</v>
      </c>
      <c r="K801">
        <v>117110</v>
      </c>
      <c r="L801">
        <v>44866</v>
      </c>
      <c r="M801" t="s">
        <v>865</v>
      </c>
      <c r="N801">
        <v>117110</v>
      </c>
      <c r="O801" t="e">
        <v>#N/A</v>
      </c>
    </row>
    <row r="802" spans="2:15" hidden="1" x14ac:dyDescent="0.3">
      <c r="B802" t="s">
        <v>8</v>
      </c>
      <c r="C802">
        <v>928</v>
      </c>
      <c r="D802" t="s">
        <v>9</v>
      </c>
      <c r="E802">
        <v>1202</v>
      </c>
      <c r="F802" t="s">
        <v>47</v>
      </c>
      <c r="G802">
        <v>898</v>
      </c>
      <c r="H802" t="s">
        <v>11</v>
      </c>
      <c r="I802" t="s">
        <v>3806</v>
      </c>
      <c r="J802" t="s">
        <v>8610</v>
      </c>
      <c r="K802">
        <v>514540</v>
      </c>
      <c r="L802">
        <v>44866</v>
      </c>
      <c r="M802" t="s">
        <v>866</v>
      </c>
      <c r="N802">
        <v>514540</v>
      </c>
      <c r="O802" t="e">
        <v>#N/A</v>
      </c>
    </row>
    <row r="803" spans="2:15" hidden="1" x14ac:dyDescent="0.3">
      <c r="B803" t="s">
        <v>8</v>
      </c>
      <c r="C803">
        <v>928</v>
      </c>
      <c r="D803" t="s">
        <v>9</v>
      </c>
      <c r="E803">
        <v>1202</v>
      </c>
      <c r="F803" t="s">
        <v>45</v>
      </c>
      <c r="G803">
        <v>26</v>
      </c>
      <c r="H803" t="s">
        <v>11</v>
      </c>
      <c r="I803" t="s">
        <v>3808</v>
      </c>
      <c r="J803" t="s">
        <v>8611</v>
      </c>
      <c r="K803">
        <v>592850</v>
      </c>
      <c r="L803">
        <v>44866</v>
      </c>
      <c r="M803" t="s">
        <v>867</v>
      </c>
      <c r="N803">
        <v>592850</v>
      </c>
      <c r="O803" t="e">
        <v>#N/A</v>
      </c>
    </row>
    <row r="804" spans="2:15" hidden="1" x14ac:dyDescent="0.3">
      <c r="B804" t="s">
        <v>8</v>
      </c>
      <c r="C804">
        <v>928</v>
      </c>
      <c r="D804" t="s">
        <v>9</v>
      </c>
      <c r="E804">
        <v>1202</v>
      </c>
      <c r="F804" t="s">
        <v>35</v>
      </c>
      <c r="G804">
        <v>51</v>
      </c>
      <c r="H804" t="s">
        <v>11</v>
      </c>
      <c r="I804" t="s">
        <v>3809</v>
      </c>
      <c r="J804" t="s">
        <v>8612</v>
      </c>
      <c r="K804">
        <v>700</v>
      </c>
      <c r="L804">
        <v>44866</v>
      </c>
      <c r="M804" t="s">
        <v>868</v>
      </c>
      <c r="N804">
        <v>700</v>
      </c>
      <c r="O804" t="e">
        <v>#N/A</v>
      </c>
    </row>
    <row r="805" spans="2:15" hidden="1" x14ac:dyDescent="0.3">
      <c r="B805" t="s">
        <v>8</v>
      </c>
      <c r="C805">
        <v>928</v>
      </c>
      <c r="D805" t="s">
        <v>13</v>
      </c>
      <c r="E805">
        <v>1184</v>
      </c>
      <c r="F805" t="s">
        <v>51</v>
      </c>
      <c r="G805">
        <v>1274</v>
      </c>
      <c r="H805" t="s">
        <v>11</v>
      </c>
      <c r="I805" t="s">
        <v>3812</v>
      </c>
      <c r="J805" t="s">
        <v>8613</v>
      </c>
      <c r="K805">
        <v>12110</v>
      </c>
      <c r="L805">
        <v>44866</v>
      </c>
      <c r="M805" t="s">
        <v>869</v>
      </c>
      <c r="N805">
        <v>12110</v>
      </c>
      <c r="O805" t="e">
        <v>#N/A</v>
      </c>
    </row>
    <row r="806" spans="2:15" hidden="1" x14ac:dyDescent="0.3">
      <c r="B806" t="s">
        <v>41</v>
      </c>
      <c r="C806">
        <v>926</v>
      </c>
      <c r="D806" t="s">
        <v>56</v>
      </c>
      <c r="E806">
        <v>1207</v>
      </c>
      <c r="F806" t="s">
        <v>62</v>
      </c>
      <c r="G806">
        <v>201037</v>
      </c>
      <c r="H806" t="s">
        <v>11</v>
      </c>
      <c r="I806" t="s">
        <v>3815</v>
      </c>
      <c r="J806" t="s">
        <v>8614</v>
      </c>
      <c r="K806">
        <v>695870</v>
      </c>
      <c r="L806">
        <v>44866</v>
      </c>
      <c r="M806" t="s">
        <v>870</v>
      </c>
      <c r="N806">
        <v>695870</v>
      </c>
      <c r="O806" t="e">
        <v>#N/A</v>
      </c>
    </row>
    <row r="807" spans="2:15" hidden="1" x14ac:dyDescent="0.3">
      <c r="B807" t="s">
        <v>8</v>
      </c>
      <c r="C807">
        <v>928</v>
      </c>
      <c r="D807" t="s">
        <v>13</v>
      </c>
      <c r="E807">
        <v>1184</v>
      </c>
      <c r="F807" t="s">
        <v>115</v>
      </c>
      <c r="G807">
        <v>1548</v>
      </c>
      <c r="H807" t="s">
        <v>11</v>
      </c>
      <c r="I807" t="s">
        <v>3820</v>
      </c>
      <c r="J807" t="s">
        <v>8615</v>
      </c>
      <c r="K807">
        <v>7490</v>
      </c>
      <c r="L807">
        <v>44866</v>
      </c>
      <c r="M807" t="s">
        <v>871</v>
      </c>
      <c r="N807">
        <v>7490</v>
      </c>
      <c r="O807" t="e">
        <v>#N/A</v>
      </c>
    </row>
    <row r="808" spans="2:15" hidden="1" x14ac:dyDescent="0.3">
      <c r="B808" t="s">
        <v>41</v>
      </c>
      <c r="C808">
        <v>926</v>
      </c>
      <c r="D808" t="s">
        <v>56</v>
      </c>
      <c r="E808">
        <v>1207</v>
      </c>
      <c r="F808" t="s">
        <v>64</v>
      </c>
      <c r="G808">
        <v>201011</v>
      </c>
      <c r="H808" t="s">
        <v>11</v>
      </c>
      <c r="I808" t="s">
        <v>3823</v>
      </c>
      <c r="J808" t="s">
        <v>8616</v>
      </c>
      <c r="K808">
        <v>282270</v>
      </c>
      <c r="L808">
        <v>44866</v>
      </c>
      <c r="M808" t="s">
        <v>872</v>
      </c>
      <c r="N808">
        <v>282270</v>
      </c>
      <c r="O808" t="e">
        <v>#N/A</v>
      </c>
    </row>
    <row r="809" spans="2:15" hidden="1" x14ac:dyDescent="0.3">
      <c r="B809" t="s">
        <v>8</v>
      </c>
      <c r="C809">
        <v>928</v>
      </c>
      <c r="D809" t="s">
        <v>9</v>
      </c>
      <c r="E809">
        <v>1202</v>
      </c>
      <c r="F809" t="s">
        <v>37</v>
      </c>
      <c r="G809">
        <v>81</v>
      </c>
      <c r="H809" t="s">
        <v>11</v>
      </c>
      <c r="I809" t="s">
        <v>3824</v>
      </c>
      <c r="J809" t="s">
        <v>8617</v>
      </c>
      <c r="K809">
        <v>8802310</v>
      </c>
      <c r="L809">
        <v>44866</v>
      </c>
      <c r="M809" t="s">
        <v>873</v>
      </c>
      <c r="N809">
        <v>8802310</v>
      </c>
      <c r="O809" t="e">
        <v>#N/A</v>
      </c>
    </row>
    <row r="810" spans="2:15" hidden="1" x14ac:dyDescent="0.3">
      <c r="B810" t="s">
        <v>16</v>
      </c>
      <c r="C810">
        <v>927</v>
      </c>
      <c r="D810" t="s">
        <v>17</v>
      </c>
      <c r="E810">
        <v>1200</v>
      </c>
      <c r="F810" t="s">
        <v>93</v>
      </c>
      <c r="G810">
        <v>930</v>
      </c>
      <c r="H810" t="s">
        <v>11</v>
      </c>
      <c r="I810" t="s">
        <v>3827</v>
      </c>
      <c r="J810" t="s">
        <v>8618</v>
      </c>
      <c r="K810">
        <v>1797620</v>
      </c>
      <c r="L810">
        <v>44866</v>
      </c>
      <c r="M810" t="s">
        <v>874</v>
      </c>
      <c r="N810">
        <v>1797620</v>
      </c>
      <c r="O810" t="e">
        <v>#N/A</v>
      </c>
    </row>
    <row r="811" spans="2:15" hidden="1" x14ac:dyDescent="0.3">
      <c r="B811" t="s">
        <v>8</v>
      </c>
      <c r="C811">
        <v>928</v>
      </c>
      <c r="D811" t="s">
        <v>9</v>
      </c>
      <c r="E811">
        <v>1202</v>
      </c>
      <c r="F811" t="s">
        <v>10</v>
      </c>
      <c r="G811">
        <v>939</v>
      </c>
      <c r="H811" t="s">
        <v>11</v>
      </c>
      <c r="I811" t="s">
        <v>3828</v>
      </c>
      <c r="J811" t="s">
        <v>8619</v>
      </c>
      <c r="K811">
        <v>95460</v>
      </c>
      <c r="L811">
        <v>44866</v>
      </c>
      <c r="M811" t="s">
        <v>875</v>
      </c>
      <c r="N811">
        <v>95460</v>
      </c>
      <c r="O811" t="e">
        <v>#N/A</v>
      </c>
    </row>
    <row r="812" spans="2:15" hidden="1" x14ac:dyDescent="0.3">
      <c r="B812" t="s">
        <v>41</v>
      </c>
      <c r="C812">
        <v>926</v>
      </c>
      <c r="D812" t="s">
        <v>56</v>
      </c>
      <c r="E812">
        <v>1207</v>
      </c>
      <c r="F812" t="s">
        <v>57</v>
      </c>
      <c r="G812">
        <v>200982</v>
      </c>
      <c r="H812" t="s">
        <v>11</v>
      </c>
      <c r="I812" t="s">
        <v>3829</v>
      </c>
      <c r="J812" t="s">
        <v>8620</v>
      </c>
      <c r="K812">
        <v>7780</v>
      </c>
      <c r="L812">
        <v>44866</v>
      </c>
      <c r="M812" t="s">
        <v>876</v>
      </c>
      <c r="N812">
        <v>7780</v>
      </c>
      <c r="O812" t="e">
        <v>#N/A</v>
      </c>
    </row>
    <row r="813" spans="2:15" hidden="1" x14ac:dyDescent="0.3">
      <c r="B813" t="s">
        <v>8</v>
      </c>
      <c r="C813">
        <v>928</v>
      </c>
      <c r="D813" t="s">
        <v>9</v>
      </c>
      <c r="E813">
        <v>1202</v>
      </c>
      <c r="F813" t="s">
        <v>73</v>
      </c>
      <c r="G813">
        <v>895</v>
      </c>
      <c r="H813" t="s">
        <v>11</v>
      </c>
      <c r="I813" t="s">
        <v>3830</v>
      </c>
      <c r="J813" t="s">
        <v>8621</v>
      </c>
      <c r="K813">
        <v>10430</v>
      </c>
      <c r="L813">
        <v>44866</v>
      </c>
      <c r="M813" t="s">
        <v>877</v>
      </c>
      <c r="N813">
        <v>10430</v>
      </c>
      <c r="O813" t="e">
        <v>#N/A</v>
      </c>
    </row>
    <row r="814" spans="2:15" hidden="1" x14ac:dyDescent="0.3">
      <c r="B814" t="s">
        <v>8</v>
      </c>
      <c r="C814">
        <v>928</v>
      </c>
      <c r="D814" t="s">
        <v>9</v>
      </c>
      <c r="E814">
        <v>1202</v>
      </c>
      <c r="F814" t="s">
        <v>31</v>
      </c>
      <c r="G814">
        <v>1040</v>
      </c>
      <c r="H814" t="s">
        <v>11</v>
      </c>
      <c r="I814" t="s">
        <v>3832</v>
      </c>
      <c r="J814" t="s">
        <v>8622</v>
      </c>
      <c r="K814">
        <v>2018300</v>
      </c>
      <c r="L814">
        <v>44866</v>
      </c>
      <c r="M814" t="s">
        <v>878</v>
      </c>
      <c r="N814">
        <v>2018300</v>
      </c>
      <c r="O814" t="e">
        <v>#N/A</v>
      </c>
    </row>
    <row r="815" spans="2:15" hidden="1" x14ac:dyDescent="0.3">
      <c r="B815" t="s">
        <v>8</v>
      </c>
      <c r="C815">
        <v>928</v>
      </c>
      <c r="D815" t="s">
        <v>9</v>
      </c>
      <c r="E815">
        <v>1202</v>
      </c>
      <c r="F815" t="s">
        <v>33</v>
      </c>
      <c r="G815">
        <v>933</v>
      </c>
      <c r="H815" t="s">
        <v>11</v>
      </c>
      <c r="I815" t="s">
        <v>3836</v>
      </c>
      <c r="J815" t="s">
        <v>8623</v>
      </c>
      <c r="K815">
        <v>86520</v>
      </c>
      <c r="L815">
        <v>44866</v>
      </c>
      <c r="M815" t="s">
        <v>879</v>
      </c>
      <c r="N815">
        <v>86520</v>
      </c>
      <c r="O815" t="e">
        <v>#N/A</v>
      </c>
    </row>
    <row r="816" spans="2:15" hidden="1" x14ac:dyDescent="0.3">
      <c r="B816" t="s">
        <v>8</v>
      </c>
      <c r="C816">
        <v>928</v>
      </c>
      <c r="D816" t="s">
        <v>13</v>
      </c>
      <c r="E816">
        <v>1184</v>
      </c>
      <c r="F816" t="s">
        <v>51</v>
      </c>
      <c r="G816">
        <v>1274</v>
      </c>
      <c r="H816" t="s">
        <v>11</v>
      </c>
      <c r="I816" t="s">
        <v>3837</v>
      </c>
      <c r="J816" t="s">
        <v>8624</v>
      </c>
      <c r="K816">
        <v>70</v>
      </c>
      <c r="L816">
        <v>44866</v>
      </c>
      <c r="M816" t="s">
        <v>880</v>
      </c>
      <c r="N816">
        <v>70</v>
      </c>
      <c r="O816" t="e">
        <v>#N/A</v>
      </c>
    </row>
    <row r="817" spans="2:15" hidden="1" x14ac:dyDescent="0.3">
      <c r="B817" t="s">
        <v>8</v>
      </c>
      <c r="C817">
        <v>928</v>
      </c>
      <c r="D817" t="s">
        <v>13</v>
      </c>
      <c r="E817">
        <v>1184</v>
      </c>
      <c r="F817" t="s">
        <v>51</v>
      </c>
      <c r="G817">
        <v>1274</v>
      </c>
      <c r="H817" t="s">
        <v>11</v>
      </c>
      <c r="I817" t="s">
        <v>3840</v>
      </c>
      <c r="J817" t="s">
        <v>8625</v>
      </c>
      <c r="K817">
        <v>148640</v>
      </c>
      <c r="L817">
        <v>44866</v>
      </c>
      <c r="M817" t="s">
        <v>881</v>
      </c>
      <c r="N817">
        <v>148640</v>
      </c>
      <c r="O817" t="e">
        <v>#N/A</v>
      </c>
    </row>
    <row r="818" spans="2:15" hidden="1" x14ac:dyDescent="0.3">
      <c r="B818" t="s">
        <v>41</v>
      </c>
      <c r="C818">
        <v>926</v>
      </c>
      <c r="D818" t="s">
        <v>42</v>
      </c>
      <c r="E818">
        <v>964</v>
      </c>
      <c r="F818" t="s">
        <v>43</v>
      </c>
      <c r="G818">
        <v>200998</v>
      </c>
      <c r="H818" t="s">
        <v>11</v>
      </c>
      <c r="I818" t="s">
        <v>3844</v>
      </c>
      <c r="J818" t="s">
        <v>8626</v>
      </c>
      <c r="K818">
        <v>2720</v>
      </c>
      <c r="L818">
        <v>44866</v>
      </c>
      <c r="M818" t="s">
        <v>882</v>
      </c>
      <c r="N818">
        <v>2720</v>
      </c>
      <c r="O818" t="e">
        <v>#N/A</v>
      </c>
    </row>
    <row r="819" spans="2:15" hidden="1" x14ac:dyDescent="0.3">
      <c r="B819" t="s">
        <v>41</v>
      </c>
      <c r="C819">
        <v>926</v>
      </c>
      <c r="D819" t="s">
        <v>42</v>
      </c>
      <c r="E819">
        <v>964</v>
      </c>
      <c r="F819" t="s">
        <v>43</v>
      </c>
      <c r="G819">
        <v>200998</v>
      </c>
      <c r="H819" t="s">
        <v>11</v>
      </c>
      <c r="I819" t="s">
        <v>3845</v>
      </c>
      <c r="J819" t="s">
        <v>8627</v>
      </c>
      <c r="K819">
        <v>150</v>
      </c>
      <c r="L819">
        <v>44866</v>
      </c>
      <c r="M819" t="s">
        <v>883</v>
      </c>
      <c r="N819">
        <v>150</v>
      </c>
      <c r="O819" t="e">
        <v>#N/A</v>
      </c>
    </row>
    <row r="820" spans="2:15" hidden="1" x14ac:dyDescent="0.3">
      <c r="B820" t="s">
        <v>16</v>
      </c>
      <c r="C820">
        <v>927</v>
      </c>
      <c r="D820" t="s">
        <v>17</v>
      </c>
      <c r="E820">
        <v>1200</v>
      </c>
      <c r="F820" t="s">
        <v>244</v>
      </c>
      <c r="G820">
        <v>817</v>
      </c>
      <c r="H820" t="s">
        <v>11</v>
      </c>
      <c r="I820" t="s">
        <v>3846</v>
      </c>
      <c r="J820" t="s">
        <v>8628</v>
      </c>
      <c r="K820">
        <v>15600</v>
      </c>
      <c r="L820">
        <v>44866</v>
      </c>
      <c r="M820" t="s">
        <v>884</v>
      </c>
      <c r="N820">
        <v>15600</v>
      </c>
      <c r="O820" t="e">
        <v>#N/A</v>
      </c>
    </row>
    <row r="821" spans="2:15" hidden="1" x14ac:dyDescent="0.3">
      <c r="B821" t="s">
        <v>16</v>
      </c>
      <c r="C821">
        <v>927</v>
      </c>
      <c r="D821" t="s">
        <v>17</v>
      </c>
      <c r="E821">
        <v>1200</v>
      </c>
      <c r="F821" t="s">
        <v>93</v>
      </c>
      <c r="G821">
        <v>930</v>
      </c>
      <c r="H821" t="s">
        <v>11</v>
      </c>
      <c r="I821" t="s">
        <v>3848</v>
      </c>
      <c r="J821" t="s">
        <v>8629</v>
      </c>
      <c r="K821">
        <v>140</v>
      </c>
      <c r="L821">
        <v>44866</v>
      </c>
      <c r="M821" t="s">
        <v>885</v>
      </c>
      <c r="N821">
        <v>140</v>
      </c>
      <c r="O821" t="e">
        <v>#N/A</v>
      </c>
    </row>
    <row r="822" spans="2:15" hidden="1" x14ac:dyDescent="0.3">
      <c r="B822" t="s">
        <v>16</v>
      </c>
      <c r="C822">
        <v>927</v>
      </c>
      <c r="D822" t="s">
        <v>17</v>
      </c>
      <c r="E822">
        <v>1200</v>
      </c>
      <c r="F822" t="s">
        <v>229</v>
      </c>
      <c r="G822">
        <v>560</v>
      </c>
      <c r="H822" t="s">
        <v>11</v>
      </c>
      <c r="I822" t="s">
        <v>3851</v>
      </c>
      <c r="J822" t="s">
        <v>8630</v>
      </c>
      <c r="K822">
        <v>4948800</v>
      </c>
      <c r="L822">
        <v>44866</v>
      </c>
      <c r="M822" t="s">
        <v>886</v>
      </c>
      <c r="N822">
        <v>4948800</v>
      </c>
      <c r="O822" t="e">
        <v>#N/A</v>
      </c>
    </row>
    <row r="823" spans="2:15" hidden="1" x14ac:dyDescent="0.3">
      <c r="B823" t="s">
        <v>8</v>
      </c>
      <c r="C823">
        <v>928</v>
      </c>
      <c r="D823" t="s">
        <v>9</v>
      </c>
      <c r="E823">
        <v>1202</v>
      </c>
      <c r="F823" t="s">
        <v>47</v>
      </c>
      <c r="G823">
        <v>898</v>
      </c>
      <c r="H823" t="s">
        <v>11</v>
      </c>
      <c r="I823" t="s">
        <v>3852</v>
      </c>
      <c r="J823" t="s">
        <v>8631</v>
      </c>
      <c r="K823">
        <v>472140</v>
      </c>
      <c r="L823">
        <v>44866</v>
      </c>
      <c r="M823" t="s">
        <v>887</v>
      </c>
      <c r="N823">
        <v>472140</v>
      </c>
      <c r="O823" t="e">
        <v>#N/A</v>
      </c>
    </row>
    <row r="824" spans="2:15" hidden="1" x14ac:dyDescent="0.3">
      <c r="B824" t="s">
        <v>8</v>
      </c>
      <c r="C824">
        <v>928</v>
      </c>
      <c r="D824" t="s">
        <v>9</v>
      </c>
      <c r="E824">
        <v>1202</v>
      </c>
      <c r="F824" t="s">
        <v>27</v>
      </c>
      <c r="G824">
        <v>806</v>
      </c>
      <c r="H824" t="s">
        <v>11</v>
      </c>
      <c r="I824" t="s">
        <v>3853</v>
      </c>
      <c r="J824" t="s">
        <v>8632</v>
      </c>
      <c r="K824">
        <v>70</v>
      </c>
      <c r="L824">
        <v>44866</v>
      </c>
      <c r="M824" t="s">
        <v>888</v>
      </c>
      <c r="N824">
        <v>70</v>
      </c>
      <c r="O824" t="e">
        <v>#N/A</v>
      </c>
    </row>
    <row r="825" spans="2:15" hidden="1" x14ac:dyDescent="0.3">
      <c r="B825" t="s">
        <v>8</v>
      </c>
      <c r="C825">
        <v>928</v>
      </c>
      <c r="D825" t="s">
        <v>9</v>
      </c>
      <c r="E825">
        <v>1202</v>
      </c>
      <c r="F825" t="s">
        <v>73</v>
      </c>
      <c r="G825">
        <v>895</v>
      </c>
      <c r="H825" t="s">
        <v>11</v>
      </c>
      <c r="I825" t="s">
        <v>3854</v>
      </c>
      <c r="J825" t="s">
        <v>8633</v>
      </c>
      <c r="K825">
        <v>43520</v>
      </c>
      <c r="L825">
        <v>44866</v>
      </c>
      <c r="M825" t="s">
        <v>889</v>
      </c>
      <c r="N825">
        <v>43520</v>
      </c>
      <c r="O825" t="e">
        <v>#N/A</v>
      </c>
    </row>
    <row r="826" spans="2:15" hidden="1" x14ac:dyDescent="0.3">
      <c r="B826" t="s">
        <v>41</v>
      </c>
      <c r="C826">
        <v>926</v>
      </c>
      <c r="D826" t="s">
        <v>56</v>
      </c>
      <c r="E826">
        <v>1207</v>
      </c>
      <c r="F826" t="s">
        <v>64</v>
      </c>
      <c r="G826">
        <v>201011</v>
      </c>
      <c r="H826" t="s">
        <v>11</v>
      </c>
      <c r="I826" t="s">
        <v>3856</v>
      </c>
      <c r="J826" t="s">
        <v>8634</v>
      </c>
      <c r="K826">
        <v>201120</v>
      </c>
      <c r="L826">
        <v>44866</v>
      </c>
      <c r="M826" t="s">
        <v>890</v>
      </c>
      <c r="N826">
        <v>201120</v>
      </c>
      <c r="O826" t="e">
        <v>#N/A</v>
      </c>
    </row>
    <row r="827" spans="2:15" hidden="1" x14ac:dyDescent="0.3">
      <c r="B827" t="s">
        <v>8</v>
      </c>
      <c r="C827">
        <v>928</v>
      </c>
      <c r="D827" t="s">
        <v>9</v>
      </c>
      <c r="E827">
        <v>1202</v>
      </c>
      <c r="F827" t="s">
        <v>35</v>
      </c>
      <c r="G827">
        <v>51</v>
      </c>
      <c r="H827" t="s">
        <v>11</v>
      </c>
      <c r="I827" t="s">
        <v>3862</v>
      </c>
      <c r="J827" t="s">
        <v>8635</v>
      </c>
      <c r="K827">
        <v>1048570</v>
      </c>
      <c r="L827">
        <v>44866</v>
      </c>
      <c r="M827" t="s">
        <v>891</v>
      </c>
      <c r="N827">
        <v>1048570</v>
      </c>
      <c r="O827" t="e">
        <v>#N/A</v>
      </c>
    </row>
    <row r="828" spans="2:15" hidden="1" x14ac:dyDescent="0.3">
      <c r="B828" t="s">
        <v>8</v>
      </c>
      <c r="C828">
        <v>928</v>
      </c>
      <c r="D828" t="s">
        <v>9</v>
      </c>
      <c r="E828">
        <v>1202</v>
      </c>
      <c r="F828" t="s">
        <v>142</v>
      </c>
      <c r="G828">
        <v>652</v>
      </c>
      <c r="H828" t="s">
        <v>11</v>
      </c>
      <c r="I828" t="s">
        <v>3864</v>
      </c>
      <c r="J828" t="s">
        <v>8636</v>
      </c>
      <c r="K828">
        <v>3235590</v>
      </c>
      <c r="L828">
        <v>44866</v>
      </c>
      <c r="M828" t="s">
        <v>892</v>
      </c>
      <c r="N828">
        <v>3235590</v>
      </c>
      <c r="O828" t="e">
        <v>#N/A</v>
      </c>
    </row>
    <row r="829" spans="2:15" hidden="1" x14ac:dyDescent="0.3">
      <c r="B829" t="s">
        <v>8</v>
      </c>
      <c r="C829">
        <v>928</v>
      </c>
      <c r="D829" t="s">
        <v>13</v>
      </c>
      <c r="E829">
        <v>1184</v>
      </c>
      <c r="F829" t="s">
        <v>102</v>
      </c>
      <c r="G829">
        <v>917</v>
      </c>
      <c r="H829" t="s">
        <v>11</v>
      </c>
      <c r="I829" t="s">
        <v>3866</v>
      </c>
      <c r="J829" t="s">
        <v>8637</v>
      </c>
      <c r="K829">
        <v>757500</v>
      </c>
      <c r="L829">
        <v>44866</v>
      </c>
      <c r="M829" t="s">
        <v>893</v>
      </c>
      <c r="N829">
        <v>757500</v>
      </c>
      <c r="O829" t="e">
        <v>#N/A</v>
      </c>
    </row>
    <row r="830" spans="2:15" hidden="1" x14ac:dyDescent="0.3">
      <c r="B830" t="s">
        <v>8</v>
      </c>
      <c r="C830">
        <v>928</v>
      </c>
      <c r="D830" t="s">
        <v>9</v>
      </c>
      <c r="E830">
        <v>1202</v>
      </c>
      <c r="F830" t="s">
        <v>27</v>
      </c>
      <c r="G830">
        <v>806</v>
      </c>
      <c r="H830" t="s">
        <v>11</v>
      </c>
      <c r="I830" t="s">
        <v>3868</v>
      </c>
      <c r="J830" t="s">
        <v>8638</v>
      </c>
      <c r="K830">
        <v>7850</v>
      </c>
      <c r="L830">
        <v>44866</v>
      </c>
      <c r="M830" t="s">
        <v>894</v>
      </c>
      <c r="N830">
        <v>7850</v>
      </c>
      <c r="O830" t="e">
        <v>#N/A</v>
      </c>
    </row>
    <row r="831" spans="2:15" hidden="1" x14ac:dyDescent="0.3">
      <c r="B831" t="s">
        <v>41</v>
      </c>
      <c r="C831">
        <v>926</v>
      </c>
      <c r="D831" t="s">
        <v>56</v>
      </c>
      <c r="E831">
        <v>1207</v>
      </c>
      <c r="F831" t="s">
        <v>62</v>
      </c>
      <c r="G831">
        <v>201037</v>
      </c>
      <c r="H831" t="s">
        <v>11</v>
      </c>
      <c r="I831" t="s">
        <v>3869</v>
      </c>
      <c r="J831" t="s">
        <v>8639</v>
      </c>
      <c r="K831">
        <v>31730</v>
      </c>
      <c r="L831">
        <v>44866</v>
      </c>
      <c r="M831" t="s">
        <v>895</v>
      </c>
      <c r="N831">
        <v>31730</v>
      </c>
      <c r="O831" t="e">
        <v>#N/A</v>
      </c>
    </row>
    <row r="832" spans="2:15" hidden="1" x14ac:dyDescent="0.3">
      <c r="B832" t="s">
        <v>16</v>
      </c>
      <c r="C832">
        <v>927</v>
      </c>
      <c r="D832" t="s">
        <v>17</v>
      </c>
      <c r="E832">
        <v>1200</v>
      </c>
      <c r="F832" t="s">
        <v>371</v>
      </c>
      <c r="G832">
        <v>551</v>
      </c>
      <c r="H832" t="s">
        <v>11</v>
      </c>
      <c r="I832" t="s">
        <v>3872</v>
      </c>
      <c r="J832" t="s">
        <v>8640</v>
      </c>
      <c r="K832">
        <v>397070</v>
      </c>
      <c r="L832">
        <v>44866</v>
      </c>
      <c r="M832" t="s">
        <v>896</v>
      </c>
      <c r="N832">
        <v>397070</v>
      </c>
      <c r="O832" t="e">
        <v>#N/A</v>
      </c>
    </row>
    <row r="833" spans="2:15" hidden="1" x14ac:dyDescent="0.3">
      <c r="B833" t="s">
        <v>8</v>
      </c>
      <c r="C833">
        <v>928</v>
      </c>
      <c r="D833" t="s">
        <v>13</v>
      </c>
      <c r="E833">
        <v>1184</v>
      </c>
      <c r="F833" t="s">
        <v>118</v>
      </c>
      <c r="G833">
        <v>201004</v>
      </c>
      <c r="H833" t="s">
        <v>11</v>
      </c>
      <c r="I833" t="s">
        <v>3878</v>
      </c>
      <c r="J833" t="s">
        <v>8641</v>
      </c>
      <c r="K833">
        <v>336940</v>
      </c>
      <c r="L833">
        <v>44866</v>
      </c>
      <c r="M833" t="s">
        <v>897</v>
      </c>
      <c r="N833">
        <v>336940</v>
      </c>
      <c r="O833" t="e">
        <v>#N/A</v>
      </c>
    </row>
    <row r="834" spans="2:15" hidden="1" x14ac:dyDescent="0.3">
      <c r="B834" t="s">
        <v>16</v>
      </c>
      <c r="C834">
        <v>927</v>
      </c>
      <c r="D834" t="s">
        <v>17</v>
      </c>
      <c r="E834">
        <v>1200</v>
      </c>
      <c r="F834" t="s">
        <v>100</v>
      </c>
      <c r="G834">
        <v>201038</v>
      </c>
      <c r="H834" t="s">
        <v>11</v>
      </c>
      <c r="I834" t="s">
        <v>3882</v>
      </c>
      <c r="J834" t="s">
        <v>8642</v>
      </c>
      <c r="K834">
        <v>571080</v>
      </c>
      <c r="L834">
        <v>44866</v>
      </c>
      <c r="M834" t="s">
        <v>898</v>
      </c>
      <c r="N834">
        <v>571380</v>
      </c>
      <c r="O834" t="e">
        <v>#N/A</v>
      </c>
    </row>
    <row r="835" spans="2:15" hidden="1" x14ac:dyDescent="0.3">
      <c r="B835" t="s">
        <v>8</v>
      </c>
      <c r="C835">
        <v>928</v>
      </c>
      <c r="D835" t="s">
        <v>13</v>
      </c>
      <c r="E835">
        <v>1184</v>
      </c>
      <c r="F835" t="s">
        <v>51</v>
      </c>
      <c r="G835">
        <v>1274</v>
      </c>
      <c r="H835" t="s">
        <v>11</v>
      </c>
      <c r="I835" t="s">
        <v>3884</v>
      </c>
      <c r="J835" t="s">
        <v>8643</v>
      </c>
      <c r="K835">
        <v>395540</v>
      </c>
      <c r="L835">
        <v>44866</v>
      </c>
      <c r="M835" t="s">
        <v>899</v>
      </c>
      <c r="N835">
        <v>395540</v>
      </c>
      <c r="O835" t="e">
        <v>#N/A</v>
      </c>
    </row>
    <row r="836" spans="2:15" hidden="1" x14ac:dyDescent="0.3">
      <c r="B836" t="s">
        <v>8</v>
      </c>
      <c r="C836">
        <v>928</v>
      </c>
      <c r="D836" t="s">
        <v>167</v>
      </c>
      <c r="E836">
        <v>935</v>
      </c>
      <c r="F836" t="s">
        <v>168</v>
      </c>
      <c r="G836">
        <v>2</v>
      </c>
      <c r="H836" t="s">
        <v>11</v>
      </c>
      <c r="I836" t="s">
        <v>3887</v>
      </c>
      <c r="J836" t="s">
        <v>8644</v>
      </c>
      <c r="K836">
        <v>46270</v>
      </c>
      <c r="L836">
        <v>44866</v>
      </c>
      <c r="M836" t="s">
        <v>900</v>
      </c>
      <c r="N836">
        <v>46270</v>
      </c>
      <c r="O836" t="e">
        <v>#N/A</v>
      </c>
    </row>
    <row r="837" spans="2:15" hidden="1" x14ac:dyDescent="0.3">
      <c r="B837" t="s">
        <v>16</v>
      </c>
      <c r="C837">
        <v>927</v>
      </c>
      <c r="D837" t="s">
        <v>17</v>
      </c>
      <c r="E837">
        <v>1200</v>
      </c>
      <c r="F837" t="s">
        <v>371</v>
      </c>
      <c r="G837">
        <v>551</v>
      </c>
      <c r="H837" t="s">
        <v>11</v>
      </c>
      <c r="I837" t="s">
        <v>3889</v>
      </c>
      <c r="J837" t="s">
        <v>8645</v>
      </c>
      <c r="K837">
        <v>259260</v>
      </c>
      <c r="L837">
        <v>44866</v>
      </c>
      <c r="M837" t="s">
        <v>901</v>
      </c>
      <c r="N837">
        <v>259260</v>
      </c>
      <c r="O837" t="e">
        <v>#N/A</v>
      </c>
    </row>
    <row r="838" spans="2:15" hidden="1" x14ac:dyDescent="0.3">
      <c r="B838" t="s">
        <v>16</v>
      </c>
      <c r="C838">
        <v>927</v>
      </c>
      <c r="D838" t="s">
        <v>17</v>
      </c>
      <c r="E838">
        <v>1200</v>
      </c>
      <c r="F838" t="s">
        <v>244</v>
      </c>
      <c r="G838">
        <v>817</v>
      </c>
      <c r="H838" t="s">
        <v>11</v>
      </c>
      <c r="I838" t="s">
        <v>3891</v>
      </c>
      <c r="J838" t="s">
        <v>8646</v>
      </c>
      <c r="K838">
        <v>150270</v>
      </c>
      <c r="L838">
        <v>44866</v>
      </c>
      <c r="M838" t="s">
        <v>902</v>
      </c>
      <c r="N838">
        <v>150680</v>
      </c>
      <c r="O838" t="e">
        <v>#N/A</v>
      </c>
    </row>
    <row r="839" spans="2:15" hidden="1" x14ac:dyDescent="0.3">
      <c r="B839" t="s">
        <v>8</v>
      </c>
      <c r="C839">
        <v>928</v>
      </c>
      <c r="D839" t="s">
        <v>9</v>
      </c>
      <c r="E839">
        <v>1202</v>
      </c>
      <c r="F839" t="s">
        <v>10</v>
      </c>
      <c r="G839">
        <v>939</v>
      </c>
      <c r="H839" t="s">
        <v>11</v>
      </c>
      <c r="I839" t="s">
        <v>3892</v>
      </c>
      <c r="J839" t="s">
        <v>8647</v>
      </c>
      <c r="K839">
        <v>5650</v>
      </c>
      <c r="L839">
        <v>44866</v>
      </c>
      <c r="M839" t="s">
        <v>903</v>
      </c>
      <c r="N839">
        <v>5650</v>
      </c>
      <c r="O839" t="e">
        <v>#N/A</v>
      </c>
    </row>
    <row r="840" spans="2:15" hidden="1" x14ac:dyDescent="0.3">
      <c r="B840" t="s">
        <v>8</v>
      </c>
      <c r="C840">
        <v>928</v>
      </c>
      <c r="D840" t="s">
        <v>9</v>
      </c>
      <c r="E840">
        <v>1202</v>
      </c>
      <c r="F840" t="s">
        <v>31</v>
      </c>
      <c r="G840">
        <v>1040</v>
      </c>
      <c r="H840" t="s">
        <v>11</v>
      </c>
      <c r="I840" t="s">
        <v>3894</v>
      </c>
      <c r="J840" t="s">
        <v>8648</v>
      </c>
      <c r="K840">
        <v>613690</v>
      </c>
      <c r="L840">
        <v>44866</v>
      </c>
      <c r="M840" t="s">
        <v>904</v>
      </c>
      <c r="N840">
        <v>613690</v>
      </c>
      <c r="O840" t="e">
        <v>#N/A</v>
      </c>
    </row>
    <row r="841" spans="2:15" hidden="1" x14ac:dyDescent="0.3">
      <c r="B841" t="s">
        <v>8</v>
      </c>
      <c r="C841">
        <v>928</v>
      </c>
      <c r="D841" t="s">
        <v>13</v>
      </c>
      <c r="E841">
        <v>1184</v>
      </c>
      <c r="F841" t="s">
        <v>102</v>
      </c>
      <c r="G841">
        <v>917</v>
      </c>
      <c r="H841" t="s">
        <v>11</v>
      </c>
      <c r="I841" t="s">
        <v>3895</v>
      </c>
      <c r="J841" t="s">
        <v>8649</v>
      </c>
      <c r="K841">
        <v>55850</v>
      </c>
      <c r="L841">
        <v>44866</v>
      </c>
      <c r="M841" t="s">
        <v>905</v>
      </c>
      <c r="N841">
        <v>56300</v>
      </c>
      <c r="O841" t="e">
        <v>#N/A</v>
      </c>
    </row>
    <row r="842" spans="2:15" hidden="1" x14ac:dyDescent="0.3">
      <c r="B842" t="s">
        <v>16</v>
      </c>
      <c r="C842">
        <v>927</v>
      </c>
      <c r="D842" t="s">
        <v>17</v>
      </c>
      <c r="E842">
        <v>1200</v>
      </c>
      <c r="F842" t="s">
        <v>100</v>
      </c>
      <c r="G842">
        <v>201038</v>
      </c>
      <c r="H842" t="s">
        <v>11</v>
      </c>
      <c r="I842" t="s">
        <v>3898</v>
      </c>
      <c r="J842" t="s">
        <v>8650</v>
      </c>
      <c r="K842">
        <v>118340</v>
      </c>
      <c r="L842">
        <v>44866</v>
      </c>
      <c r="M842" t="s">
        <v>906</v>
      </c>
      <c r="N842">
        <v>118340</v>
      </c>
      <c r="O842" t="e">
        <v>#N/A</v>
      </c>
    </row>
    <row r="843" spans="2:15" hidden="1" x14ac:dyDescent="0.3">
      <c r="B843" t="s">
        <v>8</v>
      </c>
      <c r="C843">
        <v>928</v>
      </c>
      <c r="D843" t="s">
        <v>9</v>
      </c>
      <c r="E843">
        <v>1202</v>
      </c>
      <c r="F843" t="s">
        <v>31</v>
      </c>
      <c r="G843">
        <v>1040</v>
      </c>
      <c r="H843" t="s">
        <v>11</v>
      </c>
      <c r="I843" t="s">
        <v>3902</v>
      </c>
      <c r="J843" t="s">
        <v>8651</v>
      </c>
      <c r="K843">
        <v>23670</v>
      </c>
      <c r="L843">
        <v>44866</v>
      </c>
      <c r="M843" t="s">
        <v>907</v>
      </c>
      <c r="N843">
        <v>16400</v>
      </c>
      <c r="O843" t="e">
        <v>#N/A</v>
      </c>
    </row>
    <row r="844" spans="2:15" hidden="1" x14ac:dyDescent="0.3">
      <c r="B844" t="s">
        <v>41</v>
      </c>
      <c r="C844">
        <v>926</v>
      </c>
      <c r="D844" t="s">
        <v>56</v>
      </c>
      <c r="E844">
        <v>1207</v>
      </c>
      <c r="F844" t="s">
        <v>62</v>
      </c>
      <c r="G844">
        <v>201037</v>
      </c>
      <c r="H844" t="s">
        <v>11</v>
      </c>
      <c r="I844" t="s">
        <v>3904</v>
      </c>
      <c r="J844" t="s">
        <v>8652</v>
      </c>
      <c r="K844">
        <v>109770</v>
      </c>
      <c r="L844">
        <v>44866</v>
      </c>
      <c r="M844" t="s">
        <v>908</v>
      </c>
      <c r="N844">
        <v>109770</v>
      </c>
      <c r="O844" t="e">
        <v>#N/A</v>
      </c>
    </row>
    <row r="845" spans="2:15" hidden="1" x14ac:dyDescent="0.3">
      <c r="B845" t="s">
        <v>8</v>
      </c>
      <c r="C845">
        <v>928</v>
      </c>
      <c r="D845" t="s">
        <v>9</v>
      </c>
      <c r="E845">
        <v>1202</v>
      </c>
      <c r="F845" t="s">
        <v>45</v>
      </c>
      <c r="G845">
        <v>26</v>
      </c>
      <c r="H845" t="s">
        <v>11</v>
      </c>
      <c r="I845" t="s">
        <v>3906</v>
      </c>
      <c r="J845" t="s">
        <v>8653</v>
      </c>
      <c r="K845">
        <v>1641686</v>
      </c>
      <c r="L845">
        <v>44866</v>
      </c>
      <c r="M845" t="s">
        <v>909</v>
      </c>
      <c r="N845">
        <v>1641729</v>
      </c>
      <c r="O845" t="e">
        <v>#N/A</v>
      </c>
    </row>
    <row r="846" spans="2:15" hidden="1" x14ac:dyDescent="0.3">
      <c r="B846" t="s">
        <v>8</v>
      </c>
      <c r="C846">
        <v>928</v>
      </c>
      <c r="D846" t="s">
        <v>13</v>
      </c>
      <c r="E846">
        <v>1184</v>
      </c>
      <c r="F846" t="s">
        <v>102</v>
      </c>
      <c r="G846">
        <v>917</v>
      </c>
      <c r="H846" t="s">
        <v>11</v>
      </c>
      <c r="I846" t="s">
        <v>3908</v>
      </c>
      <c r="J846" t="s">
        <v>8654</v>
      </c>
      <c r="K846">
        <v>46170</v>
      </c>
      <c r="L846">
        <v>44866</v>
      </c>
      <c r="M846" t="s">
        <v>910</v>
      </c>
      <c r="N846">
        <v>46170</v>
      </c>
      <c r="O846" t="e">
        <v>#N/A</v>
      </c>
    </row>
    <row r="847" spans="2:15" hidden="1" x14ac:dyDescent="0.3">
      <c r="B847" t="s">
        <v>16</v>
      </c>
      <c r="C847">
        <v>927</v>
      </c>
      <c r="D847" t="s">
        <v>17</v>
      </c>
      <c r="E847">
        <v>1200</v>
      </c>
      <c r="F847" t="s">
        <v>137</v>
      </c>
      <c r="G847">
        <v>1012</v>
      </c>
      <c r="H847" t="s">
        <v>11</v>
      </c>
      <c r="I847" t="s">
        <v>3909</v>
      </c>
      <c r="J847" t="s">
        <v>8655</v>
      </c>
      <c r="K847">
        <v>518880</v>
      </c>
      <c r="L847">
        <v>44866</v>
      </c>
      <c r="M847" t="s">
        <v>911</v>
      </c>
      <c r="N847">
        <v>518880</v>
      </c>
      <c r="O847" t="e">
        <v>#N/A</v>
      </c>
    </row>
    <row r="848" spans="2:15" hidden="1" x14ac:dyDescent="0.3">
      <c r="B848" t="s">
        <v>16</v>
      </c>
      <c r="C848">
        <v>927</v>
      </c>
      <c r="D848" t="s">
        <v>17</v>
      </c>
      <c r="E848">
        <v>1200</v>
      </c>
      <c r="F848" t="s">
        <v>100</v>
      </c>
      <c r="G848">
        <v>201038</v>
      </c>
      <c r="H848" t="s">
        <v>11</v>
      </c>
      <c r="I848" t="s">
        <v>3911</v>
      </c>
      <c r="J848" t="s">
        <v>8656</v>
      </c>
      <c r="K848">
        <v>678950</v>
      </c>
      <c r="L848">
        <v>44866</v>
      </c>
      <c r="M848" t="s">
        <v>912</v>
      </c>
      <c r="N848">
        <v>678950</v>
      </c>
      <c r="O848" t="e">
        <v>#N/A</v>
      </c>
    </row>
    <row r="849" spans="2:15" hidden="1" x14ac:dyDescent="0.3">
      <c r="B849" t="s">
        <v>16</v>
      </c>
      <c r="C849">
        <v>927</v>
      </c>
      <c r="D849" t="s">
        <v>17</v>
      </c>
      <c r="E849">
        <v>1200</v>
      </c>
      <c r="F849" t="s">
        <v>100</v>
      </c>
      <c r="G849">
        <v>201038</v>
      </c>
      <c r="H849" t="s">
        <v>11</v>
      </c>
      <c r="I849" t="s">
        <v>3912</v>
      </c>
      <c r="J849" t="s">
        <v>8657</v>
      </c>
      <c r="K849">
        <v>348240</v>
      </c>
      <c r="L849">
        <v>44866</v>
      </c>
      <c r="M849" t="s">
        <v>913</v>
      </c>
      <c r="N849">
        <v>348240</v>
      </c>
      <c r="O849" t="e">
        <v>#N/A</v>
      </c>
    </row>
    <row r="850" spans="2:15" hidden="1" x14ac:dyDescent="0.3">
      <c r="B850" t="s">
        <v>8</v>
      </c>
      <c r="C850">
        <v>928</v>
      </c>
      <c r="D850" t="s">
        <v>9</v>
      </c>
      <c r="E850">
        <v>1202</v>
      </c>
      <c r="F850" t="s">
        <v>39</v>
      </c>
      <c r="G850">
        <v>25</v>
      </c>
      <c r="H850" t="s">
        <v>11</v>
      </c>
      <c r="I850" t="s">
        <v>3916</v>
      </c>
      <c r="J850" t="s">
        <v>8658</v>
      </c>
      <c r="K850">
        <v>222550</v>
      </c>
      <c r="L850">
        <v>44866</v>
      </c>
      <c r="M850" t="s">
        <v>914</v>
      </c>
      <c r="N850">
        <v>222550</v>
      </c>
      <c r="O850" t="e">
        <v>#N/A</v>
      </c>
    </row>
    <row r="851" spans="2:15" hidden="1" x14ac:dyDescent="0.3">
      <c r="B851" t="s">
        <v>8</v>
      </c>
      <c r="C851">
        <v>928</v>
      </c>
      <c r="D851" t="s">
        <v>13</v>
      </c>
      <c r="E851">
        <v>1184</v>
      </c>
      <c r="F851" t="s">
        <v>51</v>
      </c>
      <c r="G851">
        <v>1274</v>
      </c>
      <c r="H851" t="s">
        <v>11</v>
      </c>
      <c r="I851" t="s">
        <v>3917</v>
      </c>
      <c r="J851" t="s">
        <v>8659</v>
      </c>
      <c r="K851">
        <v>1261720</v>
      </c>
      <c r="L851">
        <v>44866</v>
      </c>
      <c r="M851" t="s">
        <v>915</v>
      </c>
      <c r="N851">
        <v>1261720</v>
      </c>
      <c r="O851" t="e">
        <v>#N/A</v>
      </c>
    </row>
    <row r="852" spans="2:15" hidden="1" x14ac:dyDescent="0.3">
      <c r="B852" t="s">
        <v>8</v>
      </c>
      <c r="C852">
        <v>928</v>
      </c>
      <c r="D852" t="s">
        <v>13</v>
      </c>
      <c r="E852">
        <v>1184</v>
      </c>
      <c r="F852" t="s">
        <v>102</v>
      </c>
      <c r="G852">
        <v>917</v>
      </c>
      <c r="H852" t="s">
        <v>11</v>
      </c>
      <c r="I852" t="s">
        <v>3919</v>
      </c>
      <c r="J852" t="s">
        <v>8660</v>
      </c>
      <c r="K852">
        <v>43580</v>
      </c>
      <c r="L852">
        <v>44866</v>
      </c>
      <c r="M852" t="s">
        <v>916</v>
      </c>
      <c r="N852">
        <v>43580</v>
      </c>
      <c r="O852" t="e">
        <v>#N/A</v>
      </c>
    </row>
    <row r="853" spans="2:15" hidden="1" x14ac:dyDescent="0.3">
      <c r="B853" t="s">
        <v>8</v>
      </c>
      <c r="C853">
        <v>928</v>
      </c>
      <c r="D853" t="s">
        <v>9</v>
      </c>
      <c r="E853">
        <v>1202</v>
      </c>
      <c r="F853" t="s">
        <v>75</v>
      </c>
      <c r="G853">
        <v>50</v>
      </c>
      <c r="H853" t="s">
        <v>11</v>
      </c>
      <c r="I853" t="s">
        <v>3921</v>
      </c>
      <c r="J853" t="s">
        <v>8661</v>
      </c>
      <c r="K853">
        <v>4064080</v>
      </c>
      <c r="L853">
        <v>44866</v>
      </c>
      <c r="M853" t="s">
        <v>917</v>
      </c>
      <c r="N853">
        <v>4064080</v>
      </c>
      <c r="O853" t="e">
        <v>#N/A</v>
      </c>
    </row>
    <row r="854" spans="2:15" hidden="1" x14ac:dyDescent="0.3">
      <c r="B854" t="s">
        <v>8</v>
      </c>
      <c r="C854">
        <v>928</v>
      </c>
      <c r="D854" t="s">
        <v>9</v>
      </c>
      <c r="E854">
        <v>1202</v>
      </c>
      <c r="F854" t="s">
        <v>37</v>
      </c>
      <c r="G854">
        <v>81</v>
      </c>
      <c r="H854" t="s">
        <v>11</v>
      </c>
      <c r="I854" t="s">
        <v>3924</v>
      </c>
      <c r="J854" t="s">
        <v>8662</v>
      </c>
      <c r="K854">
        <v>68900</v>
      </c>
      <c r="L854">
        <v>44866</v>
      </c>
      <c r="M854" t="s">
        <v>918</v>
      </c>
      <c r="N854">
        <v>68900</v>
      </c>
      <c r="O854" t="e">
        <v>#N/A</v>
      </c>
    </row>
    <row r="855" spans="2:15" hidden="1" x14ac:dyDescent="0.3">
      <c r="B855" t="s">
        <v>41</v>
      </c>
      <c r="C855">
        <v>926</v>
      </c>
      <c r="D855" t="s">
        <v>56</v>
      </c>
      <c r="E855">
        <v>1207</v>
      </c>
      <c r="F855" t="s">
        <v>57</v>
      </c>
      <c r="G855">
        <v>200982</v>
      </c>
      <c r="H855" t="s">
        <v>11</v>
      </c>
      <c r="I855" t="s">
        <v>3925</v>
      </c>
      <c r="J855" t="s">
        <v>8663</v>
      </c>
      <c r="K855">
        <v>64040</v>
      </c>
      <c r="L855">
        <v>44866</v>
      </c>
      <c r="M855" t="s">
        <v>919</v>
      </c>
      <c r="N855">
        <v>64040</v>
      </c>
      <c r="O855" t="e">
        <v>#N/A</v>
      </c>
    </row>
    <row r="856" spans="2:15" hidden="1" x14ac:dyDescent="0.3">
      <c r="B856" t="s">
        <v>8</v>
      </c>
      <c r="C856">
        <v>928</v>
      </c>
      <c r="D856" t="s">
        <v>9</v>
      </c>
      <c r="E856">
        <v>1202</v>
      </c>
      <c r="F856" t="s">
        <v>10</v>
      </c>
      <c r="G856">
        <v>939</v>
      </c>
      <c r="H856" t="s">
        <v>11</v>
      </c>
      <c r="I856" t="s">
        <v>3927</v>
      </c>
      <c r="J856" t="s">
        <v>8664</v>
      </c>
      <c r="K856">
        <v>28150</v>
      </c>
      <c r="L856">
        <v>44866</v>
      </c>
      <c r="M856" t="s">
        <v>920</v>
      </c>
      <c r="N856">
        <v>28150</v>
      </c>
      <c r="O856" t="e">
        <v>#N/A</v>
      </c>
    </row>
    <row r="857" spans="2:15" hidden="1" x14ac:dyDescent="0.3">
      <c r="B857" t="s">
        <v>8</v>
      </c>
      <c r="C857">
        <v>928</v>
      </c>
      <c r="D857" t="s">
        <v>9</v>
      </c>
      <c r="E857">
        <v>1202</v>
      </c>
      <c r="F857" t="s">
        <v>45</v>
      </c>
      <c r="G857">
        <v>26</v>
      </c>
      <c r="H857" t="s">
        <v>11</v>
      </c>
      <c r="I857" t="s">
        <v>3930</v>
      </c>
      <c r="J857" t="s">
        <v>8665</v>
      </c>
      <c r="K857">
        <v>36340</v>
      </c>
      <c r="L857">
        <v>44866</v>
      </c>
      <c r="M857" t="s">
        <v>921</v>
      </c>
      <c r="N857">
        <v>36340</v>
      </c>
      <c r="O857" t="e">
        <v>#N/A</v>
      </c>
    </row>
    <row r="858" spans="2:15" hidden="1" x14ac:dyDescent="0.3">
      <c r="B858" t="s">
        <v>8</v>
      </c>
      <c r="C858">
        <v>928</v>
      </c>
      <c r="D858" t="s">
        <v>13</v>
      </c>
      <c r="E858">
        <v>1184</v>
      </c>
      <c r="F858" t="s">
        <v>102</v>
      </c>
      <c r="G858">
        <v>917</v>
      </c>
      <c r="H858" t="s">
        <v>11</v>
      </c>
      <c r="I858" t="s">
        <v>3933</v>
      </c>
      <c r="J858" t="s">
        <v>8666</v>
      </c>
      <c r="K858">
        <v>66820</v>
      </c>
      <c r="L858">
        <v>44866</v>
      </c>
      <c r="M858" t="s">
        <v>922</v>
      </c>
      <c r="N858">
        <v>66820</v>
      </c>
      <c r="O858" t="e">
        <v>#N/A</v>
      </c>
    </row>
    <row r="859" spans="2:15" hidden="1" x14ac:dyDescent="0.3">
      <c r="B859" t="s">
        <v>8</v>
      </c>
      <c r="C859">
        <v>928</v>
      </c>
      <c r="D859" t="s">
        <v>13</v>
      </c>
      <c r="E859">
        <v>1184</v>
      </c>
      <c r="F859" t="s">
        <v>51</v>
      </c>
      <c r="G859">
        <v>1274</v>
      </c>
      <c r="H859" t="s">
        <v>11</v>
      </c>
      <c r="I859" t="s">
        <v>3935</v>
      </c>
      <c r="J859" t="s">
        <v>8667</v>
      </c>
      <c r="K859">
        <v>37700</v>
      </c>
      <c r="L859">
        <v>44866</v>
      </c>
      <c r="M859" t="s">
        <v>923</v>
      </c>
      <c r="N859">
        <v>37700</v>
      </c>
      <c r="O859" t="e">
        <v>#N/A</v>
      </c>
    </row>
    <row r="860" spans="2:15" hidden="1" x14ac:dyDescent="0.3">
      <c r="B860" t="s">
        <v>8</v>
      </c>
      <c r="C860">
        <v>928</v>
      </c>
      <c r="D860" t="s">
        <v>9</v>
      </c>
      <c r="E860">
        <v>1202</v>
      </c>
      <c r="F860" t="s">
        <v>45</v>
      </c>
      <c r="G860">
        <v>26</v>
      </c>
      <c r="H860" t="s">
        <v>11</v>
      </c>
      <c r="I860" t="s">
        <v>3937</v>
      </c>
      <c r="J860" t="s">
        <v>7140</v>
      </c>
      <c r="K860">
        <v>176270</v>
      </c>
      <c r="L860">
        <v>44866</v>
      </c>
      <c r="M860" t="s">
        <v>924</v>
      </c>
      <c r="N860">
        <v>4000</v>
      </c>
      <c r="O860" t="s">
        <v>8078</v>
      </c>
    </row>
    <row r="861" spans="2:15" hidden="1" x14ac:dyDescent="0.3">
      <c r="B861" t="s">
        <v>8</v>
      </c>
      <c r="C861">
        <v>928</v>
      </c>
      <c r="D861" t="s">
        <v>9</v>
      </c>
      <c r="E861">
        <v>1202</v>
      </c>
      <c r="F861" t="s">
        <v>31</v>
      </c>
      <c r="G861">
        <v>1040</v>
      </c>
      <c r="H861" t="s">
        <v>11</v>
      </c>
      <c r="I861" t="s">
        <v>3939</v>
      </c>
      <c r="J861" t="s">
        <v>8668</v>
      </c>
      <c r="K861">
        <v>36240</v>
      </c>
      <c r="L861">
        <v>44866</v>
      </c>
      <c r="M861" t="s">
        <v>925</v>
      </c>
      <c r="N861">
        <v>36240</v>
      </c>
      <c r="O861" t="e">
        <v>#N/A</v>
      </c>
    </row>
    <row r="862" spans="2:15" hidden="1" x14ac:dyDescent="0.3">
      <c r="B862" t="s">
        <v>41</v>
      </c>
      <c r="C862">
        <v>926</v>
      </c>
      <c r="D862" t="s">
        <v>56</v>
      </c>
      <c r="E862">
        <v>1207</v>
      </c>
      <c r="F862" t="s">
        <v>62</v>
      </c>
      <c r="G862">
        <v>201037</v>
      </c>
      <c r="H862" t="s">
        <v>11</v>
      </c>
      <c r="I862" t="s">
        <v>3944</v>
      </c>
      <c r="J862" t="s">
        <v>8669</v>
      </c>
      <c r="K862">
        <v>550</v>
      </c>
      <c r="L862">
        <v>44866</v>
      </c>
      <c r="M862" t="s">
        <v>926</v>
      </c>
      <c r="N862">
        <v>550</v>
      </c>
      <c r="O862" t="e">
        <v>#N/A</v>
      </c>
    </row>
    <row r="863" spans="2:15" hidden="1" x14ac:dyDescent="0.3">
      <c r="B863" t="s">
        <v>8</v>
      </c>
      <c r="C863">
        <v>928</v>
      </c>
      <c r="D863" t="s">
        <v>9</v>
      </c>
      <c r="E863">
        <v>1202</v>
      </c>
      <c r="F863" t="s">
        <v>31</v>
      </c>
      <c r="G863">
        <v>1040</v>
      </c>
      <c r="H863" t="s">
        <v>11</v>
      </c>
      <c r="I863" t="s">
        <v>3948</v>
      </c>
      <c r="J863" t="s">
        <v>8670</v>
      </c>
      <c r="K863">
        <v>59100</v>
      </c>
      <c r="L863">
        <v>44866</v>
      </c>
      <c r="M863" t="s">
        <v>927</v>
      </c>
      <c r="N863">
        <v>59100</v>
      </c>
      <c r="O863" t="e">
        <v>#N/A</v>
      </c>
    </row>
    <row r="864" spans="2:15" hidden="1" x14ac:dyDescent="0.3">
      <c r="B864" t="s">
        <v>8</v>
      </c>
      <c r="C864">
        <v>928</v>
      </c>
      <c r="D864" t="s">
        <v>9</v>
      </c>
      <c r="E864">
        <v>1202</v>
      </c>
      <c r="F864" t="s">
        <v>39</v>
      </c>
      <c r="G864">
        <v>25</v>
      </c>
      <c r="H864" t="s">
        <v>11</v>
      </c>
      <c r="I864" t="s">
        <v>3950</v>
      </c>
      <c r="J864" t="s">
        <v>8671</v>
      </c>
      <c r="K864">
        <v>274150</v>
      </c>
      <c r="L864">
        <v>44866</v>
      </c>
      <c r="M864" t="s">
        <v>928</v>
      </c>
      <c r="N864">
        <v>274150</v>
      </c>
      <c r="O864" t="e">
        <v>#N/A</v>
      </c>
    </row>
    <row r="865" spans="2:15" hidden="1" x14ac:dyDescent="0.3">
      <c r="B865" t="s">
        <v>8</v>
      </c>
      <c r="C865">
        <v>928</v>
      </c>
      <c r="D865" t="s">
        <v>9</v>
      </c>
      <c r="E865">
        <v>1202</v>
      </c>
      <c r="F865" t="s">
        <v>35</v>
      </c>
      <c r="G865">
        <v>51</v>
      </c>
      <c r="H865" t="s">
        <v>11</v>
      </c>
      <c r="I865" t="s">
        <v>3953</v>
      </c>
      <c r="J865" t="s">
        <v>8672</v>
      </c>
      <c r="K865">
        <v>273650</v>
      </c>
      <c r="L865">
        <v>44866</v>
      </c>
      <c r="M865" t="s">
        <v>929</v>
      </c>
      <c r="N865">
        <v>273650</v>
      </c>
      <c r="O865" t="e">
        <v>#N/A</v>
      </c>
    </row>
    <row r="866" spans="2:15" hidden="1" x14ac:dyDescent="0.3">
      <c r="B866" t="s">
        <v>8</v>
      </c>
      <c r="C866">
        <v>928</v>
      </c>
      <c r="D866" t="s">
        <v>9</v>
      </c>
      <c r="E866">
        <v>1202</v>
      </c>
      <c r="F866" t="s">
        <v>47</v>
      </c>
      <c r="G866">
        <v>898</v>
      </c>
      <c r="H866" t="s">
        <v>11</v>
      </c>
      <c r="I866" t="s">
        <v>3954</v>
      </c>
      <c r="J866" t="s">
        <v>8673</v>
      </c>
      <c r="K866">
        <v>190900</v>
      </c>
      <c r="L866">
        <v>44866</v>
      </c>
      <c r="M866" t="s">
        <v>930</v>
      </c>
      <c r="N866">
        <v>190900</v>
      </c>
      <c r="O866" t="e">
        <v>#N/A</v>
      </c>
    </row>
    <row r="867" spans="2:15" hidden="1" x14ac:dyDescent="0.3">
      <c r="B867" t="s">
        <v>8</v>
      </c>
      <c r="C867">
        <v>928</v>
      </c>
      <c r="D867" t="s">
        <v>9</v>
      </c>
      <c r="E867">
        <v>1202</v>
      </c>
      <c r="F867" t="s">
        <v>37</v>
      </c>
      <c r="G867">
        <v>81</v>
      </c>
      <c r="H867" t="s">
        <v>11</v>
      </c>
      <c r="I867" t="s">
        <v>3956</v>
      </c>
      <c r="J867" t="s">
        <v>8674</v>
      </c>
      <c r="K867">
        <v>2561640</v>
      </c>
      <c r="L867">
        <v>44866</v>
      </c>
      <c r="M867" t="s">
        <v>931</v>
      </c>
      <c r="N867">
        <v>2561640</v>
      </c>
      <c r="O867" t="e">
        <v>#N/A</v>
      </c>
    </row>
    <row r="868" spans="2:15" hidden="1" x14ac:dyDescent="0.3">
      <c r="B868" t="s">
        <v>8</v>
      </c>
      <c r="C868">
        <v>928</v>
      </c>
      <c r="D868" t="s">
        <v>9</v>
      </c>
      <c r="E868">
        <v>1202</v>
      </c>
      <c r="F868" t="s">
        <v>39</v>
      </c>
      <c r="G868">
        <v>25</v>
      </c>
      <c r="H868" t="s">
        <v>11</v>
      </c>
      <c r="I868" t="s">
        <v>3958</v>
      </c>
      <c r="J868" t="s">
        <v>8675</v>
      </c>
      <c r="K868">
        <v>2143620</v>
      </c>
      <c r="L868">
        <v>44866</v>
      </c>
      <c r="M868" t="s">
        <v>932</v>
      </c>
      <c r="N868">
        <v>2143620</v>
      </c>
      <c r="O868" t="e">
        <v>#N/A</v>
      </c>
    </row>
    <row r="869" spans="2:15" hidden="1" x14ac:dyDescent="0.3">
      <c r="B869" t="s">
        <v>16</v>
      </c>
      <c r="C869">
        <v>927</v>
      </c>
      <c r="D869" t="s">
        <v>17</v>
      </c>
      <c r="E869">
        <v>1200</v>
      </c>
      <c r="F869" t="s">
        <v>66</v>
      </c>
      <c r="G869">
        <v>33</v>
      </c>
      <c r="H869" t="s">
        <v>11</v>
      </c>
      <c r="I869" t="s">
        <v>3962</v>
      </c>
      <c r="J869" t="s">
        <v>8676</v>
      </c>
      <c r="K869">
        <v>23940</v>
      </c>
      <c r="L869">
        <v>44866</v>
      </c>
      <c r="M869" t="s">
        <v>933</v>
      </c>
      <c r="N869">
        <v>23940</v>
      </c>
      <c r="O869" t="e">
        <v>#N/A</v>
      </c>
    </row>
    <row r="870" spans="2:15" hidden="1" x14ac:dyDescent="0.3">
      <c r="B870" t="s">
        <v>41</v>
      </c>
      <c r="C870">
        <v>926</v>
      </c>
      <c r="D870" t="s">
        <v>56</v>
      </c>
      <c r="E870">
        <v>1207</v>
      </c>
      <c r="F870" t="s">
        <v>64</v>
      </c>
      <c r="G870">
        <v>201011</v>
      </c>
      <c r="H870" t="s">
        <v>11</v>
      </c>
      <c r="I870" t="s">
        <v>3963</v>
      </c>
      <c r="J870" t="s">
        <v>8677</v>
      </c>
      <c r="K870">
        <v>435370</v>
      </c>
      <c r="L870">
        <v>44866</v>
      </c>
      <c r="M870" t="s">
        <v>934</v>
      </c>
      <c r="N870">
        <v>435370</v>
      </c>
      <c r="O870" t="e">
        <v>#N/A</v>
      </c>
    </row>
    <row r="871" spans="2:15" hidden="1" x14ac:dyDescent="0.3">
      <c r="B871" t="s">
        <v>8</v>
      </c>
      <c r="C871">
        <v>928</v>
      </c>
      <c r="D871" t="s">
        <v>13</v>
      </c>
      <c r="E871">
        <v>1184</v>
      </c>
      <c r="F871" t="s">
        <v>102</v>
      </c>
      <c r="G871">
        <v>917</v>
      </c>
      <c r="H871" t="s">
        <v>11</v>
      </c>
      <c r="I871" t="s">
        <v>3965</v>
      </c>
      <c r="J871" t="s">
        <v>8678</v>
      </c>
      <c r="K871">
        <v>280</v>
      </c>
      <c r="L871">
        <v>44866</v>
      </c>
      <c r="M871" t="s">
        <v>935</v>
      </c>
      <c r="N871">
        <v>280</v>
      </c>
      <c r="O871" t="e">
        <v>#N/A</v>
      </c>
    </row>
    <row r="872" spans="2:15" hidden="1" x14ac:dyDescent="0.3">
      <c r="B872" t="s">
        <v>16</v>
      </c>
      <c r="C872">
        <v>927</v>
      </c>
      <c r="D872" t="s">
        <v>17</v>
      </c>
      <c r="E872">
        <v>1200</v>
      </c>
      <c r="F872" t="s">
        <v>66</v>
      </c>
      <c r="G872">
        <v>33</v>
      </c>
      <c r="H872" t="s">
        <v>11</v>
      </c>
      <c r="I872" t="s">
        <v>3967</v>
      </c>
      <c r="J872" t="s">
        <v>8679</v>
      </c>
      <c r="K872">
        <v>1121120</v>
      </c>
      <c r="L872">
        <v>44866</v>
      </c>
      <c r="M872" t="s">
        <v>936</v>
      </c>
      <c r="N872">
        <v>1121120</v>
      </c>
      <c r="O872" t="e">
        <v>#N/A</v>
      </c>
    </row>
    <row r="873" spans="2:15" hidden="1" x14ac:dyDescent="0.3">
      <c r="B873" t="s">
        <v>8</v>
      </c>
      <c r="C873">
        <v>928</v>
      </c>
      <c r="D873" t="s">
        <v>9</v>
      </c>
      <c r="E873">
        <v>1202</v>
      </c>
      <c r="F873" t="s">
        <v>27</v>
      </c>
      <c r="G873">
        <v>806</v>
      </c>
      <c r="H873" t="s">
        <v>11</v>
      </c>
      <c r="I873" t="s">
        <v>3968</v>
      </c>
      <c r="J873" t="s">
        <v>8680</v>
      </c>
      <c r="K873">
        <v>2270</v>
      </c>
      <c r="L873">
        <v>44866</v>
      </c>
      <c r="M873" t="s">
        <v>937</v>
      </c>
      <c r="N873">
        <v>2270</v>
      </c>
      <c r="O873" t="e">
        <v>#N/A</v>
      </c>
    </row>
    <row r="874" spans="2:15" hidden="1" x14ac:dyDescent="0.3">
      <c r="B874" t="s">
        <v>8</v>
      </c>
      <c r="C874">
        <v>928</v>
      </c>
      <c r="D874" t="s">
        <v>13</v>
      </c>
      <c r="E874">
        <v>1184</v>
      </c>
      <c r="F874" t="s">
        <v>59</v>
      </c>
      <c r="G874">
        <v>9</v>
      </c>
      <c r="H874" t="s">
        <v>11</v>
      </c>
      <c r="I874" t="s">
        <v>3971</v>
      </c>
      <c r="J874" t="s">
        <v>8681</v>
      </c>
      <c r="K874">
        <v>3500</v>
      </c>
      <c r="L874">
        <v>44866</v>
      </c>
      <c r="M874" t="s">
        <v>938</v>
      </c>
      <c r="N874">
        <v>3500</v>
      </c>
      <c r="O874" t="e">
        <v>#N/A</v>
      </c>
    </row>
    <row r="875" spans="2:15" hidden="1" x14ac:dyDescent="0.3">
      <c r="B875" t="s">
        <v>8</v>
      </c>
      <c r="C875">
        <v>928</v>
      </c>
      <c r="D875" t="s">
        <v>9</v>
      </c>
      <c r="E875">
        <v>1202</v>
      </c>
      <c r="F875" t="s">
        <v>35</v>
      </c>
      <c r="G875">
        <v>51</v>
      </c>
      <c r="H875" t="s">
        <v>11</v>
      </c>
      <c r="I875" t="s">
        <v>3974</v>
      </c>
      <c r="J875" t="s">
        <v>8682</v>
      </c>
      <c r="K875">
        <v>239720</v>
      </c>
      <c r="L875">
        <v>44866</v>
      </c>
      <c r="M875" t="s">
        <v>939</v>
      </c>
      <c r="N875">
        <v>239720</v>
      </c>
      <c r="O875" t="e">
        <v>#N/A</v>
      </c>
    </row>
    <row r="876" spans="2:15" hidden="1" x14ac:dyDescent="0.3">
      <c r="B876" t="s">
        <v>41</v>
      </c>
      <c r="C876">
        <v>926</v>
      </c>
      <c r="D876" t="s">
        <v>56</v>
      </c>
      <c r="E876">
        <v>1207</v>
      </c>
      <c r="F876" t="s">
        <v>57</v>
      </c>
      <c r="G876">
        <v>200982</v>
      </c>
      <c r="H876" t="s">
        <v>11</v>
      </c>
      <c r="I876" t="s">
        <v>3981</v>
      </c>
      <c r="J876" t="s">
        <v>8683</v>
      </c>
      <c r="K876">
        <v>206840</v>
      </c>
      <c r="L876">
        <v>44866</v>
      </c>
      <c r="M876" t="s">
        <v>940</v>
      </c>
      <c r="N876">
        <v>206840</v>
      </c>
      <c r="O876" t="e">
        <v>#N/A</v>
      </c>
    </row>
    <row r="877" spans="2:15" hidden="1" x14ac:dyDescent="0.3">
      <c r="B877" t="s">
        <v>8</v>
      </c>
      <c r="C877">
        <v>928</v>
      </c>
      <c r="D877" t="s">
        <v>13</v>
      </c>
      <c r="E877">
        <v>1184</v>
      </c>
      <c r="F877" t="s">
        <v>102</v>
      </c>
      <c r="G877">
        <v>917</v>
      </c>
      <c r="H877" t="s">
        <v>11</v>
      </c>
      <c r="I877" t="s">
        <v>3983</v>
      </c>
      <c r="J877" t="s">
        <v>8684</v>
      </c>
      <c r="K877">
        <v>200</v>
      </c>
      <c r="L877">
        <v>44866</v>
      </c>
      <c r="M877" t="s">
        <v>941</v>
      </c>
      <c r="N877">
        <v>200</v>
      </c>
      <c r="O877" t="e">
        <v>#N/A</v>
      </c>
    </row>
    <row r="878" spans="2:15" hidden="1" x14ac:dyDescent="0.3">
      <c r="B878" t="s">
        <v>8</v>
      </c>
      <c r="C878">
        <v>928</v>
      </c>
      <c r="D878" t="s">
        <v>9</v>
      </c>
      <c r="E878">
        <v>1202</v>
      </c>
      <c r="F878" t="s">
        <v>31</v>
      </c>
      <c r="G878">
        <v>1040</v>
      </c>
      <c r="H878" t="s">
        <v>11</v>
      </c>
      <c r="I878" t="s">
        <v>3987</v>
      </c>
      <c r="J878" t="s">
        <v>8685</v>
      </c>
      <c r="K878">
        <v>2760</v>
      </c>
      <c r="L878">
        <v>44866</v>
      </c>
      <c r="M878" t="s">
        <v>942</v>
      </c>
      <c r="N878">
        <v>2760</v>
      </c>
      <c r="O878" t="e">
        <v>#N/A</v>
      </c>
    </row>
    <row r="879" spans="2:15" hidden="1" x14ac:dyDescent="0.3">
      <c r="B879" t="s">
        <v>8</v>
      </c>
      <c r="C879">
        <v>928</v>
      </c>
      <c r="D879" t="s">
        <v>9</v>
      </c>
      <c r="E879">
        <v>1202</v>
      </c>
      <c r="F879" t="s">
        <v>33</v>
      </c>
      <c r="G879">
        <v>933</v>
      </c>
      <c r="H879" t="s">
        <v>11</v>
      </c>
      <c r="I879" t="s">
        <v>3990</v>
      </c>
      <c r="J879" t="s">
        <v>8686</v>
      </c>
      <c r="K879">
        <v>1991670</v>
      </c>
      <c r="L879">
        <v>44866</v>
      </c>
      <c r="M879" t="s">
        <v>943</v>
      </c>
      <c r="N879">
        <v>1991670</v>
      </c>
      <c r="O879" t="e">
        <v>#N/A</v>
      </c>
    </row>
    <row r="880" spans="2:15" hidden="1" x14ac:dyDescent="0.3">
      <c r="B880" t="s">
        <v>16</v>
      </c>
      <c r="C880">
        <v>927</v>
      </c>
      <c r="D880" t="s">
        <v>17</v>
      </c>
      <c r="E880">
        <v>1200</v>
      </c>
      <c r="F880" t="s">
        <v>262</v>
      </c>
      <c r="G880">
        <v>1594</v>
      </c>
      <c r="H880" t="s">
        <v>11</v>
      </c>
      <c r="I880" t="s">
        <v>3992</v>
      </c>
      <c r="J880" t="s">
        <v>8687</v>
      </c>
      <c r="K880">
        <v>4601690</v>
      </c>
      <c r="L880">
        <v>44866</v>
      </c>
      <c r="M880" t="s">
        <v>944</v>
      </c>
      <c r="N880">
        <v>4601690</v>
      </c>
      <c r="O880" t="e">
        <v>#N/A</v>
      </c>
    </row>
    <row r="881" spans="2:15" hidden="1" x14ac:dyDescent="0.3">
      <c r="B881" t="s">
        <v>8</v>
      </c>
      <c r="C881">
        <v>928</v>
      </c>
      <c r="D881" t="s">
        <v>9</v>
      </c>
      <c r="E881">
        <v>1202</v>
      </c>
      <c r="F881" t="s">
        <v>47</v>
      </c>
      <c r="G881">
        <v>898</v>
      </c>
      <c r="H881" t="s">
        <v>11</v>
      </c>
      <c r="I881" t="s">
        <v>3993</v>
      </c>
      <c r="J881" t="s">
        <v>8688</v>
      </c>
      <c r="K881">
        <v>8299000</v>
      </c>
      <c r="L881">
        <v>44866</v>
      </c>
      <c r="M881" t="s">
        <v>945</v>
      </c>
      <c r="N881">
        <v>8299000</v>
      </c>
      <c r="O881" t="e">
        <v>#N/A</v>
      </c>
    </row>
    <row r="882" spans="2:15" hidden="1" x14ac:dyDescent="0.3">
      <c r="B882" t="s">
        <v>16</v>
      </c>
      <c r="C882">
        <v>927</v>
      </c>
      <c r="D882" t="s">
        <v>17</v>
      </c>
      <c r="E882">
        <v>1200</v>
      </c>
      <c r="F882" t="s">
        <v>100</v>
      </c>
      <c r="G882">
        <v>201038</v>
      </c>
      <c r="H882" t="s">
        <v>11</v>
      </c>
      <c r="I882" t="s">
        <v>3996</v>
      </c>
      <c r="J882" t="s">
        <v>8689</v>
      </c>
      <c r="K882">
        <v>37820</v>
      </c>
      <c r="L882">
        <v>44866</v>
      </c>
      <c r="M882" t="s">
        <v>946</v>
      </c>
      <c r="N882">
        <v>37820</v>
      </c>
      <c r="O882" t="e">
        <v>#N/A</v>
      </c>
    </row>
    <row r="883" spans="2:15" hidden="1" x14ac:dyDescent="0.3">
      <c r="B883" t="s">
        <v>41</v>
      </c>
      <c r="C883">
        <v>926</v>
      </c>
      <c r="D883" t="s">
        <v>56</v>
      </c>
      <c r="E883">
        <v>1207</v>
      </c>
      <c r="F883" t="s">
        <v>64</v>
      </c>
      <c r="G883">
        <v>201011</v>
      </c>
      <c r="H883" t="s">
        <v>11</v>
      </c>
      <c r="I883" t="s">
        <v>3998</v>
      </c>
      <c r="J883" t="s">
        <v>8690</v>
      </c>
      <c r="K883">
        <v>369740</v>
      </c>
      <c r="L883">
        <v>44866</v>
      </c>
      <c r="M883" t="s">
        <v>947</v>
      </c>
      <c r="N883">
        <v>369740</v>
      </c>
      <c r="O883" t="e">
        <v>#N/A</v>
      </c>
    </row>
    <row r="884" spans="2:15" hidden="1" x14ac:dyDescent="0.3">
      <c r="B884" t="s">
        <v>22</v>
      </c>
      <c r="C884">
        <v>809</v>
      </c>
      <c r="D884" t="s">
        <v>23</v>
      </c>
      <c r="E884">
        <v>810</v>
      </c>
      <c r="F884" t="s">
        <v>486</v>
      </c>
      <c r="G884">
        <v>201115</v>
      </c>
      <c r="H884" t="s">
        <v>11</v>
      </c>
      <c r="I884" t="s">
        <v>3999</v>
      </c>
      <c r="J884" t="s">
        <v>8691</v>
      </c>
      <c r="K884">
        <v>192230</v>
      </c>
      <c r="L884">
        <v>44866</v>
      </c>
      <c r="M884" t="s">
        <v>948</v>
      </c>
      <c r="N884">
        <v>192230</v>
      </c>
      <c r="O884" t="e">
        <v>#N/A</v>
      </c>
    </row>
    <row r="885" spans="2:15" hidden="1" x14ac:dyDescent="0.3">
      <c r="B885" t="s">
        <v>41</v>
      </c>
      <c r="C885">
        <v>926</v>
      </c>
      <c r="D885" t="s">
        <v>56</v>
      </c>
      <c r="E885">
        <v>1207</v>
      </c>
      <c r="F885" t="s">
        <v>62</v>
      </c>
      <c r="G885">
        <v>201037</v>
      </c>
      <c r="H885" t="s">
        <v>11</v>
      </c>
      <c r="I885" t="s">
        <v>4001</v>
      </c>
      <c r="J885" t="s">
        <v>8692</v>
      </c>
      <c r="K885">
        <v>16800</v>
      </c>
      <c r="L885">
        <v>44866</v>
      </c>
      <c r="M885" t="s">
        <v>949</v>
      </c>
      <c r="N885">
        <v>16800</v>
      </c>
      <c r="O885" t="e">
        <v>#N/A</v>
      </c>
    </row>
    <row r="886" spans="2:15" hidden="1" x14ac:dyDescent="0.3">
      <c r="B886" t="s">
        <v>8</v>
      </c>
      <c r="C886">
        <v>928</v>
      </c>
      <c r="D886" t="s">
        <v>13</v>
      </c>
      <c r="E886">
        <v>1184</v>
      </c>
      <c r="F886" t="s">
        <v>51</v>
      </c>
      <c r="G886">
        <v>1274</v>
      </c>
      <c r="H886" t="s">
        <v>11</v>
      </c>
      <c r="I886" t="s">
        <v>4016</v>
      </c>
      <c r="J886" t="s">
        <v>8693</v>
      </c>
      <c r="K886">
        <v>54120</v>
      </c>
      <c r="L886">
        <v>44866</v>
      </c>
      <c r="M886" t="s">
        <v>950</v>
      </c>
      <c r="N886">
        <v>54120</v>
      </c>
      <c r="O886" t="e">
        <v>#N/A</v>
      </c>
    </row>
    <row r="887" spans="2:15" hidden="1" x14ac:dyDescent="0.3">
      <c r="B887" t="s">
        <v>8</v>
      </c>
      <c r="C887">
        <v>928</v>
      </c>
      <c r="D887" t="s">
        <v>9</v>
      </c>
      <c r="E887">
        <v>1202</v>
      </c>
      <c r="F887" t="s">
        <v>37</v>
      </c>
      <c r="G887">
        <v>81</v>
      </c>
      <c r="H887" t="s">
        <v>11</v>
      </c>
      <c r="I887" t="s">
        <v>4019</v>
      </c>
      <c r="J887" t="s">
        <v>8694</v>
      </c>
      <c r="K887">
        <v>170250</v>
      </c>
      <c r="L887">
        <v>44866</v>
      </c>
      <c r="M887" t="s">
        <v>951</v>
      </c>
      <c r="N887">
        <v>170250</v>
      </c>
      <c r="O887" t="e">
        <v>#N/A</v>
      </c>
    </row>
    <row r="888" spans="2:15" hidden="1" x14ac:dyDescent="0.3">
      <c r="B888" t="s">
        <v>41</v>
      </c>
      <c r="C888">
        <v>926</v>
      </c>
      <c r="D888" t="s">
        <v>56</v>
      </c>
      <c r="E888">
        <v>1207</v>
      </c>
      <c r="F888" t="s">
        <v>57</v>
      </c>
      <c r="G888">
        <v>200982</v>
      </c>
      <c r="H888" t="s">
        <v>11</v>
      </c>
      <c r="I888" t="s">
        <v>4020</v>
      </c>
      <c r="J888" t="s">
        <v>8695</v>
      </c>
      <c r="K888">
        <v>16600</v>
      </c>
      <c r="L888">
        <v>44866</v>
      </c>
      <c r="M888" t="s">
        <v>952</v>
      </c>
      <c r="N888">
        <v>16600</v>
      </c>
      <c r="O888" t="e">
        <v>#N/A</v>
      </c>
    </row>
    <row r="889" spans="2:15" hidden="1" x14ac:dyDescent="0.3">
      <c r="B889" t="s">
        <v>16</v>
      </c>
      <c r="C889">
        <v>927</v>
      </c>
      <c r="D889" t="s">
        <v>17</v>
      </c>
      <c r="E889">
        <v>1200</v>
      </c>
      <c r="F889" t="s">
        <v>66</v>
      </c>
      <c r="G889">
        <v>33</v>
      </c>
      <c r="H889" t="s">
        <v>11</v>
      </c>
      <c r="I889" t="s">
        <v>4021</v>
      </c>
      <c r="J889" t="s">
        <v>8696</v>
      </c>
      <c r="K889">
        <v>4499050</v>
      </c>
      <c r="L889">
        <v>44866</v>
      </c>
      <c r="M889" t="s">
        <v>953</v>
      </c>
      <c r="N889">
        <v>2643740</v>
      </c>
      <c r="O889" t="e">
        <v>#N/A</v>
      </c>
    </row>
    <row r="890" spans="2:15" hidden="1" x14ac:dyDescent="0.3">
      <c r="B890" t="s">
        <v>8</v>
      </c>
      <c r="C890">
        <v>928</v>
      </c>
      <c r="D890" t="s">
        <v>9</v>
      </c>
      <c r="E890">
        <v>1202</v>
      </c>
      <c r="F890" t="s">
        <v>73</v>
      </c>
      <c r="G890">
        <v>895</v>
      </c>
      <c r="H890" t="s">
        <v>11</v>
      </c>
      <c r="I890" t="s">
        <v>4022</v>
      </c>
      <c r="J890" t="s">
        <v>8697</v>
      </c>
      <c r="K890">
        <v>327930</v>
      </c>
      <c r="L890">
        <v>44866</v>
      </c>
      <c r="M890" t="s">
        <v>954</v>
      </c>
      <c r="N890">
        <v>327930</v>
      </c>
      <c r="O890" t="e">
        <v>#N/A</v>
      </c>
    </row>
    <row r="891" spans="2:15" hidden="1" x14ac:dyDescent="0.3">
      <c r="B891" t="s">
        <v>16</v>
      </c>
      <c r="C891">
        <v>927</v>
      </c>
      <c r="D891" t="s">
        <v>17</v>
      </c>
      <c r="E891">
        <v>1200</v>
      </c>
      <c r="F891" t="s">
        <v>100</v>
      </c>
      <c r="G891">
        <v>201038</v>
      </c>
      <c r="H891" t="s">
        <v>11</v>
      </c>
      <c r="I891" t="s">
        <v>4023</v>
      </c>
      <c r="J891" t="s">
        <v>8698</v>
      </c>
      <c r="K891">
        <v>41920</v>
      </c>
      <c r="L891">
        <v>44866</v>
      </c>
      <c r="M891" t="s">
        <v>955</v>
      </c>
      <c r="N891">
        <v>41920</v>
      </c>
      <c r="O891" t="e">
        <v>#N/A</v>
      </c>
    </row>
    <row r="892" spans="2:15" hidden="1" x14ac:dyDescent="0.3">
      <c r="B892" t="s">
        <v>8</v>
      </c>
      <c r="C892">
        <v>928</v>
      </c>
      <c r="D892" t="s">
        <v>9</v>
      </c>
      <c r="E892">
        <v>1202</v>
      </c>
      <c r="F892" t="s">
        <v>37</v>
      </c>
      <c r="G892">
        <v>81</v>
      </c>
      <c r="H892" t="s">
        <v>11</v>
      </c>
      <c r="I892" t="s">
        <v>4025</v>
      </c>
      <c r="J892" t="s">
        <v>8699</v>
      </c>
      <c r="K892">
        <v>651740</v>
      </c>
      <c r="L892">
        <v>44866</v>
      </c>
      <c r="M892" t="s">
        <v>956</v>
      </c>
      <c r="N892">
        <v>651740</v>
      </c>
      <c r="O892" t="e">
        <v>#N/A</v>
      </c>
    </row>
    <row r="893" spans="2:15" hidden="1" x14ac:dyDescent="0.3">
      <c r="B893" t="s">
        <v>8</v>
      </c>
      <c r="C893">
        <v>928</v>
      </c>
      <c r="D893" t="s">
        <v>9</v>
      </c>
      <c r="E893">
        <v>1202</v>
      </c>
      <c r="F893" t="s">
        <v>73</v>
      </c>
      <c r="G893">
        <v>895</v>
      </c>
      <c r="H893" t="s">
        <v>11</v>
      </c>
      <c r="I893" t="s">
        <v>4029</v>
      </c>
      <c r="J893" t="s">
        <v>8700</v>
      </c>
      <c r="K893">
        <v>1820</v>
      </c>
      <c r="L893">
        <v>44866</v>
      </c>
      <c r="M893" t="s">
        <v>957</v>
      </c>
      <c r="N893">
        <v>1820</v>
      </c>
      <c r="O893" t="e">
        <v>#N/A</v>
      </c>
    </row>
    <row r="894" spans="2:15" hidden="1" x14ac:dyDescent="0.3">
      <c r="B894" t="s">
        <v>8</v>
      </c>
      <c r="C894">
        <v>928</v>
      </c>
      <c r="D894" t="s">
        <v>9</v>
      </c>
      <c r="E894">
        <v>1202</v>
      </c>
      <c r="F894" t="s">
        <v>20</v>
      </c>
      <c r="G894">
        <v>938</v>
      </c>
      <c r="H894" t="s">
        <v>11</v>
      </c>
      <c r="I894" t="s">
        <v>4030</v>
      </c>
      <c r="J894" t="s">
        <v>8701</v>
      </c>
      <c r="K894">
        <v>221610</v>
      </c>
      <c r="L894">
        <v>44866</v>
      </c>
      <c r="M894" t="s">
        <v>958</v>
      </c>
      <c r="N894">
        <v>221610</v>
      </c>
      <c r="O894" t="e">
        <v>#N/A</v>
      </c>
    </row>
    <row r="895" spans="2:15" hidden="1" x14ac:dyDescent="0.3">
      <c r="B895" t="s">
        <v>16</v>
      </c>
      <c r="C895">
        <v>927</v>
      </c>
      <c r="D895" t="s">
        <v>17</v>
      </c>
      <c r="E895">
        <v>1200</v>
      </c>
      <c r="F895" t="s">
        <v>137</v>
      </c>
      <c r="G895">
        <v>1012</v>
      </c>
      <c r="H895" t="s">
        <v>11</v>
      </c>
      <c r="I895" t="s">
        <v>4031</v>
      </c>
      <c r="J895" t="s">
        <v>8702</v>
      </c>
      <c r="K895">
        <v>57720</v>
      </c>
      <c r="L895">
        <v>44866</v>
      </c>
      <c r="M895" t="s">
        <v>959</v>
      </c>
      <c r="N895">
        <v>57720</v>
      </c>
      <c r="O895" t="e">
        <v>#N/A</v>
      </c>
    </row>
    <row r="896" spans="2:15" hidden="1" x14ac:dyDescent="0.3">
      <c r="B896" t="s">
        <v>8</v>
      </c>
      <c r="C896">
        <v>928</v>
      </c>
      <c r="D896" t="s">
        <v>9</v>
      </c>
      <c r="E896">
        <v>1202</v>
      </c>
      <c r="F896" t="s">
        <v>110</v>
      </c>
      <c r="G896">
        <v>929</v>
      </c>
      <c r="H896" t="s">
        <v>11</v>
      </c>
      <c r="I896" t="s">
        <v>4034</v>
      </c>
      <c r="J896" t="s">
        <v>8703</v>
      </c>
      <c r="K896">
        <v>28910880</v>
      </c>
      <c r="L896">
        <v>44866</v>
      </c>
      <c r="M896" t="s">
        <v>960</v>
      </c>
      <c r="N896">
        <v>28210900</v>
      </c>
      <c r="O896" t="e">
        <v>#N/A</v>
      </c>
    </row>
    <row r="897" spans="2:15" hidden="1" x14ac:dyDescent="0.3">
      <c r="B897" t="s">
        <v>41</v>
      </c>
      <c r="C897">
        <v>926</v>
      </c>
      <c r="D897" t="s">
        <v>42</v>
      </c>
      <c r="E897">
        <v>964</v>
      </c>
      <c r="F897" t="s">
        <v>43</v>
      </c>
      <c r="G897">
        <v>200998</v>
      </c>
      <c r="H897" t="s">
        <v>11</v>
      </c>
      <c r="I897" t="s">
        <v>4038</v>
      </c>
      <c r="J897" t="s">
        <v>8704</v>
      </c>
      <c r="K897">
        <v>520</v>
      </c>
      <c r="L897">
        <v>44866</v>
      </c>
      <c r="M897" t="s">
        <v>961</v>
      </c>
      <c r="N897">
        <v>520</v>
      </c>
      <c r="O897" t="e">
        <v>#N/A</v>
      </c>
    </row>
    <row r="898" spans="2:15" hidden="1" x14ac:dyDescent="0.3">
      <c r="B898" t="s">
        <v>8</v>
      </c>
      <c r="C898">
        <v>928</v>
      </c>
      <c r="D898" t="s">
        <v>9</v>
      </c>
      <c r="E898">
        <v>1202</v>
      </c>
      <c r="F898" t="s">
        <v>31</v>
      </c>
      <c r="G898">
        <v>1040</v>
      </c>
      <c r="H898" t="s">
        <v>11</v>
      </c>
      <c r="I898" t="s">
        <v>4039</v>
      </c>
      <c r="J898" t="s">
        <v>8705</v>
      </c>
      <c r="K898">
        <v>431110</v>
      </c>
      <c r="L898">
        <v>44866</v>
      </c>
      <c r="M898" t="s">
        <v>962</v>
      </c>
      <c r="N898">
        <v>431110</v>
      </c>
      <c r="O898" t="e">
        <v>#N/A</v>
      </c>
    </row>
    <row r="899" spans="2:15" hidden="1" x14ac:dyDescent="0.3">
      <c r="B899" t="s">
        <v>8</v>
      </c>
      <c r="C899">
        <v>928</v>
      </c>
      <c r="D899" t="s">
        <v>9</v>
      </c>
      <c r="E899">
        <v>1202</v>
      </c>
      <c r="F899" t="s">
        <v>37</v>
      </c>
      <c r="G899">
        <v>81</v>
      </c>
      <c r="H899" t="s">
        <v>11</v>
      </c>
      <c r="I899" t="s">
        <v>4040</v>
      </c>
      <c r="J899" t="s">
        <v>8706</v>
      </c>
      <c r="K899">
        <v>5720</v>
      </c>
      <c r="L899">
        <v>44866</v>
      </c>
      <c r="M899" t="s">
        <v>963</v>
      </c>
      <c r="N899">
        <v>5720</v>
      </c>
      <c r="O899" t="e">
        <v>#N/A</v>
      </c>
    </row>
    <row r="900" spans="2:15" hidden="1" x14ac:dyDescent="0.3">
      <c r="B900" t="s">
        <v>8</v>
      </c>
      <c r="C900">
        <v>928</v>
      </c>
      <c r="D900" t="s">
        <v>9</v>
      </c>
      <c r="E900">
        <v>1202</v>
      </c>
      <c r="F900" t="s">
        <v>27</v>
      </c>
      <c r="G900">
        <v>806</v>
      </c>
      <c r="H900" t="s">
        <v>11</v>
      </c>
      <c r="I900" t="s">
        <v>4041</v>
      </c>
      <c r="J900" t="s">
        <v>8707</v>
      </c>
      <c r="K900">
        <v>650</v>
      </c>
      <c r="L900">
        <v>44866</v>
      </c>
      <c r="M900" t="s">
        <v>964</v>
      </c>
      <c r="N900">
        <v>650</v>
      </c>
      <c r="O900" t="e">
        <v>#N/A</v>
      </c>
    </row>
    <row r="901" spans="2:15" hidden="1" x14ac:dyDescent="0.3">
      <c r="B901" t="s">
        <v>41</v>
      </c>
      <c r="C901">
        <v>926</v>
      </c>
      <c r="D901" t="s">
        <v>56</v>
      </c>
      <c r="E901">
        <v>1207</v>
      </c>
      <c r="F901" t="s">
        <v>62</v>
      </c>
      <c r="G901">
        <v>201037</v>
      </c>
      <c r="H901" t="s">
        <v>11</v>
      </c>
      <c r="I901" t="s">
        <v>4046</v>
      </c>
      <c r="J901" t="s">
        <v>8708</v>
      </c>
      <c r="K901">
        <v>30430</v>
      </c>
      <c r="L901">
        <v>44866</v>
      </c>
      <c r="M901" t="s">
        <v>965</v>
      </c>
      <c r="N901">
        <v>30430</v>
      </c>
      <c r="O901" t="e">
        <v>#N/A</v>
      </c>
    </row>
    <row r="902" spans="2:15" hidden="1" x14ac:dyDescent="0.3">
      <c r="B902" t="s">
        <v>8</v>
      </c>
      <c r="C902">
        <v>928</v>
      </c>
      <c r="D902" t="s">
        <v>9</v>
      </c>
      <c r="E902">
        <v>1202</v>
      </c>
      <c r="F902" t="s">
        <v>20</v>
      </c>
      <c r="G902">
        <v>938</v>
      </c>
      <c r="H902" t="s">
        <v>11</v>
      </c>
      <c r="I902" t="s">
        <v>4047</v>
      </c>
      <c r="J902" t="s">
        <v>8709</v>
      </c>
      <c r="K902">
        <v>162060</v>
      </c>
      <c r="L902">
        <v>44866</v>
      </c>
      <c r="M902" t="s">
        <v>966</v>
      </c>
      <c r="N902">
        <v>252970</v>
      </c>
      <c r="O902" t="e">
        <v>#N/A</v>
      </c>
    </row>
    <row r="903" spans="2:15" hidden="1" x14ac:dyDescent="0.3">
      <c r="B903" t="s">
        <v>8</v>
      </c>
      <c r="C903">
        <v>928</v>
      </c>
      <c r="D903" t="s">
        <v>9</v>
      </c>
      <c r="E903">
        <v>1202</v>
      </c>
      <c r="F903" t="s">
        <v>31</v>
      </c>
      <c r="G903">
        <v>1040</v>
      </c>
      <c r="H903" t="s">
        <v>11</v>
      </c>
      <c r="I903" t="s">
        <v>4048</v>
      </c>
      <c r="J903" t="s">
        <v>8710</v>
      </c>
      <c r="K903">
        <v>358610</v>
      </c>
      <c r="L903">
        <v>44866</v>
      </c>
      <c r="M903" t="s">
        <v>967</v>
      </c>
      <c r="N903">
        <v>358610</v>
      </c>
      <c r="O903" t="e">
        <v>#N/A</v>
      </c>
    </row>
    <row r="904" spans="2:15" hidden="1" x14ac:dyDescent="0.3">
      <c r="B904" t="s">
        <v>16</v>
      </c>
      <c r="C904">
        <v>927</v>
      </c>
      <c r="D904" t="s">
        <v>17</v>
      </c>
      <c r="E904">
        <v>1200</v>
      </c>
      <c r="F904" t="s">
        <v>262</v>
      </c>
      <c r="G904">
        <v>1594</v>
      </c>
      <c r="H904" t="s">
        <v>11</v>
      </c>
      <c r="I904" t="s">
        <v>4053</v>
      </c>
      <c r="J904" t="s">
        <v>8711</v>
      </c>
      <c r="K904">
        <v>7920330</v>
      </c>
      <c r="L904">
        <v>44866</v>
      </c>
      <c r="M904" t="s">
        <v>968</v>
      </c>
      <c r="N904">
        <v>7931290</v>
      </c>
      <c r="O904" t="e">
        <v>#N/A</v>
      </c>
    </row>
    <row r="905" spans="2:15" hidden="1" x14ac:dyDescent="0.3">
      <c r="B905" t="s">
        <v>8</v>
      </c>
      <c r="C905">
        <v>928</v>
      </c>
      <c r="D905" t="s">
        <v>9</v>
      </c>
      <c r="E905">
        <v>1202</v>
      </c>
      <c r="F905" t="s">
        <v>73</v>
      </c>
      <c r="G905">
        <v>895</v>
      </c>
      <c r="H905" t="s">
        <v>11</v>
      </c>
      <c r="I905" t="s">
        <v>4055</v>
      </c>
      <c r="J905" t="s">
        <v>8712</v>
      </c>
      <c r="K905">
        <v>112350</v>
      </c>
      <c r="L905">
        <v>44866</v>
      </c>
      <c r="M905" t="s">
        <v>969</v>
      </c>
      <c r="N905">
        <v>112350</v>
      </c>
      <c r="O905" t="e">
        <v>#N/A</v>
      </c>
    </row>
    <row r="906" spans="2:15" hidden="1" x14ac:dyDescent="0.3">
      <c r="B906" t="s">
        <v>16</v>
      </c>
      <c r="C906">
        <v>927</v>
      </c>
      <c r="D906" t="s">
        <v>17</v>
      </c>
      <c r="E906">
        <v>1200</v>
      </c>
      <c r="F906" t="s">
        <v>66</v>
      </c>
      <c r="G906">
        <v>33</v>
      </c>
      <c r="H906" t="s">
        <v>11</v>
      </c>
      <c r="I906" t="s">
        <v>4056</v>
      </c>
      <c r="J906" t="s">
        <v>8713</v>
      </c>
      <c r="K906">
        <v>2018580</v>
      </c>
      <c r="L906">
        <v>44866</v>
      </c>
      <c r="M906" t="s">
        <v>970</v>
      </c>
      <c r="N906">
        <v>2018580</v>
      </c>
      <c r="O906" t="e">
        <v>#N/A</v>
      </c>
    </row>
    <row r="907" spans="2:15" hidden="1" x14ac:dyDescent="0.3">
      <c r="B907" t="s">
        <v>8</v>
      </c>
      <c r="C907">
        <v>928</v>
      </c>
      <c r="D907" t="s">
        <v>13</v>
      </c>
      <c r="E907">
        <v>1184</v>
      </c>
      <c r="F907" t="s">
        <v>335</v>
      </c>
      <c r="G907">
        <v>201090</v>
      </c>
      <c r="H907" t="s">
        <v>11</v>
      </c>
      <c r="I907" t="s">
        <v>4060</v>
      </c>
      <c r="J907" t="s">
        <v>8714</v>
      </c>
      <c r="K907">
        <v>1870</v>
      </c>
      <c r="L907">
        <v>44866</v>
      </c>
      <c r="M907" t="s">
        <v>336</v>
      </c>
      <c r="N907">
        <v>1870</v>
      </c>
      <c r="O907" t="e">
        <v>#N/A</v>
      </c>
    </row>
    <row r="908" spans="2:15" hidden="1" x14ac:dyDescent="0.3">
      <c r="B908" t="s">
        <v>8</v>
      </c>
      <c r="C908">
        <v>928</v>
      </c>
      <c r="D908" t="s">
        <v>13</v>
      </c>
      <c r="E908">
        <v>1184</v>
      </c>
      <c r="F908" t="s">
        <v>14</v>
      </c>
      <c r="G908">
        <v>914</v>
      </c>
      <c r="H908" t="s">
        <v>11</v>
      </c>
      <c r="I908" t="s">
        <v>4061</v>
      </c>
      <c r="J908" t="s">
        <v>8715</v>
      </c>
      <c r="K908">
        <v>35680</v>
      </c>
      <c r="L908">
        <v>44866</v>
      </c>
      <c r="M908" t="s">
        <v>971</v>
      </c>
      <c r="N908">
        <v>35680</v>
      </c>
      <c r="O908" t="e">
        <v>#N/A</v>
      </c>
    </row>
    <row r="909" spans="2:15" hidden="1" x14ac:dyDescent="0.3">
      <c r="B909" t="s">
        <v>8</v>
      </c>
      <c r="C909">
        <v>928</v>
      </c>
      <c r="D909" t="s">
        <v>9</v>
      </c>
      <c r="E909">
        <v>1202</v>
      </c>
      <c r="F909" t="s">
        <v>27</v>
      </c>
      <c r="G909">
        <v>806</v>
      </c>
      <c r="H909" t="s">
        <v>11</v>
      </c>
      <c r="I909" t="s">
        <v>4062</v>
      </c>
      <c r="J909" t="s">
        <v>8716</v>
      </c>
      <c r="K909">
        <v>1097550</v>
      </c>
      <c r="L909">
        <v>44866</v>
      </c>
      <c r="M909" t="s">
        <v>972</v>
      </c>
      <c r="N909">
        <v>1097550</v>
      </c>
      <c r="O909" t="e">
        <v>#N/A</v>
      </c>
    </row>
    <row r="910" spans="2:15" hidden="1" x14ac:dyDescent="0.3">
      <c r="B910" t="s">
        <v>8</v>
      </c>
      <c r="C910">
        <v>928</v>
      </c>
      <c r="D910" t="s">
        <v>9</v>
      </c>
      <c r="E910">
        <v>1202</v>
      </c>
      <c r="F910" t="s">
        <v>27</v>
      </c>
      <c r="G910">
        <v>806</v>
      </c>
      <c r="H910" t="s">
        <v>11</v>
      </c>
      <c r="I910" t="s">
        <v>4066</v>
      </c>
      <c r="J910" t="s">
        <v>8717</v>
      </c>
      <c r="K910">
        <v>3200</v>
      </c>
      <c r="L910">
        <v>44866</v>
      </c>
      <c r="M910" t="s">
        <v>973</v>
      </c>
      <c r="N910">
        <v>3200</v>
      </c>
      <c r="O910" t="e">
        <v>#N/A</v>
      </c>
    </row>
    <row r="911" spans="2:15" hidden="1" x14ac:dyDescent="0.3">
      <c r="B911" t="s">
        <v>41</v>
      </c>
      <c r="C911">
        <v>926</v>
      </c>
      <c r="D911" t="s">
        <v>42</v>
      </c>
      <c r="E911">
        <v>964</v>
      </c>
      <c r="F911" t="s">
        <v>43</v>
      </c>
      <c r="G911">
        <v>200998</v>
      </c>
      <c r="H911" t="s">
        <v>11</v>
      </c>
      <c r="I911" t="s">
        <v>4070</v>
      </c>
      <c r="J911" t="s">
        <v>8718</v>
      </c>
      <c r="K911">
        <v>5160</v>
      </c>
      <c r="L911">
        <v>44866</v>
      </c>
      <c r="M911" t="s">
        <v>974</v>
      </c>
      <c r="N911">
        <v>5160</v>
      </c>
      <c r="O911" t="e">
        <v>#N/A</v>
      </c>
    </row>
    <row r="912" spans="2:15" hidden="1" x14ac:dyDescent="0.3">
      <c r="B912" t="s">
        <v>8</v>
      </c>
      <c r="C912">
        <v>928</v>
      </c>
      <c r="D912" t="s">
        <v>9</v>
      </c>
      <c r="E912">
        <v>1202</v>
      </c>
      <c r="F912" t="s">
        <v>10</v>
      </c>
      <c r="G912">
        <v>939</v>
      </c>
      <c r="H912" t="s">
        <v>11</v>
      </c>
      <c r="I912" t="s">
        <v>4071</v>
      </c>
      <c r="J912" t="s">
        <v>8719</v>
      </c>
      <c r="K912">
        <v>727820</v>
      </c>
      <c r="L912">
        <v>44866</v>
      </c>
      <c r="M912" t="s">
        <v>975</v>
      </c>
      <c r="N912">
        <v>727820</v>
      </c>
      <c r="O912" t="e">
        <v>#N/A</v>
      </c>
    </row>
    <row r="913" spans="2:15" hidden="1" x14ac:dyDescent="0.3">
      <c r="B913" t="s">
        <v>16</v>
      </c>
      <c r="C913">
        <v>927</v>
      </c>
      <c r="D913" t="s">
        <v>17</v>
      </c>
      <c r="E913">
        <v>1200</v>
      </c>
      <c r="F913" t="s">
        <v>244</v>
      </c>
      <c r="G913">
        <v>817</v>
      </c>
      <c r="H913" t="s">
        <v>11</v>
      </c>
      <c r="I913" t="s">
        <v>4074</v>
      </c>
      <c r="J913" t="s">
        <v>8720</v>
      </c>
      <c r="K913">
        <v>1729790</v>
      </c>
      <c r="L913">
        <v>44866</v>
      </c>
      <c r="M913" t="s">
        <v>976</v>
      </c>
      <c r="N913">
        <v>1729790</v>
      </c>
      <c r="O913" t="e">
        <v>#N/A</v>
      </c>
    </row>
    <row r="914" spans="2:15" hidden="1" x14ac:dyDescent="0.3">
      <c r="B914" t="s">
        <v>8</v>
      </c>
      <c r="C914">
        <v>928</v>
      </c>
      <c r="D914" t="s">
        <v>9</v>
      </c>
      <c r="E914">
        <v>1202</v>
      </c>
      <c r="F914" t="s">
        <v>20</v>
      </c>
      <c r="G914">
        <v>938</v>
      </c>
      <c r="H914" t="s">
        <v>11</v>
      </c>
      <c r="I914" t="s">
        <v>4075</v>
      </c>
      <c r="J914" t="s">
        <v>8721</v>
      </c>
      <c r="K914">
        <v>523870</v>
      </c>
      <c r="L914">
        <v>44866</v>
      </c>
      <c r="M914" t="s">
        <v>977</v>
      </c>
      <c r="N914">
        <v>523870</v>
      </c>
      <c r="O914" t="e">
        <v>#N/A</v>
      </c>
    </row>
    <row r="915" spans="2:15" hidden="1" x14ac:dyDescent="0.3">
      <c r="B915" t="s">
        <v>8</v>
      </c>
      <c r="C915">
        <v>928</v>
      </c>
      <c r="D915" t="s">
        <v>9</v>
      </c>
      <c r="E915">
        <v>1202</v>
      </c>
      <c r="F915" t="s">
        <v>75</v>
      </c>
      <c r="G915">
        <v>50</v>
      </c>
      <c r="H915" t="s">
        <v>11</v>
      </c>
      <c r="I915" t="s">
        <v>4076</v>
      </c>
      <c r="J915" t="s">
        <v>8722</v>
      </c>
      <c r="K915">
        <v>164960</v>
      </c>
      <c r="L915">
        <v>44866</v>
      </c>
      <c r="M915" t="s">
        <v>978</v>
      </c>
      <c r="N915">
        <v>164960</v>
      </c>
      <c r="O915" t="e">
        <v>#N/A</v>
      </c>
    </row>
    <row r="916" spans="2:15" hidden="1" x14ac:dyDescent="0.3">
      <c r="B916" t="s">
        <v>8</v>
      </c>
      <c r="C916">
        <v>928</v>
      </c>
      <c r="D916" t="s">
        <v>13</v>
      </c>
      <c r="E916">
        <v>1184</v>
      </c>
      <c r="F916" t="s">
        <v>51</v>
      </c>
      <c r="G916">
        <v>1274</v>
      </c>
      <c r="H916" t="s">
        <v>11</v>
      </c>
      <c r="I916" t="s">
        <v>4078</v>
      </c>
      <c r="J916" t="s">
        <v>8723</v>
      </c>
      <c r="K916">
        <v>189970</v>
      </c>
      <c r="L916">
        <v>44866</v>
      </c>
      <c r="M916" t="s">
        <v>979</v>
      </c>
      <c r="N916">
        <v>189970</v>
      </c>
      <c r="O916" t="e">
        <v>#N/A</v>
      </c>
    </row>
    <row r="917" spans="2:15" hidden="1" x14ac:dyDescent="0.3">
      <c r="B917" t="s">
        <v>8</v>
      </c>
      <c r="C917">
        <v>928</v>
      </c>
      <c r="D917" t="s">
        <v>9</v>
      </c>
      <c r="E917">
        <v>1202</v>
      </c>
      <c r="F917" t="s">
        <v>47</v>
      </c>
      <c r="G917">
        <v>898</v>
      </c>
      <c r="H917" t="s">
        <v>11</v>
      </c>
      <c r="I917" t="s">
        <v>4081</v>
      </c>
      <c r="J917" t="s">
        <v>8724</v>
      </c>
      <c r="K917">
        <v>76910</v>
      </c>
      <c r="L917">
        <v>44866</v>
      </c>
      <c r="M917" t="s">
        <v>980</v>
      </c>
      <c r="N917">
        <v>76910</v>
      </c>
      <c r="O917" t="e">
        <v>#N/A</v>
      </c>
    </row>
    <row r="918" spans="2:15" hidden="1" x14ac:dyDescent="0.3">
      <c r="B918" t="s">
        <v>8</v>
      </c>
      <c r="C918">
        <v>928</v>
      </c>
      <c r="D918" t="s">
        <v>13</v>
      </c>
      <c r="E918">
        <v>1184</v>
      </c>
      <c r="F918" t="s">
        <v>59</v>
      </c>
      <c r="G918">
        <v>9</v>
      </c>
      <c r="H918" t="s">
        <v>11</v>
      </c>
      <c r="I918" t="s">
        <v>4087</v>
      </c>
      <c r="J918" t="s">
        <v>8725</v>
      </c>
      <c r="K918">
        <v>2740</v>
      </c>
      <c r="L918">
        <v>44866</v>
      </c>
      <c r="M918" t="s">
        <v>981</v>
      </c>
      <c r="N918">
        <v>2740</v>
      </c>
      <c r="O918" t="e">
        <v>#N/A</v>
      </c>
    </row>
    <row r="919" spans="2:15" hidden="1" x14ac:dyDescent="0.3">
      <c r="B919" t="s">
        <v>41</v>
      </c>
      <c r="C919">
        <v>926</v>
      </c>
      <c r="D919" t="s">
        <v>42</v>
      </c>
      <c r="E919">
        <v>964</v>
      </c>
      <c r="F919" t="s">
        <v>43</v>
      </c>
      <c r="G919">
        <v>200998</v>
      </c>
      <c r="H919" t="s">
        <v>11</v>
      </c>
      <c r="I919" t="s">
        <v>4088</v>
      </c>
      <c r="J919" t="s">
        <v>8726</v>
      </c>
      <c r="K919">
        <v>1750</v>
      </c>
      <c r="L919">
        <v>44866</v>
      </c>
      <c r="M919" t="s">
        <v>982</v>
      </c>
      <c r="N919">
        <v>1750</v>
      </c>
      <c r="O919" t="e">
        <v>#N/A</v>
      </c>
    </row>
    <row r="920" spans="2:15" hidden="1" x14ac:dyDescent="0.3">
      <c r="B920" t="s">
        <v>8</v>
      </c>
      <c r="C920">
        <v>928</v>
      </c>
      <c r="D920" t="s">
        <v>9</v>
      </c>
      <c r="E920">
        <v>1202</v>
      </c>
      <c r="F920" t="s">
        <v>31</v>
      </c>
      <c r="G920">
        <v>1040</v>
      </c>
      <c r="H920" t="s">
        <v>11</v>
      </c>
      <c r="I920" t="s">
        <v>4090</v>
      </c>
      <c r="J920" t="s">
        <v>8727</v>
      </c>
      <c r="K920">
        <v>58860</v>
      </c>
      <c r="L920">
        <v>44866</v>
      </c>
      <c r="M920" t="s">
        <v>983</v>
      </c>
      <c r="N920">
        <v>58540</v>
      </c>
      <c r="O920" t="e">
        <v>#N/A</v>
      </c>
    </row>
    <row r="921" spans="2:15" hidden="1" x14ac:dyDescent="0.3">
      <c r="B921" t="s">
        <v>16</v>
      </c>
      <c r="C921">
        <v>927</v>
      </c>
      <c r="D921" t="s">
        <v>17</v>
      </c>
      <c r="E921">
        <v>1200</v>
      </c>
      <c r="F921" t="s">
        <v>29</v>
      </c>
      <c r="G921">
        <v>1496</v>
      </c>
      <c r="H921" t="s">
        <v>11</v>
      </c>
      <c r="I921" t="s">
        <v>4093</v>
      </c>
      <c r="J921" t="s">
        <v>8728</v>
      </c>
      <c r="K921">
        <v>339050</v>
      </c>
      <c r="L921">
        <v>44866</v>
      </c>
      <c r="M921" t="s">
        <v>984</v>
      </c>
      <c r="N921">
        <v>339050</v>
      </c>
      <c r="O921" t="e">
        <v>#N/A</v>
      </c>
    </row>
    <row r="922" spans="2:15" hidden="1" x14ac:dyDescent="0.3">
      <c r="B922" t="s">
        <v>16</v>
      </c>
      <c r="C922">
        <v>927</v>
      </c>
      <c r="D922" t="s">
        <v>17</v>
      </c>
      <c r="E922">
        <v>1200</v>
      </c>
      <c r="F922" t="s">
        <v>93</v>
      </c>
      <c r="G922">
        <v>930</v>
      </c>
      <c r="H922" t="s">
        <v>11</v>
      </c>
      <c r="I922" t="s">
        <v>4094</v>
      </c>
      <c r="J922" t="s">
        <v>8729</v>
      </c>
      <c r="K922">
        <v>1891460</v>
      </c>
      <c r="L922">
        <v>44866</v>
      </c>
      <c r="M922" t="s">
        <v>985</v>
      </c>
      <c r="N922">
        <v>1892740</v>
      </c>
      <c r="O922" t="e">
        <v>#N/A</v>
      </c>
    </row>
    <row r="923" spans="2:15" hidden="1" x14ac:dyDescent="0.3">
      <c r="B923" t="s">
        <v>8</v>
      </c>
      <c r="C923">
        <v>928</v>
      </c>
      <c r="D923" t="s">
        <v>223</v>
      </c>
      <c r="E923">
        <v>966</v>
      </c>
      <c r="F923" t="s">
        <v>986</v>
      </c>
      <c r="G923">
        <v>201098</v>
      </c>
      <c r="H923" t="s">
        <v>11</v>
      </c>
      <c r="I923" t="s">
        <v>4101</v>
      </c>
      <c r="J923" t="s">
        <v>8730</v>
      </c>
      <c r="K923">
        <v>9947080</v>
      </c>
      <c r="L923">
        <v>44866</v>
      </c>
      <c r="M923" t="s">
        <v>987</v>
      </c>
      <c r="N923">
        <v>8447110</v>
      </c>
      <c r="O923" t="e">
        <v>#N/A</v>
      </c>
    </row>
    <row r="924" spans="2:15" hidden="1" x14ac:dyDescent="0.3">
      <c r="B924" t="s">
        <v>41</v>
      </c>
      <c r="C924">
        <v>926</v>
      </c>
      <c r="D924" t="s">
        <v>56</v>
      </c>
      <c r="E924">
        <v>1207</v>
      </c>
      <c r="F924" t="s">
        <v>64</v>
      </c>
      <c r="G924">
        <v>201011</v>
      </c>
      <c r="H924" t="s">
        <v>11</v>
      </c>
      <c r="I924" t="s">
        <v>4104</v>
      </c>
      <c r="J924" t="s">
        <v>8731</v>
      </c>
      <c r="K924">
        <v>298630</v>
      </c>
      <c r="L924">
        <v>44866</v>
      </c>
      <c r="M924" t="s">
        <v>988</v>
      </c>
      <c r="N924">
        <v>298630</v>
      </c>
      <c r="O924" t="e">
        <v>#N/A</v>
      </c>
    </row>
    <row r="925" spans="2:15" hidden="1" x14ac:dyDescent="0.3">
      <c r="B925" t="s">
        <v>8</v>
      </c>
      <c r="C925">
        <v>928</v>
      </c>
      <c r="D925" t="s">
        <v>13</v>
      </c>
      <c r="E925">
        <v>1184</v>
      </c>
      <c r="F925" t="s">
        <v>102</v>
      </c>
      <c r="G925">
        <v>917</v>
      </c>
      <c r="H925" t="s">
        <v>11</v>
      </c>
      <c r="I925" t="s">
        <v>4109</v>
      </c>
      <c r="J925" t="s">
        <v>8732</v>
      </c>
      <c r="K925">
        <v>66310</v>
      </c>
      <c r="L925">
        <v>44866</v>
      </c>
      <c r="M925" t="s">
        <v>989</v>
      </c>
      <c r="N925">
        <v>66310</v>
      </c>
      <c r="O925" t="e">
        <v>#N/A</v>
      </c>
    </row>
    <row r="926" spans="2:15" hidden="1" x14ac:dyDescent="0.3">
      <c r="B926" t="s">
        <v>8</v>
      </c>
      <c r="C926">
        <v>928</v>
      </c>
      <c r="D926" t="s">
        <v>9</v>
      </c>
      <c r="E926">
        <v>1202</v>
      </c>
      <c r="F926" t="s">
        <v>122</v>
      </c>
      <c r="G926">
        <v>251</v>
      </c>
      <c r="H926" t="s">
        <v>11</v>
      </c>
      <c r="I926" t="s">
        <v>4110</v>
      </c>
      <c r="J926" t="s">
        <v>8733</v>
      </c>
      <c r="K926">
        <v>328360</v>
      </c>
      <c r="L926">
        <v>44866</v>
      </c>
      <c r="M926" t="s">
        <v>990</v>
      </c>
      <c r="N926">
        <v>329670</v>
      </c>
      <c r="O926" t="e">
        <v>#N/A</v>
      </c>
    </row>
    <row r="927" spans="2:15" hidden="1" x14ac:dyDescent="0.3">
      <c r="B927" t="s">
        <v>16</v>
      </c>
      <c r="C927">
        <v>927</v>
      </c>
      <c r="D927" t="s">
        <v>17</v>
      </c>
      <c r="E927">
        <v>1200</v>
      </c>
      <c r="F927" t="s">
        <v>244</v>
      </c>
      <c r="G927">
        <v>817</v>
      </c>
      <c r="H927" t="s">
        <v>11</v>
      </c>
      <c r="I927" t="s">
        <v>4111</v>
      </c>
      <c r="J927" t="s">
        <v>8734</v>
      </c>
      <c r="K927">
        <v>1199410</v>
      </c>
      <c r="L927">
        <v>44866</v>
      </c>
      <c r="M927" t="s">
        <v>991</v>
      </c>
      <c r="N927">
        <v>1199410</v>
      </c>
      <c r="O927" t="e">
        <v>#N/A</v>
      </c>
    </row>
    <row r="928" spans="2:15" hidden="1" x14ac:dyDescent="0.3">
      <c r="B928" t="s">
        <v>16</v>
      </c>
      <c r="C928">
        <v>927</v>
      </c>
      <c r="D928" t="s">
        <v>17</v>
      </c>
      <c r="E928">
        <v>1200</v>
      </c>
      <c r="F928" t="s">
        <v>100</v>
      </c>
      <c r="G928">
        <v>201038</v>
      </c>
      <c r="H928" t="s">
        <v>11</v>
      </c>
      <c r="I928" t="s">
        <v>4114</v>
      </c>
      <c r="J928" t="s">
        <v>8735</v>
      </c>
      <c r="K928">
        <v>104640</v>
      </c>
      <c r="L928">
        <v>44866</v>
      </c>
      <c r="M928" t="s">
        <v>992</v>
      </c>
      <c r="N928">
        <v>104840</v>
      </c>
      <c r="O928" t="e">
        <v>#N/A</v>
      </c>
    </row>
    <row r="929" spans="2:15" hidden="1" x14ac:dyDescent="0.3">
      <c r="B929" t="s">
        <v>8</v>
      </c>
      <c r="C929">
        <v>928</v>
      </c>
      <c r="D929" t="s">
        <v>9</v>
      </c>
      <c r="E929">
        <v>1202</v>
      </c>
      <c r="F929" t="s">
        <v>104</v>
      </c>
      <c r="G929">
        <v>201009</v>
      </c>
      <c r="H929" t="s">
        <v>11</v>
      </c>
      <c r="I929" t="s">
        <v>4117</v>
      </c>
      <c r="J929" t="s">
        <v>8736</v>
      </c>
      <c r="K929">
        <v>41590</v>
      </c>
      <c r="L929">
        <v>44866</v>
      </c>
      <c r="M929" t="s">
        <v>993</v>
      </c>
      <c r="N929">
        <v>34660</v>
      </c>
      <c r="O929" t="e">
        <v>#N/A</v>
      </c>
    </row>
    <row r="930" spans="2:15" hidden="1" x14ac:dyDescent="0.3">
      <c r="B930" t="s">
        <v>16</v>
      </c>
      <c r="C930">
        <v>927</v>
      </c>
      <c r="D930" t="s">
        <v>17</v>
      </c>
      <c r="E930">
        <v>1200</v>
      </c>
      <c r="F930" t="s">
        <v>371</v>
      </c>
      <c r="G930">
        <v>551</v>
      </c>
      <c r="H930" t="s">
        <v>11</v>
      </c>
      <c r="I930" t="s">
        <v>4118</v>
      </c>
      <c r="J930" t="s">
        <v>8737</v>
      </c>
      <c r="K930">
        <v>195320</v>
      </c>
      <c r="L930">
        <v>44866</v>
      </c>
      <c r="M930" t="s">
        <v>994</v>
      </c>
      <c r="N930">
        <v>195320</v>
      </c>
      <c r="O930" t="e">
        <v>#N/A</v>
      </c>
    </row>
    <row r="931" spans="2:15" hidden="1" x14ac:dyDescent="0.3">
      <c r="B931" t="s">
        <v>41</v>
      </c>
      <c r="C931">
        <v>926</v>
      </c>
      <c r="D931" t="s">
        <v>56</v>
      </c>
      <c r="E931">
        <v>1207</v>
      </c>
      <c r="F931" t="s">
        <v>57</v>
      </c>
      <c r="G931">
        <v>200982</v>
      </c>
      <c r="H931" t="s">
        <v>11</v>
      </c>
      <c r="I931" t="s">
        <v>4120</v>
      </c>
      <c r="J931" t="s">
        <v>8738</v>
      </c>
      <c r="K931">
        <v>183850</v>
      </c>
      <c r="L931">
        <v>44866</v>
      </c>
      <c r="M931" t="s">
        <v>995</v>
      </c>
      <c r="N931">
        <v>183850</v>
      </c>
      <c r="O931" t="e">
        <v>#N/A</v>
      </c>
    </row>
    <row r="932" spans="2:15" hidden="1" x14ac:dyDescent="0.3">
      <c r="B932" t="s">
        <v>8</v>
      </c>
      <c r="C932">
        <v>928</v>
      </c>
      <c r="D932" t="s">
        <v>9</v>
      </c>
      <c r="E932">
        <v>1202</v>
      </c>
      <c r="F932" t="s">
        <v>10</v>
      </c>
      <c r="G932">
        <v>939</v>
      </c>
      <c r="H932" t="s">
        <v>11</v>
      </c>
      <c r="I932" t="s">
        <v>4122</v>
      </c>
      <c r="J932" t="s">
        <v>8739</v>
      </c>
      <c r="K932">
        <v>770</v>
      </c>
      <c r="L932">
        <v>44866</v>
      </c>
      <c r="M932" t="s">
        <v>996</v>
      </c>
      <c r="N932">
        <v>770</v>
      </c>
      <c r="O932" t="e">
        <v>#N/A</v>
      </c>
    </row>
    <row r="933" spans="2:15" hidden="1" x14ac:dyDescent="0.3">
      <c r="B933" t="s">
        <v>16</v>
      </c>
      <c r="C933">
        <v>927</v>
      </c>
      <c r="D933" t="s">
        <v>17</v>
      </c>
      <c r="E933">
        <v>1200</v>
      </c>
      <c r="F933" t="s">
        <v>137</v>
      </c>
      <c r="G933">
        <v>1012</v>
      </c>
      <c r="H933" t="s">
        <v>11</v>
      </c>
      <c r="I933" t="s">
        <v>4126</v>
      </c>
      <c r="J933" t="s">
        <v>8740</v>
      </c>
      <c r="K933">
        <v>2709110</v>
      </c>
      <c r="L933">
        <v>44866</v>
      </c>
      <c r="M933" t="s">
        <v>997</v>
      </c>
      <c r="N933">
        <v>2709110</v>
      </c>
      <c r="O933" t="e">
        <v>#N/A</v>
      </c>
    </row>
    <row r="934" spans="2:15" hidden="1" x14ac:dyDescent="0.3">
      <c r="B934" t="s">
        <v>8</v>
      </c>
      <c r="C934">
        <v>928</v>
      </c>
      <c r="D934" t="s">
        <v>9</v>
      </c>
      <c r="E934">
        <v>1202</v>
      </c>
      <c r="F934" t="s">
        <v>35</v>
      </c>
      <c r="G934">
        <v>51</v>
      </c>
      <c r="H934" t="s">
        <v>11</v>
      </c>
      <c r="I934" t="s">
        <v>4131</v>
      </c>
      <c r="J934" t="s">
        <v>8741</v>
      </c>
      <c r="K934">
        <v>69350</v>
      </c>
      <c r="L934">
        <v>44866</v>
      </c>
      <c r="M934" t="s">
        <v>998</v>
      </c>
      <c r="N934">
        <v>69350</v>
      </c>
      <c r="O934" t="e">
        <v>#N/A</v>
      </c>
    </row>
    <row r="935" spans="2:15" hidden="1" x14ac:dyDescent="0.3">
      <c r="B935" t="s">
        <v>41</v>
      </c>
      <c r="C935">
        <v>926</v>
      </c>
      <c r="D935" t="s">
        <v>56</v>
      </c>
      <c r="E935">
        <v>1207</v>
      </c>
      <c r="F935" t="s">
        <v>57</v>
      </c>
      <c r="G935">
        <v>200982</v>
      </c>
      <c r="H935" t="s">
        <v>11</v>
      </c>
      <c r="I935" t="s">
        <v>4134</v>
      </c>
      <c r="J935" t="s">
        <v>8742</v>
      </c>
      <c r="K935">
        <v>543340</v>
      </c>
      <c r="L935">
        <v>44866</v>
      </c>
      <c r="M935" t="s">
        <v>999</v>
      </c>
      <c r="N935">
        <v>543340</v>
      </c>
      <c r="O935" t="e">
        <v>#N/A</v>
      </c>
    </row>
    <row r="936" spans="2:15" hidden="1" x14ac:dyDescent="0.3">
      <c r="B936" t="s">
        <v>41</v>
      </c>
      <c r="C936">
        <v>926</v>
      </c>
      <c r="D936" t="s">
        <v>42</v>
      </c>
      <c r="E936">
        <v>964</v>
      </c>
      <c r="F936" t="s">
        <v>43</v>
      </c>
      <c r="G936">
        <v>200998</v>
      </c>
      <c r="H936" t="s">
        <v>11</v>
      </c>
      <c r="I936" t="s">
        <v>4137</v>
      </c>
      <c r="J936" t="s">
        <v>8743</v>
      </c>
      <c r="K936">
        <v>2030</v>
      </c>
      <c r="L936">
        <v>44866</v>
      </c>
      <c r="M936" t="s">
        <v>1000</v>
      </c>
      <c r="N936">
        <v>2030</v>
      </c>
      <c r="O936" t="e">
        <v>#N/A</v>
      </c>
    </row>
    <row r="937" spans="2:15" hidden="1" x14ac:dyDescent="0.3">
      <c r="B937" t="s">
        <v>16</v>
      </c>
      <c r="C937">
        <v>927</v>
      </c>
      <c r="D937" t="s">
        <v>17</v>
      </c>
      <c r="E937">
        <v>1200</v>
      </c>
      <c r="F937" t="s">
        <v>18</v>
      </c>
      <c r="G937">
        <v>201116</v>
      </c>
      <c r="H937" t="s">
        <v>11</v>
      </c>
      <c r="I937" t="s">
        <v>4142</v>
      </c>
      <c r="J937" t="s">
        <v>8744</v>
      </c>
      <c r="K937">
        <v>1622990</v>
      </c>
      <c r="L937">
        <v>44866</v>
      </c>
      <c r="M937" t="s">
        <v>1001</v>
      </c>
      <c r="N937">
        <v>1622990</v>
      </c>
      <c r="O937" t="e">
        <v>#N/A</v>
      </c>
    </row>
    <row r="938" spans="2:15" hidden="1" x14ac:dyDescent="0.3">
      <c r="B938" t="s">
        <v>8</v>
      </c>
      <c r="C938">
        <v>928</v>
      </c>
      <c r="D938" t="s">
        <v>9</v>
      </c>
      <c r="E938">
        <v>1202</v>
      </c>
      <c r="F938" t="s">
        <v>104</v>
      </c>
      <c r="G938">
        <v>201009</v>
      </c>
      <c r="H938" t="s">
        <v>11</v>
      </c>
      <c r="I938" t="s">
        <v>4146</v>
      </c>
      <c r="J938" t="s">
        <v>8745</v>
      </c>
      <c r="K938">
        <v>4985990</v>
      </c>
      <c r="L938">
        <v>44866</v>
      </c>
      <c r="M938" t="s">
        <v>1002</v>
      </c>
      <c r="N938">
        <v>4985990</v>
      </c>
      <c r="O938" t="e">
        <v>#N/A</v>
      </c>
    </row>
    <row r="939" spans="2:15" hidden="1" x14ac:dyDescent="0.3">
      <c r="B939" t="s">
        <v>41</v>
      </c>
      <c r="C939">
        <v>926</v>
      </c>
      <c r="D939" t="s">
        <v>56</v>
      </c>
      <c r="E939">
        <v>1207</v>
      </c>
      <c r="F939" t="s">
        <v>62</v>
      </c>
      <c r="G939">
        <v>201037</v>
      </c>
      <c r="H939" t="s">
        <v>11</v>
      </c>
      <c r="I939" t="s">
        <v>4148</v>
      </c>
      <c r="J939" t="s">
        <v>8746</v>
      </c>
      <c r="K939">
        <v>573646</v>
      </c>
      <c r="L939">
        <v>44866</v>
      </c>
      <c r="M939" t="s">
        <v>1003</v>
      </c>
      <c r="N939">
        <v>710010</v>
      </c>
      <c r="O939" t="e">
        <v>#N/A</v>
      </c>
    </row>
    <row r="940" spans="2:15" hidden="1" x14ac:dyDescent="0.3">
      <c r="B940" t="s">
        <v>8</v>
      </c>
      <c r="C940">
        <v>928</v>
      </c>
      <c r="D940" t="s">
        <v>9</v>
      </c>
      <c r="E940">
        <v>1202</v>
      </c>
      <c r="F940" t="s">
        <v>110</v>
      </c>
      <c r="G940">
        <v>929</v>
      </c>
      <c r="H940" t="s">
        <v>11</v>
      </c>
      <c r="I940" t="s">
        <v>4150</v>
      </c>
      <c r="J940" t="s">
        <v>8747</v>
      </c>
      <c r="K940">
        <v>1575980</v>
      </c>
      <c r="L940">
        <v>44866</v>
      </c>
      <c r="M940" t="s">
        <v>1004</v>
      </c>
      <c r="N940">
        <v>1575980</v>
      </c>
      <c r="O940" t="e">
        <v>#N/A</v>
      </c>
    </row>
    <row r="941" spans="2:15" hidden="1" x14ac:dyDescent="0.3">
      <c r="B941" t="s">
        <v>41</v>
      </c>
      <c r="C941">
        <v>926</v>
      </c>
      <c r="D941" t="s">
        <v>56</v>
      </c>
      <c r="E941">
        <v>1207</v>
      </c>
      <c r="F941" t="s">
        <v>64</v>
      </c>
      <c r="G941">
        <v>201011</v>
      </c>
      <c r="H941" t="s">
        <v>11</v>
      </c>
      <c r="I941" t="s">
        <v>4151</v>
      </c>
      <c r="J941" t="s">
        <v>8748</v>
      </c>
      <c r="K941">
        <v>2667342</v>
      </c>
      <c r="L941">
        <v>44866</v>
      </c>
      <c r="M941" t="s">
        <v>1005</v>
      </c>
      <c r="N941">
        <v>2671190</v>
      </c>
      <c r="O941" t="e">
        <v>#N/A</v>
      </c>
    </row>
    <row r="942" spans="2:15" hidden="1" x14ac:dyDescent="0.3">
      <c r="B942" t="s">
        <v>41</v>
      </c>
      <c r="C942">
        <v>926</v>
      </c>
      <c r="D942" t="s">
        <v>56</v>
      </c>
      <c r="E942">
        <v>1207</v>
      </c>
      <c r="F942" t="s">
        <v>57</v>
      </c>
      <c r="G942">
        <v>200982</v>
      </c>
      <c r="H942" t="s">
        <v>11</v>
      </c>
      <c r="I942" t="s">
        <v>4156</v>
      </c>
      <c r="J942" t="s">
        <v>8749</v>
      </c>
      <c r="K942">
        <v>25270</v>
      </c>
      <c r="L942">
        <v>44866</v>
      </c>
      <c r="M942" t="s">
        <v>1006</v>
      </c>
      <c r="N942">
        <v>26020</v>
      </c>
      <c r="O942" t="e">
        <v>#N/A</v>
      </c>
    </row>
    <row r="943" spans="2:15" hidden="1" x14ac:dyDescent="0.3">
      <c r="B943" t="s">
        <v>41</v>
      </c>
      <c r="C943">
        <v>926</v>
      </c>
      <c r="D943" t="s">
        <v>56</v>
      </c>
      <c r="E943">
        <v>1207</v>
      </c>
      <c r="F943" t="s">
        <v>62</v>
      </c>
      <c r="G943">
        <v>201037</v>
      </c>
      <c r="H943" t="s">
        <v>11</v>
      </c>
      <c r="I943" t="s">
        <v>4159</v>
      </c>
      <c r="J943" t="s">
        <v>8750</v>
      </c>
      <c r="K943">
        <v>169960</v>
      </c>
      <c r="L943">
        <v>44866</v>
      </c>
      <c r="M943" t="s">
        <v>1007</v>
      </c>
      <c r="N943">
        <v>169960</v>
      </c>
      <c r="O943" t="e">
        <v>#N/A</v>
      </c>
    </row>
    <row r="944" spans="2:15" hidden="1" x14ac:dyDescent="0.3">
      <c r="B944" t="s">
        <v>41</v>
      </c>
      <c r="C944">
        <v>926</v>
      </c>
      <c r="D944" t="s">
        <v>56</v>
      </c>
      <c r="E944">
        <v>1207</v>
      </c>
      <c r="F944" t="s">
        <v>64</v>
      </c>
      <c r="G944">
        <v>201011</v>
      </c>
      <c r="H944" t="s">
        <v>11</v>
      </c>
      <c r="I944" t="s">
        <v>4160</v>
      </c>
      <c r="J944" t="s">
        <v>8751</v>
      </c>
      <c r="K944">
        <v>641440</v>
      </c>
      <c r="L944">
        <v>44866</v>
      </c>
      <c r="M944" t="s">
        <v>1008</v>
      </c>
      <c r="N944">
        <v>641440</v>
      </c>
      <c r="O944" t="e">
        <v>#N/A</v>
      </c>
    </row>
    <row r="945" spans="2:15" hidden="1" x14ac:dyDescent="0.3">
      <c r="B945" t="s">
        <v>8</v>
      </c>
      <c r="C945">
        <v>928</v>
      </c>
      <c r="D945" t="s">
        <v>9</v>
      </c>
      <c r="E945">
        <v>1202</v>
      </c>
      <c r="F945" t="s">
        <v>47</v>
      </c>
      <c r="G945">
        <v>898</v>
      </c>
      <c r="H945" t="s">
        <v>11</v>
      </c>
      <c r="I945" t="s">
        <v>4163</v>
      </c>
      <c r="J945" t="s">
        <v>8752</v>
      </c>
      <c r="K945">
        <v>5623510</v>
      </c>
      <c r="L945">
        <v>44866</v>
      </c>
      <c r="M945" t="s">
        <v>1009</v>
      </c>
      <c r="N945">
        <v>5623510</v>
      </c>
      <c r="O945" t="e">
        <v>#N/A</v>
      </c>
    </row>
    <row r="946" spans="2:15" hidden="1" x14ac:dyDescent="0.3">
      <c r="B946" t="s">
        <v>8</v>
      </c>
      <c r="C946">
        <v>928</v>
      </c>
      <c r="D946" t="s">
        <v>9</v>
      </c>
      <c r="E946">
        <v>1202</v>
      </c>
      <c r="F946" t="s">
        <v>47</v>
      </c>
      <c r="G946">
        <v>898</v>
      </c>
      <c r="H946" t="s">
        <v>11</v>
      </c>
      <c r="I946" t="s">
        <v>4164</v>
      </c>
      <c r="J946" t="s">
        <v>8753</v>
      </c>
      <c r="K946">
        <v>15190</v>
      </c>
      <c r="L946">
        <v>44866</v>
      </c>
      <c r="M946" t="s">
        <v>1010</v>
      </c>
      <c r="N946">
        <v>15190</v>
      </c>
      <c r="O946" t="e">
        <v>#N/A</v>
      </c>
    </row>
    <row r="947" spans="2:15" hidden="1" x14ac:dyDescent="0.3">
      <c r="B947" t="s">
        <v>8</v>
      </c>
      <c r="C947">
        <v>928</v>
      </c>
      <c r="D947" t="s">
        <v>13</v>
      </c>
      <c r="E947">
        <v>1184</v>
      </c>
      <c r="F947" t="s">
        <v>14</v>
      </c>
      <c r="G947">
        <v>914</v>
      </c>
      <c r="H947" t="s">
        <v>11</v>
      </c>
      <c r="I947" t="s">
        <v>4168</v>
      </c>
      <c r="J947" t="s">
        <v>8754</v>
      </c>
      <c r="K947">
        <v>772070</v>
      </c>
      <c r="L947">
        <v>44866</v>
      </c>
      <c r="M947" t="s">
        <v>323</v>
      </c>
      <c r="N947">
        <v>772070</v>
      </c>
      <c r="O947" t="e">
        <v>#N/A</v>
      </c>
    </row>
    <row r="948" spans="2:15" hidden="1" x14ac:dyDescent="0.3">
      <c r="B948" t="s">
        <v>41</v>
      </c>
      <c r="C948">
        <v>926</v>
      </c>
      <c r="D948" t="s">
        <v>42</v>
      </c>
      <c r="E948">
        <v>964</v>
      </c>
      <c r="F948" t="s">
        <v>43</v>
      </c>
      <c r="G948">
        <v>200998</v>
      </c>
      <c r="H948" t="s">
        <v>11</v>
      </c>
      <c r="I948" t="s">
        <v>4172</v>
      </c>
      <c r="J948" t="s">
        <v>8755</v>
      </c>
      <c r="K948">
        <v>2900</v>
      </c>
      <c r="L948">
        <v>44866</v>
      </c>
      <c r="M948" t="s">
        <v>1011</v>
      </c>
      <c r="N948">
        <v>2900</v>
      </c>
      <c r="O948" t="e">
        <v>#N/A</v>
      </c>
    </row>
    <row r="949" spans="2:15" hidden="1" x14ac:dyDescent="0.3">
      <c r="B949" t="s">
        <v>16</v>
      </c>
      <c r="C949">
        <v>927</v>
      </c>
      <c r="D949" t="s">
        <v>17</v>
      </c>
      <c r="E949">
        <v>1200</v>
      </c>
      <c r="F949" t="s">
        <v>93</v>
      </c>
      <c r="G949">
        <v>930</v>
      </c>
      <c r="H949" t="s">
        <v>11</v>
      </c>
      <c r="I949" t="s">
        <v>4176</v>
      </c>
      <c r="J949" t="s">
        <v>8756</v>
      </c>
      <c r="K949">
        <v>3834450</v>
      </c>
      <c r="L949">
        <v>44866</v>
      </c>
      <c r="M949" t="s">
        <v>1012</v>
      </c>
      <c r="N949">
        <v>3834450</v>
      </c>
      <c r="O949" t="e">
        <v>#N/A</v>
      </c>
    </row>
    <row r="950" spans="2:15" hidden="1" x14ac:dyDescent="0.3">
      <c r="B950" t="s">
        <v>8</v>
      </c>
      <c r="C950">
        <v>928</v>
      </c>
      <c r="D950" t="s">
        <v>9</v>
      </c>
      <c r="E950">
        <v>1202</v>
      </c>
      <c r="F950" t="s">
        <v>31</v>
      </c>
      <c r="G950">
        <v>1040</v>
      </c>
      <c r="H950" t="s">
        <v>11</v>
      </c>
      <c r="I950" t="s">
        <v>4179</v>
      </c>
      <c r="J950" t="s">
        <v>8757</v>
      </c>
      <c r="K950">
        <v>42960</v>
      </c>
      <c r="L950">
        <v>44866</v>
      </c>
      <c r="M950" t="s">
        <v>1013</v>
      </c>
      <c r="N950">
        <v>42960</v>
      </c>
      <c r="O950" t="e">
        <v>#N/A</v>
      </c>
    </row>
    <row r="951" spans="2:15" hidden="1" x14ac:dyDescent="0.3">
      <c r="B951" t="s">
        <v>8</v>
      </c>
      <c r="C951">
        <v>928</v>
      </c>
      <c r="D951" t="s">
        <v>9</v>
      </c>
      <c r="E951">
        <v>1202</v>
      </c>
      <c r="F951" t="s">
        <v>45</v>
      </c>
      <c r="G951">
        <v>26</v>
      </c>
      <c r="H951" t="s">
        <v>11</v>
      </c>
      <c r="I951" t="s">
        <v>4180</v>
      </c>
      <c r="J951" t="s">
        <v>8758</v>
      </c>
      <c r="K951">
        <v>964520</v>
      </c>
      <c r="L951">
        <v>44866</v>
      </c>
      <c r="M951" t="s">
        <v>1014</v>
      </c>
      <c r="N951">
        <v>964520</v>
      </c>
      <c r="O951" t="e">
        <v>#N/A</v>
      </c>
    </row>
    <row r="952" spans="2:15" hidden="1" x14ac:dyDescent="0.3">
      <c r="B952" t="s">
        <v>8</v>
      </c>
      <c r="C952">
        <v>928</v>
      </c>
      <c r="D952" t="s">
        <v>9</v>
      </c>
      <c r="E952">
        <v>1202</v>
      </c>
      <c r="F952" t="s">
        <v>20</v>
      </c>
      <c r="G952">
        <v>938</v>
      </c>
      <c r="H952" t="s">
        <v>11</v>
      </c>
      <c r="I952" t="s">
        <v>8759</v>
      </c>
      <c r="J952" t="s">
        <v>6912</v>
      </c>
      <c r="K952">
        <v>363570</v>
      </c>
      <c r="L952">
        <v>44866</v>
      </c>
      <c r="M952" t="s">
        <v>1015</v>
      </c>
      <c r="N952" t="e">
        <v>#N/A</v>
      </c>
      <c r="O952" t="s">
        <v>6913</v>
      </c>
    </row>
    <row r="953" spans="2:15" hidden="1" x14ac:dyDescent="0.3">
      <c r="B953" t="s">
        <v>8</v>
      </c>
      <c r="C953">
        <v>928</v>
      </c>
      <c r="D953" t="s">
        <v>9</v>
      </c>
      <c r="E953">
        <v>1202</v>
      </c>
      <c r="F953" t="s">
        <v>35</v>
      </c>
      <c r="G953">
        <v>51</v>
      </c>
      <c r="H953" t="s">
        <v>11</v>
      </c>
      <c r="I953" t="s">
        <v>4185</v>
      </c>
      <c r="J953" t="s">
        <v>8760</v>
      </c>
      <c r="K953">
        <v>776305</v>
      </c>
      <c r="L953">
        <v>44866</v>
      </c>
      <c r="M953" t="s">
        <v>1016</v>
      </c>
      <c r="N953">
        <v>342980</v>
      </c>
      <c r="O953" t="e">
        <v>#N/A</v>
      </c>
    </row>
    <row r="954" spans="2:15" hidden="1" x14ac:dyDescent="0.3">
      <c r="B954" t="s">
        <v>8</v>
      </c>
      <c r="C954">
        <v>928</v>
      </c>
      <c r="D954" t="s">
        <v>13</v>
      </c>
      <c r="E954">
        <v>1184</v>
      </c>
      <c r="F954" t="s">
        <v>115</v>
      </c>
      <c r="G954">
        <v>1548</v>
      </c>
      <c r="H954" t="s">
        <v>11</v>
      </c>
      <c r="I954" t="s">
        <v>4186</v>
      </c>
      <c r="J954" t="s">
        <v>8761</v>
      </c>
      <c r="K954">
        <v>179540</v>
      </c>
      <c r="L954">
        <v>44866</v>
      </c>
      <c r="M954" t="s">
        <v>1017</v>
      </c>
      <c r="N954">
        <v>179540</v>
      </c>
      <c r="O954" t="e">
        <v>#N/A</v>
      </c>
    </row>
    <row r="955" spans="2:15" hidden="1" x14ac:dyDescent="0.3">
      <c r="B955" t="s">
        <v>8</v>
      </c>
      <c r="C955">
        <v>928</v>
      </c>
      <c r="D955" t="s">
        <v>9</v>
      </c>
      <c r="E955">
        <v>1202</v>
      </c>
      <c r="F955" t="s">
        <v>20</v>
      </c>
      <c r="G955">
        <v>938</v>
      </c>
      <c r="H955" t="s">
        <v>11</v>
      </c>
      <c r="I955" t="s">
        <v>4190</v>
      </c>
      <c r="J955" t="s">
        <v>8762</v>
      </c>
      <c r="K955">
        <v>236370</v>
      </c>
      <c r="L955">
        <v>44866</v>
      </c>
      <c r="M955" t="s">
        <v>1018</v>
      </c>
      <c r="N955">
        <v>236370</v>
      </c>
      <c r="O955" t="e">
        <v>#N/A</v>
      </c>
    </row>
    <row r="956" spans="2:15" hidden="1" x14ac:dyDescent="0.3">
      <c r="B956" t="s">
        <v>8</v>
      </c>
      <c r="C956">
        <v>928</v>
      </c>
      <c r="D956" t="s">
        <v>9</v>
      </c>
      <c r="E956">
        <v>1202</v>
      </c>
      <c r="F956" t="s">
        <v>35</v>
      </c>
      <c r="G956">
        <v>51</v>
      </c>
      <c r="H956" t="s">
        <v>11</v>
      </c>
      <c r="I956" t="s">
        <v>4194</v>
      </c>
      <c r="J956" t="s">
        <v>8763</v>
      </c>
      <c r="K956">
        <v>610210</v>
      </c>
      <c r="L956">
        <v>44866</v>
      </c>
      <c r="M956" t="s">
        <v>1019</v>
      </c>
      <c r="N956">
        <v>610210</v>
      </c>
      <c r="O956" t="e">
        <v>#N/A</v>
      </c>
    </row>
    <row r="957" spans="2:15" hidden="1" x14ac:dyDescent="0.3">
      <c r="B957" t="s">
        <v>16</v>
      </c>
      <c r="C957">
        <v>927</v>
      </c>
      <c r="D957" t="s">
        <v>17</v>
      </c>
      <c r="E957">
        <v>1200</v>
      </c>
      <c r="F957" t="s">
        <v>262</v>
      </c>
      <c r="G957">
        <v>1594</v>
      </c>
      <c r="H957" t="s">
        <v>11</v>
      </c>
      <c r="I957" t="s">
        <v>4201</v>
      </c>
      <c r="J957" t="s">
        <v>8764</v>
      </c>
      <c r="K957">
        <v>1021190</v>
      </c>
      <c r="L957">
        <v>44866</v>
      </c>
      <c r="M957" t="s">
        <v>1020</v>
      </c>
      <c r="N957">
        <v>1021190</v>
      </c>
      <c r="O957" t="e">
        <v>#N/A</v>
      </c>
    </row>
    <row r="958" spans="2:15" hidden="1" x14ac:dyDescent="0.3">
      <c r="B958" t="s">
        <v>8</v>
      </c>
      <c r="C958">
        <v>928</v>
      </c>
      <c r="D958" t="s">
        <v>9</v>
      </c>
      <c r="E958">
        <v>1202</v>
      </c>
      <c r="F958" t="s">
        <v>37</v>
      </c>
      <c r="G958">
        <v>81</v>
      </c>
      <c r="H958" t="s">
        <v>11</v>
      </c>
      <c r="I958" t="s">
        <v>4203</v>
      </c>
      <c r="J958" t="s">
        <v>8765</v>
      </c>
      <c r="K958">
        <v>335820</v>
      </c>
      <c r="L958">
        <v>44866</v>
      </c>
      <c r="M958" t="s">
        <v>1021</v>
      </c>
      <c r="N958">
        <v>335820</v>
      </c>
      <c r="O958" t="e">
        <v>#N/A</v>
      </c>
    </row>
    <row r="959" spans="2:15" hidden="1" x14ac:dyDescent="0.3">
      <c r="B959" t="s">
        <v>8</v>
      </c>
      <c r="C959">
        <v>928</v>
      </c>
      <c r="D959" t="s">
        <v>9</v>
      </c>
      <c r="E959">
        <v>1202</v>
      </c>
      <c r="F959" t="s">
        <v>37</v>
      </c>
      <c r="G959">
        <v>81</v>
      </c>
      <c r="H959" t="s">
        <v>11</v>
      </c>
      <c r="I959" t="s">
        <v>4204</v>
      </c>
      <c r="J959" t="s">
        <v>8766</v>
      </c>
      <c r="K959">
        <v>656740</v>
      </c>
      <c r="L959">
        <v>44866</v>
      </c>
      <c r="M959" t="s">
        <v>1022</v>
      </c>
      <c r="N959">
        <v>656740</v>
      </c>
      <c r="O959" t="e">
        <v>#N/A</v>
      </c>
    </row>
    <row r="960" spans="2:15" hidden="1" x14ac:dyDescent="0.3">
      <c r="B960" t="s">
        <v>8</v>
      </c>
      <c r="C960">
        <v>928</v>
      </c>
      <c r="D960" t="s">
        <v>9</v>
      </c>
      <c r="E960">
        <v>1202</v>
      </c>
      <c r="F960" t="s">
        <v>47</v>
      </c>
      <c r="G960">
        <v>898</v>
      </c>
      <c r="H960" t="s">
        <v>11</v>
      </c>
      <c r="I960" t="s">
        <v>4208</v>
      </c>
      <c r="J960" t="s">
        <v>8767</v>
      </c>
      <c r="K960">
        <v>558970</v>
      </c>
      <c r="L960">
        <v>44866</v>
      </c>
      <c r="M960" t="s">
        <v>1023</v>
      </c>
      <c r="N960">
        <v>558970</v>
      </c>
      <c r="O960" t="e">
        <v>#N/A</v>
      </c>
    </row>
    <row r="961" spans="2:15" hidden="1" x14ac:dyDescent="0.3">
      <c r="B961" t="s">
        <v>8</v>
      </c>
      <c r="C961">
        <v>928</v>
      </c>
      <c r="D961" t="s">
        <v>9</v>
      </c>
      <c r="E961">
        <v>1202</v>
      </c>
      <c r="F961" t="s">
        <v>45</v>
      </c>
      <c r="G961">
        <v>26</v>
      </c>
      <c r="H961" t="s">
        <v>11</v>
      </c>
      <c r="I961" t="s">
        <v>4211</v>
      </c>
      <c r="J961" t="s">
        <v>8768</v>
      </c>
      <c r="K961">
        <v>270250</v>
      </c>
      <c r="L961">
        <v>44866</v>
      </c>
      <c r="M961" t="s">
        <v>1024</v>
      </c>
      <c r="N961">
        <v>270250</v>
      </c>
      <c r="O961" t="e">
        <v>#N/A</v>
      </c>
    </row>
    <row r="962" spans="2:15" hidden="1" x14ac:dyDescent="0.3">
      <c r="B962" t="s">
        <v>8</v>
      </c>
      <c r="C962">
        <v>928</v>
      </c>
      <c r="D962" t="s">
        <v>13</v>
      </c>
      <c r="E962">
        <v>1184</v>
      </c>
      <c r="F962" t="s">
        <v>59</v>
      </c>
      <c r="G962">
        <v>9</v>
      </c>
      <c r="H962" t="s">
        <v>11</v>
      </c>
      <c r="I962" t="s">
        <v>4214</v>
      </c>
      <c r="J962" t="s">
        <v>8769</v>
      </c>
      <c r="K962">
        <v>145620</v>
      </c>
      <c r="L962">
        <v>44866</v>
      </c>
      <c r="M962" t="s">
        <v>1025</v>
      </c>
      <c r="N962">
        <v>145620</v>
      </c>
      <c r="O962" t="e">
        <v>#N/A</v>
      </c>
    </row>
    <row r="963" spans="2:15" hidden="1" x14ac:dyDescent="0.3">
      <c r="B963" t="s">
        <v>8</v>
      </c>
      <c r="C963">
        <v>928</v>
      </c>
      <c r="D963" t="s">
        <v>167</v>
      </c>
      <c r="E963">
        <v>935</v>
      </c>
      <c r="F963" t="s">
        <v>168</v>
      </c>
      <c r="G963">
        <v>2</v>
      </c>
      <c r="H963" t="s">
        <v>11</v>
      </c>
      <c r="I963" t="s">
        <v>4223</v>
      </c>
      <c r="J963" t="s">
        <v>8770</v>
      </c>
      <c r="K963">
        <v>2440810</v>
      </c>
      <c r="L963">
        <v>44866</v>
      </c>
      <c r="M963" t="s">
        <v>1026</v>
      </c>
      <c r="N963">
        <v>2450370</v>
      </c>
      <c r="O963" t="e">
        <v>#N/A</v>
      </c>
    </row>
    <row r="964" spans="2:15" hidden="1" x14ac:dyDescent="0.3">
      <c r="B964" t="s">
        <v>8</v>
      </c>
      <c r="C964">
        <v>928</v>
      </c>
      <c r="D964" t="s">
        <v>9</v>
      </c>
      <c r="E964">
        <v>1202</v>
      </c>
      <c r="F964" t="s">
        <v>10</v>
      </c>
      <c r="G964">
        <v>939</v>
      </c>
      <c r="H964" t="s">
        <v>11</v>
      </c>
      <c r="I964" t="s">
        <v>4224</v>
      </c>
      <c r="J964" t="s">
        <v>8771</v>
      </c>
      <c r="K964">
        <v>203330</v>
      </c>
      <c r="L964">
        <v>44866</v>
      </c>
      <c r="M964" t="s">
        <v>1027</v>
      </c>
      <c r="N964">
        <v>203330</v>
      </c>
      <c r="O964" t="e">
        <v>#N/A</v>
      </c>
    </row>
    <row r="965" spans="2:15" hidden="1" x14ac:dyDescent="0.3">
      <c r="B965" t="s">
        <v>8</v>
      </c>
      <c r="C965">
        <v>928</v>
      </c>
      <c r="D965" t="s">
        <v>9</v>
      </c>
      <c r="E965">
        <v>1202</v>
      </c>
      <c r="F965" t="s">
        <v>47</v>
      </c>
      <c r="G965">
        <v>898</v>
      </c>
      <c r="H965" t="s">
        <v>11</v>
      </c>
      <c r="I965" t="s">
        <v>4226</v>
      </c>
      <c r="J965" t="s">
        <v>8772</v>
      </c>
      <c r="K965">
        <v>140</v>
      </c>
      <c r="L965">
        <v>44866</v>
      </c>
      <c r="M965" t="s">
        <v>1028</v>
      </c>
      <c r="N965">
        <v>140</v>
      </c>
      <c r="O965" t="e">
        <v>#N/A</v>
      </c>
    </row>
    <row r="966" spans="2:15" hidden="1" x14ac:dyDescent="0.3">
      <c r="B966" t="s">
        <v>16</v>
      </c>
      <c r="C966">
        <v>927</v>
      </c>
      <c r="D966" t="s">
        <v>17</v>
      </c>
      <c r="E966">
        <v>1200</v>
      </c>
      <c r="F966" t="s">
        <v>262</v>
      </c>
      <c r="G966">
        <v>1594</v>
      </c>
      <c r="H966" t="s">
        <v>11</v>
      </c>
      <c r="I966" t="s">
        <v>4227</v>
      </c>
      <c r="J966" t="s">
        <v>8773</v>
      </c>
      <c r="K966">
        <v>3640364</v>
      </c>
      <c r="L966">
        <v>44866</v>
      </c>
      <c r="M966" t="s">
        <v>1029</v>
      </c>
      <c r="N966">
        <v>1903720</v>
      </c>
      <c r="O966" t="e">
        <v>#N/A</v>
      </c>
    </row>
    <row r="967" spans="2:15" hidden="1" x14ac:dyDescent="0.3">
      <c r="B967" t="s">
        <v>8</v>
      </c>
      <c r="C967">
        <v>928</v>
      </c>
      <c r="D967" t="s">
        <v>13</v>
      </c>
      <c r="E967">
        <v>1184</v>
      </c>
      <c r="F967" t="s">
        <v>59</v>
      </c>
      <c r="G967">
        <v>9</v>
      </c>
      <c r="H967" t="s">
        <v>11</v>
      </c>
      <c r="I967" t="s">
        <v>4228</v>
      </c>
      <c r="J967" t="s">
        <v>8774</v>
      </c>
      <c r="K967">
        <v>16820</v>
      </c>
      <c r="L967">
        <v>44866</v>
      </c>
      <c r="M967" t="s">
        <v>1030</v>
      </c>
      <c r="N967">
        <v>16820</v>
      </c>
      <c r="O967" t="e">
        <v>#N/A</v>
      </c>
    </row>
    <row r="968" spans="2:15" hidden="1" x14ac:dyDescent="0.3">
      <c r="B968" t="s">
        <v>41</v>
      </c>
      <c r="C968">
        <v>926</v>
      </c>
      <c r="D968" t="s">
        <v>56</v>
      </c>
      <c r="E968">
        <v>1207</v>
      </c>
      <c r="F968" t="s">
        <v>57</v>
      </c>
      <c r="G968">
        <v>200982</v>
      </c>
      <c r="H968" t="s">
        <v>11</v>
      </c>
      <c r="I968" t="s">
        <v>4230</v>
      </c>
      <c r="J968" t="s">
        <v>8775</v>
      </c>
      <c r="K968">
        <v>20120</v>
      </c>
      <c r="L968">
        <v>44866</v>
      </c>
      <c r="M968" t="s">
        <v>1031</v>
      </c>
      <c r="N968">
        <v>20120</v>
      </c>
      <c r="O968" t="e">
        <v>#N/A</v>
      </c>
    </row>
    <row r="969" spans="2:15" hidden="1" x14ac:dyDescent="0.3">
      <c r="B969" t="s">
        <v>8</v>
      </c>
      <c r="C969">
        <v>928</v>
      </c>
      <c r="D969" t="s">
        <v>13</v>
      </c>
      <c r="E969">
        <v>1184</v>
      </c>
      <c r="F969" t="s">
        <v>51</v>
      </c>
      <c r="G969">
        <v>1274</v>
      </c>
      <c r="H969" t="s">
        <v>11</v>
      </c>
      <c r="I969" t="s">
        <v>4234</v>
      </c>
      <c r="J969" t="s">
        <v>8776</v>
      </c>
      <c r="K969">
        <v>109410</v>
      </c>
      <c r="L969">
        <v>44866</v>
      </c>
      <c r="M969" t="s">
        <v>1032</v>
      </c>
      <c r="N969">
        <v>109410</v>
      </c>
      <c r="O969" t="e">
        <v>#N/A</v>
      </c>
    </row>
    <row r="970" spans="2:15" hidden="1" x14ac:dyDescent="0.3">
      <c r="B970" t="s">
        <v>8</v>
      </c>
      <c r="C970">
        <v>928</v>
      </c>
      <c r="D970" t="s">
        <v>9</v>
      </c>
      <c r="E970">
        <v>1202</v>
      </c>
      <c r="F970" t="s">
        <v>27</v>
      </c>
      <c r="G970">
        <v>806</v>
      </c>
      <c r="H970" t="s">
        <v>11</v>
      </c>
      <c r="I970" t="s">
        <v>4235</v>
      </c>
      <c r="J970" t="s">
        <v>8777</v>
      </c>
      <c r="K970">
        <v>10346410</v>
      </c>
      <c r="L970">
        <v>44866</v>
      </c>
      <c r="M970" t="s">
        <v>1033</v>
      </c>
      <c r="N970">
        <v>10354970</v>
      </c>
      <c r="O970" t="e">
        <v>#N/A</v>
      </c>
    </row>
    <row r="971" spans="2:15" hidden="1" x14ac:dyDescent="0.3">
      <c r="B971" t="s">
        <v>8</v>
      </c>
      <c r="C971">
        <v>928</v>
      </c>
      <c r="D971" t="s">
        <v>167</v>
      </c>
      <c r="E971">
        <v>935</v>
      </c>
      <c r="F971" t="s">
        <v>168</v>
      </c>
      <c r="G971">
        <v>2</v>
      </c>
      <c r="H971" t="s">
        <v>11</v>
      </c>
      <c r="I971" t="s">
        <v>4237</v>
      </c>
      <c r="J971" t="s">
        <v>8778</v>
      </c>
      <c r="K971">
        <v>8700000</v>
      </c>
      <c r="L971">
        <v>44866</v>
      </c>
      <c r="M971" t="s">
        <v>1034</v>
      </c>
      <c r="N971">
        <v>0</v>
      </c>
      <c r="O971" t="e">
        <v>#N/A</v>
      </c>
    </row>
    <row r="972" spans="2:15" hidden="1" x14ac:dyDescent="0.3">
      <c r="B972" t="s">
        <v>8</v>
      </c>
      <c r="C972">
        <v>928</v>
      </c>
      <c r="D972" t="s">
        <v>9</v>
      </c>
      <c r="E972">
        <v>1202</v>
      </c>
      <c r="F972" t="s">
        <v>73</v>
      </c>
      <c r="G972">
        <v>895</v>
      </c>
      <c r="H972" t="s">
        <v>11</v>
      </c>
      <c r="I972" t="s">
        <v>4240</v>
      </c>
      <c r="J972" t="s">
        <v>8779</v>
      </c>
      <c r="K972">
        <v>1545310</v>
      </c>
      <c r="L972">
        <v>44866</v>
      </c>
      <c r="M972" t="s">
        <v>1035</v>
      </c>
      <c r="N972">
        <v>1545310</v>
      </c>
      <c r="O972" t="e">
        <v>#N/A</v>
      </c>
    </row>
    <row r="973" spans="2:15" hidden="1" x14ac:dyDescent="0.3">
      <c r="B973" t="s">
        <v>41</v>
      </c>
      <c r="C973">
        <v>926</v>
      </c>
      <c r="D973" t="s">
        <v>56</v>
      </c>
      <c r="E973">
        <v>1207</v>
      </c>
      <c r="F973" t="s">
        <v>57</v>
      </c>
      <c r="G973">
        <v>200982</v>
      </c>
      <c r="H973" t="s">
        <v>11</v>
      </c>
      <c r="I973" t="s">
        <v>4241</v>
      </c>
      <c r="J973" t="s">
        <v>8780</v>
      </c>
      <c r="K973">
        <v>28940</v>
      </c>
      <c r="L973">
        <v>44866</v>
      </c>
      <c r="M973" t="s">
        <v>1036</v>
      </c>
      <c r="N973">
        <v>28940</v>
      </c>
      <c r="O973" t="e">
        <v>#N/A</v>
      </c>
    </row>
    <row r="974" spans="2:15" hidden="1" x14ac:dyDescent="0.3">
      <c r="B974" t="s">
        <v>41</v>
      </c>
      <c r="C974">
        <v>926</v>
      </c>
      <c r="D974" t="s">
        <v>56</v>
      </c>
      <c r="E974">
        <v>1207</v>
      </c>
      <c r="F974" t="s">
        <v>57</v>
      </c>
      <c r="G974">
        <v>200982</v>
      </c>
      <c r="H974" t="s">
        <v>11</v>
      </c>
      <c r="I974" t="s">
        <v>4242</v>
      </c>
      <c r="J974" t="s">
        <v>8781</v>
      </c>
      <c r="K974">
        <v>57010</v>
      </c>
      <c r="L974">
        <v>44866</v>
      </c>
      <c r="M974" t="s">
        <v>1037</v>
      </c>
      <c r="N974">
        <v>57010</v>
      </c>
      <c r="O974" t="e">
        <v>#N/A</v>
      </c>
    </row>
    <row r="975" spans="2:15" hidden="1" x14ac:dyDescent="0.3">
      <c r="B975" t="s">
        <v>8</v>
      </c>
      <c r="C975">
        <v>928</v>
      </c>
      <c r="D975" t="s">
        <v>9</v>
      </c>
      <c r="E975">
        <v>1202</v>
      </c>
      <c r="F975" t="s">
        <v>27</v>
      </c>
      <c r="G975">
        <v>806</v>
      </c>
      <c r="H975" t="s">
        <v>11</v>
      </c>
      <c r="I975" t="s">
        <v>4245</v>
      </c>
      <c r="J975" t="s">
        <v>8782</v>
      </c>
      <c r="K975">
        <v>580276</v>
      </c>
      <c r="L975">
        <v>44866</v>
      </c>
      <c r="M975" t="s">
        <v>1038</v>
      </c>
      <c r="N975">
        <v>580320</v>
      </c>
      <c r="O975" t="e">
        <v>#N/A</v>
      </c>
    </row>
    <row r="976" spans="2:15" hidden="1" x14ac:dyDescent="0.3">
      <c r="B976" t="s">
        <v>8</v>
      </c>
      <c r="C976">
        <v>928</v>
      </c>
      <c r="D976" t="s">
        <v>9</v>
      </c>
      <c r="E976">
        <v>1202</v>
      </c>
      <c r="F976" t="s">
        <v>20</v>
      </c>
      <c r="G976">
        <v>938</v>
      </c>
      <c r="H976" t="s">
        <v>11</v>
      </c>
      <c r="I976" t="s">
        <v>4246</v>
      </c>
      <c r="J976" t="s">
        <v>8783</v>
      </c>
      <c r="K976">
        <v>906840</v>
      </c>
      <c r="L976">
        <v>44866</v>
      </c>
      <c r="M976" t="s">
        <v>1039</v>
      </c>
      <c r="N976">
        <v>906840</v>
      </c>
      <c r="O976" t="e">
        <v>#N/A</v>
      </c>
    </row>
    <row r="977" spans="2:15" hidden="1" x14ac:dyDescent="0.3">
      <c r="B977" t="s">
        <v>16</v>
      </c>
      <c r="C977">
        <v>927</v>
      </c>
      <c r="D977" t="s">
        <v>17</v>
      </c>
      <c r="E977">
        <v>1200</v>
      </c>
      <c r="F977" t="s">
        <v>137</v>
      </c>
      <c r="G977">
        <v>1012</v>
      </c>
      <c r="H977" t="s">
        <v>11</v>
      </c>
      <c r="I977" t="s">
        <v>4247</v>
      </c>
      <c r="J977" t="s">
        <v>8784</v>
      </c>
      <c r="K977">
        <v>41190</v>
      </c>
      <c r="L977">
        <v>44866</v>
      </c>
      <c r="M977" t="s">
        <v>1040</v>
      </c>
      <c r="N977">
        <v>41190</v>
      </c>
      <c r="O977" t="e">
        <v>#N/A</v>
      </c>
    </row>
    <row r="978" spans="2:15" hidden="1" x14ac:dyDescent="0.3">
      <c r="B978" t="s">
        <v>8</v>
      </c>
      <c r="C978">
        <v>928</v>
      </c>
      <c r="D978" t="s">
        <v>9</v>
      </c>
      <c r="E978">
        <v>1202</v>
      </c>
      <c r="F978" t="s">
        <v>31</v>
      </c>
      <c r="G978">
        <v>1040</v>
      </c>
      <c r="H978" t="s">
        <v>11</v>
      </c>
      <c r="I978" t="s">
        <v>4248</v>
      </c>
      <c r="J978" t="s">
        <v>8785</v>
      </c>
      <c r="K978">
        <v>2222007</v>
      </c>
      <c r="L978">
        <v>44866</v>
      </c>
      <c r="M978" t="s">
        <v>1041</v>
      </c>
      <c r="N978">
        <v>1702020</v>
      </c>
      <c r="O978" t="e">
        <v>#N/A</v>
      </c>
    </row>
    <row r="979" spans="2:15" hidden="1" x14ac:dyDescent="0.3">
      <c r="B979" t="s">
        <v>16</v>
      </c>
      <c r="C979">
        <v>927</v>
      </c>
      <c r="D979" t="s">
        <v>17</v>
      </c>
      <c r="E979">
        <v>1200</v>
      </c>
      <c r="F979" t="s">
        <v>371</v>
      </c>
      <c r="G979">
        <v>551</v>
      </c>
      <c r="H979" t="s">
        <v>11</v>
      </c>
      <c r="I979" t="s">
        <v>4249</v>
      </c>
      <c r="J979" t="s">
        <v>8786</v>
      </c>
      <c r="K979">
        <v>9790</v>
      </c>
      <c r="L979">
        <v>44866</v>
      </c>
      <c r="M979" t="s">
        <v>1042</v>
      </c>
      <c r="N979">
        <v>9790</v>
      </c>
      <c r="O979" t="e">
        <v>#N/A</v>
      </c>
    </row>
    <row r="980" spans="2:15" hidden="1" x14ac:dyDescent="0.3">
      <c r="B980" t="s">
        <v>8</v>
      </c>
      <c r="C980">
        <v>928</v>
      </c>
      <c r="D980" t="s">
        <v>9</v>
      </c>
      <c r="E980">
        <v>1202</v>
      </c>
      <c r="F980" t="s">
        <v>142</v>
      </c>
      <c r="G980">
        <v>652</v>
      </c>
      <c r="H980" t="s">
        <v>11</v>
      </c>
      <c r="I980" t="s">
        <v>4253</v>
      </c>
      <c r="J980" t="s">
        <v>8787</v>
      </c>
      <c r="K980">
        <v>42610</v>
      </c>
      <c r="L980">
        <v>44866</v>
      </c>
      <c r="M980" t="s">
        <v>1043</v>
      </c>
      <c r="N980">
        <v>42610</v>
      </c>
      <c r="O980" t="e">
        <v>#N/A</v>
      </c>
    </row>
    <row r="981" spans="2:15" hidden="1" x14ac:dyDescent="0.3">
      <c r="B981" t="s">
        <v>8</v>
      </c>
      <c r="C981">
        <v>928</v>
      </c>
      <c r="D981" t="s">
        <v>9</v>
      </c>
      <c r="E981">
        <v>1202</v>
      </c>
      <c r="F981" t="s">
        <v>35</v>
      </c>
      <c r="G981">
        <v>51</v>
      </c>
      <c r="H981" t="s">
        <v>11</v>
      </c>
      <c r="I981" t="s">
        <v>4254</v>
      </c>
      <c r="J981" t="s">
        <v>8788</v>
      </c>
      <c r="K981">
        <v>124490</v>
      </c>
      <c r="L981">
        <v>44866</v>
      </c>
      <c r="M981" t="s">
        <v>1044</v>
      </c>
      <c r="N981">
        <v>124490</v>
      </c>
      <c r="O981" t="e">
        <v>#N/A</v>
      </c>
    </row>
    <row r="982" spans="2:15" hidden="1" x14ac:dyDescent="0.3">
      <c r="B982" t="s">
        <v>8</v>
      </c>
      <c r="C982">
        <v>928</v>
      </c>
      <c r="D982" t="s">
        <v>9</v>
      </c>
      <c r="E982">
        <v>1202</v>
      </c>
      <c r="F982" t="s">
        <v>27</v>
      </c>
      <c r="G982">
        <v>806</v>
      </c>
      <c r="H982" t="s">
        <v>11</v>
      </c>
      <c r="I982" t="s">
        <v>4258</v>
      </c>
      <c r="J982" t="s">
        <v>8789</v>
      </c>
      <c r="K982">
        <v>769680</v>
      </c>
      <c r="L982">
        <v>44866</v>
      </c>
      <c r="M982" t="s">
        <v>1045</v>
      </c>
      <c r="N982">
        <v>769680</v>
      </c>
      <c r="O982" t="e">
        <v>#N/A</v>
      </c>
    </row>
    <row r="983" spans="2:15" hidden="1" x14ac:dyDescent="0.3">
      <c r="B983" t="s">
        <v>8</v>
      </c>
      <c r="C983">
        <v>928</v>
      </c>
      <c r="D983" t="s">
        <v>167</v>
      </c>
      <c r="E983">
        <v>935</v>
      </c>
      <c r="F983" t="s">
        <v>168</v>
      </c>
      <c r="G983">
        <v>2</v>
      </c>
      <c r="H983" t="s">
        <v>11</v>
      </c>
      <c r="I983" t="s">
        <v>4261</v>
      </c>
      <c r="J983" t="s">
        <v>8790</v>
      </c>
      <c r="K983">
        <v>25581549</v>
      </c>
      <c r="L983">
        <v>44866</v>
      </c>
      <c r="M983" t="s">
        <v>1046</v>
      </c>
      <c r="N983">
        <v>11477300</v>
      </c>
      <c r="O983" t="e">
        <v>#N/A</v>
      </c>
    </row>
    <row r="984" spans="2:15" hidden="1" x14ac:dyDescent="0.3">
      <c r="B984" t="s">
        <v>8</v>
      </c>
      <c r="C984">
        <v>928</v>
      </c>
      <c r="D984" t="s">
        <v>167</v>
      </c>
      <c r="E984">
        <v>935</v>
      </c>
      <c r="F984" t="s">
        <v>168</v>
      </c>
      <c r="G984">
        <v>2</v>
      </c>
      <c r="H984" t="s">
        <v>11</v>
      </c>
      <c r="I984" t="s">
        <v>4262</v>
      </c>
      <c r="J984" t="s">
        <v>8791</v>
      </c>
      <c r="K984">
        <v>1190286</v>
      </c>
      <c r="L984">
        <v>44866</v>
      </c>
      <c r="M984" t="s">
        <v>1047</v>
      </c>
      <c r="N984">
        <v>0</v>
      </c>
      <c r="O984" t="e">
        <v>#N/A</v>
      </c>
    </row>
    <row r="985" spans="2:15" hidden="1" x14ac:dyDescent="0.3">
      <c r="B985" t="s">
        <v>8</v>
      </c>
      <c r="C985">
        <v>928</v>
      </c>
      <c r="D985" t="s">
        <v>9</v>
      </c>
      <c r="E985">
        <v>1202</v>
      </c>
      <c r="F985" t="s">
        <v>27</v>
      </c>
      <c r="G985">
        <v>806</v>
      </c>
      <c r="H985" t="s">
        <v>11</v>
      </c>
      <c r="I985" t="s">
        <v>4265</v>
      </c>
      <c r="J985" t="s">
        <v>8792</v>
      </c>
      <c r="K985">
        <v>7140</v>
      </c>
      <c r="L985">
        <v>44866</v>
      </c>
      <c r="M985" t="s">
        <v>1048</v>
      </c>
      <c r="N985">
        <v>7140</v>
      </c>
      <c r="O985" t="e">
        <v>#N/A</v>
      </c>
    </row>
    <row r="986" spans="2:15" hidden="1" x14ac:dyDescent="0.3">
      <c r="B986" t="s">
        <v>41</v>
      </c>
      <c r="C986">
        <v>926</v>
      </c>
      <c r="D986" t="s">
        <v>56</v>
      </c>
      <c r="E986">
        <v>1207</v>
      </c>
      <c r="F986" t="s">
        <v>156</v>
      </c>
      <c r="G986">
        <v>201103</v>
      </c>
      <c r="H986" t="s">
        <v>11</v>
      </c>
      <c r="I986" t="s">
        <v>4267</v>
      </c>
      <c r="J986" t="s">
        <v>8793</v>
      </c>
      <c r="K986">
        <v>235370</v>
      </c>
      <c r="L986">
        <v>44866</v>
      </c>
      <c r="M986" t="s">
        <v>1049</v>
      </c>
      <c r="N986">
        <v>235370</v>
      </c>
      <c r="O986" t="e">
        <v>#N/A</v>
      </c>
    </row>
    <row r="987" spans="2:15" hidden="1" x14ac:dyDescent="0.3">
      <c r="B987" t="s">
        <v>41</v>
      </c>
      <c r="C987">
        <v>926</v>
      </c>
      <c r="D987" t="s">
        <v>56</v>
      </c>
      <c r="E987">
        <v>1207</v>
      </c>
      <c r="F987" t="s">
        <v>91</v>
      </c>
      <c r="G987">
        <v>201104</v>
      </c>
      <c r="H987" t="s">
        <v>11</v>
      </c>
      <c r="I987" t="s">
        <v>4271</v>
      </c>
      <c r="J987" t="s">
        <v>8794</v>
      </c>
      <c r="K987">
        <v>620760</v>
      </c>
      <c r="L987">
        <v>44866</v>
      </c>
      <c r="M987" t="s">
        <v>1050</v>
      </c>
      <c r="N987">
        <v>620760</v>
      </c>
      <c r="O987" t="e">
        <v>#N/A</v>
      </c>
    </row>
    <row r="988" spans="2:15" hidden="1" x14ac:dyDescent="0.3">
      <c r="B988" t="s">
        <v>41</v>
      </c>
      <c r="C988">
        <v>926</v>
      </c>
      <c r="D988" t="s">
        <v>56</v>
      </c>
      <c r="E988">
        <v>1207</v>
      </c>
      <c r="F988" t="s">
        <v>91</v>
      </c>
      <c r="G988">
        <v>201104</v>
      </c>
      <c r="H988" t="s">
        <v>11</v>
      </c>
      <c r="I988" t="s">
        <v>4272</v>
      </c>
      <c r="J988" t="s">
        <v>8795</v>
      </c>
      <c r="K988">
        <v>496130</v>
      </c>
      <c r="L988">
        <v>44866</v>
      </c>
      <c r="M988" t="s">
        <v>1051</v>
      </c>
      <c r="N988">
        <v>496130</v>
      </c>
      <c r="O988" t="e">
        <v>#N/A</v>
      </c>
    </row>
    <row r="989" spans="2:15" hidden="1" x14ac:dyDescent="0.3">
      <c r="B989" t="s">
        <v>16</v>
      </c>
      <c r="C989">
        <v>927</v>
      </c>
      <c r="D989" t="s">
        <v>17</v>
      </c>
      <c r="E989">
        <v>1200</v>
      </c>
      <c r="F989" t="s">
        <v>96</v>
      </c>
      <c r="G989">
        <v>1271</v>
      </c>
      <c r="H989" t="s">
        <v>11</v>
      </c>
      <c r="I989" t="s">
        <v>4273</v>
      </c>
      <c r="J989" t="s">
        <v>8796</v>
      </c>
      <c r="K989">
        <v>189470</v>
      </c>
      <c r="L989">
        <v>44866</v>
      </c>
      <c r="M989" t="s">
        <v>1052</v>
      </c>
      <c r="N989">
        <v>190010</v>
      </c>
      <c r="O989" t="e">
        <v>#N/A</v>
      </c>
    </row>
    <row r="990" spans="2:15" hidden="1" x14ac:dyDescent="0.3">
      <c r="B990" t="s">
        <v>16</v>
      </c>
      <c r="C990">
        <v>927</v>
      </c>
      <c r="D990" t="s">
        <v>17</v>
      </c>
      <c r="E990">
        <v>1200</v>
      </c>
      <c r="F990" t="s">
        <v>93</v>
      </c>
      <c r="G990">
        <v>930</v>
      </c>
      <c r="H990" t="s">
        <v>11</v>
      </c>
      <c r="I990" t="s">
        <v>4276</v>
      </c>
      <c r="J990" t="s">
        <v>8797</v>
      </c>
      <c r="K990">
        <v>5193590</v>
      </c>
      <c r="L990">
        <v>44866</v>
      </c>
      <c r="M990" t="s">
        <v>1053</v>
      </c>
      <c r="N990">
        <v>5193590</v>
      </c>
      <c r="O990" t="e">
        <v>#N/A</v>
      </c>
    </row>
    <row r="991" spans="2:15" hidden="1" x14ac:dyDescent="0.3">
      <c r="B991" t="s">
        <v>8</v>
      </c>
      <c r="C991">
        <v>928</v>
      </c>
      <c r="D991" t="s">
        <v>9</v>
      </c>
      <c r="E991">
        <v>1202</v>
      </c>
      <c r="F991" t="s">
        <v>33</v>
      </c>
      <c r="G991">
        <v>933</v>
      </c>
      <c r="H991" t="s">
        <v>11</v>
      </c>
      <c r="I991" t="s">
        <v>4279</v>
      </c>
      <c r="J991" t="s">
        <v>8798</v>
      </c>
      <c r="K991">
        <v>3362929</v>
      </c>
      <c r="L991">
        <v>44866</v>
      </c>
      <c r="M991" t="s">
        <v>1054</v>
      </c>
      <c r="N991">
        <v>59620</v>
      </c>
      <c r="O991" t="e">
        <v>#N/A</v>
      </c>
    </row>
    <row r="992" spans="2:15" hidden="1" x14ac:dyDescent="0.3">
      <c r="B992" t="s">
        <v>16</v>
      </c>
      <c r="C992">
        <v>927</v>
      </c>
      <c r="D992" t="s">
        <v>17</v>
      </c>
      <c r="E992">
        <v>1200</v>
      </c>
      <c r="F992" t="s">
        <v>93</v>
      </c>
      <c r="G992">
        <v>930</v>
      </c>
      <c r="H992" t="s">
        <v>11</v>
      </c>
      <c r="I992" t="s">
        <v>4284</v>
      </c>
      <c r="J992" t="s">
        <v>8799</v>
      </c>
      <c r="K992">
        <v>1121530</v>
      </c>
      <c r="L992">
        <v>44866</v>
      </c>
      <c r="M992" t="s">
        <v>1055</v>
      </c>
      <c r="N992">
        <v>1123860</v>
      </c>
      <c r="O992" t="e">
        <v>#N/A</v>
      </c>
    </row>
    <row r="993" spans="2:15" x14ac:dyDescent="0.3">
      <c r="B993" t="s">
        <v>16</v>
      </c>
      <c r="C993">
        <v>927</v>
      </c>
      <c r="D993" t="s">
        <v>17</v>
      </c>
      <c r="E993">
        <v>1200</v>
      </c>
      <c r="F993" t="s">
        <v>96</v>
      </c>
      <c r="G993">
        <v>1271</v>
      </c>
      <c r="H993" t="s">
        <v>11</v>
      </c>
      <c r="I993" t="s">
        <v>8800</v>
      </c>
      <c r="J993" t="s">
        <v>8801</v>
      </c>
      <c r="K993">
        <v>374330</v>
      </c>
      <c r="L993">
        <v>44866</v>
      </c>
      <c r="M993" t="s">
        <v>1056</v>
      </c>
      <c r="N993" t="e">
        <v>#N/A</v>
      </c>
      <c r="O993" t="e">
        <v>#N/A</v>
      </c>
    </row>
    <row r="994" spans="2:15" hidden="1" x14ac:dyDescent="0.3">
      <c r="B994" t="s">
        <v>8</v>
      </c>
      <c r="C994">
        <v>928</v>
      </c>
      <c r="D994" t="s">
        <v>9</v>
      </c>
      <c r="E994">
        <v>1202</v>
      </c>
      <c r="F994" t="s">
        <v>35</v>
      </c>
      <c r="G994">
        <v>51</v>
      </c>
      <c r="H994" t="s">
        <v>11</v>
      </c>
      <c r="I994" t="s">
        <v>4291</v>
      </c>
      <c r="J994" t="s">
        <v>8802</v>
      </c>
      <c r="K994">
        <v>4744800</v>
      </c>
      <c r="L994">
        <v>44866</v>
      </c>
      <c r="M994" t="s">
        <v>407</v>
      </c>
      <c r="N994">
        <v>4744800</v>
      </c>
      <c r="O994" t="e">
        <v>#N/A</v>
      </c>
    </row>
    <row r="995" spans="2:15" hidden="1" x14ac:dyDescent="0.3">
      <c r="B995" t="s">
        <v>8</v>
      </c>
      <c r="C995">
        <v>928</v>
      </c>
      <c r="D995" t="s">
        <v>9</v>
      </c>
      <c r="E995">
        <v>1202</v>
      </c>
      <c r="F995" t="s">
        <v>220</v>
      </c>
      <c r="G995">
        <v>1211</v>
      </c>
      <c r="H995" t="s">
        <v>11</v>
      </c>
      <c r="I995" t="s">
        <v>4292</v>
      </c>
      <c r="J995" t="s">
        <v>8803</v>
      </c>
      <c r="K995">
        <v>19850290</v>
      </c>
      <c r="L995">
        <v>44866</v>
      </c>
      <c r="M995" t="s">
        <v>1057</v>
      </c>
      <c r="N995">
        <v>19850290</v>
      </c>
      <c r="O995" t="e">
        <v>#N/A</v>
      </c>
    </row>
    <row r="996" spans="2:15" hidden="1" x14ac:dyDescent="0.3">
      <c r="B996" t="s">
        <v>8</v>
      </c>
      <c r="C996">
        <v>928</v>
      </c>
      <c r="D996" t="s">
        <v>9</v>
      </c>
      <c r="E996">
        <v>1202</v>
      </c>
      <c r="F996" t="s">
        <v>45</v>
      </c>
      <c r="G996">
        <v>26</v>
      </c>
      <c r="H996" t="s">
        <v>11</v>
      </c>
      <c r="I996" t="s">
        <v>4294</v>
      </c>
      <c r="J996" t="s">
        <v>8804</v>
      </c>
      <c r="K996">
        <v>26840</v>
      </c>
      <c r="L996">
        <v>44866</v>
      </c>
      <c r="M996" t="s">
        <v>1058</v>
      </c>
      <c r="N996">
        <v>26840</v>
      </c>
      <c r="O996" t="e">
        <v>#N/A</v>
      </c>
    </row>
    <row r="997" spans="2:15" hidden="1" x14ac:dyDescent="0.3">
      <c r="B997" t="s">
        <v>41</v>
      </c>
      <c r="C997">
        <v>926</v>
      </c>
      <c r="D997" t="s">
        <v>56</v>
      </c>
      <c r="E997">
        <v>1207</v>
      </c>
      <c r="F997" t="s">
        <v>64</v>
      </c>
      <c r="G997">
        <v>201011</v>
      </c>
      <c r="H997" t="s">
        <v>11</v>
      </c>
      <c r="I997" t="s">
        <v>4295</v>
      </c>
      <c r="J997" t="s">
        <v>8805</v>
      </c>
      <c r="K997">
        <v>62840</v>
      </c>
      <c r="L997">
        <v>44866</v>
      </c>
      <c r="M997" t="s">
        <v>1059</v>
      </c>
      <c r="N997">
        <v>62840</v>
      </c>
      <c r="O997" t="e">
        <v>#N/A</v>
      </c>
    </row>
    <row r="998" spans="2:15" hidden="1" x14ac:dyDescent="0.3">
      <c r="B998" t="s">
        <v>16</v>
      </c>
      <c r="C998">
        <v>927</v>
      </c>
      <c r="D998" t="s">
        <v>17</v>
      </c>
      <c r="E998">
        <v>1200</v>
      </c>
      <c r="F998" t="s">
        <v>446</v>
      </c>
      <c r="G998">
        <v>566</v>
      </c>
      <c r="H998" t="s">
        <v>11</v>
      </c>
      <c r="I998" t="s">
        <v>4298</v>
      </c>
      <c r="J998" t="s">
        <v>8806</v>
      </c>
      <c r="K998">
        <v>666550</v>
      </c>
      <c r="L998">
        <v>44866</v>
      </c>
      <c r="M998" t="s">
        <v>1060</v>
      </c>
      <c r="N998">
        <v>666550</v>
      </c>
      <c r="O998" t="e">
        <v>#N/A</v>
      </c>
    </row>
    <row r="999" spans="2:15" hidden="1" x14ac:dyDescent="0.3">
      <c r="B999" t="s">
        <v>8</v>
      </c>
      <c r="C999">
        <v>928</v>
      </c>
      <c r="D999" t="s">
        <v>13</v>
      </c>
      <c r="E999">
        <v>1184</v>
      </c>
      <c r="F999" t="s">
        <v>14</v>
      </c>
      <c r="G999">
        <v>914</v>
      </c>
      <c r="H999" t="s">
        <v>11</v>
      </c>
      <c r="I999" t="s">
        <v>4306</v>
      </c>
      <c r="J999" t="s">
        <v>8807</v>
      </c>
      <c r="K999">
        <v>38150</v>
      </c>
      <c r="L999">
        <v>44866</v>
      </c>
      <c r="M999" t="s">
        <v>1061</v>
      </c>
      <c r="N999">
        <v>38150</v>
      </c>
      <c r="O999" t="e">
        <v>#N/A</v>
      </c>
    </row>
    <row r="1000" spans="2:15" hidden="1" x14ac:dyDescent="0.3">
      <c r="B1000" t="s">
        <v>22</v>
      </c>
      <c r="C1000">
        <v>809</v>
      </c>
      <c r="D1000" t="s">
        <v>23</v>
      </c>
      <c r="E1000">
        <v>810</v>
      </c>
      <c r="F1000" t="s">
        <v>24</v>
      </c>
      <c r="G1000">
        <v>201032</v>
      </c>
      <c r="H1000" t="s">
        <v>11</v>
      </c>
      <c r="I1000" t="s">
        <v>4308</v>
      </c>
      <c r="J1000" t="s">
        <v>8808</v>
      </c>
      <c r="K1000">
        <v>343270</v>
      </c>
      <c r="L1000">
        <v>44866</v>
      </c>
      <c r="M1000" t="s">
        <v>1062</v>
      </c>
      <c r="N1000">
        <v>343270</v>
      </c>
      <c r="O1000" t="e">
        <v>#N/A</v>
      </c>
    </row>
    <row r="1001" spans="2:15" hidden="1" x14ac:dyDescent="0.3">
      <c r="B1001" t="s">
        <v>8</v>
      </c>
      <c r="C1001">
        <v>928</v>
      </c>
      <c r="D1001" t="s">
        <v>9</v>
      </c>
      <c r="E1001">
        <v>1202</v>
      </c>
      <c r="F1001" t="s">
        <v>39</v>
      </c>
      <c r="G1001">
        <v>25</v>
      </c>
      <c r="H1001" t="s">
        <v>11</v>
      </c>
      <c r="I1001" t="s">
        <v>4310</v>
      </c>
      <c r="J1001" t="s">
        <v>8809</v>
      </c>
      <c r="K1001">
        <v>90310</v>
      </c>
      <c r="L1001">
        <v>44866</v>
      </c>
      <c r="M1001" t="s">
        <v>1063</v>
      </c>
      <c r="N1001">
        <v>90310</v>
      </c>
      <c r="O1001" t="e">
        <v>#N/A</v>
      </c>
    </row>
    <row r="1002" spans="2:15" hidden="1" x14ac:dyDescent="0.3">
      <c r="B1002" t="s">
        <v>8</v>
      </c>
      <c r="C1002">
        <v>928</v>
      </c>
      <c r="D1002" t="s">
        <v>9</v>
      </c>
      <c r="E1002">
        <v>1202</v>
      </c>
      <c r="F1002" t="s">
        <v>35</v>
      </c>
      <c r="G1002">
        <v>51</v>
      </c>
      <c r="H1002" t="s">
        <v>11</v>
      </c>
      <c r="I1002" t="s">
        <v>4311</v>
      </c>
      <c r="J1002" t="s">
        <v>8810</v>
      </c>
      <c r="K1002">
        <v>67110</v>
      </c>
      <c r="L1002">
        <v>44866</v>
      </c>
      <c r="M1002" t="s">
        <v>36</v>
      </c>
      <c r="N1002">
        <v>67110</v>
      </c>
      <c r="O1002" t="e">
        <v>#N/A</v>
      </c>
    </row>
    <row r="1003" spans="2:15" hidden="1" x14ac:dyDescent="0.3">
      <c r="B1003" t="s">
        <v>8</v>
      </c>
      <c r="C1003">
        <v>928</v>
      </c>
      <c r="D1003" t="s">
        <v>9</v>
      </c>
      <c r="E1003">
        <v>1202</v>
      </c>
      <c r="F1003" t="s">
        <v>35</v>
      </c>
      <c r="G1003">
        <v>51</v>
      </c>
      <c r="H1003" t="s">
        <v>11</v>
      </c>
      <c r="I1003" t="s">
        <v>4312</v>
      </c>
      <c r="J1003" t="s">
        <v>8811</v>
      </c>
      <c r="K1003">
        <v>183360</v>
      </c>
      <c r="L1003">
        <v>44866</v>
      </c>
      <c r="M1003" t="s">
        <v>1064</v>
      </c>
      <c r="N1003">
        <v>183360</v>
      </c>
      <c r="O1003" t="e">
        <v>#N/A</v>
      </c>
    </row>
    <row r="1004" spans="2:15" hidden="1" x14ac:dyDescent="0.3">
      <c r="B1004" t="s">
        <v>41</v>
      </c>
      <c r="C1004">
        <v>926</v>
      </c>
      <c r="D1004" t="s">
        <v>42</v>
      </c>
      <c r="E1004">
        <v>964</v>
      </c>
      <c r="F1004" t="s">
        <v>43</v>
      </c>
      <c r="G1004">
        <v>200998</v>
      </c>
      <c r="H1004" t="s">
        <v>11</v>
      </c>
      <c r="I1004" t="s">
        <v>4313</v>
      </c>
      <c r="J1004" t="s">
        <v>8812</v>
      </c>
      <c r="K1004">
        <v>130</v>
      </c>
      <c r="L1004">
        <v>44866</v>
      </c>
      <c r="M1004" t="s">
        <v>1065</v>
      </c>
      <c r="N1004">
        <v>130</v>
      </c>
      <c r="O1004" t="e">
        <v>#N/A</v>
      </c>
    </row>
    <row r="1005" spans="2:15" hidden="1" x14ac:dyDescent="0.3">
      <c r="B1005" t="s">
        <v>8</v>
      </c>
      <c r="C1005">
        <v>928</v>
      </c>
      <c r="D1005" t="s">
        <v>9</v>
      </c>
      <c r="E1005">
        <v>1202</v>
      </c>
      <c r="F1005" t="s">
        <v>73</v>
      </c>
      <c r="G1005">
        <v>895</v>
      </c>
      <c r="H1005" t="s">
        <v>11</v>
      </c>
      <c r="I1005" t="s">
        <v>4314</v>
      </c>
      <c r="J1005" t="s">
        <v>8813</v>
      </c>
      <c r="K1005">
        <v>4361840</v>
      </c>
      <c r="L1005">
        <v>44866</v>
      </c>
      <c r="M1005" t="s">
        <v>1066</v>
      </c>
      <c r="N1005">
        <v>4361840</v>
      </c>
      <c r="O1005" t="e">
        <v>#N/A</v>
      </c>
    </row>
    <row r="1006" spans="2:15" hidden="1" x14ac:dyDescent="0.3">
      <c r="B1006" t="s">
        <v>8</v>
      </c>
      <c r="C1006">
        <v>928</v>
      </c>
      <c r="D1006" t="s">
        <v>13</v>
      </c>
      <c r="E1006">
        <v>1184</v>
      </c>
      <c r="F1006" t="s">
        <v>102</v>
      </c>
      <c r="G1006">
        <v>917</v>
      </c>
      <c r="H1006" t="s">
        <v>11</v>
      </c>
      <c r="I1006" t="s">
        <v>4315</v>
      </c>
      <c r="J1006" t="s">
        <v>8814</v>
      </c>
      <c r="K1006">
        <v>426320</v>
      </c>
      <c r="L1006">
        <v>44866</v>
      </c>
      <c r="M1006" t="s">
        <v>1067</v>
      </c>
      <c r="N1006">
        <v>426320</v>
      </c>
      <c r="O1006" t="e">
        <v>#N/A</v>
      </c>
    </row>
    <row r="1007" spans="2:15" hidden="1" x14ac:dyDescent="0.3">
      <c r="B1007" t="s">
        <v>8</v>
      </c>
      <c r="C1007">
        <v>928</v>
      </c>
      <c r="D1007" t="s">
        <v>9</v>
      </c>
      <c r="E1007">
        <v>1202</v>
      </c>
      <c r="F1007" t="s">
        <v>75</v>
      </c>
      <c r="G1007">
        <v>50</v>
      </c>
      <c r="H1007" t="s">
        <v>11</v>
      </c>
      <c r="I1007" t="s">
        <v>4316</v>
      </c>
      <c r="J1007" t="s">
        <v>8815</v>
      </c>
      <c r="K1007">
        <v>374480</v>
      </c>
      <c r="L1007">
        <v>44866</v>
      </c>
      <c r="M1007" t="s">
        <v>1068</v>
      </c>
      <c r="N1007">
        <v>287880</v>
      </c>
      <c r="O1007" t="e">
        <v>#N/A</v>
      </c>
    </row>
    <row r="1008" spans="2:15" hidden="1" x14ac:dyDescent="0.3">
      <c r="B1008" t="s">
        <v>8</v>
      </c>
      <c r="C1008">
        <v>928</v>
      </c>
      <c r="D1008" t="s">
        <v>13</v>
      </c>
      <c r="E1008">
        <v>1184</v>
      </c>
      <c r="F1008" t="s">
        <v>51</v>
      </c>
      <c r="G1008">
        <v>1274</v>
      </c>
      <c r="H1008" t="s">
        <v>11</v>
      </c>
      <c r="I1008" t="s">
        <v>4319</v>
      </c>
      <c r="J1008" t="s">
        <v>8816</v>
      </c>
      <c r="K1008">
        <v>88870</v>
      </c>
      <c r="L1008">
        <v>44866</v>
      </c>
      <c r="M1008" t="s">
        <v>1069</v>
      </c>
      <c r="N1008">
        <v>88870</v>
      </c>
      <c r="O1008" t="e">
        <v>#N/A</v>
      </c>
    </row>
    <row r="1009" spans="2:15" hidden="1" x14ac:dyDescent="0.3">
      <c r="B1009" t="s">
        <v>41</v>
      </c>
      <c r="C1009">
        <v>926</v>
      </c>
      <c r="D1009" t="s">
        <v>56</v>
      </c>
      <c r="E1009">
        <v>1207</v>
      </c>
      <c r="F1009" t="s">
        <v>57</v>
      </c>
      <c r="G1009">
        <v>200982</v>
      </c>
      <c r="H1009" t="s">
        <v>11</v>
      </c>
      <c r="I1009" t="s">
        <v>4320</v>
      </c>
      <c r="J1009" t="s">
        <v>8817</v>
      </c>
      <c r="K1009">
        <v>104320</v>
      </c>
      <c r="L1009">
        <v>44866</v>
      </c>
      <c r="M1009" t="s">
        <v>1070</v>
      </c>
      <c r="N1009">
        <v>104320</v>
      </c>
      <c r="O1009" t="e">
        <v>#N/A</v>
      </c>
    </row>
    <row r="1010" spans="2:15" hidden="1" x14ac:dyDescent="0.3">
      <c r="B1010" t="s">
        <v>41</v>
      </c>
      <c r="C1010">
        <v>926</v>
      </c>
      <c r="D1010" t="s">
        <v>56</v>
      </c>
      <c r="E1010">
        <v>1207</v>
      </c>
      <c r="F1010" t="s">
        <v>57</v>
      </c>
      <c r="G1010">
        <v>200982</v>
      </c>
      <c r="H1010" t="s">
        <v>11</v>
      </c>
      <c r="I1010" t="s">
        <v>4321</v>
      </c>
      <c r="J1010" t="s">
        <v>8818</v>
      </c>
      <c r="K1010">
        <v>203830</v>
      </c>
      <c r="L1010">
        <v>44866</v>
      </c>
      <c r="M1010" t="s">
        <v>1070</v>
      </c>
      <c r="N1010">
        <v>203830</v>
      </c>
      <c r="O1010" t="e">
        <v>#N/A</v>
      </c>
    </row>
    <row r="1011" spans="2:15" hidden="1" x14ac:dyDescent="0.3">
      <c r="B1011" t="s">
        <v>8</v>
      </c>
      <c r="C1011">
        <v>928</v>
      </c>
      <c r="D1011" t="s">
        <v>9</v>
      </c>
      <c r="E1011">
        <v>1202</v>
      </c>
      <c r="F1011" t="s">
        <v>10</v>
      </c>
      <c r="G1011">
        <v>939</v>
      </c>
      <c r="H1011" t="s">
        <v>11</v>
      </c>
      <c r="I1011" t="s">
        <v>4322</v>
      </c>
      <c r="J1011" t="s">
        <v>8819</v>
      </c>
      <c r="K1011">
        <v>122860</v>
      </c>
      <c r="L1011">
        <v>44866</v>
      </c>
      <c r="M1011" t="s">
        <v>1071</v>
      </c>
      <c r="N1011">
        <v>122860</v>
      </c>
      <c r="O1011" t="e">
        <v>#N/A</v>
      </c>
    </row>
    <row r="1012" spans="2:15" hidden="1" x14ac:dyDescent="0.3">
      <c r="B1012" t="s">
        <v>8</v>
      </c>
      <c r="C1012">
        <v>928</v>
      </c>
      <c r="D1012" t="s">
        <v>13</v>
      </c>
      <c r="E1012">
        <v>1184</v>
      </c>
      <c r="F1012" t="s">
        <v>14</v>
      </c>
      <c r="G1012">
        <v>914</v>
      </c>
      <c r="H1012" t="s">
        <v>11</v>
      </c>
      <c r="I1012" t="s">
        <v>4324</v>
      </c>
      <c r="J1012" t="s">
        <v>8820</v>
      </c>
      <c r="K1012">
        <v>1888040</v>
      </c>
      <c r="L1012">
        <v>44866</v>
      </c>
      <c r="M1012" t="s">
        <v>323</v>
      </c>
      <c r="N1012">
        <v>1888040</v>
      </c>
      <c r="O1012" t="e">
        <v>#N/A</v>
      </c>
    </row>
    <row r="1013" spans="2:15" hidden="1" x14ac:dyDescent="0.3">
      <c r="B1013" t="s">
        <v>16</v>
      </c>
      <c r="C1013">
        <v>927</v>
      </c>
      <c r="D1013" t="s">
        <v>17</v>
      </c>
      <c r="E1013">
        <v>1200</v>
      </c>
      <c r="F1013" t="s">
        <v>137</v>
      </c>
      <c r="G1013">
        <v>1012</v>
      </c>
      <c r="H1013" t="s">
        <v>11</v>
      </c>
      <c r="I1013" t="s">
        <v>4325</v>
      </c>
      <c r="J1013" t="s">
        <v>8821</v>
      </c>
      <c r="K1013">
        <v>985960</v>
      </c>
      <c r="L1013">
        <v>44866</v>
      </c>
      <c r="M1013" t="s">
        <v>1072</v>
      </c>
      <c r="N1013">
        <v>993980</v>
      </c>
      <c r="O1013" t="e">
        <v>#N/A</v>
      </c>
    </row>
    <row r="1014" spans="2:15" hidden="1" x14ac:dyDescent="0.3">
      <c r="B1014" t="s">
        <v>41</v>
      </c>
      <c r="C1014">
        <v>926</v>
      </c>
      <c r="D1014" t="s">
        <v>56</v>
      </c>
      <c r="E1014">
        <v>1207</v>
      </c>
      <c r="F1014" t="s">
        <v>64</v>
      </c>
      <c r="G1014">
        <v>201011</v>
      </c>
      <c r="H1014" t="s">
        <v>11</v>
      </c>
      <c r="I1014" t="s">
        <v>4327</v>
      </c>
      <c r="J1014" t="s">
        <v>8822</v>
      </c>
      <c r="K1014">
        <v>2059313</v>
      </c>
      <c r="L1014">
        <v>44866</v>
      </c>
      <c r="M1014" t="s">
        <v>1073</v>
      </c>
      <c r="N1014">
        <v>939340</v>
      </c>
      <c r="O1014" t="e">
        <v>#N/A</v>
      </c>
    </row>
    <row r="1015" spans="2:15" hidden="1" x14ac:dyDescent="0.3">
      <c r="B1015" t="s">
        <v>8</v>
      </c>
      <c r="C1015">
        <v>928</v>
      </c>
      <c r="D1015" t="s">
        <v>9</v>
      </c>
      <c r="E1015">
        <v>1202</v>
      </c>
      <c r="F1015" t="s">
        <v>47</v>
      </c>
      <c r="G1015">
        <v>898</v>
      </c>
      <c r="H1015" t="s">
        <v>11</v>
      </c>
      <c r="I1015" t="s">
        <v>4328</v>
      </c>
      <c r="J1015" t="s">
        <v>8823</v>
      </c>
      <c r="K1015">
        <v>199540</v>
      </c>
      <c r="L1015">
        <v>44866</v>
      </c>
      <c r="M1015" t="s">
        <v>1074</v>
      </c>
      <c r="N1015">
        <v>199540</v>
      </c>
      <c r="O1015" t="e">
        <v>#N/A</v>
      </c>
    </row>
    <row r="1016" spans="2:15" hidden="1" x14ac:dyDescent="0.3">
      <c r="B1016" t="s">
        <v>8</v>
      </c>
      <c r="C1016">
        <v>928</v>
      </c>
      <c r="D1016" t="s">
        <v>83</v>
      </c>
      <c r="E1016">
        <v>960</v>
      </c>
      <c r="F1016" t="s">
        <v>84</v>
      </c>
      <c r="G1016">
        <v>1632</v>
      </c>
      <c r="H1016" t="s">
        <v>11</v>
      </c>
      <c r="I1016" t="s">
        <v>4330</v>
      </c>
      <c r="J1016" t="s">
        <v>8824</v>
      </c>
      <c r="K1016">
        <v>3130</v>
      </c>
      <c r="L1016">
        <v>44866</v>
      </c>
      <c r="M1016" t="s">
        <v>1075</v>
      </c>
      <c r="N1016">
        <v>3130</v>
      </c>
      <c r="O1016" t="e">
        <v>#N/A</v>
      </c>
    </row>
    <row r="1017" spans="2:15" hidden="1" x14ac:dyDescent="0.3">
      <c r="B1017" t="s">
        <v>16</v>
      </c>
      <c r="C1017">
        <v>927</v>
      </c>
      <c r="D1017" t="s">
        <v>17</v>
      </c>
      <c r="E1017">
        <v>1200</v>
      </c>
      <c r="F1017" t="s">
        <v>100</v>
      </c>
      <c r="G1017">
        <v>201038</v>
      </c>
      <c r="H1017" t="s">
        <v>11</v>
      </c>
      <c r="I1017" t="s">
        <v>4331</v>
      </c>
      <c r="J1017" t="s">
        <v>8825</v>
      </c>
      <c r="K1017">
        <v>90640</v>
      </c>
      <c r="L1017">
        <v>44866</v>
      </c>
      <c r="M1017" t="s">
        <v>1076</v>
      </c>
      <c r="N1017">
        <v>90640</v>
      </c>
      <c r="O1017" t="e">
        <v>#N/A</v>
      </c>
    </row>
    <row r="1018" spans="2:15" hidden="1" x14ac:dyDescent="0.3">
      <c r="B1018" t="s">
        <v>8</v>
      </c>
      <c r="C1018">
        <v>928</v>
      </c>
      <c r="D1018" t="s">
        <v>13</v>
      </c>
      <c r="E1018">
        <v>1184</v>
      </c>
      <c r="F1018" t="s">
        <v>102</v>
      </c>
      <c r="G1018">
        <v>917</v>
      </c>
      <c r="H1018" t="s">
        <v>11</v>
      </c>
      <c r="I1018" t="s">
        <v>4336</v>
      </c>
      <c r="J1018" t="s">
        <v>8826</v>
      </c>
      <c r="K1018">
        <v>25090</v>
      </c>
      <c r="L1018">
        <v>44866</v>
      </c>
      <c r="M1018" t="s">
        <v>1077</v>
      </c>
      <c r="N1018">
        <v>25090</v>
      </c>
      <c r="O1018" t="e">
        <v>#N/A</v>
      </c>
    </row>
    <row r="1019" spans="2:15" hidden="1" x14ac:dyDescent="0.3">
      <c r="B1019" t="s">
        <v>8</v>
      </c>
      <c r="C1019">
        <v>928</v>
      </c>
      <c r="D1019" t="s">
        <v>13</v>
      </c>
      <c r="E1019">
        <v>1184</v>
      </c>
      <c r="F1019" t="s">
        <v>335</v>
      </c>
      <c r="G1019">
        <v>201090</v>
      </c>
      <c r="H1019" t="s">
        <v>11</v>
      </c>
      <c r="I1019" t="s">
        <v>4337</v>
      </c>
      <c r="J1019" t="s">
        <v>8827</v>
      </c>
      <c r="K1019">
        <v>2778470</v>
      </c>
      <c r="L1019">
        <v>44866</v>
      </c>
      <c r="M1019" t="s">
        <v>1078</v>
      </c>
      <c r="N1019">
        <v>2778470</v>
      </c>
      <c r="O1019" t="e">
        <v>#N/A</v>
      </c>
    </row>
    <row r="1020" spans="2:15" hidden="1" x14ac:dyDescent="0.3">
      <c r="B1020" t="s">
        <v>8</v>
      </c>
      <c r="C1020">
        <v>928</v>
      </c>
      <c r="D1020" t="s">
        <v>13</v>
      </c>
      <c r="E1020">
        <v>1184</v>
      </c>
      <c r="F1020" t="s">
        <v>51</v>
      </c>
      <c r="G1020">
        <v>1274</v>
      </c>
      <c r="H1020" t="s">
        <v>11</v>
      </c>
      <c r="I1020" t="s">
        <v>4338</v>
      </c>
      <c r="J1020" t="s">
        <v>8828</v>
      </c>
      <c r="K1020">
        <v>62413</v>
      </c>
      <c r="L1020">
        <v>44866</v>
      </c>
      <c r="M1020" t="s">
        <v>1079</v>
      </c>
      <c r="N1020">
        <v>62424</v>
      </c>
      <c r="O1020" t="e">
        <v>#N/A</v>
      </c>
    </row>
    <row r="1021" spans="2:15" hidden="1" x14ac:dyDescent="0.3">
      <c r="B1021" t="s">
        <v>8</v>
      </c>
      <c r="C1021">
        <v>928</v>
      </c>
      <c r="D1021" t="s">
        <v>13</v>
      </c>
      <c r="E1021">
        <v>1184</v>
      </c>
      <c r="F1021" t="s">
        <v>51</v>
      </c>
      <c r="G1021">
        <v>1274</v>
      </c>
      <c r="H1021" t="s">
        <v>11</v>
      </c>
      <c r="I1021" t="s">
        <v>4342</v>
      </c>
      <c r="J1021" t="s">
        <v>8829</v>
      </c>
      <c r="K1021">
        <v>241160</v>
      </c>
      <c r="L1021">
        <v>44866</v>
      </c>
      <c r="M1021" t="s">
        <v>1080</v>
      </c>
      <c r="N1021">
        <v>241160</v>
      </c>
      <c r="O1021" t="e">
        <v>#N/A</v>
      </c>
    </row>
    <row r="1022" spans="2:15" hidden="1" x14ac:dyDescent="0.3">
      <c r="B1022" t="s">
        <v>41</v>
      </c>
      <c r="C1022">
        <v>926</v>
      </c>
      <c r="D1022" t="s">
        <v>56</v>
      </c>
      <c r="E1022">
        <v>1207</v>
      </c>
      <c r="F1022" t="s">
        <v>62</v>
      </c>
      <c r="G1022">
        <v>201037</v>
      </c>
      <c r="H1022" t="s">
        <v>11</v>
      </c>
      <c r="I1022" t="s">
        <v>4346</v>
      </c>
      <c r="J1022" t="s">
        <v>8830</v>
      </c>
      <c r="K1022">
        <v>257290</v>
      </c>
      <c r="L1022">
        <v>44866</v>
      </c>
      <c r="M1022" t="s">
        <v>1081</v>
      </c>
      <c r="N1022">
        <v>257290</v>
      </c>
      <c r="O1022" t="e">
        <v>#N/A</v>
      </c>
    </row>
    <row r="1023" spans="2:15" hidden="1" x14ac:dyDescent="0.3">
      <c r="B1023" t="s">
        <v>8</v>
      </c>
      <c r="C1023">
        <v>928</v>
      </c>
      <c r="D1023" t="s">
        <v>9</v>
      </c>
      <c r="E1023">
        <v>1202</v>
      </c>
      <c r="F1023" t="s">
        <v>27</v>
      </c>
      <c r="G1023">
        <v>806</v>
      </c>
      <c r="H1023" t="s">
        <v>11</v>
      </c>
      <c r="I1023" t="s">
        <v>4354</v>
      </c>
      <c r="J1023" t="s">
        <v>8831</v>
      </c>
      <c r="K1023">
        <v>1580</v>
      </c>
      <c r="L1023">
        <v>44866</v>
      </c>
      <c r="M1023" t="s">
        <v>1082</v>
      </c>
      <c r="N1023">
        <v>1580</v>
      </c>
      <c r="O1023" t="e">
        <v>#N/A</v>
      </c>
    </row>
    <row r="1024" spans="2:15" hidden="1" x14ac:dyDescent="0.3">
      <c r="B1024" t="s">
        <v>8</v>
      </c>
      <c r="C1024">
        <v>928</v>
      </c>
      <c r="D1024" t="s">
        <v>9</v>
      </c>
      <c r="E1024">
        <v>1202</v>
      </c>
      <c r="F1024" t="s">
        <v>45</v>
      </c>
      <c r="G1024">
        <v>26</v>
      </c>
      <c r="H1024" t="s">
        <v>11</v>
      </c>
      <c r="I1024" t="s">
        <v>4355</v>
      </c>
      <c r="J1024" t="s">
        <v>6909</v>
      </c>
      <c r="K1024">
        <v>442674610</v>
      </c>
      <c r="L1024">
        <v>44866</v>
      </c>
      <c r="M1024" t="s">
        <v>1083</v>
      </c>
      <c r="N1024">
        <v>304284950</v>
      </c>
      <c r="O1024" t="s">
        <v>6910</v>
      </c>
    </row>
    <row r="1025" spans="2:15" hidden="1" x14ac:dyDescent="0.3">
      <c r="B1025" t="s">
        <v>8</v>
      </c>
      <c r="C1025">
        <v>928</v>
      </c>
      <c r="D1025" t="s">
        <v>9</v>
      </c>
      <c r="E1025">
        <v>1202</v>
      </c>
      <c r="F1025" t="s">
        <v>45</v>
      </c>
      <c r="G1025">
        <v>26</v>
      </c>
      <c r="H1025" t="s">
        <v>11</v>
      </c>
      <c r="I1025" t="s">
        <v>4356</v>
      </c>
      <c r="J1025" t="s">
        <v>6911</v>
      </c>
      <c r="K1025">
        <v>22415040</v>
      </c>
      <c r="L1025">
        <v>44866</v>
      </c>
      <c r="M1025" t="s">
        <v>1084</v>
      </c>
      <c r="N1025">
        <v>19873620</v>
      </c>
      <c r="O1025" t="s">
        <v>6910</v>
      </c>
    </row>
    <row r="1026" spans="2:15" hidden="1" x14ac:dyDescent="0.3">
      <c r="B1026" t="s">
        <v>8</v>
      </c>
      <c r="C1026">
        <v>928</v>
      </c>
      <c r="D1026" t="s">
        <v>9</v>
      </c>
      <c r="E1026">
        <v>1202</v>
      </c>
      <c r="F1026" t="s">
        <v>45</v>
      </c>
      <c r="G1026">
        <v>26</v>
      </c>
      <c r="H1026" t="s">
        <v>11</v>
      </c>
      <c r="I1026" t="s">
        <v>4357</v>
      </c>
      <c r="J1026" t="s">
        <v>8832</v>
      </c>
      <c r="K1026">
        <v>12857720</v>
      </c>
      <c r="L1026">
        <v>44866</v>
      </c>
      <c r="M1026" t="s">
        <v>1084</v>
      </c>
      <c r="N1026">
        <v>10236270</v>
      </c>
      <c r="O1026" t="e">
        <v>#N/A</v>
      </c>
    </row>
    <row r="1027" spans="2:15" hidden="1" x14ac:dyDescent="0.3">
      <c r="B1027" t="s">
        <v>41</v>
      </c>
      <c r="C1027">
        <v>926</v>
      </c>
      <c r="D1027" t="s">
        <v>56</v>
      </c>
      <c r="E1027">
        <v>1207</v>
      </c>
      <c r="F1027" t="s">
        <v>57</v>
      </c>
      <c r="G1027">
        <v>200982</v>
      </c>
      <c r="H1027" t="s">
        <v>11</v>
      </c>
      <c r="I1027" t="s">
        <v>4358</v>
      </c>
      <c r="J1027" t="s">
        <v>8833</v>
      </c>
      <c r="K1027">
        <v>6230</v>
      </c>
      <c r="L1027">
        <v>44866</v>
      </c>
      <c r="M1027" t="s">
        <v>1085</v>
      </c>
      <c r="N1027">
        <v>6230</v>
      </c>
      <c r="O1027" t="e">
        <v>#N/A</v>
      </c>
    </row>
    <row r="1028" spans="2:15" hidden="1" x14ac:dyDescent="0.3">
      <c r="B1028" t="s">
        <v>8</v>
      </c>
      <c r="C1028">
        <v>928</v>
      </c>
      <c r="D1028" t="s">
        <v>13</v>
      </c>
      <c r="E1028">
        <v>1184</v>
      </c>
      <c r="F1028" t="s">
        <v>51</v>
      </c>
      <c r="G1028">
        <v>1274</v>
      </c>
      <c r="H1028" t="s">
        <v>11</v>
      </c>
      <c r="I1028" t="s">
        <v>4359</v>
      </c>
      <c r="J1028" t="s">
        <v>8834</v>
      </c>
      <c r="K1028">
        <v>484160</v>
      </c>
      <c r="L1028">
        <v>44866</v>
      </c>
      <c r="M1028" t="s">
        <v>1086</v>
      </c>
      <c r="N1028">
        <v>484160</v>
      </c>
      <c r="O1028" t="e">
        <v>#N/A</v>
      </c>
    </row>
    <row r="1029" spans="2:15" hidden="1" x14ac:dyDescent="0.3">
      <c r="B1029" t="s">
        <v>8</v>
      </c>
      <c r="C1029">
        <v>928</v>
      </c>
      <c r="D1029" t="s">
        <v>13</v>
      </c>
      <c r="E1029">
        <v>1184</v>
      </c>
      <c r="F1029" t="s">
        <v>115</v>
      </c>
      <c r="G1029">
        <v>1548</v>
      </c>
      <c r="H1029" t="s">
        <v>11</v>
      </c>
      <c r="I1029" t="s">
        <v>4361</v>
      </c>
      <c r="J1029" t="s">
        <v>8835</v>
      </c>
      <c r="K1029">
        <v>4056430</v>
      </c>
      <c r="L1029">
        <v>44866</v>
      </c>
      <c r="M1029" t="s">
        <v>1087</v>
      </c>
      <c r="N1029">
        <v>4056430</v>
      </c>
      <c r="O1029" t="e">
        <v>#N/A</v>
      </c>
    </row>
    <row r="1030" spans="2:15" hidden="1" x14ac:dyDescent="0.3">
      <c r="B1030" t="s">
        <v>8</v>
      </c>
      <c r="C1030">
        <v>928</v>
      </c>
      <c r="D1030" t="s">
        <v>13</v>
      </c>
      <c r="E1030">
        <v>1184</v>
      </c>
      <c r="F1030" t="s">
        <v>1088</v>
      </c>
      <c r="G1030">
        <v>201047</v>
      </c>
      <c r="H1030" t="s">
        <v>11</v>
      </c>
      <c r="I1030" t="s">
        <v>4363</v>
      </c>
      <c r="J1030" t="s">
        <v>8836</v>
      </c>
      <c r="K1030">
        <v>3910580</v>
      </c>
      <c r="L1030">
        <v>44866</v>
      </c>
      <c r="M1030" t="s">
        <v>1089</v>
      </c>
      <c r="N1030">
        <v>2910600</v>
      </c>
      <c r="O1030" t="e">
        <v>#N/A</v>
      </c>
    </row>
    <row r="1031" spans="2:15" hidden="1" x14ac:dyDescent="0.3">
      <c r="B1031" t="s">
        <v>8</v>
      </c>
      <c r="C1031">
        <v>928</v>
      </c>
      <c r="D1031" t="s">
        <v>13</v>
      </c>
      <c r="E1031">
        <v>1184</v>
      </c>
      <c r="F1031" t="s">
        <v>115</v>
      </c>
      <c r="G1031">
        <v>1548</v>
      </c>
      <c r="H1031" t="s">
        <v>11</v>
      </c>
      <c r="I1031" t="s">
        <v>4365</v>
      </c>
      <c r="J1031" t="s">
        <v>8837</v>
      </c>
      <c r="K1031">
        <v>443321</v>
      </c>
      <c r="L1031">
        <v>44866</v>
      </c>
      <c r="M1031" t="s">
        <v>1090</v>
      </c>
      <c r="N1031">
        <v>0</v>
      </c>
      <c r="O1031" t="e">
        <v>#N/A</v>
      </c>
    </row>
    <row r="1032" spans="2:15" hidden="1" x14ac:dyDescent="0.3">
      <c r="B1032" t="s">
        <v>41</v>
      </c>
      <c r="C1032">
        <v>926</v>
      </c>
      <c r="D1032" t="s">
        <v>56</v>
      </c>
      <c r="E1032">
        <v>1207</v>
      </c>
      <c r="F1032" t="s">
        <v>62</v>
      </c>
      <c r="G1032">
        <v>201037</v>
      </c>
      <c r="H1032" t="s">
        <v>11</v>
      </c>
      <c r="I1032" t="s">
        <v>4367</v>
      </c>
      <c r="J1032" t="s">
        <v>8838</v>
      </c>
      <c r="K1032">
        <v>58420</v>
      </c>
      <c r="L1032">
        <v>44866</v>
      </c>
      <c r="M1032" t="s">
        <v>1091</v>
      </c>
      <c r="N1032">
        <v>58420</v>
      </c>
      <c r="O1032" t="e">
        <v>#N/A</v>
      </c>
    </row>
    <row r="1033" spans="2:15" hidden="1" x14ac:dyDescent="0.3">
      <c r="B1033" t="s">
        <v>16</v>
      </c>
      <c r="C1033">
        <v>927</v>
      </c>
      <c r="D1033" t="s">
        <v>17</v>
      </c>
      <c r="E1033">
        <v>1200</v>
      </c>
      <c r="F1033" t="s">
        <v>93</v>
      </c>
      <c r="G1033">
        <v>930</v>
      </c>
      <c r="H1033" t="s">
        <v>11</v>
      </c>
      <c r="I1033" t="s">
        <v>4369</v>
      </c>
      <c r="J1033" t="s">
        <v>8839</v>
      </c>
      <c r="K1033">
        <v>2055370</v>
      </c>
      <c r="L1033">
        <v>44866</v>
      </c>
      <c r="M1033" t="s">
        <v>1092</v>
      </c>
      <c r="N1033">
        <v>2022060</v>
      </c>
      <c r="O1033" t="e">
        <v>#N/A</v>
      </c>
    </row>
    <row r="1034" spans="2:15" hidden="1" x14ac:dyDescent="0.3">
      <c r="B1034" t="s">
        <v>16</v>
      </c>
      <c r="C1034">
        <v>927</v>
      </c>
      <c r="D1034" t="s">
        <v>17</v>
      </c>
      <c r="E1034">
        <v>1200</v>
      </c>
      <c r="F1034" t="s">
        <v>371</v>
      </c>
      <c r="G1034">
        <v>551</v>
      </c>
      <c r="H1034" t="s">
        <v>11</v>
      </c>
      <c r="I1034" t="s">
        <v>4370</v>
      </c>
      <c r="J1034" t="s">
        <v>8840</v>
      </c>
      <c r="K1034">
        <v>65660</v>
      </c>
      <c r="L1034">
        <v>44866</v>
      </c>
      <c r="M1034" t="s">
        <v>1093</v>
      </c>
      <c r="N1034">
        <v>65660</v>
      </c>
      <c r="O1034" t="e">
        <v>#N/A</v>
      </c>
    </row>
    <row r="1035" spans="2:15" hidden="1" x14ac:dyDescent="0.3">
      <c r="B1035" t="s">
        <v>8</v>
      </c>
      <c r="C1035">
        <v>928</v>
      </c>
      <c r="D1035" t="s">
        <v>13</v>
      </c>
      <c r="E1035">
        <v>1184</v>
      </c>
      <c r="F1035" t="s">
        <v>217</v>
      </c>
      <c r="G1035">
        <v>201027</v>
      </c>
      <c r="H1035" t="s">
        <v>11</v>
      </c>
      <c r="I1035" t="s">
        <v>4373</v>
      </c>
      <c r="J1035" t="s">
        <v>8841</v>
      </c>
      <c r="K1035">
        <v>5120</v>
      </c>
      <c r="L1035">
        <v>44866</v>
      </c>
      <c r="M1035" t="s">
        <v>1094</v>
      </c>
      <c r="N1035">
        <v>5120</v>
      </c>
      <c r="O1035" t="e">
        <v>#N/A</v>
      </c>
    </row>
    <row r="1036" spans="2:15" hidden="1" x14ac:dyDescent="0.3">
      <c r="B1036" t="s">
        <v>8</v>
      </c>
      <c r="C1036">
        <v>928</v>
      </c>
      <c r="D1036" t="s">
        <v>9</v>
      </c>
      <c r="E1036">
        <v>1202</v>
      </c>
      <c r="F1036" t="s">
        <v>122</v>
      </c>
      <c r="G1036">
        <v>251</v>
      </c>
      <c r="H1036" t="s">
        <v>11</v>
      </c>
      <c r="I1036" t="s">
        <v>4386</v>
      </c>
      <c r="J1036" t="s">
        <v>8842</v>
      </c>
      <c r="K1036">
        <v>630</v>
      </c>
      <c r="L1036">
        <v>44866</v>
      </c>
      <c r="M1036" t="s">
        <v>1095</v>
      </c>
      <c r="N1036">
        <v>630</v>
      </c>
      <c r="O1036" t="e">
        <v>#N/A</v>
      </c>
    </row>
    <row r="1037" spans="2:15" hidden="1" x14ac:dyDescent="0.3">
      <c r="B1037" t="s">
        <v>8</v>
      </c>
      <c r="C1037">
        <v>928</v>
      </c>
      <c r="D1037" t="s">
        <v>9</v>
      </c>
      <c r="E1037">
        <v>1202</v>
      </c>
      <c r="F1037" t="s">
        <v>37</v>
      </c>
      <c r="G1037">
        <v>81</v>
      </c>
      <c r="H1037" t="s">
        <v>11</v>
      </c>
      <c r="I1037" t="s">
        <v>4388</v>
      </c>
      <c r="J1037" t="s">
        <v>8843</v>
      </c>
      <c r="K1037">
        <v>586060</v>
      </c>
      <c r="L1037">
        <v>44866</v>
      </c>
      <c r="M1037" t="s">
        <v>1096</v>
      </c>
      <c r="N1037">
        <v>586060</v>
      </c>
      <c r="O1037" t="e">
        <v>#N/A</v>
      </c>
    </row>
    <row r="1038" spans="2:15" hidden="1" x14ac:dyDescent="0.3">
      <c r="B1038" t="s">
        <v>16</v>
      </c>
      <c r="C1038">
        <v>927</v>
      </c>
      <c r="D1038" t="s">
        <v>17</v>
      </c>
      <c r="E1038">
        <v>1200</v>
      </c>
      <c r="F1038" t="s">
        <v>93</v>
      </c>
      <c r="G1038">
        <v>930</v>
      </c>
      <c r="H1038" t="s">
        <v>11</v>
      </c>
      <c r="I1038" t="s">
        <v>4391</v>
      </c>
      <c r="J1038" t="s">
        <v>8844</v>
      </c>
      <c r="K1038">
        <v>2077610</v>
      </c>
      <c r="L1038">
        <v>44866</v>
      </c>
      <c r="M1038" t="s">
        <v>1097</v>
      </c>
      <c r="N1038">
        <v>2077610</v>
      </c>
      <c r="O1038" t="e">
        <v>#N/A</v>
      </c>
    </row>
    <row r="1039" spans="2:15" hidden="1" x14ac:dyDescent="0.3">
      <c r="B1039" t="s">
        <v>8</v>
      </c>
      <c r="C1039">
        <v>928</v>
      </c>
      <c r="D1039" t="s">
        <v>9</v>
      </c>
      <c r="E1039">
        <v>1202</v>
      </c>
      <c r="F1039" t="s">
        <v>122</v>
      </c>
      <c r="G1039">
        <v>251</v>
      </c>
      <c r="H1039" t="s">
        <v>11</v>
      </c>
      <c r="I1039" t="s">
        <v>4392</v>
      </c>
      <c r="J1039" t="s">
        <v>8845</v>
      </c>
      <c r="K1039">
        <v>132710</v>
      </c>
      <c r="L1039">
        <v>44866</v>
      </c>
      <c r="M1039" t="s">
        <v>1098</v>
      </c>
      <c r="N1039">
        <v>132710</v>
      </c>
      <c r="O1039" t="e">
        <v>#N/A</v>
      </c>
    </row>
    <row r="1040" spans="2:15" hidden="1" x14ac:dyDescent="0.3">
      <c r="B1040" t="s">
        <v>8</v>
      </c>
      <c r="C1040">
        <v>928</v>
      </c>
      <c r="D1040" t="s">
        <v>9</v>
      </c>
      <c r="E1040">
        <v>1202</v>
      </c>
      <c r="F1040" t="s">
        <v>39</v>
      </c>
      <c r="G1040">
        <v>25</v>
      </c>
      <c r="H1040" t="s">
        <v>11</v>
      </c>
      <c r="I1040" t="s">
        <v>4400</v>
      </c>
      <c r="J1040" t="s">
        <v>8846</v>
      </c>
      <c r="K1040">
        <v>3230</v>
      </c>
      <c r="L1040">
        <v>44866</v>
      </c>
      <c r="M1040" t="s">
        <v>1099</v>
      </c>
      <c r="N1040">
        <v>3230</v>
      </c>
      <c r="O1040" t="e">
        <v>#N/A</v>
      </c>
    </row>
    <row r="1041" spans="2:15" hidden="1" x14ac:dyDescent="0.3">
      <c r="B1041" t="s">
        <v>16</v>
      </c>
      <c r="C1041">
        <v>927</v>
      </c>
      <c r="D1041" t="s">
        <v>17</v>
      </c>
      <c r="E1041">
        <v>1200</v>
      </c>
      <c r="F1041" t="s">
        <v>93</v>
      </c>
      <c r="G1041">
        <v>930</v>
      </c>
      <c r="H1041" t="s">
        <v>11</v>
      </c>
      <c r="I1041" t="s">
        <v>4402</v>
      </c>
      <c r="J1041" t="s">
        <v>8847</v>
      </c>
      <c r="K1041">
        <v>2722330</v>
      </c>
      <c r="L1041">
        <v>44866</v>
      </c>
      <c r="M1041" t="s">
        <v>1100</v>
      </c>
      <c r="N1041">
        <v>2722330</v>
      </c>
      <c r="O1041" t="e">
        <v>#N/A</v>
      </c>
    </row>
    <row r="1042" spans="2:15" hidden="1" x14ac:dyDescent="0.3">
      <c r="B1042" t="s">
        <v>8</v>
      </c>
      <c r="C1042">
        <v>928</v>
      </c>
      <c r="D1042" t="s">
        <v>9</v>
      </c>
      <c r="E1042">
        <v>1202</v>
      </c>
      <c r="F1042" t="s">
        <v>31</v>
      </c>
      <c r="G1042">
        <v>1040</v>
      </c>
      <c r="H1042" t="s">
        <v>11</v>
      </c>
      <c r="I1042" t="s">
        <v>4405</v>
      </c>
      <c r="J1042" t="s">
        <v>8848</v>
      </c>
      <c r="K1042">
        <v>1750</v>
      </c>
      <c r="L1042">
        <v>44866</v>
      </c>
      <c r="M1042" t="s">
        <v>1101</v>
      </c>
      <c r="N1042">
        <v>1750</v>
      </c>
      <c r="O1042" t="e">
        <v>#N/A</v>
      </c>
    </row>
    <row r="1043" spans="2:15" hidden="1" x14ac:dyDescent="0.3">
      <c r="B1043" t="s">
        <v>41</v>
      </c>
      <c r="C1043">
        <v>926</v>
      </c>
      <c r="D1043" t="s">
        <v>56</v>
      </c>
      <c r="E1043">
        <v>1207</v>
      </c>
      <c r="F1043" t="s">
        <v>57</v>
      </c>
      <c r="G1043">
        <v>200982</v>
      </c>
      <c r="H1043" t="s">
        <v>11</v>
      </c>
      <c r="I1043" t="s">
        <v>4407</v>
      </c>
      <c r="J1043" t="s">
        <v>8849</v>
      </c>
      <c r="K1043">
        <v>22720</v>
      </c>
      <c r="L1043">
        <v>44866</v>
      </c>
      <c r="M1043" t="s">
        <v>1102</v>
      </c>
      <c r="N1043">
        <v>22720</v>
      </c>
      <c r="O1043" t="e">
        <v>#N/A</v>
      </c>
    </row>
    <row r="1044" spans="2:15" hidden="1" x14ac:dyDescent="0.3">
      <c r="B1044" t="s">
        <v>22</v>
      </c>
      <c r="C1044">
        <v>809</v>
      </c>
      <c r="D1044" t="s">
        <v>23</v>
      </c>
      <c r="E1044">
        <v>810</v>
      </c>
      <c r="F1044" t="s">
        <v>86</v>
      </c>
      <c r="G1044">
        <v>201021</v>
      </c>
      <c r="H1044" t="s">
        <v>11</v>
      </c>
      <c r="I1044" t="s">
        <v>4410</v>
      </c>
      <c r="J1044" t="s">
        <v>8850</v>
      </c>
      <c r="K1044">
        <v>280</v>
      </c>
      <c r="L1044">
        <v>44866</v>
      </c>
      <c r="M1044" t="s">
        <v>1103</v>
      </c>
      <c r="N1044">
        <v>280</v>
      </c>
      <c r="O1044" t="e">
        <v>#N/A</v>
      </c>
    </row>
    <row r="1045" spans="2:15" hidden="1" x14ac:dyDescent="0.3">
      <c r="B1045" t="s">
        <v>8</v>
      </c>
      <c r="C1045">
        <v>928</v>
      </c>
      <c r="D1045" t="s">
        <v>167</v>
      </c>
      <c r="E1045">
        <v>935</v>
      </c>
      <c r="F1045" t="s">
        <v>168</v>
      </c>
      <c r="G1045">
        <v>2</v>
      </c>
      <c r="H1045" t="s">
        <v>11</v>
      </c>
      <c r="I1045" t="s">
        <v>4413</v>
      </c>
      <c r="J1045" t="s">
        <v>8851</v>
      </c>
      <c r="K1045">
        <v>108488206</v>
      </c>
      <c r="L1045">
        <v>44866</v>
      </c>
      <c r="M1045" t="s">
        <v>1104</v>
      </c>
      <c r="N1045">
        <v>99168210</v>
      </c>
      <c r="O1045" t="e">
        <v>#N/A</v>
      </c>
    </row>
    <row r="1046" spans="2:15" hidden="1" x14ac:dyDescent="0.3">
      <c r="B1046" t="s">
        <v>8</v>
      </c>
      <c r="C1046">
        <v>928</v>
      </c>
      <c r="D1046" t="s">
        <v>167</v>
      </c>
      <c r="E1046">
        <v>935</v>
      </c>
      <c r="F1046" t="s">
        <v>168</v>
      </c>
      <c r="G1046">
        <v>2</v>
      </c>
      <c r="H1046" t="s">
        <v>11</v>
      </c>
      <c r="I1046" t="s">
        <v>4414</v>
      </c>
      <c r="J1046" t="s">
        <v>8852</v>
      </c>
      <c r="K1046">
        <v>31928130</v>
      </c>
      <c r="L1046">
        <v>44866</v>
      </c>
      <c r="M1046" t="s">
        <v>1104</v>
      </c>
      <c r="N1046">
        <v>31928130</v>
      </c>
      <c r="O1046" t="e">
        <v>#N/A</v>
      </c>
    </row>
    <row r="1047" spans="2:15" hidden="1" x14ac:dyDescent="0.3">
      <c r="B1047" t="s">
        <v>8</v>
      </c>
      <c r="C1047">
        <v>928</v>
      </c>
      <c r="D1047" t="s">
        <v>167</v>
      </c>
      <c r="E1047">
        <v>935</v>
      </c>
      <c r="F1047" t="s">
        <v>168</v>
      </c>
      <c r="G1047">
        <v>2</v>
      </c>
      <c r="H1047" t="s">
        <v>11</v>
      </c>
      <c r="I1047" t="s">
        <v>4415</v>
      </c>
      <c r="J1047" t="s">
        <v>8853</v>
      </c>
      <c r="K1047">
        <v>37018230</v>
      </c>
      <c r="L1047">
        <v>44866</v>
      </c>
      <c r="M1047" t="s">
        <v>1104</v>
      </c>
      <c r="N1047">
        <v>37018230</v>
      </c>
      <c r="O1047" t="e">
        <v>#N/A</v>
      </c>
    </row>
    <row r="1048" spans="2:15" hidden="1" x14ac:dyDescent="0.3">
      <c r="B1048" t="s">
        <v>8</v>
      </c>
      <c r="C1048">
        <v>928</v>
      </c>
      <c r="D1048" t="s">
        <v>13</v>
      </c>
      <c r="E1048">
        <v>1184</v>
      </c>
      <c r="F1048" t="s">
        <v>51</v>
      </c>
      <c r="G1048">
        <v>1274</v>
      </c>
      <c r="H1048" t="s">
        <v>11</v>
      </c>
      <c r="I1048" t="s">
        <v>4416</v>
      </c>
      <c r="J1048" t="s">
        <v>8854</v>
      </c>
      <c r="K1048">
        <v>1854650</v>
      </c>
      <c r="L1048">
        <v>44866</v>
      </c>
      <c r="M1048" t="s">
        <v>1105</v>
      </c>
      <c r="N1048">
        <v>1854650</v>
      </c>
      <c r="O1048" t="e">
        <v>#N/A</v>
      </c>
    </row>
    <row r="1049" spans="2:15" hidden="1" x14ac:dyDescent="0.3">
      <c r="B1049" t="s">
        <v>8</v>
      </c>
      <c r="C1049">
        <v>928</v>
      </c>
      <c r="D1049" t="s">
        <v>9</v>
      </c>
      <c r="E1049">
        <v>1202</v>
      </c>
      <c r="F1049" t="s">
        <v>73</v>
      </c>
      <c r="G1049">
        <v>895</v>
      </c>
      <c r="H1049" t="s">
        <v>11</v>
      </c>
      <c r="I1049" t="s">
        <v>4418</v>
      </c>
      <c r="J1049" t="s">
        <v>8855</v>
      </c>
      <c r="K1049">
        <v>54830</v>
      </c>
      <c r="L1049">
        <v>44866</v>
      </c>
      <c r="M1049" t="s">
        <v>1106</v>
      </c>
      <c r="N1049">
        <v>54830</v>
      </c>
      <c r="O1049" t="e">
        <v>#N/A</v>
      </c>
    </row>
    <row r="1050" spans="2:15" hidden="1" x14ac:dyDescent="0.3">
      <c r="B1050" t="s">
        <v>8</v>
      </c>
      <c r="C1050">
        <v>928</v>
      </c>
      <c r="D1050" t="s">
        <v>9</v>
      </c>
      <c r="E1050">
        <v>1202</v>
      </c>
      <c r="F1050" t="s">
        <v>31</v>
      </c>
      <c r="G1050">
        <v>1040</v>
      </c>
      <c r="H1050" t="s">
        <v>11</v>
      </c>
      <c r="I1050" t="s">
        <v>4423</v>
      </c>
      <c r="J1050" t="s">
        <v>8856</v>
      </c>
      <c r="K1050">
        <v>83200</v>
      </c>
      <c r="L1050">
        <v>44866</v>
      </c>
      <c r="M1050" t="s">
        <v>1107</v>
      </c>
      <c r="N1050">
        <v>83200</v>
      </c>
      <c r="O1050" t="e">
        <v>#N/A</v>
      </c>
    </row>
    <row r="1051" spans="2:15" hidden="1" x14ac:dyDescent="0.3">
      <c r="B1051" t="s">
        <v>8</v>
      </c>
      <c r="C1051">
        <v>928</v>
      </c>
      <c r="D1051" t="s">
        <v>9</v>
      </c>
      <c r="E1051">
        <v>1202</v>
      </c>
      <c r="F1051" t="s">
        <v>27</v>
      </c>
      <c r="G1051">
        <v>806</v>
      </c>
      <c r="H1051" t="s">
        <v>11</v>
      </c>
      <c r="I1051" t="s">
        <v>8857</v>
      </c>
      <c r="J1051" t="s">
        <v>7050</v>
      </c>
      <c r="K1051">
        <v>1560</v>
      </c>
      <c r="L1051">
        <v>44866</v>
      </c>
      <c r="M1051" t="s">
        <v>1108</v>
      </c>
      <c r="N1051" t="e">
        <v>#N/A</v>
      </c>
      <c r="O1051" t="s">
        <v>7167</v>
      </c>
    </row>
    <row r="1052" spans="2:15" hidden="1" x14ac:dyDescent="0.3">
      <c r="B1052" t="s">
        <v>16</v>
      </c>
      <c r="C1052">
        <v>927</v>
      </c>
      <c r="D1052" t="s">
        <v>17</v>
      </c>
      <c r="E1052">
        <v>1200</v>
      </c>
      <c r="F1052" t="s">
        <v>66</v>
      </c>
      <c r="G1052">
        <v>33</v>
      </c>
      <c r="H1052" t="s">
        <v>11</v>
      </c>
      <c r="I1052" t="s">
        <v>4428</v>
      </c>
      <c r="J1052" t="s">
        <v>8858</v>
      </c>
      <c r="K1052">
        <v>4485480</v>
      </c>
      <c r="L1052">
        <v>44866</v>
      </c>
      <c r="M1052" t="s">
        <v>215</v>
      </c>
      <c r="N1052">
        <v>4485480</v>
      </c>
      <c r="O1052" t="e">
        <v>#N/A</v>
      </c>
    </row>
    <row r="1053" spans="2:15" hidden="1" x14ac:dyDescent="0.3">
      <c r="B1053" t="s">
        <v>16</v>
      </c>
      <c r="C1053">
        <v>927</v>
      </c>
      <c r="D1053" t="s">
        <v>17</v>
      </c>
      <c r="E1053">
        <v>1200</v>
      </c>
      <c r="F1053" t="s">
        <v>53</v>
      </c>
      <c r="G1053">
        <v>201080</v>
      </c>
      <c r="H1053" t="s">
        <v>11</v>
      </c>
      <c r="I1053" t="s">
        <v>4431</v>
      </c>
      <c r="J1053" t="s">
        <v>8859</v>
      </c>
      <c r="K1053">
        <v>91830</v>
      </c>
      <c r="L1053">
        <v>44866</v>
      </c>
      <c r="M1053" t="s">
        <v>1109</v>
      </c>
      <c r="N1053">
        <v>93630</v>
      </c>
      <c r="O1053" t="e">
        <v>#N/A</v>
      </c>
    </row>
    <row r="1054" spans="2:15" hidden="1" x14ac:dyDescent="0.3">
      <c r="B1054" t="s">
        <v>22</v>
      </c>
      <c r="C1054">
        <v>809</v>
      </c>
      <c r="D1054" t="s">
        <v>23</v>
      </c>
      <c r="E1054">
        <v>810</v>
      </c>
      <c r="F1054" t="s">
        <v>529</v>
      </c>
      <c r="G1054">
        <v>201053</v>
      </c>
      <c r="H1054" t="s">
        <v>11</v>
      </c>
      <c r="I1054" t="s">
        <v>4432</v>
      </c>
      <c r="J1054" t="s">
        <v>8860</v>
      </c>
      <c r="K1054">
        <v>172260</v>
      </c>
      <c r="L1054">
        <v>44866</v>
      </c>
      <c r="M1054" t="s">
        <v>1110</v>
      </c>
      <c r="N1054">
        <v>172260</v>
      </c>
      <c r="O1054" t="e">
        <v>#N/A</v>
      </c>
    </row>
    <row r="1055" spans="2:15" hidden="1" x14ac:dyDescent="0.3">
      <c r="B1055" t="s">
        <v>16</v>
      </c>
      <c r="C1055">
        <v>927</v>
      </c>
      <c r="D1055" t="s">
        <v>17</v>
      </c>
      <c r="E1055">
        <v>1200</v>
      </c>
      <c r="F1055" t="s">
        <v>29</v>
      </c>
      <c r="G1055">
        <v>1496</v>
      </c>
      <c r="H1055" t="s">
        <v>11</v>
      </c>
      <c r="I1055" t="s">
        <v>4436</v>
      </c>
      <c r="J1055" t="s">
        <v>8861</v>
      </c>
      <c r="K1055">
        <v>1049060</v>
      </c>
      <c r="L1055">
        <v>44866</v>
      </c>
      <c r="M1055" t="s">
        <v>1111</v>
      </c>
      <c r="N1055">
        <v>1049060</v>
      </c>
      <c r="O1055" t="e">
        <v>#N/A</v>
      </c>
    </row>
    <row r="1056" spans="2:15" hidden="1" x14ac:dyDescent="0.3">
      <c r="B1056" t="s">
        <v>8</v>
      </c>
      <c r="C1056">
        <v>928</v>
      </c>
      <c r="D1056" t="s">
        <v>13</v>
      </c>
      <c r="E1056">
        <v>1184</v>
      </c>
      <c r="F1056" t="s">
        <v>102</v>
      </c>
      <c r="G1056">
        <v>917</v>
      </c>
      <c r="H1056" t="s">
        <v>11</v>
      </c>
      <c r="I1056" t="s">
        <v>4438</v>
      </c>
      <c r="J1056" t="s">
        <v>8862</v>
      </c>
      <c r="K1056">
        <v>300</v>
      </c>
      <c r="L1056">
        <v>44866</v>
      </c>
      <c r="M1056" t="s">
        <v>1112</v>
      </c>
      <c r="N1056">
        <v>300</v>
      </c>
      <c r="O1056" t="e">
        <v>#N/A</v>
      </c>
    </row>
    <row r="1057" spans="2:15" hidden="1" x14ac:dyDescent="0.3">
      <c r="B1057" t="s">
        <v>8</v>
      </c>
      <c r="C1057">
        <v>928</v>
      </c>
      <c r="D1057" t="s">
        <v>9</v>
      </c>
      <c r="E1057">
        <v>1202</v>
      </c>
      <c r="F1057" t="s">
        <v>20</v>
      </c>
      <c r="G1057">
        <v>938</v>
      </c>
      <c r="H1057" t="s">
        <v>11</v>
      </c>
      <c r="I1057" t="s">
        <v>4441</v>
      </c>
      <c r="J1057" t="s">
        <v>8863</v>
      </c>
      <c r="K1057">
        <v>2963596</v>
      </c>
      <c r="L1057">
        <v>44866</v>
      </c>
      <c r="M1057" t="s">
        <v>1113</v>
      </c>
      <c r="N1057">
        <v>2963643</v>
      </c>
      <c r="O1057" t="e">
        <v>#N/A</v>
      </c>
    </row>
    <row r="1058" spans="2:15" hidden="1" x14ac:dyDescent="0.3">
      <c r="B1058" t="s">
        <v>8</v>
      </c>
      <c r="C1058">
        <v>928</v>
      </c>
      <c r="D1058" t="s">
        <v>13</v>
      </c>
      <c r="E1058">
        <v>1184</v>
      </c>
      <c r="F1058" t="s">
        <v>59</v>
      </c>
      <c r="G1058">
        <v>9</v>
      </c>
      <c r="H1058" t="s">
        <v>11</v>
      </c>
      <c r="I1058" t="s">
        <v>4443</v>
      </c>
      <c r="J1058" t="s">
        <v>8864</v>
      </c>
      <c r="K1058">
        <v>5150</v>
      </c>
      <c r="L1058">
        <v>44866</v>
      </c>
      <c r="M1058" t="s">
        <v>1114</v>
      </c>
      <c r="N1058">
        <v>5150</v>
      </c>
      <c r="O1058" t="e">
        <v>#N/A</v>
      </c>
    </row>
    <row r="1059" spans="2:15" hidden="1" x14ac:dyDescent="0.3">
      <c r="B1059" t="s">
        <v>41</v>
      </c>
      <c r="C1059">
        <v>926</v>
      </c>
      <c r="D1059" t="s">
        <v>56</v>
      </c>
      <c r="E1059">
        <v>1207</v>
      </c>
      <c r="F1059" t="s">
        <v>57</v>
      </c>
      <c r="G1059">
        <v>200982</v>
      </c>
      <c r="H1059" t="s">
        <v>11</v>
      </c>
      <c r="I1059" t="s">
        <v>4444</v>
      </c>
      <c r="J1059" t="s">
        <v>8865</v>
      </c>
      <c r="K1059">
        <v>266650</v>
      </c>
      <c r="L1059">
        <v>44866</v>
      </c>
      <c r="M1059" t="s">
        <v>1115</v>
      </c>
      <c r="N1059">
        <v>266650</v>
      </c>
      <c r="O1059" t="e">
        <v>#N/A</v>
      </c>
    </row>
    <row r="1060" spans="2:15" hidden="1" x14ac:dyDescent="0.3">
      <c r="B1060" t="s">
        <v>8</v>
      </c>
      <c r="C1060">
        <v>928</v>
      </c>
      <c r="D1060" t="s">
        <v>9</v>
      </c>
      <c r="E1060">
        <v>1202</v>
      </c>
      <c r="F1060" t="s">
        <v>122</v>
      </c>
      <c r="G1060">
        <v>251</v>
      </c>
      <c r="H1060" t="s">
        <v>11</v>
      </c>
      <c r="I1060" t="s">
        <v>4448</v>
      </c>
      <c r="J1060" t="s">
        <v>8866</v>
      </c>
      <c r="K1060">
        <v>6310</v>
      </c>
      <c r="L1060">
        <v>44866</v>
      </c>
      <c r="M1060" t="s">
        <v>1116</v>
      </c>
      <c r="N1060">
        <v>6310</v>
      </c>
      <c r="O1060" t="e">
        <v>#N/A</v>
      </c>
    </row>
    <row r="1061" spans="2:15" hidden="1" x14ac:dyDescent="0.3">
      <c r="B1061" t="s">
        <v>8</v>
      </c>
      <c r="C1061">
        <v>928</v>
      </c>
      <c r="D1061" t="s">
        <v>9</v>
      </c>
      <c r="E1061">
        <v>1202</v>
      </c>
      <c r="F1061" t="s">
        <v>27</v>
      </c>
      <c r="G1061">
        <v>806</v>
      </c>
      <c r="H1061" t="s">
        <v>11</v>
      </c>
      <c r="I1061" t="s">
        <v>4453</v>
      </c>
      <c r="J1061" t="s">
        <v>8867</v>
      </c>
      <c r="K1061">
        <v>93910</v>
      </c>
      <c r="L1061">
        <v>44866</v>
      </c>
      <c r="M1061" t="s">
        <v>1117</v>
      </c>
      <c r="N1061">
        <v>93910</v>
      </c>
      <c r="O1061" t="e">
        <v>#N/A</v>
      </c>
    </row>
    <row r="1062" spans="2:15" hidden="1" x14ac:dyDescent="0.3">
      <c r="B1062" t="s">
        <v>41</v>
      </c>
      <c r="C1062">
        <v>926</v>
      </c>
      <c r="D1062" t="s">
        <v>56</v>
      </c>
      <c r="E1062">
        <v>1207</v>
      </c>
      <c r="F1062" t="s">
        <v>64</v>
      </c>
      <c r="G1062">
        <v>201011</v>
      </c>
      <c r="H1062" t="s">
        <v>11</v>
      </c>
      <c r="I1062" t="s">
        <v>4458</v>
      </c>
      <c r="J1062" t="s">
        <v>8868</v>
      </c>
      <c r="K1062">
        <v>406320</v>
      </c>
      <c r="L1062">
        <v>44866</v>
      </c>
      <c r="M1062" t="s">
        <v>1118</v>
      </c>
      <c r="N1062">
        <v>406320</v>
      </c>
      <c r="O1062" t="e">
        <v>#N/A</v>
      </c>
    </row>
    <row r="1063" spans="2:15" hidden="1" x14ac:dyDescent="0.3">
      <c r="B1063" t="s">
        <v>8</v>
      </c>
      <c r="C1063">
        <v>928</v>
      </c>
      <c r="D1063" t="s">
        <v>13</v>
      </c>
      <c r="E1063">
        <v>1184</v>
      </c>
      <c r="F1063" t="s">
        <v>14</v>
      </c>
      <c r="G1063">
        <v>914</v>
      </c>
      <c r="H1063" t="s">
        <v>11</v>
      </c>
      <c r="I1063" t="s">
        <v>4461</v>
      </c>
      <c r="J1063" t="s">
        <v>8869</v>
      </c>
      <c r="K1063">
        <v>80230</v>
      </c>
      <c r="L1063">
        <v>44866</v>
      </c>
      <c r="M1063" t="s">
        <v>1119</v>
      </c>
      <c r="N1063">
        <v>80230</v>
      </c>
      <c r="O1063" t="e">
        <v>#N/A</v>
      </c>
    </row>
    <row r="1064" spans="2:15" hidden="1" x14ac:dyDescent="0.3">
      <c r="B1064" t="s">
        <v>41</v>
      </c>
      <c r="C1064">
        <v>926</v>
      </c>
      <c r="D1064" t="s">
        <v>525</v>
      </c>
      <c r="E1064">
        <v>954</v>
      </c>
      <c r="F1064" t="s">
        <v>526</v>
      </c>
      <c r="G1064">
        <v>200999</v>
      </c>
      <c r="H1064" t="s">
        <v>11</v>
      </c>
      <c r="I1064" t="s">
        <v>4462</v>
      </c>
      <c r="J1064" t="s">
        <v>8870</v>
      </c>
      <c r="K1064">
        <v>34310</v>
      </c>
      <c r="L1064">
        <v>44866</v>
      </c>
      <c r="M1064" t="s">
        <v>22</v>
      </c>
      <c r="N1064">
        <v>34310</v>
      </c>
      <c r="O1064" t="e">
        <v>#N/A</v>
      </c>
    </row>
    <row r="1065" spans="2:15" hidden="1" x14ac:dyDescent="0.3">
      <c r="B1065" t="s">
        <v>8</v>
      </c>
      <c r="C1065">
        <v>928</v>
      </c>
      <c r="D1065" t="s">
        <v>9</v>
      </c>
      <c r="E1065">
        <v>1202</v>
      </c>
      <c r="F1065" t="s">
        <v>142</v>
      </c>
      <c r="G1065">
        <v>652</v>
      </c>
      <c r="H1065" t="s">
        <v>11</v>
      </c>
      <c r="I1065" t="s">
        <v>4468</v>
      </c>
      <c r="J1065" t="s">
        <v>8871</v>
      </c>
      <c r="K1065">
        <v>1419720</v>
      </c>
      <c r="L1065">
        <v>44866</v>
      </c>
      <c r="M1065" t="s">
        <v>1120</v>
      </c>
      <c r="N1065">
        <v>1285410</v>
      </c>
      <c r="O1065" t="e">
        <v>#N/A</v>
      </c>
    </row>
    <row r="1066" spans="2:15" hidden="1" x14ac:dyDescent="0.3">
      <c r="B1066" t="s">
        <v>8</v>
      </c>
      <c r="C1066">
        <v>928</v>
      </c>
      <c r="D1066" t="s">
        <v>9</v>
      </c>
      <c r="E1066">
        <v>1202</v>
      </c>
      <c r="F1066" t="s">
        <v>73</v>
      </c>
      <c r="G1066">
        <v>895</v>
      </c>
      <c r="H1066" t="s">
        <v>11</v>
      </c>
      <c r="I1066" t="s">
        <v>4474</v>
      </c>
      <c r="J1066" t="s">
        <v>8872</v>
      </c>
      <c r="K1066">
        <v>26110</v>
      </c>
      <c r="L1066">
        <v>44866</v>
      </c>
      <c r="M1066" t="s">
        <v>1121</v>
      </c>
      <c r="N1066">
        <v>26110</v>
      </c>
      <c r="O1066" t="e">
        <v>#N/A</v>
      </c>
    </row>
    <row r="1067" spans="2:15" hidden="1" x14ac:dyDescent="0.3">
      <c r="B1067" t="s">
        <v>8</v>
      </c>
      <c r="C1067">
        <v>928</v>
      </c>
      <c r="D1067" t="s">
        <v>9</v>
      </c>
      <c r="E1067">
        <v>1202</v>
      </c>
      <c r="F1067" t="s">
        <v>20</v>
      </c>
      <c r="G1067">
        <v>938</v>
      </c>
      <c r="H1067" t="s">
        <v>11</v>
      </c>
      <c r="I1067" t="s">
        <v>4480</v>
      </c>
      <c r="J1067" t="s">
        <v>8873</v>
      </c>
      <c r="K1067">
        <v>8190</v>
      </c>
      <c r="L1067">
        <v>44866</v>
      </c>
      <c r="M1067" t="s">
        <v>1122</v>
      </c>
      <c r="N1067">
        <v>8190</v>
      </c>
      <c r="O1067" t="e">
        <v>#N/A</v>
      </c>
    </row>
    <row r="1068" spans="2:15" hidden="1" x14ac:dyDescent="0.3">
      <c r="B1068" t="s">
        <v>41</v>
      </c>
      <c r="C1068">
        <v>926</v>
      </c>
      <c r="D1068" t="s">
        <v>42</v>
      </c>
      <c r="E1068">
        <v>964</v>
      </c>
      <c r="F1068" t="s">
        <v>704</v>
      </c>
      <c r="G1068">
        <v>1616</v>
      </c>
      <c r="H1068" t="s">
        <v>11</v>
      </c>
      <c r="I1068" t="s">
        <v>4484</v>
      </c>
      <c r="J1068" t="s">
        <v>8874</v>
      </c>
      <c r="K1068">
        <v>780</v>
      </c>
      <c r="L1068">
        <v>44866</v>
      </c>
      <c r="M1068" t="s">
        <v>1123</v>
      </c>
      <c r="N1068">
        <v>780</v>
      </c>
      <c r="O1068" t="e">
        <v>#N/A</v>
      </c>
    </row>
    <row r="1069" spans="2:15" hidden="1" x14ac:dyDescent="0.3">
      <c r="B1069" t="s">
        <v>16</v>
      </c>
      <c r="C1069">
        <v>927</v>
      </c>
      <c r="D1069" t="s">
        <v>17</v>
      </c>
      <c r="E1069">
        <v>1200</v>
      </c>
      <c r="F1069" t="s">
        <v>137</v>
      </c>
      <c r="G1069">
        <v>1012</v>
      </c>
      <c r="H1069" t="s">
        <v>11</v>
      </c>
      <c r="I1069" t="s">
        <v>4485</v>
      </c>
      <c r="J1069" t="s">
        <v>8875</v>
      </c>
      <c r="K1069">
        <v>96400</v>
      </c>
      <c r="L1069">
        <v>44866</v>
      </c>
      <c r="M1069" t="s">
        <v>1124</v>
      </c>
      <c r="N1069">
        <v>96400</v>
      </c>
      <c r="O1069" t="e">
        <v>#N/A</v>
      </c>
    </row>
    <row r="1070" spans="2:15" hidden="1" x14ac:dyDescent="0.3">
      <c r="B1070" t="s">
        <v>8</v>
      </c>
      <c r="C1070">
        <v>928</v>
      </c>
      <c r="D1070" t="s">
        <v>13</v>
      </c>
      <c r="E1070">
        <v>1184</v>
      </c>
      <c r="F1070" t="s">
        <v>59</v>
      </c>
      <c r="G1070">
        <v>9</v>
      </c>
      <c r="H1070" t="s">
        <v>11</v>
      </c>
      <c r="I1070" t="s">
        <v>4487</v>
      </c>
      <c r="J1070" t="s">
        <v>8876</v>
      </c>
      <c r="K1070">
        <v>8060</v>
      </c>
      <c r="L1070">
        <v>44866</v>
      </c>
      <c r="M1070" t="s">
        <v>1125</v>
      </c>
      <c r="N1070">
        <v>8060</v>
      </c>
      <c r="O1070" t="e">
        <v>#N/A</v>
      </c>
    </row>
    <row r="1071" spans="2:15" hidden="1" x14ac:dyDescent="0.3">
      <c r="B1071" t="s">
        <v>41</v>
      </c>
      <c r="C1071">
        <v>926</v>
      </c>
      <c r="D1071" t="s">
        <v>56</v>
      </c>
      <c r="E1071">
        <v>1207</v>
      </c>
      <c r="F1071" t="s">
        <v>62</v>
      </c>
      <c r="G1071">
        <v>201037</v>
      </c>
      <c r="H1071" t="s">
        <v>11</v>
      </c>
      <c r="I1071" t="s">
        <v>4488</v>
      </c>
      <c r="J1071" t="s">
        <v>8877</v>
      </c>
      <c r="K1071">
        <v>1597070</v>
      </c>
      <c r="L1071">
        <v>44866</v>
      </c>
      <c r="M1071" t="s">
        <v>1126</v>
      </c>
      <c r="N1071">
        <v>1597830</v>
      </c>
      <c r="O1071" t="e">
        <v>#N/A</v>
      </c>
    </row>
    <row r="1072" spans="2:15" hidden="1" x14ac:dyDescent="0.3">
      <c r="B1072" t="s">
        <v>8</v>
      </c>
      <c r="C1072">
        <v>928</v>
      </c>
      <c r="D1072" t="s">
        <v>9</v>
      </c>
      <c r="E1072">
        <v>1202</v>
      </c>
      <c r="F1072" t="s">
        <v>220</v>
      </c>
      <c r="G1072">
        <v>1211</v>
      </c>
      <c r="H1072" t="s">
        <v>11</v>
      </c>
      <c r="I1072" t="s">
        <v>4489</v>
      </c>
      <c r="J1072" t="s">
        <v>8878</v>
      </c>
      <c r="K1072">
        <v>557840</v>
      </c>
      <c r="L1072">
        <v>44866</v>
      </c>
      <c r="M1072" t="s">
        <v>1127</v>
      </c>
      <c r="N1072">
        <v>557840</v>
      </c>
      <c r="O1072" t="e">
        <v>#N/A</v>
      </c>
    </row>
    <row r="1073" spans="2:15" hidden="1" x14ac:dyDescent="0.3">
      <c r="B1073" t="s">
        <v>8</v>
      </c>
      <c r="C1073">
        <v>928</v>
      </c>
      <c r="D1073" t="s">
        <v>13</v>
      </c>
      <c r="E1073">
        <v>1184</v>
      </c>
      <c r="F1073" t="s">
        <v>51</v>
      </c>
      <c r="G1073">
        <v>1274</v>
      </c>
      <c r="H1073" t="s">
        <v>11</v>
      </c>
      <c r="I1073" t="s">
        <v>4492</v>
      </c>
      <c r="J1073" t="s">
        <v>8879</v>
      </c>
      <c r="K1073">
        <v>47160</v>
      </c>
      <c r="L1073">
        <v>44866</v>
      </c>
      <c r="M1073" t="s">
        <v>1128</v>
      </c>
      <c r="N1073">
        <v>47160</v>
      </c>
      <c r="O1073" t="e">
        <v>#N/A</v>
      </c>
    </row>
    <row r="1074" spans="2:15" hidden="1" x14ac:dyDescent="0.3">
      <c r="B1074" t="s">
        <v>22</v>
      </c>
      <c r="C1074">
        <v>809</v>
      </c>
      <c r="D1074" t="s">
        <v>23</v>
      </c>
      <c r="E1074">
        <v>810</v>
      </c>
      <c r="F1074" t="s">
        <v>106</v>
      </c>
      <c r="G1074">
        <v>1349</v>
      </c>
      <c r="H1074" t="s">
        <v>11</v>
      </c>
      <c r="I1074" t="s">
        <v>4493</v>
      </c>
      <c r="J1074" t="s">
        <v>8880</v>
      </c>
      <c r="K1074">
        <v>37510</v>
      </c>
      <c r="L1074">
        <v>44866</v>
      </c>
      <c r="M1074" t="s">
        <v>1129</v>
      </c>
      <c r="N1074">
        <v>37510</v>
      </c>
      <c r="O1074" t="e">
        <v>#N/A</v>
      </c>
    </row>
    <row r="1075" spans="2:15" hidden="1" x14ac:dyDescent="0.3">
      <c r="B1075" t="s">
        <v>8</v>
      </c>
      <c r="C1075">
        <v>928</v>
      </c>
      <c r="D1075" t="s">
        <v>9</v>
      </c>
      <c r="E1075">
        <v>1202</v>
      </c>
      <c r="F1075" t="s">
        <v>220</v>
      </c>
      <c r="G1075">
        <v>1211</v>
      </c>
      <c r="H1075" t="s">
        <v>11</v>
      </c>
      <c r="I1075" t="s">
        <v>4501</v>
      </c>
      <c r="J1075" t="s">
        <v>8881</v>
      </c>
      <c r="K1075">
        <v>2270</v>
      </c>
      <c r="L1075">
        <v>44866</v>
      </c>
      <c r="M1075" t="s">
        <v>1130</v>
      </c>
      <c r="N1075">
        <v>2270</v>
      </c>
      <c r="O1075" t="e">
        <v>#N/A</v>
      </c>
    </row>
    <row r="1076" spans="2:15" hidden="1" x14ac:dyDescent="0.3">
      <c r="B1076" t="s">
        <v>8</v>
      </c>
      <c r="C1076">
        <v>928</v>
      </c>
      <c r="D1076" t="s">
        <v>13</v>
      </c>
      <c r="E1076">
        <v>1184</v>
      </c>
      <c r="F1076" t="s">
        <v>59</v>
      </c>
      <c r="G1076">
        <v>9</v>
      </c>
      <c r="H1076" t="s">
        <v>11</v>
      </c>
      <c r="I1076" t="s">
        <v>4502</v>
      </c>
      <c r="J1076" t="s">
        <v>8882</v>
      </c>
      <c r="K1076">
        <v>8590</v>
      </c>
      <c r="L1076">
        <v>44866</v>
      </c>
      <c r="M1076" t="s">
        <v>1131</v>
      </c>
      <c r="N1076">
        <v>8590</v>
      </c>
      <c r="O1076" t="e">
        <v>#N/A</v>
      </c>
    </row>
    <row r="1077" spans="2:15" hidden="1" x14ac:dyDescent="0.3">
      <c r="B1077" t="s">
        <v>8</v>
      </c>
      <c r="C1077">
        <v>928</v>
      </c>
      <c r="D1077" t="s">
        <v>9</v>
      </c>
      <c r="E1077">
        <v>1202</v>
      </c>
      <c r="F1077" t="s">
        <v>47</v>
      </c>
      <c r="G1077">
        <v>898</v>
      </c>
      <c r="H1077" t="s">
        <v>11</v>
      </c>
      <c r="I1077" t="s">
        <v>4503</v>
      </c>
      <c r="J1077" t="s">
        <v>8883</v>
      </c>
      <c r="K1077">
        <v>1532370</v>
      </c>
      <c r="L1077">
        <v>44866</v>
      </c>
      <c r="M1077" t="s">
        <v>1132</v>
      </c>
      <c r="N1077">
        <v>1532370</v>
      </c>
      <c r="O1077" t="e">
        <v>#N/A</v>
      </c>
    </row>
    <row r="1078" spans="2:15" hidden="1" x14ac:dyDescent="0.3">
      <c r="B1078" t="s">
        <v>16</v>
      </c>
      <c r="C1078">
        <v>927</v>
      </c>
      <c r="D1078" t="s">
        <v>17</v>
      </c>
      <c r="E1078">
        <v>1200</v>
      </c>
      <c r="F1078" t="s">
        <v>290</v>
      </c>
      <c r="G1078">
        <v>556</v>
      </c>
      <c r="H1078" t="s">
        <v>11</v>
      </c>
      <c r="I1078" t="s">
        <v>4506</v>
      </c>
      <c r="J1078" t="s">
        <v>8884</v>
      </c>
      <c r="K1078">
        <v>386120</v>
      </c>
      <c r="L1078">
        <v>44866</v>
      </c>
      <c r="M1078" t="s">
        <v>1133</v>
      </c>
      <c r="N1078">
        <v>386120</v>
      </c>
      <c r="O1078" t="e">
        <v>#N/A</v>
      </c>
    </row>
    <row r="1079" spans="2:15" hidden="1" x14ac:dyDescent="0.3">
      <c r="B1079" t="s">
        <v>8</v>
      </c>
      <c r="C1079">
        <v>928</v>
      </c>
      <c r="D1079" t="s">
        <v>9</v>
      </c>
      <c r="E1079">
        <v>1202</v>
      </c>
      <c r="F1079" t="s">
        <v>20</v>
      </c>
      <c r="G1079">
        <v>938</v>
      </c>
      <c r="H1079" t="s">
        <v>11</v>
      </c>
      <c r="I1079" t="s">
        <v>4507</v>
      </c>
      <c r="J1079" t="s">
        <v>8885</v>
      </c>
      <c r="K1079">
        <v>292170</v>
      </c>
      <c r="L1079">
        <v>44866</v>
      </c>
      <c r="M1079" t="s">
        <v>1113</v>
      </c>
      <c r="N1079">
        <v>292170</v>
      </c>
      <c r="O1079" t="e">
        <v>#N/A</v>
      </c>
    </row>
    <row r="1080" spans="2:15" hidden="1" x14ac:dyDescent="0.3">
      <c r="B1080" t="s">
        <v>8</v>
      </c>
      <c r="C1080">
        <v>928</v>
      </c>
      <c r="D1080" t="s">
        <v>9</v>
      </c>
      <c r="E1080">
        <v>1202</v>
      </c>
      <c r="F1080" t="s">
        <v>37</v>
      </c>
      <c r="G1080">
        <v>81</v>
      </c>
      <c r="H1080" t="s">
        <v>11</v>
      </c>
      <c r="I1080" t="s">
        <v>4509</v>
      </c>
      <c r="J1080" t="s">
        <v>8886</v>
      </c>
      <c r="K1080">
        <v>1575970</v>
      </c>
      <c r="L1080">
        <v>44866</v>
      </c>
      <c r="M1080" t="s">
        <v>1134</v>
      </c>
      <c r="N1080">
        <v>1575970</v>
      </c>
      <c r="O1080" t="e">
        <v>#N/A</v>
      </c>
    </row>
    <row r="1081" spans="2:15" hidden="1" x14ac:dyDescent="0.3">
      <c r="B1081" t="s">
        <v>8</v>
      </c>
      <c r="C1081">
        <v>928</v>
      </c>
      <c r="D1081" t="s">
        <v>9</v>
      </c>
      <c r="E1081">
        <v>1202</v>
      </c>
      <c r="F1081" t="s">
        <v>10</v>
      </c>
      <c r="G1081">
        <v>939</v>
      </c>
      <c r="H1081" t="s">
        <v>11</v>
      </c>
      <c r="I1081" t="s">
        <v>4512</v>
      </c>
      <c r="J1081" t="s">
        <v>8887</v>
      </c>
      <c r="K1081">
        <v>4340</v>
      </c>
      <c r="L1081">
        <v>44866</v>
      </c>
      <c r="M1081" t="s">
        <v>1135</v>
      </c>
      <c r="N1081">
        <v>4340</v>
      </c>
      <c r="O1081" t="e">
        <v>#N/A</v>
      </c>
    </row>
    <row r="1082" spans="2:15" hidden="1" x14ac:dyDescent="0.3">
      <c r="B1082" t="s">
        <v>16</v>
      </c>
      <c r="C1082">
        <v>927</v>
      </c>
      <c r="D1082" t="s">
        <v>17</v>
      </c>
      <c r="E1082">
        <v>1200</v>
      </c>
      <c r="F1082" t="s">
        <v>78</v>
      </c>
      <c r="G1082">
        <v>57</v>
      </c>
      <c r="H1082" t="s">
        <v>11</v>
      </c>
      <c r="I1082" t="s">
        <v>4513</v>
      </c>
      <c r="J1082" t="s">
        <v>8888</v>
      </c>
      <c r="K1082">
        <v>12106350</v>
      </c>
      <c r="L1082">
        <v>44866</v>
      </c>
      <c r="M1082" t="s">
        <v>1136</v>
      </c>
      <c r="N1082">
        <v>12132660</v>
      </c>
      <c r="O1082" t="e">
        <v>#N/A</v>
      </c>
    </row>
    <row r="1083" spans="2:15" hidden="1" x14ac:dyDescent="0.3">
      <c r="B1083" t="s">
        <v>41</v>
      </c>
      <c r="C1083">
        <v>926</v>
      </c>
      <c r="D1083" t="s">
        <v>56</v>
      </c>
      <c r="E1083">
        <v>1207</v>
      </c>
      <c r="F1083" t="s">
        <v>57</v>
      </c>
      <c r="G1083">
        <v>200982</v>
      </c>
      <c r="H1083" t="s">
        <v>11</v>
      </c>
      <c r="I1083" t="s">
        <v>4517</v>
      </c>
      <c r="J1083" t="s">
        <v>8889</v>
      </c>
      <c r="K1083">
        <v>509770</v>
      </c>
      <c r="L1083">
        <v>44866</v>
      </c>
      <c r="M1083" t="s">
        <v>1137</v>
      </c>
      <c r="N1083">
        <v>509770</v>
      </c>
      <c r="O1083" t="e">
        <v>#N/A</v>
      </c>
    </row>
    <row r="1084" spans="2:15" hidden="1" x14ac:dyDescent="0.3">
      <c r="B1084" t="s">
        <v>8</v>
      </c>
      <c r="C1084">
        <v>928</v>
      </c>
      <c r="D1084" t="s">
        <v>13</v>
      </c>
      <c r="E1084">
        <v>1184</v>
      </c>
      <c r="F1084" t="s">
        <v>118</v>
      </c>
      <c r="G1084">
        <v>201004</v>
      </c>
      <c r="H1084" t="s">
        <v>11</v>
      </c>
      <c r="I1084" t="s">
        <v>4519</v>
      </c>
      <c r="J1084" t="s">
        <v>8890</v>
      </c>
      <c r="K1084">
        <v>3666602</v>
      </c>
      <c r="L1084">
        <v>44866</v>
      </c>
      <c r="M1084" t="s">
        <v>1138</v>
      </c>
      <c r="N1084">
        <v>1346610</v>
      </c>
      <c r="O1084" t="e">
        <v>#N/A</v>
      </c>
    </row>
    <row r="1085" spans="2:15" hidden="1" x14ac:dyDescent="0.3">
      <c r="B1085" t="s">
        <v>16</v>
      </c>
      <c r="C1085">
        <v>927</v>
      </c>
      <c r="D1085" t="s">
        <v>17</v>
      </c>
      <c r="E1085">
        <v>1200</v>
      </c>
      <c r="F1085" t="s">
        <v>29</v>
      </c>
      <c r="G1085">
        <v>1496</v>
      </c>
      <c r="H1085" t="s">
        <v>11</v>
      </c>
      <c r="I1085" t="s">
        <v>4527</v>
      </c>
      <c r="J1085" t="s">
        <v>8891</v>
      </c>
      <c r="K1085">
        <v>17336530</v>
      </c>
      <c r="L1085">
        <v>44866</v>
      </c>
      <c r="M1085" t="s">
        <v>1139</v>
      </c>
      <c r="N1085">
        <v>17336530</v>
      </c>
      <c r="O1085" t="e">
        <v>#N/A</v>
      </c>
    </row>
    <row r="1086" spans="2:15" hidden="1" x14ac:dyDescent="0.3">
      <c r="B1086" t="s">
        <v>8</v>
      </c>
      <c r="C1086">
        <v>928</v>
      </c>
      <c r="D1086" t="s">
        <v>13</v>
      </c>
      <c r="E1086">
        <v>1184</v>
      </c>
      <c r="F1086" t="s">
        <v>14</v>
      </c>
      <c r="G1086">
        <v>914</v>
      </c>
      <c r="H1086" t="s">
        <v>11</v>
      </c>
      <c r="I1086" t="s">
        <v>4528</v>
      </c>
      <c r="J1086" t="s">
        <v>8892</v>
      </c>
      <c r="K1086">
        <v>2429960</v>
      </c>
      <c r="L1086">
        <v>44866</v>
      </c>
      <c r="M1086" t="s">
        <v>323</v>
      </c>
      <c r="N1086">
        <v>2429960</v>
      </c>
      <c r="O1086" t="e">
        <v>#N/A</v>
      </c>
    </row>
    <row r="1087" spans="2:15" hidden="1" x14ac:dyDescent="0.3">
      <c r="B1087" t="s">
        <v>8</v>
      </c>
      <c r="C1087">
        <v>928</v>
      </c>
      <c r="D1087" t="s">
        <v>9</v>
      </c>
      <c r="E1087">
        <v>1202</v>
      </c>
      <c r="F1087" t="s">
        <v>310</v>
      </c>
      <c r="G1087">
        <v>201113</v>
      </c>
      <c r="H1087" t="s">
        <v>11</v>
      </c>
      <c r="I1087" t="s">
        <v>4539</v>
      </c>
      <c r="J1087" t="s">
        <v>8893</v>
      </c>
      <c r="K1087">
        <v>93900</v>
      </c>
      <c r="L1087">
        <v>44866</v>
      </c>
      <c r="M1087" t="s">
        <v>1140</v>
      </c>
      <c r="N1087">
        <v>93900</v>
      </c>
      <c r="O1087" t="e">
        <v>#N/A</v>
      </c>
    </row>
    <row r="1088" spans="2:15" hidden="1" x14ac:dyDescent="0.3">
      <c r="B1088" t="s">
        <v>8</v>
      </c>
      <c r="C1088">
        <v>928</v>
      </c>
      <c r="D1088" t="s">
        <v>13</v>
      </c>
      <c r="E1088">
        <v>1184</v>
      </c>
      <c r="F1088" t="s">
        <v>118</v>
      </c>
      <c r="G1088">
        <v>201004</v>
      </c>
      <c r="H1088" t="s">
        <v>11</v>
      </c>
      <c r="I1088" t="s">
        <v>4541</v>
      </c>
      <c r="J1088" t="s">
        <v>8894</v>
      </c>
      <c r="K1088">
        <v>555290</v>
      </c>
      <c r="L1088">
        <v>44866</v>
      </c>
      <c r="M1088" t="s">
        <v>1141</v>
      </c>
      <c r="N1088">
        <v>555290</v>
      </c>
      <c r="O1088" t="e">
        <v>#N/A</v>
      </c>
    </row>
    <row r="1089" spans="2:15" hidden="1" x14ac:dyDescent="0.3">
      <c r="B1089" t="s">
        <v>8</v>
      </c>
      <c r="C1089">
        <v>928</v>
      </c>
      <c r="D1089" t="s">
        <v>9</v>
      </c>
      <c r="E1089">
        <v>1202</v>
      </c>
      <c r="F1089" t="s">
        <v>45</v>
      </c>
      <c r="G1089">
        <v>26</v>
      </c>
      <c r="H1089" t="s">
        <v>11</v>
      </c>
      <c r="I1089" t="s">
        <v>4543</v>
      </c>
      <c r="J1089" t="s">
        <v>8895</v>
      </c>
      <c r="K1089">
        <v>210</v>
      </c>
      <c r="L1089">
        <v>44866</v>
      </c>
      <c r="M1089" t="s">
        <v>1142</v>
      </c>
      <c r="N1089">
        <v>210</v>
      </c>
      <c r="O1089" t="e">
        <v>#N/A</v>
      </c>
    </row>
    <row r="1090" spans="2:15" hidden="1" x14ac:dyDescent="0.3">
      <c r="B1090" t="s">
        <v>8</v>
      </c>
      <c r="C1090">
        <v>928</v>
      </c>
      <c r="D1090" t="s">
        <v>9</v>
      </c>
      <c r="E1090">
        <v>1202</v>
      </c>
      <c r="F1090" t="s">
        <v>37</v>
      </c>
      <c r="G1090">
        <v>81</v>
      </c>
      <c r="H1090" t="s">
        <v>11</v>
      </c>
      <c r="I1090" t="s">
        <v>4545</v>
      </c>
      <c r="J1090" t="s">
        <v>8896</v>
      </c>
      <c r="K1090">
        <v>3023190</v>
      </c>
      <c r="L1090">
        <v>44866</v>
      </c>
      <c r="M1090" t="s">
        <v>1143</v>
      </c>
      <c r="N1090">
        <v>3023190</v>
      </c>
      <c r="O1090" t="e">
        <v>#N/A</v>
      </c>
    </row>
    <row r="1091" spans="2:15" hidden="1" x14ac:dyDescent="0.3">
      <c r="B1091" t="s">
        <v>8</v>
      </c>
      <c r="C1091">
        <v>928</v>
      </c>
      <c r="D1091" t="s">
        <v>13</v>
      </c>
      <c r="E1091">
        <v>1184</v>
      </c>
      <c r="F1091" t="s">
        <v>59</v>
      </c>
      <c r="G1091">
        <v>9</v>
      </c>
      <c r="H1091" t="s">
        <v>11</v>
      </c>
      <c r="I1091" t="s">
        <v>4546</v>
      </c>
      <c r="J1091" t="s">
        <v>8897</v>
      </c>
      <c r="K1091">
        <v>13860</v>
      </c>
      <c r="L1091">
        <v>44866</v>
      </c>
      <c r="M1091" t="s">
        <v>1144</v>
      </c>
      <c r="N1091">
        <v>13860</v>
      </c>
      <c r="O1091" t="e">
        <v>#N/A</v>
      </c>
    </row>
    <row r="1092" spans="2:15" hidden="1" x14ac:dyDescent="0.3">
      <c r="B1092" t="s">
        <v>16</v>
      </c>
      <c r="C1092">
        <v>927</v>
      </c>
      <c r="D1092" t="s">
        <v>17</v>
      </c>
      <c r="E1092">
        <v>1200</v>
      </c>
      <c r="F1092" t="s">
        <v>137</v>
      </c>
      <c r="G1092">
        <v>1012</v>
      </c>
      <c r="H1092" t="s">
        <v>11</v>
      </c>
      <c r="I1092" t="s">
        <v>4553</v>
      </c>
      <c r="J1092" t="s">
        <v>8898</v>
      </c>
      <c r="K1092">
        <v>15230</v>
      </c>
      <c r="L1092">
        <v>44866</v>
      </c>
      <c r="M1092" t="s">
        <v>1145</v>
      </c>
      <c r="N1092">
        <v>15230</v>
      </c>
      <c r="O1092" t="e">
        <v>#N/A</v>
      </c>
    </row>
    <row r="1093" spans="2:15" hidden="1" x14ac:dyDescent="0.3">
      <c r="B1093" t="s">
        <v>16</v>
      </c>
      <c r="C1093">
        <v>927</v>
      </c>
      <c r="D1093" t="s">
        <v>17</v>
      </c>
      <c r="E1093">
        <v>1200</v>
      </c>
      <c r="F1093" t="s">
        <v>66</v>
      </c>
      <c r="G1093">
        <v>33</v>
      </c>
      <c r="H1093" t="s">
        <v>11</v>
      </c>
      <c r="I1093" t="s">
        <v>4554</v>
      </c>
      <c r="J1093" t="s">
        <v>8899</v>
      </c>
      <c r="K1093">
        <v>374690</v>
      </c>
      <c r="L1093">
        <v>44866</v>
      </c>
      <c r="M1093" t="s">
        <v>1146</v>
      </c>
      <c r="N1093">
        <v>376780</v>
      </c>
      <c r="O1093" t="e">
        <v>#N/A</v>
      </c>
    </row>
    <row r="1094" spans="2:15" hidden="1" x14ac:dyDescent="0.3">
      <c r="B1094" t="s">
        <v>8</v>
      </c>
      <c r="C1094">
        <v>928</v>
      </c>
      <c r="D1094" t="s">
        <v>13</v>
      </c>
      <c r="E1094">
        <v>1184</v>
      </c>
      <c r="F1094" t="s">
        <v>118</v>
      </c>
      <c r="G1094">
        <v>201004</v>
      </c>
      <c r="H1094" t="s">
        <v>11</v>
      </c>
      <c r="I1094" t="s">
        <v>4556</v>
      </c>
      <c r="J1094" t="s">
        <v>8900</v>
      </c>
      <c r="K1094">
        <v>366820</v>
      </c>
      <c r="L1094">
        <v>44866</v>
      </c>
      <c r="M1094" t="s">
        <v>1147</v>
      </c>
      <c r="N1094">
        <v>366820</v>
      </c>
      <c r="O1094" t="e">
        <v>#N/A</v>
      </c>
    </row>
    <row r="1095" spans="2:15" hidden="1" x14ac:dyDescent="0.3">
      <c r="B1095" t="s">
        <v>8</v>
      </c>
      <c r="C1095">
        <v>928</v>
      </c>
      <c r="D1095" t="s">
        <v>9</v>
      </c>
      <c r="E1095">
        <v>1202</v>
      </c>
      <c r="F1095" t="s">
        <v>10</v>
      </c>
      <c r="G1095">
        <v>939</v>
      </c>
      <c r="H1095" t="s">
        <v>11</v>
      </c>
      <c r="I1095" t="s">
        <v>4560</v>
      </c>
      <c r="J1095" t="s">
        <v>8901</v>
      </c>
      <c r="K1095">
        <v>17130</v>
      </c>
      <c r="L1095">
        <v>44866</v>
      </c>
      <c r="M1095" t="s">
        <v>1022</v>
      </c>
      <c r="N1095">
        <v>17130</v>
      </c>
      <c r="O1095" t="e">
        <v>#N/A</v>
      </c>
    </row>
    <row r="1096" spans="2:15" hidden="1" x14ac:dyDescent="0.3">
      <c r="B1096" t="s">
        <v>8</v>
      </c>
      <c r="C1096">
        <v>928</v>
      </c>
      <c r="D1096" t="s">
        <v>9</v>
      </c>
      <c r="E1096">
        <v>1202</v>
      </c>
      <c r="F1096" t="s">
        <v>31</v>
      </c>
      <c r="G1096">
        <v>1040</v>
      </c>
      <c r="H1096" t="s">
        <v>11</v>
      </c>
      <c r="I1096" t="s">
        <v>4561</v>
      </c>
      <c r="J1096" t="s">
        <v>8902</v>
      </c>
      <c r="K1096">
        <v>308090</v>
      </c>
      <c r="L1096">
        <v>44866</v>
      </c>
      <c r="M1096" t="s">
        <v>1148</v>
      </c>
      <c r="N1096">
        <v>308090</v>
      </c>
      <c r="O1096" t="e">
        <v>#N/A</v>
      </c>
    </row>
    <row r="1097" spans="2:15" hidden="1" x14ac:dyDescent="0.3">
      <c r="B1097" t="s">
        <v>8</v>
      </c>
      <c r="C1097">
        <v>928</v>
      </c>
      <c r="D1097" t="s">
        <v>13</v>
      </c>
      <c r="E1097">
        <v>1184</v>
      </c>
      <c r="F1097" t="s">
        <v>102</v>
      </c>
      <c r="G1097">
        <v>917</v>
      </c>
      <c r="H1097" t="s">
        <v>11</v>
      </c>
      <c r="I1097" t="s">
        <v>4566</v>
      </c>
      <c r="J1097" t="s">
        <v>8903</v>
      </c>
      <c r="K1097">
        <v>44940</v>
      </c>
      <c r="L1097">
        <v>44866</v>
      </c>
      <c r="M1097" t="s">
        <v>1149</v>
      </c>
      <c r="N1097">
        <v>44940</v>
      </c>
      <c r="O1097" t="e">
        <v>#N/A</v>
      </c>
    </row>
    <row r="1098" spans="2:15" hidden="1" x14ac:dyDescent="0.3">
      <c r="B1098" t="s">
        <v>8</v>
      </c>
      <c r="C1098">
        <v>928</v>
      </c>
      <c r="D1098" t="s">
        <v>9</v>
      </c>
      <c r="E1098">
        <v>1202</v>
      </c>
      <c r="F1098" t="s">
        <v>73</v>
      </c>
      <c r="G1098">
        <v>895</v>
      </c>
      <c r="H1098" t="s">
        <v>11</v>
      </c>
      <c r="I1098" t="s">
        <v>4568</v>
      </c>
      <c r="J1098" t="s">
        <v>8904</v>
      </c>
      <c r="K1098">
        <v>45510</v>
      </c>
      <c r="L1098">
        <v>44866</v>
      </c>
      <c r="M1098" t="s">
        <v>1150</v>
      </c>
      <c r="N1098">
        <v>45510</v>
      </c>
      <c r="O1098" t="e">
        <v>#N/A</v>
      </c>
    </row>
    <row r="1099" spans="2:15" hidden="1" x14ac:dyDescent="0.3">
      <c r="B1099" t="s">
        <v>8</v>
      </c>
      <c r="C1099">
        <v>928</v>
      </c>
      <c r="D1099" t="s">
        <v>13</v>
      </c>
      <c r="E1099">
        <v>1184</v>
      </c>
      <c r="F1099" t="s">
        <v>14</v>
      </c>
      <c r="G1099">
        <v>914</v>
      </c>
      <c r="H1099" t="s">
        <v>11</v>
      </c>
      <c r="I1099" t="s">
        <v>4569</v>
      </c>
      <c r="J1099" t="s">
        <v>8905</v>
      </c>
      <c r="K1099">
        <v>1052610</v>
      </c>
      <c r="L1099">
        <v>44866</v>
      </c>
      <c r="M1099" t="s">
        <v>1151</v>
      </c>
      <c r="N1099">
        <v>1052610</v>
      </c>
      <c r="O1099" t="e">
        <v>#N/A</v>
      </c>
    </row>
    <row r="1100" spans="2:15" hidden="1" x14ac:dyDescent="0.3">
      <c r="B1100" t="s">
        <v>8</v>
      </c>
      <c r="C1100">
        <v>928</v>
      </c>
      <c r="D1100" t="s">
        <v>9</v>
      </c>
      <c r="E1100">
        <v>1202</v>
      </c>
      <c r="F1100" t="s">
        <v>37</v>
      </c>
      <c r="G1100">
        <v>81</v>
      </c>
      <c r="H1100" t="s">
        <v>11</v>
      </c>
      <c r="I1100" t="s">
        <v>4570</v>
      </c>
      <c r="J1100" t="s">
        <v>8906</v>
      </c>
      <c r="K1100">
        <v>2451070</v>
      </c>
      <c r="L1100">
        <v>44866</v>
      </c>
      <c r="M1100" t="s">
        <v>1152</v>
      </c>
      <c r="N1100">
        <v>2451070</v>
      </c>
      <c r="O1100" t="e">
        <v>#N/A</v>
      </c>
    </row>
    <row r="1101" spans="2:15" hidden="1" x14ac:dyDescent="0.3">
      <c r="B1101" t="s">
        <v>16</v>
      </c>
      <c r="C1101">
        <v>927</v>
      </c>
      <c r="D1101" t="s">
        <v>17</v>
      </c>
      <c r="E1101">
        <v>1200</v>
      </c>
      <c r="F1101" t="s">
        <v>66</v>
      </c>
      <c r="G1101">
        <v>33</v>
      </c>
      <c r="H1101" t="s">
        <v>11</v>
      </c>
      <c r="I1101" t="s">
        <v>4574</v>
      </c>
      <c r="J1101" t="s">
        <v>8907</v>
      </c>
      <c r="K1101">
        <v>4470</v>
      </c>
      <c r="L1101">
        <v>44866</v>
      </c>
      <c r="M1101" t="s">
        <v>1153</v>
      </c>
      <c r="N1101">
        <v>4470</v>
      </c>
      <c r="O1101" t="e">
        <v>#N/A</v>
      </c>
    </row>
    <row r="1102" spans="2:15" hidden="1" x14ac:dyDescent="0.3">
      <c r="B1102" t="s">
        <v>8</v>
      </c>
      <c r="C1102">
        <v>928</v>
      </c>
      <c r="D1102" t="s">
        <v>9</v>
      </c>
      <c r="E1102">
        <v>1202</v>
      </c>
      <c r="F1102" t="s">
        <v>37</v>
      </c>
      <c r="G1102">
        <v>81</v>
      </c>
      <c r="H1102" t="s">
        <v>11</v>
      </c>
      <c r="I1102" t="s">
        <v>4577</v>
      </c>
      <c r="J1102" t="s">
        <v>8908</v>
      </c>
      <c r="K1102">
        <v>218450</v>
      </c>
      <c r="L1102">
        <v>44866</v>
      </c>
      <c r="M1102" t="s">
        <v>1154</v>
      </c>
      <c r="N1102">
        <v>218450</v>
      </c>
      <c r="O1102" t="e">
        <v>#N/A</v>
      </c>
    </row>
    <row r="1103" spans="2:15" hidden="1" x14ac:dyDescent="0.3">
      <c r="B1103" t="s">
        <v>8</v>
      </c>
      <c r="C1103">
        <v>928</v>
      </c>
      <c r="D1103" t="s">
        <v>13</v>
      </c>
      <c r="E1103">
        <v>1184</v>
      </c>
      <c r="F1103" t="s">
        <v>115</v>
      </c>
      <c r="G1103">
        <v>1548</v>
      </c>
      <c r="H1103" t="s">
        <v>11</v>
      </c>
      <c r="I1103" t="s">
        <v>4578</v>
      </c>
      <c r="J1103" t="s">
        <v>8909</v>
      </c>
      <c r="K1103">
        <v>67640</v>
      </c>
      <c r="L1103">
        <v>44866</v>
      </c>
      <c r="M1103" t="s">
        <v>1155</v>
      </c>
      <c r="N1103">
        <v>67640</v>
      </c>
      <c r="O1103" t="e">
        <v>#N/A</v>
      </c>
    </row>
    <row r="1104" spans="2:15" hidden="1" x14ac:dyDescent="0.3">
      <c r="B1104" t="s">
        <v>16</v>
      </c>
      <c r="C1104">
        <v>927</v>
      </c>
      <c r="D1104" t="s">
        <v>17</v>
      </c>
      <c r="E1104">
        <v>1200</v>
      </c>
      <c r="F1104" t="s">
        <v>137</v>
      </c>
      <c r="G1104">
        <v>1012</v>
      </c>
      <c r="H1104" t="s">
        <v>11</v>
      </c>
      <c r="I1104" t="s">
        <v>4585</v>
      </c>
      <c r="J1104" t="s">
        <v>8910</v>
      </c>
      <c r="K1104">
        <v>114420</v>
      </c>
      <c r="L1104">
        <v>44866</v>
      </c>
      <c r="M1104" t="s">
        <v>1156</v>
      </c>
      <c r="N1104">
        <v>114420</v>
      </c>
      <c r="O1104" t="e">
        <v>#N/A</v>
      </c>
    </row>
    <row r="1105" spans="2:15" hidden="1" x14ac:dyDescent="0.3">
      <c r="B1105" t="s">
        <v>16</v>
      </c>
      <c r="C1105">
        <v>927</v>
      </c>
      <c r="D1105" t="s">
        <v>17</v>
      </c>
      <c r="E1105">
        <v>1200</v>
      </c>
      <c r="F1105" t="s">
        <v>96</v>
      </c>
      <c r="G1105">
        <v>1271</v>
      </c>
      <c r="H1105" t="s">
        <v>11</v>
      </c>
      <c r="I1105" t="s">
        <v>4590</v>
      </c>
      <c r="J1105" t="s">
        <v>8911</v>
      </c>
      <c r="K1105">
        <v>699260</v>
      </c>
      <c r="L1105">
        <v>44866</v>
      </c>
      <c r="M1105" t="s">
        <v>1157</v>
      </c>
      <c r="N1105">
        <v>699260</v>
      </c>
      <c r="O1105" t="e">
        <v>#N/A</v>
      </c>
    </row>
    <row r="1106" spans="2:15" hidden="1" x14ac:dyDescent="0.3">
      <c r="B1106" t="s">
        <v>8</v>
      </c>
      <c r="C1106">
        <v>928</v>
      </c>
      <c r="D1106" t="s">
        <v>9</v>
      </c>
      <c r="E1106">
        <v>1202</v>
      </c>
      <c r="F1106" t="s">
        <v>10</v>
      </c>
      <c r="G1106">
        <v>939</v>
      </c>
      <c r="H1106" t="s">
        <v>11</v>
      </c>
      <c r="I1106" t="s">
        <v>4591</v>
      </c>
      <c r="J1106" t="s">
        <v>8912</v>
      </c>
      <c r="K1106">
        <v>3523308</v>
      </c>
      <c r="L1106">
        <v>44866</v>
      </c>
      <c r="M1106" t="s">
        <v>1158</v>
      </c>
      <c r="N1106">
        <v>0</v>
      </c>
      <c r="O1106" t="e">
        <v>#N/A</v>
      </c>
    </row>
    <row r="1107" spans="2:15" hidden="1" x14ac:dyDescent="0.3">
      <c r="B1107" t="s">
        <v>8</v>
      </c>
      <c r="C1107">
        <v>928</v>
      </c>
      <c r="D1107" t="s">
        <v>9</v>
      </c>
      <c r="E1107">
        <v>1202</v>
      </c>
      <c r="F1107" t="s">
        <v>47</v>
      </c>
      <c r="G1107">
        <v>898</v>
      </c>
      <c r="H1107" t="s">
        <v>11</v>
      </c>
      <c r="I1107" t="s">
        <v>4594</v>
      </c>
      <c r="J1107" t="s">
        <v>8913</v>
      </c>
      <c r="K1107">
        <v>3964670</v>
      </c>
      <c r="L1107">
        <v>44866</v>
      </c>
      <c r="M1107" t="s">
        <v>1159</v>
      </c>
      <c r="N1107">
        <v>2764700</v>
      </c>
      <c r="O1107" t="e">
        <v>#N/A</v>
      </c>
    </row>
    <row r="1108" spans="2:15" hidden="1" x14ac:dyDescent="0.3">
      <c r="B1108" t="s">
        <v>8</v>
      </c>
      <c r="C1108">
        <v>928</v>
      </c>
      <c r="D1108" t="s">
        <v>9</v>
      </c>
      <c r="E1108">
        <v>1202</v>
      </c>
      <c r="F1108" t="s">
        <v>47</v>
      </c>
      <c r="G1108">
        <v>898</v>
      </c>
      <c r="H1108" t="s">
        <v>11</v>
      </c>
      <c r="I1108" t="s">
        <v>4595</v>
      </c>
      <c r="J1108" t="s">
        <v>8914</v>
      </c>
      <c r="K1108">
        <v>1310620</v>
      </c>
      <c r="L1108">
        <v>44866</v>
      </c>
      <c r="M1108" t="s">
        <v>1160</v>
      </c>
      <c r="N1108">
        <v>1310620</v>
      </c>
      <c r="O1108" t="e">
        <v>#N/A</v>
      </c>
    </row>
    <row r="1109" spans="2:15" hidden="1" x14ac:dyDescent="0.3">
      <c r="B1109" t="s">
        <v>8</v>
      </c>
      <c r="C1109">
        <v>928</v>
      </c>
      <c r="D1109" t="s">
        <v>9</v>
      </c>
      <c r="E1109">
        <v>1202</v>
      </c>
      <c r="F1109" t="s">
        <v>47</v>
      </c>
      <c r="G1109">
        <v>898</v>
      </c>
      <c r="H1109" t="s">
        <v>11</v>
      </c>
      <c r="I1109" t="s">
        <v>4596</v>
      </c>
      <c r="J1109" t="s">
        <v>8915</v>
      </c>
      <c r="K1109">
        <v>127810</v>
      </c>
      <c r="L1109">
        <v>44866</v>
      </c>
      <c r="M1109" t="s">
        <v>1161</v>
      </c>
      <c r="N1109">
        <v>127810</v>
      </c>
      <c r="O1109" t="e">
        <v>#N/A</v>
      </c>
    </row>
    <row r="1110" spans="2:15" hidden="1" x14ac:dyDescent="0.3">
      <c r="B1110" t="s">
        <v>8</v>
      </c>
      <c r="C1110">
        <v>928</v>
      </c>
      <c r="D1110" t="s">
        <v>9</v>
      </c>
      <c r="E1110">
        <v>1202</v>
      </c>
      <c r="F1110" t="s">
        <v>33</v>
      </c>
      <c r="G1110">
        <v>933</v>
      </c>
      <c r="H1110" t="s">
        <v>11</v>
      </c>
      <c r="I1110" t="s">
        <v>4597</v>
      </c>
      <c r="J1110" t="s">
        <v>8916</v>
      </c>
      <c r="K1110">
        <v>392270</v>
      </c>
      <c r="L1110">
        <v>44866</v>
      </c>
      <c r="M1110" t="s">
        <v>1162</v>
      </c>
      <c r="N1110">
        <v>392730</v>
      </c>
      <c r="O1110" t="e">
        <v>#N/A</v>
      </c>
    </row>
    <row r="1111" spans="2:15" hidden="1" x14ac:dyDescent="0.3">
      <c r="B1111" t="s">
        <v>8</v>
      </c>
      <c r="C1111">
        <v>928</v>
      </c>
      <c r="D1111" t="s">
        <v>13</v>
      </c>
      <c r="E1111">
        <v>1184</v>
      </c>
      <c r="F1111" t="s">
        <v>51</v>
      </c>
      <c r="G1111">
        <v>1274</v>
      </c>
      <c r="H1111" t="s">
        <v>11</v>
      </c>
      <c r="I1111" t="s">
        <v>4599</v>
      </c>
      <c r="J1111" t="s">
        <v>8917</v>
      </c>
      <c r="K1111">
        <v>78800</v>
      </c>
      <c r="L1111">
        <v>44866</v>
      </c>
      <c r="M1111" t="s">
        <v>1163</v>
      </c>
      <c r="N1111">
        <v>78800</v>
      </c>
      <c r="O1111" t="e">
        <v>#N/A</v>
      </c>
    </row>
    <row r="1112" spans="2:15" hidden="1" x14ac:dyDescent="0.3">
      <c r="B1112" t="s">
        <v>8</v>
      </c>
      <c r="C1112">
        <v>928</v>
      </c>
      <c r="D1112" t="s">
        <v>13</v>
      </c>
      <c r="E1112">
        <v>1184</v>
      </c>
      <c r="F1112" t="s">
        <v>115</v>
      </c>
      <c r="G1112">
        <v>1548</v>
      </c>
      <c r="H1112" t="s">
        <v>11</v>
      </c>
      <c r="I1112" t="s">
        <v>4600</v>
      </c>
      <c r="J1112" t="s">
        <v>8918</v>
      </c>
      <c r="K1112">
        <v>154230</v>
      </c>
      <c r="L1112">
        <v>44866</v>
      </c>
      <c r="M1112" t="s">
        <v>1164</v>
      </c>
      <c r="N1112">
        <v>154230</v>
      </c>
      <c r="O1112" t="e">
        <v>#N/A</v>
      </c>
    </row>
    <row r="1113" spans="2:15" hidden="1" x14ac:dyDescent="0.3">
      <c r="B1113" t="s">
        <v>41</v>
      </c>
      <c r="C1113">
        <v>926</v>
      </c>
      <c r="D1113" t="s">
        <v>56</v>
      </c>
      <c r="E1113">
        <v>1207</v>
      </c>
      <c r="F1113" t="s">
        <v>57</v>
      </c>
      <c r="G1113">
        <v>200982</v>
      </c>
      <c r="H1113" t="s">
        <v>11</v>
      </c>
      <c r="I1113" t="s">
        <v>4602</v>
      </c>
      <c r="J1113" t="s">
        <v>8919</v>
      </c>
      <c r="K1113">
        <v>50020</v>
      </c>
      <c r="L1113">
        <v>44866</v>
      </c>
      <c r="M1113" t="s">
        <v>1165</v>
      </c>
      <c r="N1113">
        <v>50020</v>
      </c>
      <c r="O1113" t="e">
        <v>#N/A</v>
      </c>
    </row>
    <row r="1114" spans="2:15" hidden="1" x14ac:dyDescent="0.3">
      <c r="B1114" t="s">
        <v>16</v>
      </c>
      <c r="C1114">
        <v>927</v>
      </c>
      <c r="D1114" t="s">
        <v>17</v>
      </c>
      <c r="E1114">
        <v>1200</v>
      </c>
      <c r="F1114" t="s">
        <v>93</v>
      </c>
      <c r="G1114">
        <v>930</v>
      </c>
      <c r="H1114" t="s">
        <v>11</v>
      </c>
      <c r="I1114" t="s">
        <v>4603</v>
      </c>
      <c r="J1114" t="s">
        <v>8920</v>
      </c>
      <c r="K1114">
        <v>7500</v>
      </c>
      <c r="L1114">
        <v>44866</v>
      </c>
      <c r="M1114" t="s">
        <v>1166</v>
      </c>
      <c r="N1114">
        <v>7500</v>
      </c>
      <c r="O1114" t="e">
        <v>#N/A</v>
      </c>
    </row>
    <row r="1115" spans="2:15" hidden="1" x14ac:dyDescent="0.3">
      <c r="B1115" t="s">
        <v>8</v>
      </c>
      <c r="C1115">
        <v>928</v>
      </c>
      <c r="D1115" t="s">
        <v>13</v>
      </c>
      <c r="E1115">
        <v>1184</v>
      </c>
      <c r="F1115" t="s">
        <v>102</v>
      </c>
      <c r="G1115">
        <v>917</v>
      </c>
      <c r="H1115" t="s">
        <v>11</v>
      </c>
      <c r="I1115" t="s">
        <v>4604</v>
      </c>
      <c r="J1115" t="s">
        <v>8921</v>
      </c>
      <c r="K1115">
        <v>9410</v>
      </c>
      <c r="L1115">
        <v>44866</v>
      </c>
      <c r="M1115" t="s">
        <v>1167</v>
      </c>
      <c r="N1115">
        <v>9410</v>
      </c>
      <c r="O1115" t="e">
        <v>#N/A</v>
      </c>
    </row>
    <row r="1116" spans="2:15" hidden="1" x14ac:dyDescent="0.3">
      <c r="B1116" t="s">
        <v>41</v>
      </c>
      <c r="C1116">
        <v>926</v>
      </c>
      <c r="D1116" t="s">
        <v>56</v>
      </c>
      <c r="E1116">
        <v>1207</v>
      </c>
      <c r="F1116" t="s">
        <v>64</v>
      </c>
      <c r="G1116">
        <v>201011</v>
      </c>
      <c r="H1116" t="s">
        <v>11</v>
      </c>
      <c r="I1116" t="s">
        <v>4605</v>
      </c>
      <c r="J1116" t="s">
        <v>8922</v>
      </c>
      <c r="K1116">
        <v>145260</v>
      </c>
      <c r="L1116">
        <v>44866</v>
      </c>
      <c r="M1116" t="s">
        <v>1168</v>
      </c>
      <c r="N1116">
        <v>145260</v>
      </c>
      <c r="O1116" t="e">
        <v>#N/A</v>
      </c>
    </row>
    <row r="1117" spans="2:15" hidden="1" x14ac:dyDescent="0.3">
      <c r="B1117" t="s">
        <v>8</v>
      </c>
      <c r="C1117">
        <v>928</v>
      </c>
      <c r="D1117" t="s">
        <v>9</v>
      </c>
      <c r="E1117">
        <v>1202</v>
      </c>
      <c r="F1117" t="s">
        <v>33</v>
      </c>
      <c r="G1117">
        <v>933</v>
      </c>
      <c r="H1117" t="s">
        <v>11</v>
      </c>
      <c r="I1117" t="s">
        <v>4608</v>
      </c>
      <c r="J1117" t="s">
        <v>8923</v>
      </c>
      <c r="K1117">
        <v>476140</v>
      </c>
      <c r="L1117">
        <v>44866</v>
      </c>
      <c r="M1117" t="s">
        <v>1169</v>
      </c>
      <c r="N1117">
        <v>476140</v>
      </c>
      <c r="O1117" t="e">
        <v>#N/A</v>
      </c>
    </row>
    <row r="1118" spans="2:15" hidden="1" x14ac:dyDescent="0.3">
      <c r="B1118" t="s">
        <v>8</v>
      </c>
      <c r="C1118">
        <v>928</v>
      </c>
      <c r="D1118" t="s">
        <v>9</v>
      </c>
      <c r="E1118">
        <v>1202</v>
      </c>
      <c r="F1118" t="s">
        <v>10</v>
      </c>
      <c r="G1118">
        <v>939</v>
      </c>
      <c r="H1118" t="s">
        <v>11</v>
      </c>
      <c r="I1118" t="s">
        <v>4611</v>
      </c>
      <c r="J1118" t="s">
        <v>8924</v>
      </c>
      <c r="K1118">
        <v>149560</v>
      </c>
      <c r="L1118">
        <v>44866</v>
      </c>
      <c r="M1118" t="s">
        <v>1170</v>
      </c>
      <c r="N1118">
        <v>149560</v>
      </c>
      <c r="O1118" t="e">
        <v>#N/A</v>
      </c>
    </row>
    <row r="1119" spans="2:15" hidden="1" x14ac:dyDescent="0.3">
      <c r="B1119" t="s">
        <v>16</v>
      </c>
      <c r="C1119">
        <v>927</v>
      </c>
      <c r="D1119" t="s">
        <v>17</v>
      </c>
      <c r="E1119">
        <v>1200</v>
      </c>
      <c r="F1119" t="s">
        <v>66</v>
      </c>
      <c r="G1119">
        <v>33</v>
      </c>
      <c r="H1119" t="s">
        <v>11</v>
      </c>
      <c r="I1119" t="s">
        <v>4616</v>
      </c>
      <c r="J1119" t="s">
        <v>8925</v>
      </c>
      <c r="K1119">
        <v>5180</v>
      </c>
      <c r="L1119">
        <v>44866</v>
      </c>
      <c r="M1119" t="s">
        <v>1171</v>
      </c>
      <c r="N1119">
        <v>5180</v>
      </c>
      <c r="O1119" t="e">
        <v>#N/A</v>
      </c>
    </row>
    <row r="1120" spans="2:15" hidden="1" x14ac:dyDescent="0.3">
      <c r="B1120" t="s">
        <v>8</v>
      </c>
      <c r="C1120">
        <v>928</v>
      </c>
      <c r="D1120" t="s">
        <v>13</v>
      </c>
      <c r="E1120">
        <v>1184</v>
      </c>
      <c r="F1120" t="s">
        <v>51</v>
      </c>
      <c r="G1120">
        <v>1274</v>
      </c>
      <c r="H1120" t="s">
        <v>11</v>
      </c>
      <c r="I1120" t="s">
        <v>4619</v>
      </c>
      <c r="J1120" t="s">
        <v>8926</v>
      </c>
      <c r="K1120">
        <v>2884820</v>
      </c>
      <c r="L1120">
        <v>44866</v>
      </c>
      <c r="M1120" t="s">
        <v>1172</v>
      </c>
      <c r="N1120">
        <v>684840</v>
      </c>
      <c r="O1120" t="e">
        <v>#N/A</v>
      </c>
    </row>
    <row r="1121" spans="2:15" hidden="1" x14ac:dyDescent="0.3">
      <c r="B1121" t="s">
        <v>41</v>
      </c>
      <c r="C1121">
        <v>926</v>
      </c>
      <c r="D1121" t="s">
        <v>56</v>
      </c>
      <c r="E1121">
        <v>1207</v>
      </c>
      <c r="F1121" t="s">
        <v>253</v>
      </c>
      <c r="G1121">
        <v>1328</v>
      </c>
      <c r="H1121" t="s">
        <v>11</v>
      </c>
      <c r="I1121" t="s">
        <v>4620</v>
      </c>
      <c r="J1121" t="s">
        <v>8927</v>
      </c>
      <c r="K1121">
        <v>9800</v>
      </c>
      <c r="L1121">
        <v>44866</v>
      </c>
      <c r="M1121" t="s">
        <v>1173</v>
      </c>
      <c r="N1121">
        <v>9800</v>
      </c>
      <c r="O1121" t="e">
        <v>#N/A</v>
      </c>
    </row>
    <row r="1122" spans="2:15" hidden="1" x14ac:dyDescent="0.3">
      <c r="B1122" t="s">
        <v>41</v>
      </c>
      <c r="C1122">
        <v>926</v>
      </c>
      <c r="D1122" t="s">
        <v>56</v>
      </c>
      <c r="E1122">
        <v>1207</v>
      </c>
      <c r="F1122" t="s">
        <v>64</v>
      </c>
      <c r="G1122">
        <v>201011</v>
      </c>
      <c r="H1122" t="s">
        <v>11</v>
      </c>
      <c r="I1122" t="s">
        <v>4622</v>
      </c>
      <c r="J1122" t="s">
        <v>8928</v>
      </c>
      <c r="K1122">
        <v>236170</v>
      </c>
      <c r="L1122">
        <v>44866</v>
      </c>
      <c r="M1122" t="s">
        <v>1174</v>
      </c>
      <c r="N1122">
        <v>236170</v>
      </c>
      <c r="O1122" t="e">
        <v>#N/A</v>
      </c>
    </row>
    <row r="1123" spans="2:15" hidden="1" x14ac:dyDescent="0.3">
      <c r="B1123" t="s">
        <v>8</v>
      </c>
      <c r="C1123">
        <v>928</v>
      </c>
      <c r="D1123" t="s">
        <v>13</v>
      </c>
      <c r="E1123">
        <v>1184</v>
      </c>
      <c r="F1123" t="s">
        <v>115</v>
      </c>
      <c r="G1123">
        <v>1548</v>
      </c>
      <c r="H1123" t="s">
        <v>11</v>
      </c>
      <c r="I1123" t="s">
        <v>4624</v>
      </c>
      <c r="J1123" t="s">
        <v>8929</v>
      </c>
      <c r="K1123">
        <v>13900</v>
      </c>
      <c r="L1123">
        <v>44866</v>
      </c>
      <c r="M1123" t="s">
        <v>1175</v>
      </c>
      <c r="N1123">
        <v>13900</v>
      </c>
      <c r="O1123" t="e">
        <v>#N/A</v>
      </c>
    </row>
    <row r="1124" spans="2:15" hidden="1" x14ac:dyDescent="0.3">
      <c r="B1124" t="s">
        <v>8</v>
      </c>
      <c r="C1124">
        <v>928</v>
      </c>
      <c r="D1124" t="s">
        <v>13</v>
      </c>
      <c r="E1124">
        <v>1184</v>
      </c>
      <c r="F1124" t="s">
        <v>118</v>
      </c>
      <c r="G1124">
        <v>201004</v>
      </c>
      <c r="H1124" t="s">
        <v>11</v>
      </c>
      <c r="I1124" t="s">
        <v>4625</v>
      </c>
      <c r="J1124" t="s">
        <v>8930</v>
      </c>
      <c r="K1124">
        <v>376960</v>
      </c>
      <c r="L1124">
        <v>44866</v>
      </c>
      <c r="M1124" t="s">
        <v>1176</v>
      </c>
      <c r="N1124">
        <v>376960</v>
      </c>
      <c r="O1124" t="e">
        <v>#N/A</v>
      </c>
    </row>
    <row r="1125" spans="2:15" x14ac:dyDescent="0.3">
      <c r="B1125" t="s">
        <v>8</v>
      </c>
      <c r="C1125">
        <v>928</v>
      </c>
      <c r="D1125" t="s">
        <v>13</v>
      </c>
      <c r="E1125">
        <v>1184</v>
      </c>
      <c r="F1125" t="s">
        <v>51</v>
      </c>
      <c r="G1125">
        <v>1274</v>
      </c>
      <c r="H1125" t="s">
        <v>11</v>
      </c>
      <c r="I1125" t="s">
        <v>8931</v>
      </c>
      <c r="J1125" t="s">
        <v>8932</v>
      </c>
      <c r="K1125">
        <v>436976</v>
      </c>
      <c r="L1125">
        <v>44866</v>
      </c>
      <c r="M1125" t="s">
        <v>1177</v>
      </c>
      <c r="N1125" t="e">
        <v>#N/A</v>
      </c>
      <c r="O1125" t="e">
        <v>#N/A</v>
      </c>
    </row>
    <row r="1126" spans="2:15" hidden="1" x14ac:dyDescent="0.3">
      <c r="B1126" t="s">
        <v>8</v>
      </c>
      <c r="C1126">
        <v>928</v>
      </c>
      <c r="D1126" t="s">
        <v>9</v>
      </c>
      <c r="E1126">
        <v>1202</v>
      </c>
      <c r="F1126" t="s">
        <v>73</v>
      </c>
      <c r="G1126">
        <v>895</v>
      </c>
      <c r="H1126" t="s">
        <v>11</v>
      </c>
      <c r="I1126" t="s">
        <v>4631</v>
      </c>
      <c r="J1126" t="s">
        <v>8933</v>
      </c>
      <c r="K1126">
        <v>4380</v>
      </c>
      <c r="L1126">
        <v>44866</v>
      </c>
      <c r="M1126" t="s">
        <v>1178</v>
      </c>
      <c r="N1126">
        <v>4380</v>
      </c>
      <c r="O1126" t="e">
        <v>#N/A</v>
      </c>
    </row>
    <row r="1127" spans="2:15" hidden="1" x14ac:dyDescent="0.3">
      <c r="B1127" t="s">
        <v>8</v>
      </c>
      <c r="C1127">
        <v>928</v>
      </c>
      <c r="D1127" t="s">
        <v>9</v>
      </c>
      <c r="E1127">
        <v>1202</v>
      </c>
      <c r="F1127" t="s">
        <v>73</v>
      </c>
      <c r="G1127">
        <v>895</v>
      </c>
      <c r="H1127" t="s">
        <v>11</v>
      </c>
      <c r="I1127" t="s">
        <v>4632</v>
      </c>
      <c r="J1127" t="s">
        <v>8934</v>
      </c>
      <c r="K1127">
        <v>450</v>
      </c>
      <c r="L1127">
        <v>44866</v>
      </c>
      <c r="M1127" t="s">
        <v>1178</v>
      </c>
      <c r="N1127">
        <v>450</v>
      </c>
      <c r="O1127" t="e">
        <v>#N/A</v>
      </c>
    </row>
    <row r="1128" spans="2:15" hidden="1" x14ac:dyDescent="0.3">
      <c r="B1128" t="s">
        <v>8</v>
      </c>
      <c r="C1128">
        <v>928</v>
      </c>
      <c r="D1128" t="s">
        <v>9</v>
      </c>
      <c r="E1128">
        <v>1202</v>
      </c>
      <c r="F1128" t="s">
        <v>10</v>
      </c>
      <c r="G1128">
        <v>939</v>
      </c>
      <c r="H1128" t="s">
        <v>11</v>
      </c>
      <c r="I1128" t="s">
        <v>4642</v>
      </c>
      <c r="J1128" t="s">
        <v>8935</v>
      </c>
      <c r="K1128">
        <v>730</v>
      </c>
      <c r="L1128">
        <v>44866</v>
      </c>
      <c r="M1128" t="s">
        <v>1179</v>
      </c>
      <c r="N1128">
        <v>730</v>
      </c>
      <c r="O1128" t="e">
        <v>#N/A</v>
      </c>
    </row>
    <row r="1129" spans="2:15" hidden="1" x14ac:dyDescent="0.3">
      <c r="B1129" t="s">
        <v>16</v>
      </c>
      <c r="C1129">
        <v>927</v>
      </c>
      <c r="D1129" t="s">
        <v>17</v>
      </c>
      <c r="E1129">
        <v>1200</v>
      </c>
      <c r="F1129" t="s">
        <v>66</v>
      </c>
      <c r="G1129">
        <v>33</v>
      </c>
      <c r="H1129" t="s">
        <v>11</v>
      </c>
      <c r="I1129" t="s">
        <v>4643</v>
      </c>
      <c r="J1129" t="s">
        <v>8936</v>
      </c>
      <c r="K1129">
        <v>149310</v>
      </c>
      <c r="L1129">
        <v>44866</v>
      </c>
      <c r="M1129" t="s">
        <v>1180</v>
      </c>
      <c r="N1129">
        <v>150140</v>
      </c>
      <c r="O1129" t="e">
        <v>#N/A</v>
      </c>
    </row>
    <row r="1130" spans="2:15" hidden="1" x14ac:dyDescent="0.3">
      <c r="B1130" t="s">
        <v>16</v>
      </c>
      <c r="C1130">
        <v>927</v>
      </c>
      <c r="D1130" t="s">
        <v>17</v>
      </c>
      <c r="E1130">
        <v>1200</v>
      </c>
      <c r="F1130" t="s">
        <v>78</v>
      </c>
      <c r="G1130">
        <v>57</v>
      </c>
      <c r="H1130" t="s">
        <v>11</v>
      </c>
      <c r="I1130" t="s">
        <v>4645</v>
      </c>
      <c r="J1130" t="s">
        <v>8937</v>
      </c>
      <c r="K1130">
        <v>9650</v>
      </c>
      <c r="L1130">
        <v>44866</v>
      </c>
      <c r="M1130" t="s">
        <v>1181</v>
      </c>
      <c r="N1130">
        <v>9650</v>
      </c>
      <c r="O1130" t="e">
        <v>#N/A</v>
      </c>
    </row>
    <row r="1131" spans="2:15" hidden="1" x14ac:dyDescent="0.3">
      <c r="B1131" t="s">
        <v>8</v>
      </c>
      <c r="C1131">
        <v>928</v>
      </c>
      <c r="D1131" t="s">
        <v>13</v>
      </c>
      <c r="E1131">
        <v>1184</v>
      </c>
      <c r="F1131" t="s">
        <v>217</v>
      </c>
      <c r="G1131">
        <v>201027</v>
      </c>
      <c r="H1131" t="s">
        <v>11</v>
      </c>
      <c r="I1131" t="s">
        <v>4646</v>
      </c>
      <c r="J1131" t="s">
        <v>8938</v>
      </c>
      <c r="K1131">
        <v>87500</v>
      </c>
      <c r="L1131">
        <v>44866</v>
      </c>
      <c r="M1131" t="s">
        <v>1182</v>
      </c>
      <c r="N1131">
        <v>87500</v>
      </c>
      <c r="O1131" t="e">
        <v>#N/A</v>
      </c>
    </row>
    <row r="1132" spans="2:15" hidden="1" x14ac:dyDescent="0.3">
      <c r="B1132" t="s">
        <v>16</v>
      </c>
      <c r="C1132">
        <v>927</v>
      </c>
      <c r="D1132" t="s">
        <v>17</v>
      </c>
      <c r="E1132">
        <v>1200</v>
      </c>
      <c r="F1132" t="s">
        <v>262</v>
      </c>
      <c r="G1132">
        <v>1594</v>
      </c>
      <c r="H1132" t="s">
        <v>11</v>
      </c>
      <c r="I1132" t="s">
        <v>4648</v>
      </c>
      <c r="J1132" t="s">
        <v>8939</v>
      </c>
      <c r="K1132">
        <v>106780</v>
      </c>
      <c r="L1132">
        <v>44866</v>
      </c>
      <c r="M1132" t="s">
        <v>1183</v>
      </c>
      <c r="N1132">
        <v>106780</v>
      </c>
      <c r="O1132" t="e">
        <v>#N/A</v>
      </c>
    </row>
    <row r="1133" spans="2:15" hidden="1" x14ac:dyDescent="0.3">
      <c r="B1133" t="s">
        <v>8</v>
      </c>
      <c r="C1133">
        <v>928</v>
      </c>
      <c r="D1133" t="s">
        <v>167</v>
      </c>
      <c r="E1133">
        <v>935</v>
      </c>
      <c r="F1133" t="s">
        <v>168</v>
      </c>
      <c r="G1133">
        <v>2</v>
      </c>
      <c r="H1133" t="s">
        <v>11</v>
      </c>
      <c r="I1133" t="s">
        <v>4649</v>
      </c>
      <c r="J1133" t="s">
        <v>8940</v>
      </c>
      <c r="K1133">
        <v>28430220</v>
      </c>
      <c r="L1133">
        <v>44866</v>
      </c>
      <c r="M1133" t="s">
        <v>671</v>
      </c>
      <c r="N1133">
        <v>28430220</v>
      </c>
      <c r="O1133" t="e">
        <v>#N/A</v>
      </c>
    </row>
    <row r="1134" spans="2:15" hidden="1" x14ac:dyDescent="0.3">
      <c r="B1134" t="s">
        <v>8</v>
      </c>
      <c r="C1134">
        <v>928</v>
      </c>
      <c r="D1134" t="s">
        <v>9</v>
      </c>
      <c r="E1134">
        <v>1202</v>
      </c>
      <c r="F1134" t="s">
        <v>33</v>
      </c>
      <c r="G1134">
        <v>933</v>
      </c>
      <c r="H1134" t="s">
        <v>11</v>
      </c>
      <c r="I1134" t="s">
        <v>4651</v>
      </c>
      <c r="J1134" t="s">
        <v>8941</v>
      </c>
      <c r="K1134">
        <v>102730</v>
      </c>
      <c r="L1134">
        <v>44866</v>
      </c>
      <c r="M1134" t="s">
        <v>1184</v>
      </c>
      <c r="N1134">
        <v>102730</v>
      </c>
      <c r="O1134" t="e">
        <v>#N/A</v>
      </c>
    </row>
    <row r="1135" spans="2:15" hidden="1" x14ac:dyDescent="0.3">
      <c r="B1135" t="s">
        <v>41</v>
      </c>
      <c r="C1135">
        <v>926</v>
      </c>
      <c r="D1135" t="s">
        <v>42</v>
      </c>
      <c r="E1135">
        <v>964</v>
      </c>
      <c r="F1135" t="s">
        <v>43</v>
      </c>
      <c r="G1135">
        <v>200998</v>
      </c>
      <c r="H1135" t="s">
        <v>11</v>
      </c>
      <c r="I1135" t="s">
        <v>4652</v>
      </c>
      <c r="J1135" t="s">
        <v>8942</v>
      </c>
      <c r="K1135">
        <v>1150</v>
      </c>
      <c r="L1135">
        <v>44866</v>
      </c>
      <c r="M1135" t="s">
        <v>1185</v>
      </c>
      <c r="N1135">
        <v>1150</v>
      </c>
      <c r="O1135" t="e">
        <v>#N/A</v>
      </c>
    </row>
    <row r="1136" spans="2:15" hidden="1" x14ac:dyDescent="0.3">
      <c r="B1136" t="s">
        <v>16</v>
      </c>
      <c r="C1136">
        <v>927</v>
      </c>
      <c r="D1136" t="s">
        <v>17</v>
      </c>
      <c r="E1136">
        <v>1200</v>
      </c>
      <c r="F1136" t="s">
        <v>29</v>
      </c>
      <c r="G1136">
        <v>1496</v>
      </c>
      <c r="H1136" t="s">
        <v>11</v>
      </c>
      <c r="I1136" t="s">
        <v>4654</v>
      </c>
      <c r="J1136" t="s">
        <v>8943</v>
      </c>
      <c r="K1136">
        <v>1650130</v>
      </c>
      <c r="L1136">
        <v>44866</v>
      </c>
      <c r="M1136" t="s">
        <v>1186</v>
      </c>
      <c r="N1136">
        <v>1650130</v>
      </c>
      <c r="O1136" t="e">
        <v>#N/A</v>
      </c>
    </row>
    <row r="1137" spans="2:15" hidden="1" x14ac:dyDescent="0.3">
      <c r="B1137" t="s">
        <v>8</v>
      </c>
      <c r="C1137">
        <v>928</v>
      </c>
      <c r="D1137" t="s">
        <v>9</v>
      </c>
      <c r="E1137">
        <v>1202</v>
      </c>
      <c r="F1137" t="s">
        <v>10</v>
      </c>
      <c r="G1137">
        <v>939</v>
      </c>
      <c r="H1137" t="s">
        <v>11</v>
      </c>
      <c r="I1137" t="s">
        <v>4655</v>
      </c>
      <c r="J1137" t="s">
        <v>8944</v>
      </c>
      <c r="K1137">
        <v>45454240</v>
      </c>
      <c r="L1137">
        <v>44866</v>
      </c>
      <c r="M1137" t="s">
        <v>1187</v>
      </c>
      <c r="N1137">
        <v>44954250</v>
      </c>
      <c r="O1137" t="e">
        <v>#N/A</v>
      </c>
    </row>
    <row r="1138" spans="2:15" hidden="1" x14ac:dyDescent="0.3">
      <c r="B1138" t="s">
        <v>8</v>
      </c>
      <c r="C1138">
        <v>928</v>
      </c>
      <c r="D1138" t="s">
        <v>9</v>
      </c>
      <c r="E1138">
        <v>1202</v>
      </c>
      <c r="F1138" t="s">
        <v>45</v>
      </c>
      <c r="G1138">
        <v>26</v>
      </c>
      <c r="H1138" t="s">
        <v>11</v>
      </c>
      <c r="I1138" t="s">
        <v>4656</v>
      </c>
      <c r="J1138" t="s">
        <v>8945</v>
      </c>
      <c r="K1138">
        <v>171930</v>
      </c>
      <c r="L1138">
        <v>44866</v>
      </c>
      <c r="M1138" t="s">
        <v>1188</v>
      </c>
      <c r="N1138">
        <v>145420</v>
      </c>
      <c r="O1138" t="e">
        <v>#N/A</v>
      </c>
    </row>
    <row r="1139" spans="2:15" hidden="1" x14ac:dyDescent="0.3">
      <c r="B1139" t="s">
        <v>16</v>
      </c>
      <c r="C1139">
        <v>927</v>
      </c>
      <c r="D1139" t="s">
        <v>17</v>
      </c>
      <c r="E1139">
        <v>1200</v>
      </c>
      <c r="F1139" t="s">
        <v>262</v>
      </c>
      <c r="G1139">
        <v>1594</v>
      </c>
      <c r="H1139" t="s">
        <v>11</v>
      </c>
      <c r="I1139" t="s">
        <v>4658</v>
      </c>
      <c r="J1139" t="s">
        <v>8946</v>
      </c>
      <c r="K1139">
        <v>2343720</v>
      </c>
      <c r="L1139">
        <v>44866</v>
      </c>
      <c r="M1139" t="s">
        <v>1189</v>
      </c>
      <c r="N1139">
        <v>2343720</v>
      </c>
      <c r="O1139" t="e">
        <v>#N/A</v>
      </c>
    </row>
    <row r="1140" spans="2:15" hidden="1" x14ac:dyDescent="0.3">
      <c r="B1140" t="s">
        <v>8</v>
      </c>
      <c r="C1140">
        <v>928</v>
      </c>
      <c r="D1140" t="s">
        <v>9</v>
      </c>
      <c r="E1140">
        <v>1202</v>
      </c>
      <c r="F1140" t="s">
        <v>39</v>
      </c>
      <c r="G1140">
        <v>25</v>
      </c>
      <c r="H1140" t="s">
        <v>11</v>
      </c>
      <c r="I1140" t="s">
        <v>4659</v>
      </c>
      <c r="J1140" t="s">
        <v>8947</v>
      </c>
      <c r="K1140">
        <v>93330</v>
      </c>
      <c r="L1140">
        <v>44866</v>
      </c>
      <c r="M1140" t="s">
        <v>1190</v>
      </c>
      <c r="N1140">
        <v>93330</v>
      </c>
      <c r="O1140" t="e">
        <v>#N/A</v>
      </c>
    </row>
    <row r="1141" spans="2:15" hidden="1" x14ac:dyDescent="0.3">
      <c r="B1141" t="s">
        <v>8</v>
      </c>
      <c r="C1141">
        <v>928</v>
      </c>
      <c r="D1141" t="s">
        <v>13</v>
      </c>
      <c r="E1141">
        <v>1184</v>
      </c>
      <c r="F1141" t="s">
        <v>51</v>
      </c>
      <c r="G1141">
        <v>1274</v>
      </c>
      <c r="H1141" t="s">
        <v>11</v>
      </c>
      <c r="I1141" t="s">
        <v>4663</v>
      </c>
      <c r="J1141" t="s">
        <v>8948</v>
      </c>
      <c r="K1141">
        <v>150</v>
      </c>
      <c r="L1141">
        <v>44866</v>
      </c>
      <c r="M1141" t="s">
        <v>1191</v>
      </c>
      <c r="N1141">
        <v>150</v>
      </c>
      <c r="O1141" t="e">
        <v>#N/A</v>
      </c>
    </row>
    <row r="1142" spans="2:15" hidden="1" x14ac:dyDescent="0.3">
      <c r="B1142" t="s">
        <v>8</v>
      </c>
      <c r="C1142">
        <v>928</v>
      </c>
      <c r="D1142" t="s">
        <v>9</v>
      </c>
      <c r="E1142">
        <v>1202</v>
      </c>
      <c r="F1142" t="s">
        <v>220</v>
      </c>
      <c r="G1142">
        <v>1211</v>
      </c>
      <c r="H1142" t="s">
        <v>11</v>
      </c>
      <c r="I1142" t="s">
        <v>4664</v>
      </c>
      <c r="J1142" t="s">
        <v>8949</v>
      </c>
      <c r="K1142">
        <v>1016590</v>
      </c>
      <c r="L1142">
        <v>44866</v>
      </c>
      <c r="M1142" t="s">
        <v>1192</v>
      </c>
      <c r="N1142">
        <v>1016590</v>
      </c>
      <c r="O1142" t="e">
        <v>#N/A</v>
      </c>
    </row>
    <row r="1143" spans="2:15" hidden="1" x14ac:dyDescent="0.3">
      <c r="B1143" t="s">
        <v>8</v>
      </c>
      <c r="C1143">
        <v>928</v>
      </c>
      <c r="D1143" t="s">
        <v>13</v>
      </c>
      <c r="E1143">
        <v>1184</v>
      </c>
      <c r="F1143" t="s">
        <v>118</v>
      </c>
      <c r="G1143">
        <v>201004</v>
      </c>
      <c r="H1143" t="s">
        <v>11</v>
      </c>
      <c r="I1143" t="s">
        <v>4668</v>
      </c>
      <c r="J1143" t="s">
        <v>8950</v>
      </c>
      <c r="K1143">
        <v>94110</v>
      </c>
      <c r="L1143">
        <v>44866</v>
      </c>
      <c r="M1143" t="s">
        <v>1193</v>
      </c>
      <c r="N1143">
        <v>94110</v>
      </c>
      <c r="O1143" t="e">
        <v>#N/A</v>
      </c>
    </row>
    <row r="1144" spans="2:15" hidden="1" x14ac:dyDescent="0.3">
      <c r="B1144" t="s">
        <v>8</v>
      </c>
      <c r="C1144">
        <v>928</v>
      </c>
      <c r="D1144" t="s">
        <v>13</v>
      </c>
      <c r="E1144">
        <v>1184</v>
      </c>
      <c r="F1144" t="s">
        <v>14</v>
      </c>
      <c r="G1144">
        <v>914</v>
      </c>
      <c r="H1144" t="s">
        <v>11</v>
      </c>
      <c r="I1144" t="s">
        <v>4670</v>
      </c>
      <c r="J1144" t="s">
        <v>8951</v>
      </c>
      <c r="K1144">
        <v>1091020</v>
      </c>
      <c r="L1144">
        <v>44866</v>
      </c>
      <c r="M1144" t="s">
        <v>1194</v>
      </c>
      <c r="N1144">
        <v>1091020</v>
      </c>
      <c r="O1144" t="e">
        <v>#N/A</v>
      </c>
    </row>
    <row r="1145" spans="2:15" hidden="1" x14ac:dyDescent="0.3">
      <c r="B1145" t="s">
        <v>8</v>
      </c>
      <c r="C1145">
        <v>928</v>
      </c>
      <c r="D1145" t="s">
        <v>9</v>
      </c>
      <c r="E1145">
        <v>1202</v>
      </c>
      <c r="F1145" t="s">
        <v>142</v>
      </c>
      <c r="G1145">
        <v>652</v>
      </c>
      <c r="H1145" t="s">
        <v>11</v>
      </c>
      <c r="I1145" t="s">
        <v>4671</v>
      </c>
      <c r="J1145" t="s">
        <v>8952</v>
      </c>
      <c r="K1145">
        <v>1902100</v>
      </c>
      <c r="L1145">
        <v>44866</v>
      </c>
      <c r="M1145" t="s">
        <v>1195</v>
      </c>
      <c r="N1145">
        <v>1902100</v>
      </c>
      <c r="O1145" t="e">
        <v>#N/A</v>
      </c>
    </row>
    <row r="1146" spans="2:15" hidden="1" x14ac:dyDescent="0.3">
      <c r="B1146" t="s">
        <v>16</v>
      </c>
      <c r="C1146">
        <v>927</v>
      </c>
      <c r="D1146" t="s">
        <v>17</v>
      </c>
      <c r="E1146">
        <v>1200</v>
      </c>
      <c r="F1146" t="s">
        <v>93</v>
      </c>
      <c r="G1146">
        <v>930</v>
      </c>
      <c r="H1146" t="s">
        <v>11</v>
      </c>
      <c r="I1146" t="s">
        <v>4672</v>
      </c>
      <c r="J1146" t="s">
        <v>8953</v>
      </c>
      <c r="K1146">
        <v>28260</v>
      </c>
      <c r="L1146">
        <v>44866</v>
      </c>
      <c r="M1146" t="s">
        <v>1196</v>
      </c>
      <c r="N1146">
        <v>28260</v>
      </c>
      <c r="O1146" t="e">
        <v>#N/A</v>
      </c>
    </row>
    <row r="1147" spans="2:15" hidden="1" x14ac:dyDescent="0.3">
      <c r="B1147" t="s">
        <v>8</v>
      </c>
      <c r="C1147">
        <v>928</v>
      </c>
      <c r="D1147" t="s">
        <v>13</v>
      </c>
      <c r="E1147">
        <v>1184</v>
      </c>
      <c r="F1147" t="s">
        <v>51</v>
      </c>
      <c r="G1147">
        <v>1274</v>
      </c>
      <c r="H1147" t="s">
        <v>11</v>
      </c>
      <c r="I1147" t="s">
        <v>4677</v>
      </c>
      <c r="J1147" t="s">
        <v>8954</v>
      </c>
      <c r="K1147">
        <v>210</v>
      </c>
      <c r="L1147">
        <v>44866</v>
      </c>
      <c r="M1147" t="s">
        <v>1197</v>
      </c>
      <c r="N1147">
        <v>210</v>
      </c>
      <c r="O1147" t="e">
        <v>#N/A</v>
      </c>
    </row>
    <row r="1148" spans="2:15" hidden="1" x14ac:dyDescent="0.3">
      <c r="B1148" t="s">
        <v>8</v>
      </c>
      <c r="C1148">
        <v>928</v>
      </c>
      <c r="D1148" t="s">
        <v>9</v>
      </c>
      <c r="E1148">
        <v>1202</v>
      </c>
      <c r="F1148" t="s">
        <v>27</v>
      </c>
      <c r="G1148">
        <v>806</v>
      </c>
      <c r="H1148" t="s">
        <v>11</v>
      </c>
      <c r="I1148" t="s">
        <v>4679</v>
      </c>
      <c r="J1148" t="s">
        <v>8955</v>
      </c>
      <c r="K1148">
        <v>113490</v>
      </c>
      <c r="L1148">
        <v>44866</v>
      </c>
      <c r="M1148" t="s">
        <v>1198</v>
      </c>
      <c r="N1148">
        <v>113490</v>
      </c>
      <c r="O1148" t="e">
        <v>#N/A</v>
      </c>
    </row>
    <row r="1149" spans="2:15" hidden="1" x14ac:dyDescent="0.3">
      <c r="B1149" t="s">
        <v>8</v>
      </c>
      <c r="C1149">
        <v>928</v>
      </c>
      <c r="D1149" t="s">
        <v>13</v>
      </c>
      <c r="E1149">
        <v>1184</v>
      </c>
      <c r="F1149" t="s">
        <v>51</v>
      </c>
      <c r="G1149">
        <v>1274</v>
      </c>
      <c r="H1149" t="s">
        <v>11</v>
      </c>
      <c r="I1149" t="s">
        <v>4681</v>
      </c>
      <c r="J1149" t="s">
        <v>8956</v>
      </c>
      <c r="K1149">
        <v>2120</v>
      </c>
      <c r="L1149">
        <v>44866</v>
      </c>
      <c r="M1149" t="s">
        <v>1199</v>
      </c>
      <c r="N1149">
        <v>2120</v>
      </c>
      <c r="O1149" t="e">
        <v>#N/A</v>
      </c>
    </row>
    <row r="1150" spans="2:15" hidden="1" x14ac:dyDescent="0.3">
      <c r="B1150" t="s">
        <v>8</v>
      </c>
      <c r="C1150">
        <v>928</v>
      </c>
      <c r="D1150" t="s">
        <v>9</v>
      </c>
      <c r="E1150">
        <v>1202</v>
      </c>
      <c r="F1150" t="s">
        <v>45</v>
      </c>
      <c r="G1150">
        <v>26</v>
      </c>
      <c r="H1150" t="s">
        <v>11</v>
      </c>
      <c r="I1150" t="s">
        <v>4682</v>
      </c>
      <c r="J1150" t="s">
        <v>8957</v>
      </c>
      <c r="K1150">
        <v>115710</v>
      </c>
      <c r="L1150">
        <v>44866</v>
      </c>
      <c r="M1150" t="s">
        <v>1200</v>
      </c>
      <c r="N1150">
        <v>115710</v>
      </c>
      <c r="O1150" t="e">
        <v>#N/A</v>
      </c>
    </row>
    <row r="1151" spans="2:15" hidden="1" x14ac:dyDescent="0.3">
      <c r="B1151" t="s">
        <v>8</v>
      </c>
      <c r="C1151">
        <v>928</v>
      </c>
      <c r="D1151" t="s">
        <v>13</v>
      </c>
      <c r="E1151">
        <v>1184</v>
      </c>
      <c r="F1151" t="s">
        <v>115</v>
      </c>
      <c r="G1151">
        <v>1548</v>
      </c>
      <c r="H1151" t="s">
        <v>11</v>
      </c>
      <c r="I1151" t="s">
        <v>4683</v>
      </c>
      <c r="J1151" t="s">
        <v>8958</v>
      </c>
      <c r="K1151">
        <v>17610</v>
      </c>
      <c r="L1151">
        <v>44866</v>
      </c>
      <c r="M1151" t="s">
        <v>1201</v>
      </c>
      <c r="N1151">
        <v>17610</v>
      </c>
      <c r="O1151" t="e">
        <v>#N/A</v>
      </c>
    </row>
    <row r="1152" spans="2:15" hidden="1" x14ac:dyDescent="0.3">
      <c r="B1152" t="s">
        <v>16</v>
      </c>
      <c r="C1152">
        <v>927</v>
      </c>
      <c r="D1152" t="s">
        <v>17</v>
      </c>
      <c r="E1152">
        <v>1200</v>
      </c>
      <c r="F1152" t="s">
        <v>137</v>
      </c>
      <c r="G1152">
        <v>1012</v>
      </c>
      <c r="H1152" t="s">
        <v>11</v>
      </c>
      <c r="I1152" t="s">
        <v>4684</v>
      </c>
      <c r="J1152" t="s">
        <v>8959</v>
      </c>
      <c r="K1152">
        <v>140</v>
      </c>
      <c r="L1152">
        <v>44866</v>
      </c>
      <c r="M1152" t="s">
        <v>1202</v>
      </c>
      <c r="N1152">
        <v>140</v>
      </c>
      <c r="O1152" t="e">
        <v>#N/A</v>
      </c>
    </row>
    <row r="1153" spans="2:15" hidden="1" x14ac:dyDescent="0.3">
      <c r="B1153" t="s">
        <v>16</v>
      </c>
      <c r="C1153">
        <v>927</v>
      </c>
      <c r="D1153" t="s">
        <v>17</v>
      </c>
      <c r="E1153">
        <v>1200</v>
      </c>
      <c r="F1153" t="s">
        <v>66</v>
      </c>
      <c r="G1153">
        <v>33</v>
      </c>
      <c r="H1153" t="s">
        <v>11</v>
      </c>
      <c r="I1153" t="s">
        <v>4685</v>
      </c>
      <c r="J1153" t="s">
        <v>8960</v>
      </c>
      <c r="K1153">
        <v>753120</v>
      </c>
      <c r="L1153">
        <v>44866</v>
      </c>
      <c r="M1153" t="s">
        <v>1203</v>
      </c>
      <c r="N1153">
        <v>753120</v>
      </c>
      <c r="O1153" t="e">
        <v>#N/A</v>
      </c>
    </row>
    <row r="1154" spans="2:15" hidden="1" x14ac:dyDescent="0.3">
      <c r="B1154" t="s">
        <v>8</v>
      </c>
      <c r="C1154">
        <v>928</v>
      </c>
      <c r="D1154" t="s">
        <v>9</v>
      </c>
      <c r="E1154">
        <v>1202</v>
      </c>
      <c r="F1154" t="s">
        <v>20</v>
      </c>
      <c r="G1154">
        <v>938</v>
      </c>
      <c r="H1154" t="s">
        <v>11</v>
      </c>
      <c r="I1154" t="s">
        <v>4686</v>
      </c>
      <c r="J1154" t="s">
        <v>8961</v>
      </c>
      <c r="K1154">
        <v>5140</v>
      </c>
      <c r="L1154">
        <v>44866</v>
      </c>
      <c r="M1154" t="s">
        <v>1204</v>
      </c>
      <c r="N1154">
        <v>2720</v>
      </c>
      <c r="O1154" t="e">
        <v>#N/A</v>
      </c>
    </row>
    <row r="1155" spans="2:15" hidden="1" x14ac:dyDescent="0.3">
      <c r="B1155" t="s">
        <v>8</v>
      </c>
      <c r="C1155">
        <v>928</v>
      </c>
      <c r="D1155" t="s">
        <v>9</v>
      </c>
      <c r="E1155">
        <v>1202</v>
      </c>
      <c r="F1155" t="s">
        <v>122</v>
      </c>
      <c r="G1155">
        <v>251</v>
      </c>
      <c r="H1155" t="s">
        <v>11</v>
      </c>
      <c r="I1155" t="s">
        <v>4689</v>
      </c>
      <c r="J1155" t="s">
        <v>8962</v>
      </c>
      <c r="K1155">
        <v>1420460</v>
      </c>
      <c r="L1155">
        <v>44866</v>
      </c>
      <c r="M1155" t="s">
        <v>1205</v>
      </c>
      <c r="N1155">
        <v>920470</v>
      </c>
      <c r="O1155" t="e">
        <v>#N/A</v>
      </c>
    </row>
    <row r="1156" spans="2:15" hidden="1" x14ac:dyDescent="0.3">
      <c r="B1156" t="s">
        <v>8</v>
      </c>
      <c r="C1156">
        <v>928</v>
      </c>
      <c r="D1156" t="s">
        <v>9</v>
      </c>
      <c r="E1156">
        <v>1202</v>
      </c>
      <c r="F1156" t="s">
        <v>47</v>
      </c>
      <c r="G1156">
        <v>898</v>
      </c>
      <c r="H1156" t="s">
        <v>11</v>
      </c>
      <c r="I1156" t="s">
        <v>4696</v>
      </c>
      <c r="J1156" t="s">
        <v>8963</v>
      </c>
      <c r="K1156">
        <v>1956140</v>
      </c>
      <c r="L1156">
        <v>44866</v>
      </c>
      <c r="M1156" t="s">
        <v>1206</v>
      </c>
      <c r="N1156">
        <v>1256160</v>
      </c>
      <c r="O1156" t="e">
        <v>#N/A</v>
      </c>
    </row>
    <row r="1157" spans="2:15" hidden="1" x14ac:dyDescent="0.3">
      <c r="B1157" t="s">
        <v>8</v>
      </c>
      <c r="C1157">
        <v>928</v>
      </c>
      <c r="D1157" t="s">
        <v>9</v>
      </c>
      <c r="E1157">
        <v>1202</v>
      </c>
      <c r="F1157" t="s">
        <v>27</v>
      </c>
      <c r="G1157">
        <v>806</v>
      </c>
      <c r="H1157" t="s">
        <v>11</v>
      </c>
      <c r="I1157" t="s">
        <v>4699</v>
      </c>
      <c r="J1157" t="s">
        <v>8964</v>
      </c>
      <c r="K1157">
        <v>404914</v>
      </c>
      <c r="L1157">
        <v>44866</v>
      </c>
      <c r="M1157" t="s">
        <v>1207</v>
      </c>
      <c r="N1157">
        <v>404960</v>
      </c>
      <c r="O1157" t="e">
        <v>#N/A</v>
      </c>
    </row>
    <row r="1158" spans="2:15" hidden="1" x14ac:dyDescent="0.3">
      <c r="B1158" t="s">
        <v>8</v>
      </c>
      <c r="C1158">
        <v>928</v>
      </c>
      <c r="D1158" t="s">
        <v>9</v>
      </c>
      <c r="E1158">
        <v>1202</v>
      </c>
      <c r="F1158" t="s">
        <v>27</v>
      </c>
      <c r="G1158">
        <v>806</v>
      </c>
      <c r="H1158" t="s">
        <v>11</v>
      </c>
      <c r="I1158" t="s">
        <v>4702</v>
      </c>
      <c r="J1158" t="s">
        <v>8965</v>
      </c>
      <c r="K1158">
        <v>118300</v>
      </c>
      <c r="L1158">
        <v>44866</v>
      </c>
      <c r="M1158" t="s">
        <v>1208</v>
      </c>
      <c r="N1158">
        <v>148280</v>
      </c>
      <c r="O1158" t="e">
        <v>#N/A</v>
      </c>
    </row>
    <row r="1159" spans="2:15" hidden="1" x14ac:dyDescent="0.3">
      <c r="B1159" t="s">
        <v>8</v>
      </c>
      <c r="C1159">
        <v>928</v>
      </c>
      <c r="D1159" t="s">
        <v>9</v>
      </c>
      <c r="E1159">
        <v>1202</v>
      </c>
      <c r="F1159" t="s">
        <v>20</v>
      </c>
      <c r="G1159">
        <v>938</v>
      </c>
      <c r="H1159" t="s">
        <v>11</v>
      </c>
      <c r="I1159" t="s">
        <v>4703</v>
      </c>
      <c r="J1159" t="s">
        <v>8966</v>
      </c>
      <c r="K1159">
        <v>185380</v>
      </c>
      <c r="L1159">
        <v>44866</v>
      </c>
      <c r="M1159" t="s">
        <v>1209</v>
      </c>
      <c r="N1159">
        <v>185380</v>
      </c>
      <c r="O1159" t="e">
        <v>#N/A</v>
      </c>
    </row>
    <row r="1160" spans="2:15" hidden="1" x14ac:dyDescent="0.3">
      <c r="B1160" t="s">
        <v>8</v>
      </c>
      <c r="C1160">
        <v>928</v>
      </c>
      <c r="D1160" t="s">
        <v>13</v>
      </c>
      <c r="E1160">
        <v>1184</v>
      </c>
      <c r="F1160" t="s">
        <v>335</v>
      </c>
      <c r="G1160">
        <v>201090</v>
      </c>
      <c r="H1160" t="s">
        <v>11</v>
      </c>
      <c r="I1160" t="s">
        <v>4704</v>
      </c>
      <c r="J1160" t="s">
        <v>8967</v>
      </c>
      <c r="K1160">
        <v>217400</v>
      </c>
      <c r="L1160">
        <v>44866</v>
      </c>
      <c r="M1160" t="s">
        <v>1210</v>
      </c>
      <c r="N1160">
        <v>217400</v>
      </c>
      <c r="O1160" t="e">
        <v>#N/A</v>
      </c>
    </row>
    <row r="1161" spans="2:15" hidden="1" x14ac:dyDescent="0.3">
      <c r="B1161" t="s">
        <v>8</v>
      </c>
      <c r="C1161">
        <v>928</v>
      </c>
      <c r="D1161" t="s">
        <v>9</v>
      </c>
      <c r="E1161">
        <v>1202</v>
      </c>
      <c r="F1161" t="s">
        <v>45</v>
      </c>
      <c r="G1161">
        <v>26</v>
      </c>
      <c r="H1161" t="s">
        <v>11</v>
      </c>
      <c r="I1161" t="s">
        <v>4705</v>
      </c>
      <c r="J1161" t="s">
        <v>8968</v>
      </c>
      <c r="K1161">
        <v>661160</v>
      </c>
      <c r="L1161">
        <v>44866</v>
      </c>
      <c r="M1161" t="s">
        <v>1211</v>
      </c>
      <c r="N1161">
        <v>479830</v>
      </c>
      <c r="O1161" t="e">
        <v>#N/A</v>
      </c>
    </row>
    <row r="1162" spans="2:15" hidden="1" x14ac:dyDescent="0.3">
      <c r="B1162" t="s">
        <v>8</v>
      </c>
      <c r="C1162">
        <v>928</v>
      </c>
      <c r="D1162" t="s">
        <v>13</v>
      </c>
      <c r="E1162">
        <v>1184</v>
      </c>
      <c r="F1162" t="s">
        <v>51</v>
      </c>
      <c r="G1162">
        <v>1274</v>
      </c>
      <c r="H1162" t="s">
        <v>11</v>
      </c>
      <c r="I1162" t="s">
        <v>4708</v>
      </c>
      <c r="J1162" t="s">
        <v>8969</v>
      </c>
      <c r="K1162">
        <v>24100</v>
      </c>
      <c r="L1162">
        <v>44866</v>
      </c>
      <c r="M1162" t="s">
        <v>1212</v>
      </c>
      <c r="N1162">
        <v>24100</v>
      </c>
      <c r="O1162" t="e">
        <v>#N/A</v>
      </c>
    </row>
    <row r="1163" spans="2:15" hidden="1" x14ac:dyDescent="0.3">
      <c r="B1163" t="s">
        <v>41</v>
      </c>
      <c r="C1163">
        <v>926</v>
      </c>
      <c r="D1163" t="s">
        <v>56</v>
      </c>
      <c r="E1163">
        <v>1207</v>
      </c>
      <c r="F1163" t="s">
        <v>62</v>
      </c>
      <c r="G1163">
        <v>201037</v>
      </c>
      <c r="H1163" t="s">
        <v>11</v>
      </c>
      <c r="I1163" t="s">
        <v>4713</v>
      </c>
      <c r="J1163" t="s">
        <v>8970</v>
      </c>
      <c r="K1163">
        <v>6377277</v>
      </c>
      <c r="L1163">
        <v>44866</v>
      </c>
      <c r="M1163" t="s">
        <v>1213</v>
      </c>
      <c r="N1163">
        <v>643970</v>
      </c>
      <c r="O1163" t="e">
        <v>#N/A</v>
      </c>
    </row>
    <row r="1164" spans="2:15" hidden="1" x14ac:dyDescent="0.3">
      <c r="B1164" t="s">
        <v>8</v>
      </c>
      <c r="C1164">
        <v>928</v>
      </c>
      <c r="D1164" t="s">
        <v>13</v>
      </c>
      <c r="E1164">
        <v>1184</v>
      </c>
      <c r="F1164" t="s">
        <v>102</v>
      </c>
      <c r="G1164">
        <v>917</v>
      </c>
      <c r="H1164" t="s">
        <v>11</v>
      </c>
      <c r="I1164" t="s">
        <v>4716</v>
      </c>
      <c r="J1164" t="s">
        <v>8971</v>
      </c>
      <c r="K1164">
        <v>82320</v>
      </c>
      <c r="L1164">
        <v>44866</v>
      </c>
      <c r="M1164" t="s">
        <v>1214</v>
      </c>
      <c r="N1164">
        <v>82320</v>
      </c>
      <c r="O1164" t="e">
        <v>#N/A</v>
      </c>
    </row>
    <row r="1165" spans="2:15" hidden="1" x14ac:dyDescent="0.3">
      <c r="B1165" t="s">
        <v>8</v>
      </c>
      <c r="C1165">
        <v>928</v>
      </c>
      <c r="D1165" t="s">
        <v>9</v>
      </c>
      <c r="E1165">
        <v>1202</v>
      </c>
      <c r="F1165" t="s">
        <v>35</v>
      </c>
      <c r="G1165">
        <v>51</v>
      </c>
      <c r="H1165" t="s">
        <v>11</v>
      </c>
      <c r="I1165" t="s">
        <v>4719</v>
      </c>
      <c r="J1165" t="s">
        <v>8972</v>
      </c>
      <c r="K1165">
        <v>20150</v>
      </c>
      <c r="L1165">
        <v>44866</v>
      </c>
      <c r="M1165" t="s">
        <v>1215</v>
      </c>
      <c r="N1165">
        <v>20150</v>
      </c>
      <c r="O1165" t="e">
        <v>#N/A</v>
      </c>
    </row>
    <row r="1166" spans="2:15" hidden="1" x14ac:dyDescent="0.3">
      <c r="B1166" t="s">
        <v>8</v>
      </c>
      <c r="C1166">
        <v>928</v>
      </c>
      <c r="D1166" t="s">
        <v>9</v>
      </c>
      <c r="E1166">
        <v>1202</v>
      </c>
      <c r="F1166" t="s">
        <v>35</v>
      </c>
      <c r="G1166">
        <v>51</v>
      </c>
      <c r="H1166" t="s">
        <v>11</v>
      </c>
      <c r="I1166" t="s">
        <v>8973</v>
      </c>
      <c r="J1166" t="s">
        <v>6895</v>
      </c>
      <c r="K1166">
        <v>31063570</v>
      </c>
      <c r="L1166">
        <v>44866</v>
      </c>
      <c r="M1166" t="s">
        <v>1215</v>
      </c>
      <c r="N1166" t="e">
        <v>#N/A</v>
      </c>
      <c r="O1166" t="s">
        <v>6896</v>
      </c>
    </row>
    <row r="1167" spans="2:15" hidden="1" x14ac:dyDescent="0.3">
      <c r="B1167" t="s">
        <v>41</v>
      </c>
      <c r="C1167">
        <v>926</v>
      </c>
      <c r="D1167" t="s">
        <v>56</v>
      </c>
      <c r="E1167">
        <v>1207</v>
      </c>
      <c r="F1167" t="s">
        <v>57</v>
      </c>
      <c r="G1167">
        <v>200982</v>
      </c>
      <c r="H1167" t="s">
        <v>11</v>
      </c>
      <c r="I1167" t="s">
        <v>4720</v>
      </c>
      <c r="J1167" t="s">
        <v>8974</v>
      </c>
      <c r="K1167">
        <v>11110</v>
      </c>
      <c r="L1167">
        <v>44866</v>
      </c>
      <c r="M1167" t="s">
        <v>1216</v>
      </c>
      <c r="N1167">
        <v>11159</v>
      </c>
      <c r="O1167" t="e">
        <v>#N/A</v>
      </c>
    </row>
    <row r="1168" spans="2:15" hidden="1" x14ac:dyDescent="0.3">
      <c r="B1168" t="s">
        <v>8</v>
      </c>
      <c r="C1168">
        <v>928</v>
      </c>
      <c r="D1168" t="s">
        <v>9</v>
      </c>
      <c r="E1168">
        <v>1202</v>
      </c>
      <c r="F1168" t="s">
        <v>27</v>
      </c>
      <c r="G1168">
        <v>806</v>
      </c>
      <c r="H1168" t="s">
        <v>11</v>
      </c>
      <c r="I1168" t="s">
        <v>4725</v>
      </c>
      <c r="J1168" t="s">
        <v>8975</v>
      </c>
      <c r="K1168">
        <v>2148850</v>
      </c>
      <c r="L1168">
        <v>44866</v>
      </c>
      <c r="M1168" t="s">
        <v>109</v>
      </c>
      <c r="N1168">
        <v>2148850</v>
      </c>
      <c r="O1168" t="e">
        <v>#N/A</v>
      </c>
    </row>
    <row r="1169" spans="2:15" hidden="1" x14ac:dyDescent="0.3">
      <c r="B1169" t="s">
        <v>16</v>
      </c>
      <c r="C1169">
        <v>927</v>
      </c>
      <c r="D1169" t="s">
        <v>17</v>
      </c>
      <c r="E1169">
        <v>1200</v>
      </c>
      <c r="F1169" t="s">
        <v>100</v>
      </c>
      <c r="G1169">
        <v>201038</v>
      </c>
      <c r="H1169" t="s">
        <v>11</v>
      </c>
      <c r="I1169" t="s">
        <v>4727</v>
      </c>
      <c r="J1169" t="s">
        <v>8976</v>
      </c>
      <c r="K1169">
        <v>89070</v>
      </c>
      <c r="L1169">
        <v>44866</v>
      </c>
      <c r="M1169" t="s">
        <v>1217</v>
      </c>
      <c r="N1169">
        <v>89070</v>
      </c>
      <c r="O1169" t="e">
        <v>#N/A</v>
      </c>
    </row>
    <row r="1170" spans="2:15" hidden="1" x14ac:dyDescent="0.3">
      <c r="B1170" t="s">
        <v>8</v>
      </c>
      <c r="C1170">
        <v>928</v>
      </c>
      <c r="D1170" t="s">
        <v>13</v>
      </c>
      <c r="E1170">
        <v>1184</v>
      </c>
      <c r="F1170" t="s">
        <v>115</v>
      </c>
      <c r="G1170">
        <v>1548</v>
      </c>
      <c r="H1170" t="s">
        <v>11</v>
      </c>
      <c r="I1170" t="s">
        <v>4728</v>
      </c>
      <c r="J1170" t="s">
        <v>8977</v>
      </c>
      <c r="K1170">
        <v>58230</v>
      </c>
      <c r="L1170">
        <v>44866</v>
      </c>
      <c r="M1170" t="s">
        <v>1218</v>
      </c>
      <c r="N1170">
        <v>58230</v>
      </c>
      <c r="O1170" t="e">
        <v>#N/A</v>
      </c>
    </row>
    <row r="1171" spans="2:15" hidden="1" x14ac:dyDescent="0.3">
      <c r="B1171" t="s">
        <v>16</v>
      </c>
      <c r="C1171">
        <v>927</v>
      </c>
      <c r="D1171" t="s">
        <v>17</v>
      </c>
      <c r="E1171">
        <v>1200</v>
      </c>
      <c r="F1171" t="s">
        <v>53</v>
      </c>
      <c r="G1171">
        <v>201080</v>
      </c>
      <c r="H1171" t="s">
        <v>11</v>
      </c>
      <c r="I1171" t="s">
        <v>4729</v>
      </c>
      <c r="J1171" t="s">
        <v>8978</v>
      </c>
      <c r="K1171">
        <v>107880</v>
      </c>
      <c r="L1171">
        <v>44866</v>
      </c>
      <c r="M1171" t="s">
        <v>1219</v>
      </c>
      <c r="N1171">
        <v>107880</v>
      </c>
      <c r="O1171" t="e">
        <v>#N/A</v>
      </c>
    </row>
    <row r="1172" spans="2:15" hidden="1" x14ac:dyDescent="0.3">
      <c r="B1172" t="s">
        <v>8</v>
      </c>
      <c r="C1172">
        <v>928</v>
      </c>
      <c r="D1172" t="s">
        <v>9</v>
      </c>
      <c r="E1172">
        <v>1202</v>
      </c>
      <c r="F1172" t="s">
        <v>35</v>
      </c>
      <c r="G1172">
        <v>51</v>
      </c>
      <c r="H1172" t="s">
        <v>11</v>
      </c>
      <c r="I1172" t="s">
        <v>4731</v>
      </c>
      <c r="J1172" t="s">
        <v>8979</v>
      </c>
      <c r="K1172">
        <v>36140</v>
      </c>
      <c r="L1172">
        <v>44866</v>
      </c>
      <c r="M1172" t="s">
        <v>36</v>
      </c>
      <c r="N1172">
        <v>36140</v>
      </c>
      <c r="O1172" t="e">
        <v>#N/A</v>
      </c>
    </row>
    <row r="1173" spans="2:15" hidden="1" x14ac:dyDescent="0.3">
      <c r="B1173" t="s">
        <v>8</v>
      </c>
      <c r="C1173">
        <v>928</v>
      </c>
      <c r="D1173" t="s">
        <v>9</v>
      </c>
      <c r="E1173">
        <v>1202</v>
      </c>
      <c r="F1173" t="s">
        <v>20</v>
      </c>
      <c r="G1173">
        <v>938</v>
      </c>
      <c r="H1173" t="s">
        <v>11</v>
      </c>
      <c r="I1173" t="s">
        <v>4733</v>
      </c>
      <c r="J1173" t="s">
        <v>8980</v>
      </c>
      <c r="K1173">
        <v>596355</v>
      </c>
      <c r="L1173">
        <v>44866</v>
      </c>
      <c r="M1173" t="s">
        <v>1220</v>
      </c>
      <c r="N1173">
        <v>596396</v>
      </c>
      <c r="O1173" t="e">
        <v>#N/A</v>
      </c>
    </row>
    <row r="1174" spans="2:15" hidden="1" x14ac:dyDescent="0.3">
      <c r="B1174" t="s">
        <v>8</v>
      </c>
      <c r="C1174">
        <v>928</v>
      </c>
      <c r="D1174" t="s">
        <v>9</v>
      </c>
      <c r="E1174">
        <v>1202</v>
      </c>
      <c r="F1174" t="s">
        <v>45</v>
      </c>
      <c r="G1174">
        <v>26</v>
      </c>
      <c r="H1174" t="s">
        <v>11</v>
      </c>
      <c r="I1174" t="s">
        <v>4735</v>
      </c>
      <c r="J1174" t="s">
        <v>8981</v>
      </c>
      <c r="K1174">
        <v>1200180</v>
      </c>
      <c r="L1174">
        <v>44866</v>
      </c>
      <c r="M1174" t="s">
        <v>1221</v>
      </c>
      <c r="N1174">
        <v>1200180</v>
      </c>
      <c r="O1174" t="e">
        <v>#N/A</v>
      </c>
    </row>
    <row r="1175" spans="2:15" hidden="1" x14ac:dyDescent="0.3">
      <c r="B1175" t="s">
        <v>41</v>
      </c>
      <c r="C1175">
        <v>926</v>
      </c>
      <c r="D1175" t="s">
        <v>42</v>
      </c>
      <c r="E1175">
        <v>964</v>
      </c>
      <c r="F1175" t="s">
        <v>43</v>
      </c>
      <c r="G1175">
        <v>200998</v>
      </c>
      <c r="H1175" t="s">
        <v>11</v>
      </c>
      <c r="I1175" t="s">
        <v>4736</v>
      </c>
      <c r="J1175" t="s">
        <v>8982</v>
      </c>
      <c r="K1175">
        <v>11930</v>
      </c>
      <c r="L1175">
        <v>44866</v>
      </c>
      <c r="M1175" t="s">
        <v>1222</v>
      </c>
      <c r="N1175">
        <v>11930</v>
      </c>
      <c r="O1175" t="e">
        <v>#N/A</v>
      </c>
    </row>
    <row r="1176" spans="2:15" hidden="1" x14ac:dyDescent="0.3">
      <c r="B1176" t="s">
        <v>8</v>
      </c>
      <c r="C1176">
        <v>928</v>
      </c>
      <c r="D1176" t="s">
        <v>223</v>
      </c>
      <c r="E1176">
        <v>966</v>
      </c>
      <c r="F1176" t="s">
        <v>224</v>
      </c>
      <c r="G1176">
        <v>201008</v>
      </c>
      <c r="H1176" t="s">
        <v>11</v>
      </c>
      <c r="I1176" t="s">
        <v>4737</v>
      </c>
      <c r="J1176" t="s">
        <v>8983</v>
      </c>
      <c r="K1176">
        <v>61660</v>
      </c>
      <c r="L1176">
        <v>44866</v>
      </c>
      <c r="M1176" t="s">
        <v>1223</v>
      </c>
      <c r="N1176">
        <v>61660</v>
      </c>
      <c r="O1176" t="e">
        <v>#N/A</v>
      </c>
    </row>
    <row r="1177" spans="2:15" hidden="1" x14ac:dyDescent="0.3">
      <c r="B1177" t="s">
        <v>8</v>
      </c>
      <c r="C1177">
        <v>928</v>
      </c>
      <c r="D1177" t="s">
        <v>9</v>
      </c>
      <c r="E1177">
        <v>1202</v>
      </c>
      <c r="F1177" t="s">
        <v>391</v>
      </c>
      <c r="G1177">
        <v>1216</v>
      </c>
      <c r="H1177" t="s">
        <v>11</v>
      </c>
      <c r="I1177" t="s">
        <v>4742</v>
      </c>
      <c r="J1177" t="s">
        <v>8984</v>
      </c>
      <c r="K1177">
        <v>3776280</v>
      </c>
      <c r="L1177">
        <v>44866</v>
      </c>
      <c r="M1177" t="s">
        <v>1224</v>
      </c>
      <c r="N1177">
        <v>3776280</v>
      </c>
      <c r="O1177" t="e">
        <v>#N/A</v>
      </c>
    </row>
    <row r="1178" spans="2:15" hidden="1" x14ac:dyDescent="0.3">
      <c r="B1178" t="s">
        <v>16</v>
      </c>
      <c r="C1178">
        <v>927</v>
      </c>
      <c r="D1178" t="s">
        <v>17</v>
      </c>
      <c r="E1178">
        <v>1200</v>
      </c>
      <c r="F1178" t="s">
        <v>244</v>
      </c>
      <c r="G1178">
        <v>817</v>
      </c>
      <c r="H1178" t="s">
        <v>11</v>
      </c>
      <c r="I1178" t="s">
        <v>4743</v>
      </c>
      <c r="J1178" t="s">
        <v>8985</v>
      </c>
      <c r="K1178">
        <v>980730</v>
      </c>
      <c r="L1178">
        <v>44866</v>
      </c>
      <c r="M1178" t="s">
        <v>1225</v>
      </c>
      <c r="N1178">
        <v>980730</v>
      </c>
      <c r="O1178" t="e">
        <v>#N/A</v>
      </c>
    </row>
    <row r="1179" spans="2:15" hidden="1" x14ac:dyDescent="0.3">
      <c r="B1179" t="s">
        <v>8</v>
      </c>
      <c r="C1179">
        <v>928</v>
      </c>
      <c r="D1179" t="s">
        <v>9</v>
      </c>
      <c r="E1179">
        <v>1202</v>
      </c>
      <c r="F1179" t="s">
        <v>39</v>
      </c>
      <c r="G1179">
        <v>25</v>
      </c>
      <c r="H1179" t="s">
        <v>11</v>
      </c>
      <c r="I1179" t="s">
        <v>4745</v>
      </c>
      <c r="J1179" t="s">
        <v>8986</v>
      </c>
      <c r="K1179">
        <v>3335190</v>
      </c>
      <c r="L1179">
        <v>44866</v>
      </c>
      <c r="M1179" t="s">
        <v>1226</v>
      </c>
      <c r="N1179">
        <v>3335190</v>
      </c>
      <c r="O1179" t="e">
        <v>#N/A</v>
      </c>
    </row>
    <row r="1180" spans="2:15" hidden="1" x14ac:dyDescent="0.3">
      <c r="B1180" t="s">
        <v>8</v>
      </c>
      <c r="C1180">
        <v>928</v>
      </c>
      <c r="D1180" t="s">
        <v>9</v>
      </c>
      <c r="E1180">
        <v>1202</v>
      </c>
      <c r="F1180" t="s">
        <v>37</v>
      </c>
      <c r="G1180">
        <v>81</v>
      </c>
      <c r="H1180" t="s">
        <v>11</v>
      </c>
      <c r="I1180" t="s">
        <v>8987</v>
      </c>
      <c r="J1180" t="s">
        <v>6907</v>
      </c>
      <c r="K1180">
        <v>70</v>
      </c>
      <c r="L1180">
        <v>44866</v>
      </c>
      <c r="M1180" t="s">
        <v>1227</v>
      </c>
      <c r="N1180" t="e">
        <v>#N/A</v>
      </c>
      <c r="O1180" t="s">
        <v>8988</v>
      </c>
    </row>
    <row r="1181" spans="2:15" hidden="1" x14ac:dyDescent="0.3">
      <c r="B1181" t="s">
        <v>16</v>
      </c>
      <c r="C1181">
        <v>927</v>
      </c>
      <c r="D1181" t="s">
        <v>17</v>
      </c>
      <c r="E1181">
        <v>1200</v>
      </c>
      <c r="F1181" t="s">
        <v>96</v>
      </c>
      <c r="G1181">
        <v>1271</v>
      </c>
      <c r="H1181" t="s">
        <v>11</v>
      </c>
      <c r="I1181" t="s">
        <v>4746</v>
      </c>
      <c r="J1181" t="s">
        <v>8989</v>
      </c>
      <c r="K1181">
        <v>545800</v>
      </c>
      <c r="L1181">
        <v>44866</v>
      </c>
      <c r="M1181" t="s">
        <v>1228</v>
      </c>
      <c r="N1181">
        <v>545800</v>
      </c>
      <c r="O1181" t="e">
        <v>#N/A</v>
      </c>
    </row>
    <row r="1182" spans="2:15" hidden="1" x14ac:dyDescent="0.3">
      <c r="B1182" t="s">
        <v>22</v>
      </c>
      <c r="C1182">
        <v>809</v>
      </c>
      <c r="D1182" t="s">
        <v>23</v>
      </c>
      <c r="E1182">
        <v>810</v>
      </c>
      <c r="F1182" t="s">
        <v>86</v>
      </c>
      <c r="G1182">
        <v>201021</v>
      </c>
      <c r="H1182" t="s">
        <v>11</v>
      </c>
      <c r="I1182" t="s">
        <v>4747</v>
      </c>
      <c r="J1182" t="s">
        <v>8990</v>
      </c>
      <c r="K1182">
        <v>727070</v>
      </c>
      <c r="L1182">
        <v>44866</v>
      </c>
      <c r="M1182" t="s">
        <v>1229</v>
      </c>
      <c r="N1182">
        <v>727070</v>
      </c>
      <c r="O1182" t="e">
        <v>#N/A</v>
      </c>
    </row>
    <row r="1183" spans="2:15" hidden="1" x14ac:dyDescent="0.3">
      <c r="B1183" t="s">
        <v>8</v>
      </c>
      <c r="C1183">
        <v>928</v>
      </c>
      <c r="D1183" t="s">
        <v>13</v>
      </c>
      <c r="E1183">
        <v>1184</v>
      </c>
      <c r="F1183" t="s">
        <v>217</v>
      </c>
      <c r="G1183">
        <v>201027</v>
      </c>
      <c r="H1183" t="s">
        <v>11</v>
      </c>
      <c r="I1183" t="s">
        <v>4750</v>
      </c>
      <c r="J1183" t="s">
        <v>8991</v>
      </c>
      <c r="K1183">
        <v>401330</v>
      </c>
      <c r="L1183">
        <v>44866</v>
      </c>
      <c r="M1183" t="s">
        <v>1230</v>
      </c>
      <c r="N1183">
        <v>401330</v>
      </c>
      <c r="O1183" t="e">
        <v>#N/A</v>
      </c>
    </row>
    <row r="1184" spans="2:15" hidden="1" x14ac:dyDescent="0.3">
      <c r="B1184" t="s">
        <v>8</v>
      </c>
      <c r="C1184">
        <v>928</v>
      </c>
      <c r="D1184" t="s">
        <v>9</v>
      </c>
      <c r="E1184">
        <v>1202</v>
      </c>
      <c r="F1184" t="s">
        <v>73</v>
      </c>
      <c r="G1184">
        <v>895</v>
      </c>
      <c r="H1184" t="s">
        <v>11</v>
      </c>
      <c r="I1184" t="s">
        <v>4753</v>
      </c>
      <c r="J1184" t="s">
        <v>8992</v>
      </c>
      <c r="K1184">
        <v>6480</v>
      </c>
      <c r="L1184">
        <v>44866</v>
      </c>
      <c r="M1184" t="s">
        <v>1231</v>
      </c>
      <c r="N1184">
        <v>6480</v>
      </c>
      <c r="O1184" t="e">
        <v>#N/A</v>
      </c>
    </row>
    <row r="1185" spans="2:15" hidden="1" x14ac:dyDescent="0.3">
      <c r="B1185" t="s">
        <v>8</v>
      </c>
      <c r="C1185">
        <v>928</v>
      </c>
      <c r="D1185" t="s">
        <v>167</v>
      </c>
      <c r="E1185">
        <v>935</v>
      </c>
      <c r="F1185" t="s">
        <v>168</v>
      </c>
      <c r="G1185">
        <v>2</v>
      </c>
      <c r="H1185" t="s">
        <v>11</v>
      </c>
      <c r="I1185" t="s">
        <v>4754</v>
      </c>
      <c r="J1185" t="s">
        <v>8993</v>
      </c>
      <c r="K1185">
        <v>45250710</v>
      </c>
      <c r="L1185">
        <v>44866</v>
      </c>
      <c r="M1185" t="s">
        <v>671</v>
      </c>
      <c r="N1185">
        <v>45250710</v>
      </c>
      <c r="O1185" t="e">
        <v>#N/A</v>
      </c>
    </row>
    <row r="1186" spans="2:15" hidden="1" x14ac:dyDescent="0.3">
      <c r="B1186" t="s">
        <v>8</v>
      </c>
      <c r="C1186">
        <v>928</v>
      </c>
      <c r="D1186" t="s">
        <v>9</v>
      </c>
      <c r="E1186">
        <v>1202</v>
      </c>
      <c r="F1186" t="s">
        <v>45</v>
      </c>
      <c r="G1186">
        <v>26</v>
      </c>
      <c r="H1186" t="s">
        <v>11</v>
      </c>
      <c r="I1186" t="s">
        <v>4757</v>
      </c>
      <c r="J1186" t="s">
        <v>8994</v>
      </c>
      <c r="K1186">
        <v>21391</v>
      </c>
      <c r="L1186">
        <v>44866</v>
      </c>
      <c r="M1186" t="s">
        <v>1232</v>
      </c>
      <c r="N1186">
        <v>21440</v>
      </c>
      <c r="O1186" t="e">
        <v>#N/A</v>
      </c>
    </row>
    <row r="1187" spans="2:15" hidden="1" x14ac:dyDescent="0.3">
      <c r="B1187" t="s">
        <v>41</v>
      </c>
      <c r="C1187">
        <v>926</v>
      </c>
      <c r="D1187" t="s">
        <v>56</v>
      </c>
      <c r="E1187">
        <v>1207</v>
      </c>
      <c r="F1187" t="s">
        <v>57</v>
      </c>
      <c r="G1187">
        <v>200982</v>
      </c>
      <c r="H1187" t="s">
        <v>11</v>
      </c>
      <c r="I1187" t="s">
        <v>4761</v>
      </c>
      <c r="J1187" t="s">
        <v>8995</v>
      </c>
      <c r="K1187">
        <v>449190</v>
      </c>
      <c r="L1187">
        <v>44866</v>
      </c>
      <c r="M1187" t="s">
        <v>1233</v>
      </c>
      <c r="N1187">
        <v>449190</v>
      </c>
      <c r="O1187" t="e">
        <v>#N/A</v>
      </c>
    </row>
    <row r="1188" spans="2:15" hidden="1" x14ac:dyDescent="0.3">
      <c r="B1188" t="s">
        <v>16</v>
      </c>
      <c r="C1188">
        <v>927</v>
      </c>
      <c r="D1188" t="s">
        <v>17</v>
      </c>
      <c r="E1188">
        <v>1200</v>
      </c>
      <c r="F1188" t="s">
        <v>371</v>
      </c>
      <c r="G1188">
        <v>551</v>
      </c>
      <c r="H1188" t="s">
        <v>11</v>
      </c>
      <c r="I1188" t="s">
        <v>4764</v>
      </c>
      <c r="J1188" t="s">
        <v>8996</v>
      </c>
      <c r="K1188">
        <v>705360</v>
      </c>
      <c r="L1188">
        <v>44866</v>
      </c>
      <c r="M1188" t="s">
        <v>1234</v>
      </c>
      <c r="N1188">
        <v>705360</v>
      </c>
      <c r="O1188" t="e">
        <v>#N/A</v>
      </c>
    </row>
    <row r="1189" spans="2:15" hidden="1" x14ac:dyDescent="0.3">
      <c r="B1189" t="s">
        <v>16</v>
      </c>
      <c r="C1189">
        <v>927</v>
      </c>
      <c r="D1189" t="s">
        <v>17</v>
      </c>
      <c r="E1189">
        <v>1200</v>
      </c>
      <c r="F1189" t="s">
        <v>96</v>
      </c>
      <c r="G1189">
        <v>1271</v>
      </c>
      <c r="H1189" t="s">
        <v>11</v>
      </c>
      <c r="I1189" t="s">
        <v>4766</v>
      </c>
      <c r="J1189" t="s">
        <v>8997</v>
      </c>
      <c r="K1189">
        <v>350</v>
      </c>
      <c r="L1189">
        <v>44866</v>
      </c>
      <c r="M1189" t="s">
        <v>1235</v>
      </c>
      <c r="N1189">
        <v>350</v>
      </c>
      <c r="O1189" t="e">
        <v>#N/A</v>
      </c>
    </row>
    <row r="1190" spans="2:15" hidden="1" x14ac:dyDescent="0.3">
      <c r="B1190" t="s">
        <v>8</v>
      </c>
      <c r="C1190">
        <v>928</v>
      </c>
      <c r="D1190" t="s">
        <v>13</v>
      </c>
      <c r="E1190">
        <v>1184</v>
      </c>
      <c r="F1190" t="s">
        <v>14</v>
      </c>
      <c r="G1190">
        <v>914</v>
      </c>
      <c r="H1190" t="s">
        <v>11</v>
      </c>
      <c r="I1190" t="s">
        <v>4767</v>
      </c>
      <c r="J1190" t="s">
        <v>8998</v>
      </c>
      <c r="K1190">
        <v>3300</v>
      </c>
      <c r="L1190">
        <v>44866</v>
      </c>
      <c r="M1190" t="s">
        <v>1236</v>
      </c>
      <c r="N1190">
        <v>3300</v>
      </c>
      <c r="O1190" t="e">
        <v>#N/A</v>
      </c>
    </row>
    <row r="1191" spans="2:15" hidden="1" x14ac:dyDescent="0.3">
      <c r="B1191" t="s">
        <v>41</v>
      </c>
      <c r="C1191">
        <v>926</v>
      </c>
      <c r="D1191" t="s">
        <v>525</v>
      </c>
      <c r="E1191">
        <v>954</v>
      </c>
      <c r="F1191" t="s">
        <v>526</v>
      </c>
      <c r="G1191">
        <v>200999</v>
      </c>
      <c r="H1191" t="s">
        <v>11</v>
      </c>
      <c r="I1191" t="s">
        <v>4769</v>
      </c>
      <c r="J1191" t="s">
        <v>8999</v>
      </c>
      <c r="K1191">
        <v>8130950</v>
      </c>
      <c r="L1191">
        <v>44866</v>
      </c>
      <c r="M1191" t="s">
        <v>1237</v>
      </c>
      <c r="N1191">
        <v>8130950</v>
      </c>
      <c r="O1191" t="e">
        <v>#N/A</v>
      </c>
    </row>
    <row r="1192" spans="2:15" hidden="1" x14ac:dyDescent="0.3">
      <c r="B1192" t="s">
        <v>8</v>
      </c>
      <c r="C1192">
        <v>928</v>
      </c>
      <c r="D1192" t="s">
        <v>223</v>
      </c>
      <c r="E1192">
        <v>966</v>
      </c>
      <c r="F1192" t="s">
        <v>224</v>
      </c>
      <c r="G1192">
        <v>201008</v>
      </c>
      <c r="H1192" t="s">
        <v>11</v>
      </c>
      <c r="I1192" t="s">
        <v>4771</v>
      </c>
      <c r="J1192" t="s">
        <v>9000</v>
      </c>
      <c r="K1192">
        <v>28411013</v>
      </c>
      <c r="L1192">
        <v>44866</v>
      </c>
      <c r="M1192" t="s">
        <v>1238</v>
      </c>
      <c r="N1192">
        <v>5153400</v>
      </c>
      <c r="O1192" t="e">
        <v>#N/A</v>
      </c>
    </row>
    <row r="1193" spans="2:15" hidden="1" x14ac:dyDescent="0.3">
      <c r="B1193" t="s">
        <v>8</v>
      </c>
      <c r="C1193">
        <v>928</v>
      </c>
      <c r="D1193" t="s">
        <v>9</v>
      </c>
      <c r="E1193">
        <v>1202</v>
      </c>
      <c r="F1193" t="s">
        <v>45</v>
      </c>
      <c r="G1193">
        <v>26</v>
      </c>
      <c r="H1193" t="s">
        <v>11</v>
      </c>
      <c r="I1193" t="s">
        <v>4775</v>
      </c>
      <c r="J1193" t="s">
        <v>9001</v>
      </c>
      <c r="K1193">
        <v>304870</v>
      </c>
      <c r="L1193">
        <v>44866</v>
      </c>
      <c r="M1193" t="s">
        <v>1239</v>
      </c>
      <c r="N1193">
        <v>304870</v>
      </c>
      <c r="O1193" t="e">
        <v>#N/A</v>
      </c>
    </row>
    <row r="1194" spans="2:15" hidden="1" x14ac:dyDescent="0.3">
      <c r="B1194" t="s">
        <v>8</v>
      </c>
      <c r="C1194">
        <v>928</v>
      </c>
      <c r="D1194" t="s">
        <v>13</v>
      </c>
      <c r="E1194">
        <v>1184</v>
      </c>
      <c r="F1194" t="s">
        <v>115</v>
      </c>
      <c r="G1194">
        <v>1548</v>
      </c>
      <c r="H1194" t="s">
        <v>11</v>
      </c>
      <c r="I1194" t="s">
        <v>4776</v>
      </c>
      <c r="J1194" t="s">
        <v>9002</v>
      </c>
      <c r="K1194">
        <v>531380</v>
      </c>
      <c r="L1194">
        <v>44866</v>
      </c>
      <c r="M1194" t="s">
        <v>1240</v>
      </c>
      <c r="N1194">
        <v>531380</v>
      </c>
      <c r="O1194" t="e">
        <v>#N/A</v>
      </c>
    </row>
    <row r="1195" spans="2:15" hidden="1" x14ac:dyDescent="0.3">
      <c r="B1195" t="s">
        <v>16</v>
      </c>
      <c r="C1195">
        <v>927</v>
      </c>
      <c r="D1195" t="s">
        <v>17</v>
      </c>
      <c r="E1195">
        <v>1200</v>
      </c>
      <c r="F1195" t="s">
        <v>446</v>
      </c>
      <c r="G1195">
        <v>566</v>
      </c>
      <c r="H1195" t="s">
        <v>11</v>
      </c>
      <c r="I1195" t="s">
        <v>4778</v>
      </c>
      <c r="J1195" t="s">
        <v>9003</v>
      </c>
      <c r="K1195">
        <v>102940</v>
      </c>
      <c r="L1195">
        <v>44866</v>
      </c>
      <c r="M1195" t="s">
        <v>1241</v>
      </c>
      <c r="N1195">
        <v>102940</v>
      </c>
      <c r="O1195" t="e">
        <v>#N/A</v>
      </c>
    </row>
    <row r="1196" spans="2:15" hidden="1" x14ac:dyDescent="0.3">
      <c r="B1196" t="s">
        <v>16</v>
      </c>
      <c r="C1196">
        <v>927</v>
      </c>
      <c r="D1196" t="s">
        <v>17</v>
      </c>
      <c r="E1196">
        <v>1200</v>
      </c>
      <c r="F1196" t="s">
        <v>244</v>
      </c>
      <c r="G1196">
        <v>817</v>
      </c>
      <c r="H1196" t="s">
        <v>11</v>
      </c>
      <c r="I1196" t="s">
        <v>4781</v>
      </c>
      <c r="J1196" t="s">
        <v>9004</v>
      </c>
      <c r="K1196">
        <v>12724360</v>
      </c>
      <c r="L1196">
        <v>44866</v>
      </c>
      <c r="M1196" t="s">
        <v>1242</v>
      </c>
      <c r="N1196">
        <v>12724360</v>
      </c>
      <c r="O1196" t="e">
        <v>#N/A</v>
      </c>
    </row>
    <row r="1197" spans="2:15" hidden="1" x14ac:dyDescent="0.3">
      <c r="B1197" t="s">
        <v>8</v>
      </c>
      <c r="C1197">
        <v>928</v>
      </c>
      <c r="D1197" t="s">
        <v>223</v>
      </c>
      <c r="E1197">
        <v>966</v>
      </c>
      <c r="F1197" t="s">
        <v>224</v>
      </c>
      <c r="G1197">
        <v>201008</v>
      </c>
      <c r="H1197" t="s">
        <v>11</v>
      </c>
      <c r="I1197" t="s">
        <v>4782</v>
      </c>
      <c r="J1197" t="s">
        <v>9005</v>
      </c>
      <c r="K1197">
        <v>980140</v>
      </c>
      <c r="L1197">
        <v>44866</v>
      </c>
      <c r="M1197" t="s">
        <v>225</v>
      </c>
      <c r="N1197">
        <v>980140</v>
      </c>
      <c r="O1197" t="e">
        <v>#N/A</v>
      </c>
    </row>
    <row r="1198" spans="2:15" hidden="1" x14ac:dyDescent="0.3">
      <c r="B1198" t="s">
        <v>8</v>
      </c>
      <c r="C1198">
        <v>928</v>
      </c>
      <c r="D1198" t="s">
        <v>9</v>
      </c>
      <c r="E1198">
        <v>1202</v>
      </c>
      <c r="F1198" t="s">
        <v>20</v>
      </c>
      <c r="G1198">
        <v>938</v>
      </c>
      <c r="H1198" t="s">
        <v>11</v>
      </c>
      <c r="I1198" t="s">
        <v>4785</v>
      </c>
      <c r="J1198" t="s">
        <v>9006</v>
      </c>
      <c r="K1198">
        <v>2447320</v>
      </c>
      <c r="L1198">
        <v>44866</v>
      </c>
      <c r="M1198" t="s">
        <v>1243</v>
      </c>
      <c r="N1198">
        <v>2447320</v>
      </c>
      <c r="O1198" t="e">
        <v>#N/A</v>
      </c>
    </row>
    <row r="1199" spans="2:15" hidden="1" x14ac:dyDescent="0.3">
      <c r="B1199" t="s">
        <v>8</v>
      </c>
      <c r="C1199">
        <v>928</v>
      </c>
      <c r="D1199" t="s">
        <v>9</v>
      </c>
      <c r="E1199">
        <v>1202</v>
      </c>
      <c r="F1199" t="s">
        <v>31</v>
      </c>
      <c r="G1199">
        <v>1040</v>
      </c>
      <c r="H1199" t="s">
        <v>11</v>
      </c>
      <c r="I1199" t="s">
        <v>4788</v>
      </c>
      <c r="J1199" t="s">
        <v>9007</v>
      </c>
      <c r="K1199">
        <v>44100</v>
      </c>
      <c r="L1199">
        <v>44866</v>
      </c>
      <c r="M1199" t="s">
        <v>1244</v>
      </c>
      <c r="N1199">
        <v>44560</v>
      </c>
      <c r="O1199" t="e">
        <v>#N/A</v>
      </c>
    </row>
    <row r="1200" spans="2:15" hidden="1" x14ac:dyDescent="0.3">
      <c r="B1200" t="s">
        <v>8</v>
      </c>
      <c r="C1200">
        <v>928</v>
      </c>
      <c r="D1200" t="s">
        <v>9</v>
      </c>
      <c r="E1200">
        <v>1202</v>
      </c>
      <c r="F1200" t="s">
        <v>20</v>
      </c>
      <c r="G1200">
        <v>938</v>
      </c>
      <c r="H1200" t="s">
        <v>11</v>
      </c>
      <c r="I1200" t="s">
        <v>4789</v>
      </c>
      <c r="J1200" t="s">
        <v>9008</v>
      </c>
      <c r="K1200">
        <v>273840</v>
      </c>
      <c r="L1200">
        <v>44866</v>
      </c>
      <c r="M1200" t="s">
        <v>1245</v>
      </c>
      <c r="N1200">
        <v>273840</v>
      </c>
      <c r="O1200" t="e">
        <v>#N/A</v>
      </c>
    </row>
    <row r="1201" spans="2:15" hidden="1" x14ac:dyDescent="0.3">
      <c r="B1201" t="s">
        <v>8</v>
      </c>
      <c r="C1201">
        <v>928</v>
      </c>
      <c r="D1201" t="s">
        <v>13</v>
      </c>
      <c r="E1201">
        <v>1184</v>
      </c>
      <c r="F1201" t="s">
        <v>51</v>
      </c>
      <c r="G1201">
        <v>1274</v>
      </c>
      <c r="H1201" t="s">
        <v>11</v>
      </c>
      <c r="I1201" t="s">
        <v>4792</v>
      </c>
      <c r="J1201" t="s">
        <v>9009</v>
      </c>
      <c r="K1201">
        <v>115040</v>
      </c>
      <c r="L1201">
        <v>44866</v>
      </c>
      <c r="M1201" t="s">
        <v>1246</v>
      </c>
      <c r="N1201">
        <v>115040</v>
      </c>
      <c r="O1201" t="e">
        <v>#N/A</v>
      </c>
    </row>
    <row r="1202" spans="2:15" hidden="1" x14ac:dyDescent="0.3">
      <c r="B1202" t="s">
        <v>8</v>
      </c>
      <c r="C1202">
        <v>928</v>
      </c>
      <c r="D1202" t="s">
        <v>13</v>
      </c>
      <c r="E1202">
        <v>1184</v>
      </c>
      <c r="F1202" t="s">
        <v>14</v>
      </c>
      <c r="G1202">
        <v>914</v>
      </c>
      <c r="H1202" t="s">
        <v>11</v>
      </c>
      <c r="I1202" t="s">
        <v>4794</v>
      </c>
      <c r="J1202" t="s">
        <v>9010</v>
      </c>
      <c r="K1202">
        <v>15800</v>
      </c>
      <c r="L1202">
        <v>44866</v>
      </c>
      <c r="M1202" t="s">
        <v>1247</v>
      </c>
      <c r="N1202">
        <v>15800</v>
      </c>
      <c r="O1202" t="e">
        <v>#N/A</v>
      </c>
    </row>
    <row r="1203" spans="2:15" hidden="1" x14ac:dyDescent="0.3">
      <c r="B1203" t="s">
        <v>8</v>
      </c>
      <c r="C1203">
        <v>928</v>
      </c>
      <c r="D1203" t="s">
        <v>13</v>
      </c>
      <c r="E1203">
        <v>1184</v>
      </c>
      <c r="F1203" t="s">
        <v>59</v>
      </c>
      <c r="G1203">
        <v>9</v>
      </c>
      <c r="H1203" t="s">
        <v>11</v>
      </c>
      <c r="I1203" t="s">
        <v>4796</v>
      </c>
      <c r="J1203" t="s">
        <v>9011</v>
      </c>
      <c r="K1203">
        <v>47360</v>
      </c>
      <c r="L1203">
        <v>44866</v>
      </c>
      <c r="M1203" t="s">
        <v>1248</v>
      </c>
      <c r="N1203">
        <v>47360</v>
      </c>
      <c r="O1203" t="e">
        <v>#N/A</v>
      </c>
    </row>
    <row r="1204" spans="2:15" hidden="1" x14ac:dyDescent="0.3">
      <c r="B1204" t="s">
        <v>16</v>
      </c>
      <c r="C1204">
        <v>927</v>
      </c>
      <c r="D1204" t="s">
        <v>17</v>
      </c>
      <c r="E1204">
        <v>1200</v>
      </c>
      <c r="F1204" t="s">
        <v>29</v>
      </c>
      <c r="G1204">
        <v>1496</v>
      </c>
      <c r="H1204" t="s">
        <v>11</v>
      </c>
      <c r="I1204" t="s">
        <v>4798</v>
      </c>
      <c r="J1204" t="s">
        <v>9012</v>
      </c>
      <c r="K1204">
        <v>360</v>
      </c>
      <c r="L1204">
        <v>44866</v>
      </c>
      <c r="M1204" t="s">
        <v>1249</v>
      </c>
      <c r="N1204">
        <v>360</v>
      </c>
      <c r="O1204" t="e">
        <v>#N/A</v>
      </c>
    </row>
    <row r="1205" spans="2:15" hidden="1" x14ac:dyDescent="0.3">
      <c r="B1205" t="s">
        <v>16</v>
      </c>
      <c r="C1205">
        <v>927</v>
      </c>
      <c r="D1205" t="s">
        <v>17</v>
      </c>
      <c r="E1205">
        <v>1200</v>
      </c>
      <c r="F1205" t="s">
        <v>244</v>
      </c>
      <c r="G1205">
        <v>817</v>
      </c>
      <c r="H1205" t="s">
        <v>11</v>
      </c>
      <c r="I1205" t="s">
        <v>4800</v>
      </c>
      <c r="J1205" t="s">
        <v>9013</v>
      </c>
      <c r="K1205">
        <v>271900</v>
      </c>
      <c r="L1205">
        <v>44866</v>
      </c>
      <c r="M1205" t="s">
        <v>1250</v>
      </c>
      <c r="N1205">
        <v>271900</v>
      </c>
      <c r="O1205" t="e">
        <v>#N/A</v>
      </c>
    </row>
    <row r="1206" spans="2:15" hidden="1" x14ac:dyDescent="0.3">
      <c r="B1206" t="s">
        <v>8</v>
      </c>
      <c r="C1206">
        <v>928</v>
      </c>
      <c r="D1206" t="s">
        <v>9</v>
      </c>
      <c r="E1206">
        <v>1202</v>
      </c>
      <c r="F1206" t="s">
        <v>35</v>
      </c>
      <c r="G1206">
        <v>51</v>
      </c>
      <c r="H1206" t="s">
        <v>11</v>
      </c>
      <c r="I1206" t="s">
        <v>4801</v>
      </c>
      <c r="J1206" t="s">
        <v>9014</v>
      </c>
      <c r="K1206">
        <v>294960</v>
      </c>
      <c r="L1206">
        <v>44866</v>
      </c>
      <c r="M1206" t="s">
        <v>1251</v>
      </c>
      <c r="N1206">
        <v>294960</v>
      </c>
      <c r="O1206" t="e">
        <v>#N/A</v>
      </c>
    </row>
    <row r="1207" spans="2:15" hidden="1" x14ac:dyDescent="0.3">
      <c r="B1207" t="s">
        <v>8</v>
      </c>
      <c r="C1207">
        <v>928</v>
      </c>
      <c r="D1207" t="s">
        <v>9</v>
      </c>
      <c r="E1207">
        <v>1202</v>
      </c>
      <c r="F1207" t="s">
        <v>37</v>
      </c>
      <c r="G1207">
        <v>81</v>
      </c>
      <c r="H1207" t="s">
        <v>11</v>
      </c>
      <c r="I1207" t="s">
        <v>4803</v>
      </c>
      <c r="J1207" t="s">
        <v>9015</v>
      </c>
      <c r="K1207">
        <v>297520</v>
      </c>
      <c r="L1207">
        <v>44866</v>
      </c>
      <c r="M1207" t="s">
        <v>1252</v>
      </c>
      <c r="N1207">
        <v>297520</v>
      </c>
      <c r="O1207" t="e">
        <v>#N/A</v>
      </c>
    </row>
    <row r="1208" spans="2:15" hidden="1" x14ac:dyDescent="0.3">
      <c r="B1208" t="s">
        <v>8</v>
      </c>
      <c r="C1208">
        <v>928</v>
      </c>
      <c r="D1208" t="s">
        <v>13</v>
      </c>
      <c r="E1208">
        <v>1184</v>
      </c>
      <c r="F1208" t="s">
        <v>115</v>
      </c>
      <c r="G1208">
        <v>1548</v>
      </c>
      <c r="H1208" t="s">
        <v>11</v>
      </c>
      <c r="I1208" t="s">
        <v>4807</v>
      </c>
      <c r="J1208" t="s">
        <v>9016</v>
      </c>
      <c r="K1208">
        <v>630</v>
      </c>
      <c r="L1208">
        <v>44866</v>
      </c>
      <c r="M1208" t="s">
        <v>1253</v>
      </c>
      <c r="N1208">
        <v>630</v>
      </c>
      <c r="O1208" t="e">
        <v>#N/A</v>
      </c>
    </row>
    <row r="1209" spans="2:15" hidden="1" x14ac:dyDescent="0.3">
      <c r="B1209" t="s">
        <v>8</v>
      </c>
      <c r="C1209">
        <v>928</v>
      </c>
      <c r="D1209" t="s">
        <v>9</v>
      </c>
      <c r="E1209">
        <v>1202</v>
      </c>
      <c r="F1209" t="s">
        <v>27</v>
      </c>
      <c r="G1209">
        <v>806</v>
      </c>
      <c r="H1209" t="s">
        <v>11</v>
      </c>
      <c r="I1209" t="s">
        <v>4808</v>
      </c>
      <c r="J1209" t="s">
        <v>9017</v>
      </c>
      <c r="K1209">
        <v>453884</v>
      </c>
      <c r="L1209">
        <v>44866</v>
      </c>
      <c r="M1209" t="s">
        <v>1254</v>
      </c>
      <c r="N1209">
        <v>476628</v>
      </c>
      <c r="O1209" t="e">
        <v>#N/A</v>
      </c>
    </row>
    <row r="1210" spans="2:15" hidden="1" x14ac:dyDescent="0.3">
      <c r="B1210" t="s">
        <v>8</v>
      </c>
      <c r="C1210">
        <v>928</v>
      </c>
      <c r="D1210" t="s">
        <v>167</v>
      </c>
      <c r="E1210">
        <v>935</v>
      </c>
      <c r="F1210" t="s">
        <v>168</v>
      </c>
      <c r="G1210">
        <v>2</v>
      </c>
      <c r="H1210" t="s">
        <v>11</v>
      </c>
      <c r="I1210" t="s">
        <v>4809</v>
      </c>
      <c r="J1210" t="s">
        <v>9018</v>
      </c>
      <c r="K1210">
        <v>13693560</v>
      </c>
      <c r="L1210">
        <v>44866</v>
      </c>
      <c r="M1210" t="s">
        <v>671</v>
      </c>
      <c r="N1210">
        <v>13693560</v>
      </c>
      <c r="O1210" t="e">
        <v>#N/A</v>
      </c>
    </row>
    <row r="1211" spans="2:15" hidden="1" x14ac:dyDescent="0.3">
      <c r="B1211" t="s">
        <v>8</v>
      </c>
      <c r="C1211">
        <v>928</v>
      </c>
      <c r="D1211" t="s">
        <v>9</v>
      </c>
      <c r="E1211">
        <v>1202</v>
      </c>
      <c r="F1211" t="s">
        <v>220</v>
      </c>
      <c r="G1211">
        <v>1211</v>
      </c>
      <c r="H1211" t="s">
        <v>11</v>
      </c>
      <c r="I1211" t="s">
        <v>4810</v>
      </c>
      <c r="J1211" t="s">
        <v>9019</v>
      </c>
      <c r="K1211">
        <v>1016750</v>
      </c>
      <c r="L1211">
        <v>44866</v>
      </c>
      <c r="M1211" t="s">
        <v>1255</v>
      </c>
      <c r="N1211">
        <v>1016750</v>
      </c>
      <c r="O1211" t="e">
        <v>#N/A</v>
      </c>
    </row>
    <row r="1212" spans="2:15" hidden="1" x14ac:dyDescent="0.3">
      <c r="B1212" t="s">
        <v>41</v>
      </c>
      <c r="C1212">
        <v>926</v>
      </c>
      <c r="D1212" t="s">
        <v>42</v>
      </c>
      <c r="E1212">
        <v>964</v>
      </c>
      <c r="F1212" t="s">
        <v>43</v>
      </c>
      <c r="G1212">
        <v>200998</v>
      </c>
      <c r="H1212" t="s">
        <v>11</v>
      </c>
      <c r="I1212" t="s">
        <v>4811</v>
      </c>
      <c r="J1212" t="s">
        <v>9020</v>
      </c>
      <c r="K1212">
        <v>1890</v>
      </c>
      <c r="L1212">
        <v>44866</v>
      </c>
      <c r="M1212" t="s">
        <v>1256</v>
      </c>
      <c r="N1212">
        <v>1890</v>
      </c>
      <c r="O1212" t="e">
        <v>#N/A</v>
      </c>
    </row>
    <row r="1213" spans="2:15" hidden="1" x14ac:dyDescent="0.3">
      <c r="B1213" t="s">
        <v>8</v>
      </c>
      <c r="C1213">
        <v>928</v>
      </c>
      <c r="D1213" t="s">
        <v>9</v>
      </c>
      <c r="E1213">
        <v>1202</v>
      </c>
      <c r="F1213" t="s">
        <v>33</v>
      </c>
      <c r="G1213">
        <v>933</v>
      </c>
      <c r="H1213" t="s">
        <v>11</v>
      </c>
      <c r="I1213" t="s">
        <v>4813</v>
      </c>
      <c r="J1213" t="s">
        <v>9021</v>
      </c>
      <c r="K1213">
        <v>169300</v>
      </c>
      <c r="L1213">
        <v>44866</v>
      </c>
      <c r="M1213" t="s">
        <v>1257</v>
      </c>
      <c r="N1213">
        <v>169300</v>
      </c>
      <c r="O1213" t="e">
        <v>#N/A</v>
      </c>
    </row>
    <row r="1214" spans="2:15" hidden="1" x14ac:dyDescent="0.3">
      <c r="B1214" t="s">
        <v>8</v>
      </c>
      <c r="C1214">
        <v>928</v>
      </c>
      <c r="D1214" t="s">
        <v>13</v>
      </c>
      <c r="E1214">
        <v>1184</v>
      </c>
      <c r="F1214" t="s">
        <v>118</v>
      </c>
      <c r="G1214">
        <v>201004</v>
      </c>
      <c r="H1214" t="s">
        <v>11</v>
      </c>
      <c r="I1214" t="s">
        <v>4814</v>
      </c>
      <c r="J1214" t="s">
        <v>9022</v>
      </c>
      <c r="K1214">
        <v>1851500</v>
      </c>
      <c r="L1214">
        <v>44866</v>
      </c>
      <c r="M1214" t="s">
        <v>1258</v>
      </c>
      <c r="N1214">
        <v>1851500</v>
      </c>
      <c r="O1214" t="e">
        <v>#N/A</v>
      </c>
    </row>
    <row r="1215" spans="2:15" hidden="1" x14ac:dyDescent="0.3">
      <c r="B1215" t="s">
        <v>8</v>
      </c>
      <c r="C1215">
        <v>928</v>
      </c>
      <c r="D1215" t="s">
        <v>9</v>
      </c>
      <c r="E1215">
        <v>1202</v>
      </c>
      <c r="F1215" t="s">
        <v>73</v>
      </c>
      <c r="G1215">
        <v>895</v>
      </c>
      <c r="H1215" t="s">
        <v>11</v>
      </c>
      <c r="I1215" t="s">
        <v>4815</v>
      </c>
      <c r="J1215" t="s">
        <v>9023</v>
      </c>
      <c r="K1215">
        <v>210620</v>
      </c>
      <c r="L1215">
        <v>44866</v>
      </c>
      <c r="M1215" t="s">
        <v>1259</v>
      </c>
      <c r="N1215">
        <v>210620</v>
      </c>
      <c r="O1215" t="e">
        <v>#N/A</v>
      </c>
    </row>
    <row r="1216" spans="2:15" hidden="1" x14ac:dyDescent="0.3">
      <c r="B1216" t="s">
        <v>16</v>
      </c>
      <c r="C1216">
        <v>927</v>
      </c>
      <c r="D1216" t="s">
        <v>17</v>
      </c>
      <c r="E1216">
        <v>1200</v>
      </c>
      <c r="F1216" t="s">
        <v>96</v>
      </c>
      <c r="G1216">
        <v>1271</v>
      </c>
      <c r="H1216" t="s">
        <v>11</v>
      </c>
      <c r="I1216" t="s">
        <v>4816</v>
      </c>
      <c r="J1216" t="s">
        <v>9024</v>
      </c>
      <c r="K1216">
        <v>9470</v>
      </c>
      <c r="L1216">
        <v>44866</v>
      </c>
      <c r="M1216" t="s">
        <v>1260</v>
      </c>
      <c r="N1216">
        <v>9470</v>
      </c>
      <c r="O1216" t="e">
        <v>#N/A</v>
      </c>
    </row>
    <row r="1217" spans="2:15" hidden="1" x14ac:dyDescent="0.3">
      <c r="B1217" t="s">
        <v>8</v>
      </c>
      <c r="C1217">
        <v>928</v>
      </c>
      <c r="D1217" t="s">
        <v>223</v>
      </c>
      <c r="E1217">
        <v>966</v>
      </c>
      <c r="F1217" t="s">
        <v>224</v>
      </c>
      <c r="G1217">
        <v>201008</v>
      </c>
      <c r="H1217" t="s">
        <v>11</v>
      </c>
      <c r="I1217" t="s">
        <v>4817</v>
      </c>
      <c r="J1217" t="s">
        <v>9025</v>
      </c>
      <c r="K1217">
        <v>13127030</v>
      </c>
      <c r="L1217">
        <v>44866</v>
      </c>
      <c r="M1217" t="s">
        <v>225</v>
      </c>
      <c r="N1217">
        <v>10227040</v>
      </c>
      <c r="O1217" t="e">
        <v>#N/A</v>
      </c>
    </row>
    <row r="1218" spans="2:15" hidden="1" x14ac:dyDescent="0.3">
      <c r="B1218" t="s">
        <v>8</v>
      </c>
      <c r="C1218">
        <v>928</v>
      </c>
      <c r="D1218" t="s">
        <v>223</v>
      </c>
      <c r="E1218">
        <v>966</v>
      </c>
      <c r="F1218" t="s">
        <v>1261</v>
      </c>
      <c r="G1218">
        <v>1659</v>
      </c>
      <c r="H1218" t="s">
        <v>11</v>
      </c>
      <c r="I1218" t="s">
        <v>4818</v>
      </c>
      <c r="J1218" t="s">
        <v>9026</v>
      </c>
      <c r="K1218">
        <v>19868370</v>
      </c>
      <c r="L1218">
        <v>44866</v>
      </c>
      <c r="M1218" t="s">
        <v>1262</v>
      </c>
      <c r="N1218">
        <v>17968390</v>
      </c>
      <c r="O1218" t="e">
        <v>#N/A</v>
      </c>
    </row>
    <row r="1219" spans="2:15" hidden="1" x14ac:dyDescent="0.3">
      <c r="B1219" t="s">
        <v>16</v>
      </c>
      <c r="C1219">
        <v>927</v>
      </c>
      <c r="D1219" t="s">
        <v>17</v>
      </c>
      <c r="E1219">
        <v>1200</v>
      </c>
      <c r="F1219" t="s">
        <v>371</v>
      </c>
      <c r="G1219">
        <v>551</v>
      </c>
      <c r="H1219" t="s">
        <v>11</v>
      </c>
      <c r="I1219" t="s">
        <v>4820</v>
      </c>
      <c r="J1219" t="s">
        <v>9027</v>
      </c>
      <c r="K1219">
        <v>3033250</v>
      </c>
      <c r="L1219">
        <v>44866</v>
      </c>
      <c r="M1219" t="s">
        <v>1263</v>
      </c>
      <c r="N1219">
        <v>3033250</v>
      </c>
      <c r="O1219" t="e">
        <v>#N/A</v>
      </c>
    </row>
    <row r="1220" spans="2:15" hidden="1" x14ac:dyDescent="0.3">
      <c r="B1220" t="s">
        <v>41</v>
      </c>
      <c r="C1220">
        <v>926</v>
      </c>
      <c r="D1220" t="s">
        <v>56</v>
      </c>
      <c r="E1220">
        <v>1207</v>
      </c>
      <c r="F1220" t="s">
        <v>57</v>
      </c>
      <c r="G1220">
        <v>200982</v>
      </c>
      <c r="H1220" t="s">
        <v>11</v>
      </c>
      <c r="I1220" t="s">
        <v>4823</v>
      </c>
      <c r="J1220" t="s">
        <v>9028</v>
      </c>
      <c r="K1220">
        <v>54930</v>
      </c>
      <c r="L1220">
        <v>44866</v>
      </c>
      <c r="M1220" t="s">
        <v>1264</v>
      </c>
      <c r="N1220">
        <v>54930</v>
      </c>
      <c r="O1220" t="e">
        <v>#N/A</v>
      </c>
    </row>
    <row r="1221" spans="2:15" hidden="1" x14ac:dyDescent="0.3">
      <c r="B1221" t="s">
        <v>8</v>
      </c>
      <c r="C1221">
        <v>928</v>
      </c>
      <c r="D1221" t="s">
        <v>9</v>
      </c>
      <c r="E1221">
        <v>1202</v>
      </c>
      <c r="F1221" t="s">
        <v>37</v>
      </c>
      <c r="G1221">
        <v>81</v>
      </c>
      <c r="H1221" t="s">
        <v>11</v>
      </c>
      <c r="I1221" t="s">
        <v>4826</v>
      </c>
      <c r="J1221" t="s">
        <v>9029</v>
      </c>
      <c r="K1221">
        <v>49780</v>
      </c>
      <c r="L1221">
        <v>44866</v>
      </c>
      <c r="M1221" t="s">
        <v>1265</v>
      </c>
      <c r="N1221">
        <v>49780</v>
      </c>
      <c r="O1221" t="e">
        <v>#N/A</v>
      </c>
    </row>
    <row r="1222" spans="2:15" hidden="1" x14ac:dyDescent="0.3">
      <c r="B1222" t="s">
        <v>8</v>
      </c>
      <c r="C1222">
        <v>928</v>
      </c>
      <c r="D1222" t="s">
        <v>9</v>
      </c>
      <c r="E1222">
        <v>1202</v>
      </c>
      <c r="F1222" t="s">
        <v>37</v>
      </c>
      <c r="G1222">
        <v>81</v>
      </c>
      <c r="H1222" t="s">
        <v>11</v>
      </c>
      <c r="I1222" t="s">
        <v>4827</v>
      </c>
      <c r="J1222" t="s">
        <v>9030</v>
      </c>
      <c r="K1222">
        <v>590970</v>
      </c>
      <c r="L1222">
        <v>44866</v>
      </c>
      <c r="M1222" t="s">
        <v>1265</v>
      </c>
      <c r="N1222">
        <v>590970</v>
      </c>
      <c r="O1222" t="e">
        <v>#N/A</v>
      </c>
    </row>
    <row r="1223" spans="2:15" hidden="1" x14ac:dyDescent="0.3">
      <c r="B1223" t="s">
        <v>16</v>
      </c>
      <c r="C1223">
        <v>927</v>
      </c>
      <c r="D1223" t="s">
        <v>17</v>
      </c>
      <c r="E1223">
        <v>1200</v>
      </c>
      <c r="F1223" t="s">
        <v>29</v>
      </c>
      <c r="G1223">
        <v>1496</v>
      </c>
      <c r="H1223" t="s">
        <v>11</v>
      </c>
      <c r="I1223" t="s">
        <v>4828</v>
      </c>
      <c r="J1223" t="s">
        <v>9031</v>
      </c>
      <c r="K1223">
        <v>2879200</v>
      </c>
      <c r="L1223">
        <v>44866</v>
      </c>
      <c r="M1223" t="s">
        <v>1266</v>
      </c>
      <c r="N1223">
        <v>2879200</v>
      </c>
      <c r="O1223" t="e">
        <v>#N/A</v>
      </c>
    </row>
    <row r="1224" spans="2:15" hidden="1" x14ac:dyDescent="0.3">
      <c r="B1224" t="s">
        <v>8</v>
      </c>
      <c r="C1224">
        <v>928</v>
      </c>
      <c r="D1224" t="s">
        <v>13</v>
      </c>
      <c r="E1224">
        <v>1184</v>
      </c>
      <c r="F1224" t="s">
        <v>14</v>
      </c>
      <c r="G1224">
        <v>914</v>
      </c>
      <c r="H1224" t="s">
        <v>11</v>
      </c>
      <c r="I1224" t="s">
        <v>4831</v>
      </c>
      <c r="J1224" t="s">
        <v>9032</v>
      </c>
      <c r="K1224">
        <v>484980</v>
      </c>
      <c r="L1224">
        <v>44866</v>
      </c>
      <c r="M1224" t="s">
        <v>323</v>
      </c>
      <c r="N1224">
        <v>484980</v>
      </c>
      <c r="O1224" t="e">
        <v>#N/A</v>
      </c>
    </row>
    <row r="1225" spans="2:15" hidden="1" x14ac:dyDescent="0.3">
      <c r="B1225" t="s">
        <v>8</v>
      </c>
      <c r="C1225">
        <v>928</v>
      </c>
      <c r="D1225" t="s">
        <v>9</v>
      </c>
      <c r="E1225">
        <v>1202</v>
      </c>
      <c r="F1225" t="s">
        <v>33</v>
      </c>
      <c r="G1225">
        <v>933</v>
      </c>
      <c r="H1225" t="s">
        <v>11</v>
      </c>
      <c r="I1225" t="s">
        <v>4833</v>
      </c>
      <c r="J1225" t="s">
        <v>9033</v>
      </c>
      <c r="K1225">
        <v>350</v>
      </c>
      <c r="L1225">
        <v>44866</v>
      </c>
      <c r="M1225" t="s">
        <v>1267</v>
      </c>
      <c r="N1225">
        <v>350</v>
      </c>
      <c r="O1225" t="e">
        <v>#N/A</v>
      </c>
    </row>
    <row r="1226" spans="2:15" x14ac:dyDescent="0.3">
      <c r="B1226" t="s">
        <v>8</v>
      </c>
      <c r="C1226">
        <v>928</v>
      </c>
      <c r="D1226" t="s">
        <v>9</v>
      </c>
      <c r="E1226">
        <v>1202</v>
      </c>
      <c r="F1226" t="s">
        <v>220</v>
      </c>
      <c r="G1226">
        <v>1211</v>
      </c>
      <c r="H1226" t="s">
        <v>11</v>
      </c>
      <c r="I1226" t="s">
        <v>9034</v>
      </c>
      <c r="J1226" t="s">
        <v>9035</v>
      </c>
      <c r="K1226">
        <v>56050</v>
      </c>
      <c r="L1226">
        <v>44866</v>
      </c>
      <c r="M1226" t="s">
        <v>1268</v>
      </c>
      <c r="N1226" t="e">
        <v>#N/A</v>
      </c>
      <c r="O1226" t="e">
        <v>#N/A</v>
      </c>
    </row>
    <row r="1227" spans="2:15" hidden="1" x14ac:dyDescent="0.3">
      <c r="B1227" t="s">
        <v>8</v>
      </c>
      <c r="C1227">
        <v>928</v>
      </c>
      <c r="D1227" t="s">
        <v>13</v>
      </c>
      <c r="E1227">
        <v>1184</v>
      </c>
      <c r="F1227" t="s">
        <v>217</v>
      </c>
      <c r="G1227">
        <v>201027</v>
      </c>
      <c r="H1227" t="s">
        <v>11</v>
      </c>
      <c r="I1227" t="s">
        <v>4835</v>
      </c>
      <c r="J1227" t="s">
        <v>9036</v>
      </c>
      <c r="K1227">
        <v>200100</v>
      </c>
      <c r="L1227">
        <v>44866</v>
      </c>
      <c r="M1227" t="s">
        <v>1269</v>
      </c>
      <c r="N1227">
        <v>200100</v>
      </c>
      <c r="O1227" t="e">
        <v>#N/A</v>
      </c>
    </row>
    <row r="1228" spans="2:15" hidden="1" x14ac:dyDescent="0.3">
      <c r="B1228" t="s">
        <v>41</v>
      </c>
      <c r="C1228">
        <v>926</v>
      </c>
      <c r="D1228" t="s">
        <v>56</v>
      </c>
      <c r="E1228">
        <v>1207</v>
      </c>
      <c r="F1228" t="s">
        <v>57</v>
      </c>
      <c r="G1228">
        <v>200982</v>
      </c>
      <c r="H1228" t="s">
        <v>11</v>
      </c>
      <c r="I1228" t="s">
        <v>4840</v>
      </c>
      <c r="J1228" t="s">
        <v>9037</v>
      </c>
      <c r="K1228">
        <v>542120</v>
      </c>
      <c r="L1228">
        <v>44866</v>
      </c>
      <c r="M1228" t="s">
        <v>1270</v>
      </c>
      <c r="N1228">
        <v>542120</v>
      </c>
      <c r="O1228" t="e">
        <v>#N/A</v>
      </c>
    </row>
    <row r="1229" spans="2:15" hidden="1" x14ac:dyDescent="0.3">
      <c r="B1229" t="s">
        <v>16</v>
      </c>
      <c r="C1229">
        <v>927</v>
      </c>
      <c r="D1229" t="s">
        <v>17</v>
      </c>
      <c r="E1229">
        <v>1200</v>
      </c>
      <c r="F1229" t="s">
        <v>100</v>
      </c>
      <c r="G1229">
        <v>201038</v>
      </c>
      <c r="H1229" t="s">
        <v>11</v>
      </c>
      <c r="I1229" t="s">
        <v>4843</v>
      </c>
      <c r="J1229" t="s">
        <v>9038</v>
      </c>
      <c r="K1229">
        <v>123970</v>
      </c>
      <c r="L1229">
        <v>44866</v>
      </c>
      <c r="M1229" t="s">
        <v>1271</v>
      </c>
      <c r="N1229">
        <v>123970</v>
      </c>
      <c r="O1229" t="e">
        <v>#N/A</v>
      </c>
    </row>
    <row r="1230" spans="2:15" hidden="1" x14ac:dyDescent="0.3">
      <c r="B1230" t="s">
        <v>41</v>
      </c>
      <c r="C1230">
        <v>926</v>
      </c>
      <c r="D1230" t="s">
        <v>56</v>
      </c>
      <c r="E1230">
        <v>1207</v>
      </c>
      <c r="F1230" t="s">
        <v>57</v>
      </c>
      <c r="G1230">
        <v>200982</v>
      </c>
      <c r="H1230" t="s">
        <v>11</v>
      </c>
      <c r="I1230" t="s">
        <v>4845</v>
      </c>
      <c r="J1230" t="s">
        <v>9039</v>
      </c>
      <c r="K1230">
        <v>458820</v>
      </c>
      <c r="L1230">
        <v>44866</v>
      </c>
      <c r="M1230" t="s">
        <v>1272</v>
      </c>
      <c r="N1230">
        <v>458890</v>
      </c>
      <c r="O1230" t="e">
        <v>#N/A</v>
      </c>
    </row>
    <row r="1231" spans="2:15" hidden="1" x14ac:dyDescent="0.3">
      <c r="B1231" t="s">
        <v>41</v>
      </c>
      <c r="C1231">
        <v>926</v>
      </c>
      <c r="D1231" t="s">
        <v>56</v>
      </c>
      <c r="E1231">
        <v>1207</v>
      </c>
      <c r="F1231" t="s">
        <v>57</v>
      </c>
      <c r="G1231">
        <v>200982</v>
      </c>
      <c r="H1231" t="s">
        <v>11</v>
      </c>
      <c r="I1231" t="s">
        <v>4849</v>
      </c>
      <c r="J1231" t="s">
        <v>9040</v>
      </c>
      <c r="K1231">
        <v>238010</v>
      </c>
      <c r="L1231">
        <v>44866</v>
      </c>
      <c r="M1231" t="s">
        <v>1273</v>
      </c>
      <c r="N1231">
        <v>238010</v>
      </c>
      <c r="O1231" t="e">
        <v>#N/A</v>
      </c>
    </row>
    <row r="1232" spans="2:15" hidden="1" x14ac:dyDescent="0.3">
      <c r="B1232" t="s">
        <v>8</v>
      </c>
      <c r="C1232">
        <v>928</v>
      </c>
      <c r="D1232" t="s">
        <v>13</v>
      </c>
      <c r="E1232">
        <v>1184</v>
      </c>
      <c r="F1232" t="s">
        <v>127</v>
      </c>
      <c r="G1232">
        <v>201029</v>
      </c>
      <c r="H1232" t="s">
        <v>11</v>
      </c>
      <c r="I1232" t="s">
        <v>4850</v>
      </c>
      <c r="J1232" t="s">
        <v>9041</v>
      </c>
      <c r="K1232">
        <v>2650378</v>
      </c>
      <c r="L1232">
        <v>44866</v>
      </c>
      <c r="M1232" t="s">
        <v>449</v>
      </c>
      <c r="N1232">
        <v>2367050</v>
      </c>
      <c r="O1232" t="e">
        <v>#N/A</v>
      </c>
    </row>
    <row r="1233" spans="2:15" hidden="1" x14ac:dyDescent="0.3">
      <c r="B1233" t="s">
        <v>8</v>
      </c>
      <c r="C1233">
        <v>928</v>
      </c>
      <c r="D1233" t="s">
        <v>9</v>
      </c>
      <c r="E1233">
        <v>1202</v>
      </c>
      <c r="F1233" t="s">
        <v>391</v>
      </c>
      <c r="G1233">
        <v>1216</v>
      </c>
      <c r="H1233" t="s">
        <v>11</v>
      </c>
      <c r="I1233" t="s">
        <v>4857</v>
      </c>
      <c r="J1233" t="s">
        <v>9042</v>
      </c>
      <c r="K1233">
        <v>5537</v>
      </c>
      <c r="L1233">
        <v>44866</v>
      </c>
      <c r="M1233" t="s">
        <v>1274</v>
      </c>
      <c r="N1233">
        <v>5553</v>
      </c>
      <c r="O1233" t="e">
        <v>#N/A</v>
      </c>
    </row>
    <row r="1234" spans="2:15" hidden="1" x14ac:dyDescent="0.3">
      <c r="B1234" t="s">
        <v>8</v>
      </c>
      <c r="C1234">
        <v>928</v>
      </c>
      <c r="D1234" t="s">
        <v>167</v>
      </c>
      <c r="E1234">
        <v>935</v>
      </c>
      <c r="F1234" t="s">
        <v>168</v>
      </c>
      <c r="G1234">
        <v>2</v>
      </c>
      <c r="H1234" t="s">
        <v>11</v>
      </c>
      <c r="I1234" t="s">
        <v>4858</v>
      </c>
      <c r="J1234" t="s">
        <v>9043</v>
      </c>
      <c r="K1234">
        <v>4980360</v>
      </c>
      <c r="L1234">
        <v>44866</v>
      </c>
      <c r="M1234" t="s">
        <v>1275</v>
      </c>
      <c r="N1234">
        <v>4980360</v>
      </c>
      <c r="O1234" t="e">
        <v>#N/A</v>
      </c>
    </row>
    <row r="1235" spans="2:15" hidden="1" x14ac:dyDescent="0.3">
      <c r="B1235" t="s">
        <v>8</v>
      </c>
      <c r="C1235">
        <v>928</v>
      </c>
      <c r="D1235" t="s">
        <v>9</v>
      </c>
      <c r="E1235">
        <v>1202</v>
      </c>
      <c r="F1235" t="s">
        <v>10</v>
      </c>
      <c r="G1235">
        <v>939</v>
      </c>
      <c r="H1235" t="s">
        <v>11</v>
      </c>
      <c r="I1235" t="s">
        <v>4859</v>
      </c>
      <c r="J1235" t="s">
        <v>9044</v>
      </c>
      <c r="K1235">
        <v>7650</v>
      </c>
      <c r="L1235">
        <v>44866</v>
      </c>
      <c r="M1235" t="s">
        <v>1276</v>
      </c>
      <c r="N1235">
        <v>7650</v>
      </c>
      <c r="O1235" t="e">
        <v>#N/A</v>
      </c>
    </row>
    <row r="1236" spans="2:15" hidden="1" x14ac:dyDescent="0.3">
      <c r="B1236" t="s">
        <v>8</v>
      </c>
      <c r="C1236">
        <v>928</v>
      </c>
      <c r="D1236" t="s">
        <v>9</v>
      </c>
      <c r="E1236">
        <v>1202</v>
      </c>
      <c r="F1236" t="s">
        <v>27</v>
      </c>
      <c r="G1236">
        <v>806</v>
      </c>
      <c r="H1236" t="s">
        <v>11</v>
      </c>
      <c r="I1236" t="s">
        <v>4861</v>
      </c>
      <c r="J1236" t="s">
        <v>9045</v>
      </c>
      <c r="K1236">
        <v>283250</v>
      </c>
      <c r="L1236">
        <v>44866</v>
      </c>
      <c r="M1236" t="s">
        <v>1277</v>
      </c>
      <c r="N1236">
        <v>283250</v>
      </c>
      <c r="O1236" t="e">
        <v>#N/A</v>
      </c>
    </row>
    <row r="1237" spans="2:15" hidden="1" x14ac:dyDescent="0.3">
      <c r="B1237" t="s">
        <v>8</v>
      </c>
      <c r="C1237">
        <v>928</v>
      </c>
      <c r="D1237" t="s">
        <v>13</v>
      </c>
      <c r="E1237">
        <v>1184</v>
      </c>
      <c r="F1237" t="s">
        <v>115</v>
      </c>
      <c r="G1237">
        <v>1548</v>
      </c>
      <c r="H1237" t="s">
        <v>11</v>
      </c>
      <c r="I1237" t="s">
        <v>4864</v>
      </c>
      <c r="J1237" t="s">
        <v>9046</v>
      </c>
      <c r="K1237">
        <v>13320</v>
      </c>
      <c r="L1237">
        <v>44866</v>
      </c>
      <c r="M1237" t="s">
        <v>1278</v>
      </c>
      <c r="N1237">
        <v>13320</v>
      </c>
      <c r="O1237" t="e">
        <v>#N/A</v>
      </c>
    </row>
    <row r="1238" spans="2:15" hidden="1" x14ac:dyDescent="0.3">
      <c r="B1238" t="s">
        <v>8</v>
      </c>
      <c r="C1238">
        <v>928</v>
      </c>
      <c r="D1238" t="s">
        <v>9</v>
      </c>
      <c r="E1238">
        <v>1202</v>
      </c>
      <c r="F1238" t="s">
        <v>27</v>
      </c>
      <c r="G1238">
        <v>806</v>
      </c>
      <c r="H1238" t="s">
        <v>11</v>
      </c>
      <c r="I1238" t="s">
        <v>4865</v>
      </c>
      <c r="J1238" t="s">
        <v>9047</v>
      </c>
      <c r="K1238">
        <v>135870</v>
      </c>
      <c r="L1238">
        <v>44866</v>
      </c>
      <c r="M1238" t="s">
        <v>1279</v>
      </c>
      <c r="N1238">
        <v>135870</v>
      </c>
      <c r="O1238" t="e">
        <v>#N/A</v>
      </c>
    </row>
    <row r="1239" spans="2:15" hidden="1" x14ac:dyDescent="0.3">
      <c r="B1239" t="s">
        <v>8</v>
      </c>
      <c r="C1239">
        <v>928</v>
      </c>
      <c r="D1239" t="s">
        <v>9</v>
      </c>
      <c r="E1239">
        <v>1202</v>
      </c>
      <c r="F1239" t="s">
        <v>142</v>
      </c>
      <c r="G1239">
        <v>652</v>
      </c>
      <c r="H1239" t="s">
        <v>11</v>
      </c>
      <c r="I1239" t="s">
        <v>4866</v>
      </c>
      <c r="J1239" t="s">
        <v>9048</v>
      </c>
      <c r="K1239">
        <v>454200</v>
      </c>
      <c r="L1239">
        <v>44866</v>
      </c>
      <c r="M1239" t="s">
        <v>1280</v>
      </c>
      <c r="N1239">
        <v>90170</v>
      </c>
      <c r="O1239" t="e">
        <v>#N/A</v>
      </c>
    </row>
    <row r="1240" spans="2:15" hidden="1" x14ac:dyDescent="0.3">
      <c r="B1240" t="s">
        <v>8</v>
      </c>
      <c r="C1240">
        <v>928</v>
      </c>
      <c r="D1240" t="s">
        <v>13</v>
      </c>
      <c r="E1240">
        <v>1184</v>
      </c>
      <c r="F1240" t="s">
        <v>102</v>
      </c>
      <c r="G1240">
        <v>917</v>
      </c>
      <c r="H1240" t="s">
        <v>11</v>
      </c>
      <c r="I1240" t="s">
        <v>4870</v>
      </c>
      <c r="J1240" t="s">
        <v>9049</v>
      </c>
      <c r="K1240">
        <v>133030</v>
      </c>
      <c r="L1240">
        <v>44866</v>
      </c>
      <c r="M1240" t="s">
        <v>1281</v>
      </c>
      <c r="N1240">
        <v>133030</v>
      </c>
      <c r="O1240" t="e">
        <v>#N/A</v>
      </c>
    </row>
    <row r="1241" spans="2:15" hidden="1" x14ac:dyDescent="0.3">
      <c r="B1241" t="s">
        <v>8</v>
      </c>
      <c r="C1241">
        <v>928</v>
      </c>
      <c r="D1241" t="s">
        <v>13</v>
      </c>
      <c r="E1241">
        <v>1184</v>
      </c>
      <c r="F1241" t="s">
        <v>102</v>
      </c>
      <c r="G1241">
        <v>917</v>
      </c>
      <c r="H1241" t="s">
        <v>11</v>
      </c>
      <c r="I1241" t="s">
        <v>4871</v>
      </c>
      <c r="J1241" t="s">
        <v>9050</v>
      </c>
      <c r="K1241">
        <v>2800</v>
      </c>
      <c r="L1241">
        <v>44866</v>
      </c>
      <c r="M1241" t="s">
        <v>1282</v>
      </c>
      <c r="N1241">
        <v>2800</v>
      </c>
      <c r="O1241" t="e">
        <v>#N/A</v>
      </c>
    </row>
    <row r="1242" spans="2:15" hidden="1" x14ac:dyDescent="0.3">
      <c r="B1242" t="s">
        <v>8</v>
      </c>
      <c r="C1242">
        <v>928</v>
      </c>
      <c r="D1242" t="s">
        <v>13</v>
      </c>
      <c r="E1242">
        <v>1184</v>
      </c>
      <c r="F1242" t="s">
        <v>102</v>
      </c>
      <c r="G1242">
        <v>917</v>
      </c>
      <c r="H1242" t="s">
        <v>11</v>
      </c>
      <c r="I1242" t="s">
        <v>4872</v>
      </c>
      <c r="J1242" t="s">
        <v>9051</v>
      </c>
      <c r="K1242">
        <v>5661520</v>
      </c>
      <c r="L1242">
        <v>44866</v>
      </c>
      <c r="M1242" t="s">
        <v>1283</v>
      </c>
      <c r="N1242">
        <v>5661520</v>
      </c>
      <c r="O1242" t="e">
        <v>#N/A</v>
      </c>
    </row>
    <row r="1243" spans="2:15" hidden="1" x14ac:dyDescent="0.3">
      <c r="B1243" t="s">
        <v>8</v>
      </c>
      <c r="C1243">
        <v>928</v>
      </c>
      <c r="D1243" t="s">
        <v>13</v>
      </c>
      <c r="E1243">
        <v>1184</v>
      </c>
      <c r="F1243" t="s">
        <v>102</v>
      </c>
      <c r="G1243">
        <v>917</v>
      </c>
      <c r="H1243" t="s">
        <v>11</v>
      </c>
      <c r="I1243" t="s">
        <v>4873</v>
      </c>
      <c r="J1243" t="s">
        <v>9052</v>
      </c>
      <c r="K1243">
        <v>6799850</v>
      </c>
      <c r="L1243">
        <v>44866</v>
      </c>
      <c r="M1243" t="s">
        <v>1284</v>
      </c>
      <c r="N1243">
        <v>6799850</v>
      </c>
      <c r="O1243" t="e">
        <v>#N/A</v>
      </c>
    </row>
    <row r="1244" spans="2:15" hidden="1" x14ac:dyDescent="0.3">
      <c r="B1244" t="s">
        <v>22</v>
      </c>
      <c r="C1244">
        <v>809</v>
      </c>
      <c r="D1244" t="s">
        <v>23</v>
      </c>
      <c r="E1244">
        <v>810</v>
      </c>
      <c r="F1244" t="s">
        <v>24</v>
      </c>
      <c r="G1244">
        <v>201032</v>
      </c>
      <c r="H1244" t="s">
        <v>11</v>
      </c>
      <c r="I1244" t="s">
        <v>4875</v>
      </c>
      <c r="J1244" t="s">
        <v>9053</v>
      </c>
      <c r="K1244">
        <v>9840</v>
      </c>
      <c r="L1244">
        <v>44866</v>
      </c>
      <c r="M1244" t="s">
        <v>1285</v>
      </c>
      <c r="N1244">
        <v>9840</v>
      </c>
      <c r="O1244" t="e">
        <v>#N/A</v>
      </c>
    </row>
    <row r="1245" spans="2:15" hidden="1" x14ac:dyDescent="0.3">
      <c r="B1245" t="s">
        <v>8</v>
      </c>
      <c r="C1245">
        <v>928</v>
      </c>
      <c r="D1245" t="s">
        <v>9</v>
      </c>
      <c r="E1245">
        <v>1202</v>
      </c>
      <c r="F1245" t="s">
        <v>10</v>
      </c>
      <c r="G1245">
        <v>939</v>
      </c>
      <c r="H1245" t="s">
        <v>11</v>
      </c>
      <c r="I1245" t="s">
        <v>4880</v>
      </c>
      <c r="J1245" t="s">
        <v>9054</v>
      </c>
      <c r="K1245">
        <v>3321680</v>
      </c>
      <c r="L1245">
        <v>44866</v>
      </c>
      <c r="M1245" t="s">
        <v>1286</v>
      </c>
      <c r="N1245">
        <v>3321680</v>
      </c>
      <c r="O1245" t="e">
        <v>#N/A</v>
      </c>
    </row>
    <row r="1246" spans="2:15" hidden="1" x14ac:dyDescent="0.3">
      <c r="B1246" t="s">
        <v>8</v>
      </c>
      <c r="C1246">
        <v>928</v>
      </c>
      <c r="D1246" t="s">
        <v>9</v>
      </c>
      <c r="E1246">
        <v>1202</v>
      </c>
      <c r="F1246" t="s">
        <v>142</v>
      </c>
      <c r="G1246">
        <v>652</v>
      </c>
      <c r="H1246" t="s">
        <v>11</v>
      </c>
      <c r="I1246" t="s">
        <v>4886</v>
      </c>
      <c r="J1246" t="s">
        <v>9055</v>
      </c>
      <c r="K1246">
        <v>2014760</v>
      </c>
      <c r="L1246">
        <v>44866</v>
      </c>
      <c r="M1246" t="s">
        <v>1287</v>
      </c>
      <c r="N1246">
        <v>2014760</v>
      </c>
      <c r="O1246" t="e">
        <v>#N/A</v>
      </c>
    </row>
    <row r="1247" spans="2:15" hidden="1" x14ac:dyDescent="0.3">
      <c r="B1247" t="s">
        <v>8</v>
      </c>
      <c r="C1247">
        <v>928</v>
      </c>
      <c r="D1247" t="s">
        <v>9</v>
      </c>
      <c r="E1247">
        <v>1202</v>
      </c>
      <c r="F1247" t="s">
        <v>45</v>
      </c>
      <c r="G1247">
        <v>26</v>
      </c>
      <c r="H1247" t="s">
        <v>11</v>
      </c>
      <c r="I1247" t="s">
        <v>4889</v>
      </c>
      <c r="J1247" t="s">
        <v>9056</v>
      </c>
      <c r="K1247">
        <v>13265570</v>
      </c>
      <c r="L1247">
        <v>44866</v>
      </c>
      <c r="M1247" t="s">
        <v>1288</v>
      </c>
      <c r="N1247">
        <v>13265570</v>
      </c>
      <c r="O1247" t="e">
        <v>#N/A</v>
      </c>
    </row>
    <row r="1248" spans="2:15" hidden="1" x14ac:dyDescent="0.3">
      <c r="B1248" t="s">
        <v>8</v>
      </c>
      <c r="C1248">
        <v>928</v>
      </c>
      <c r="D1248" t="s">
        <v>9</v>
      </c>
      <c r="E1248">
        <v>1202</v>
      </c>
      <c r="F1248" t="s">
        <v>39</v>
      </c>
      <c r="G1248">
        <v>25</v>
      </c>
      <c r="H1248" t="s">
        <v>11</v>
      </c>
      <c r="I1248" t="s">
        <v>4890</v>
      </c>
      <c r="J1248" t="s">
        <v>9057</v>
      </c>
      <c r="K1248">
        <v>983210</v>
      </c>
      <c r="L1248">
        <v>44866</v>
      </c>
      <c r="M1248" t="s">
        <v>1289</v>
      </c>
      <c r="N1248">
        <v>983210</v>
      </c>
      <c r="O1248" t="e">
        <v>#N/A</v>
      </c>
    </row>
    <row r="1249" spans="2:15" hidden="1" x14ac:dyDescent="0.3">
      <c r="B1249" t="s">
        <v>41</v>
      </c>
      <c r="C1249">
        <v>926</v>
      </c>
      <c r="D1249" t="s">
        <v>56</v>
      </c>
      <c r="E1249">
        <v>1207</v>
      </c>
      <c r="F1249" t="s">
        <v>57</v>
      </c>
      <c r="G1249">
        <v>200982</v>
      </c>
      <c r="H1249" t="s">
        <v>11</v>
      </c>
      <c r="I1249" t="s">
        <v>4896</v>
      </c>
      <c r="J1249" t="s">
        <v>9058</v>
      </c>
      <c r="K1249">
        <v>33940</v>
      </c>
      <c r="L1249">
        <v>44866</v>
      </c>
      <c r="M1249" t="s">
        <v>1290</v>
      </c>
      <c r="N1249">
        <v>33940</v>
      </c>
      <c r="O1249" t="e">
        <v>#N/A</v>
      </c>
    </row>
    <row r="1250" spans="2:15" hidden="1" x14ac:dyDescent="0.3">
      <c r="B1250" t="s">
        <v>16</v>
      </c>
      <c r="C1250">
        <v>927</v>
      </c>
      <c r="D1250" t="s">
        <v>17</v>
      </c>
      <c r="E1250">
        <v>1200</v>
      </c>
      <c r="F1250" t="s">
        <v>244</v>
      </c>
      <c r="G1250">
        <v>817</v>
      </c>
      <c r="H1250" t="s">
        <v>11</v>
      </c>
      <c r="I1250" t="s">
        <v>4897</v>
      </c>
      <c r="J1250" t="s">
        <v>9059</v>
      </c>
      <c r="K1250">
        <v>167730</v>
      </c>
      <c r="L1250">
        <v>44866</v>
      </c>
      <c r="M1250" t="s">
        <v>1291</v>
      </c>
      <c r="N1250">
        <v>167730</v>
      </c>
      <c r="O1250" t="e">
        <v>#N/A</v>
      </c>
    </row>
    <row r="1251" spans="2:15" hidden="1" x14ac:dyDescent="0.3">
      <c r="B1251" t="s">
        <v>8</v>
      </c>
      <c r="C1251">
        <v>928</v>
      </c>
      <c r="D1251" t="s">
        <v>9</v>
      </c>
      <c r="E1251">
        <v>1202</v>
      </c>
      <c r="F1251" t="s">
        <v>39</v>
      </c>
      <c r="G1251">
        <v>25</v>
      </c>
      <c r="H1251" t="s">
        <v>11</v>
      </c>
      <c r="I1251" t="s">
        <v>4900</v>
      </c>
      <c r="J1251" t="s">
        <v>9060</v>
      </c>
      <c r="K1251">
        <v>1442810</v>
      </c>
      <c r="L1251">
        <v>44866</v>
      </c>
      <c r="M1251" t="s">
        <v>1292</v>
      </c>
      <c r="N1251">
        <v>1442810</v>
      </c>
      <c r="O1251" t="e">
        <v>#N/A</v>
      </c>
    </row>
    <row r="1252" spans="2:15" hidden="1" x14ac:dyDescent="0.3">
      <c r="B1252" t="s">
        <v>16</v>
      </c>
      <c r="C1252">
        <v>927</v>
      </c>
      <c r="D1252" t="s">
        <v>17</v>
      </c>
      <c r="E1252">
        <v>1200</v>
      </c>
      <c r="F1252" t="s">
        <v>137</v>
      </c>
      <c r="G1252">
        <v>1012</v>
      </c>
      <c r="H1252" t="s">
        <v>11</v>
      </c>
      <c r="I1252" t="s">
        <v>4901</v>
      </c>
      <c r="J1252" t="s">
        <v>9061</v>
      </c>
      <c r="K1252">
        <v>1600</v>
      </c>
      <c r="L1252">
        <v>44866</v>
      </c>
      <c r="M1252" t="s">
        <v>138</v>
      </c>
      <c r="N1252">
        <v>1600</v>
      </c>
      <c r="O1252" t="e">
        <v>#N/A</v>
      </c>
    </row>
    <row r="1253" spans="2:15" hidden="1" x14ac:dyDescent="0.3">
      <c r="B1253" t="s">
        <v>8</v>
      </c>
      <c r="C1253">
        <v>928</v>
      </c>
      <c r="D1253" t="s">
        <v>13</v>
      </c>
      <c r="E1253">
        <v>1184</v>
      </c>
      <c r="F1253" t="s">
        <v>102</v>
      </c>
      <c r="G1253">
        <v>917</v>
      </c>
      <c r="H1253" t="s">
        <v>11</v>
      </c>
      <c r="I1253" t="s">
        <v>4903</v>
      </c>
      <c r="J1253" t="s">
        <v>9062</v>
      </c>
      <c r="K1253">
        <v>97730</v>
      </c>
      <c r="L1253">
        <v>44866</v>
      </c>
      <c r="M1253" t="s">
        <v>1293</v>
      </c>
      <c r="N1253">
        <v>97730</v>
      </c>
      <c r="O1253" t="e">
        <v>#N/A</v>
      </c>
    </row>
    <row r="1254" spans="2:15" hidden="1" x14ac:dyDescent="0.3">
      <c r="B1254" t="s">
        <v>16</v>
      </c>
      <c r="C1254">
        <v>927</v>
      </c>
      <c r="D1254" t="s">
        <v>17</v>
      </c>
      <c r="E1254">
        <v>1200</v>
      </c>
      <c r="F1254" t="s">
        <v>371</v>
      </c>
      <c r="G1254">
        <v>551</v>
      </c>
      <c r="H1254" t="s">
        <v>11</v>
      </c>
      <c r="I1254" t="s">
        <v>4908</v>
      </c>
      <c r="J1254" t="s">
        <v>9063</v>
      </c>
      <c r="K1254">
        <v>405140</v>
      </c>
      <c r="L1254">
        <v>44866</v>
      </c>
      <c r="M1254" t="s">
        <v>1294</v>
      </c>
      <c r="N1254">
        <v>405140</v>
      </c>
      <c r="O1254" t="e">
        <v>#N/A</v>
      </c>
    </row>
    <row r="1255" spans="2:15" hidden="1" x14ac:dyDescent="0.3">
      <c r="B1255" t="s">
        <v>16</v>
      </c>
      <c r="C1255">
        <v>927</v>
      </c>
      <c r="D1255" t="s">
        <v>17</v>
      </c>
      <c r="E1255">
        <v>1200</v>
      </c>
      <c r="F1255" t="s">
        <v>93</v>
      </c>
      <c r="G1255">
        <v>930</v>
      </c>
      <c r="H1255" t="s">
        <v>11</v>
      </c>
      <c r="I1255" t="s">
        <v>4913</v>
      </c>
      <c r="J1255" t="s">
        <v>9064</v>
      </c>
      <c r="K1255">
        <v>16602520</v>
      </c>
      <c r="L1255">
        <v>44866</v>
      </c>
      <c r="M1255" t="s">
        <v>1295</v>
      </c>
      <c r="N1255">
        <v>16609840</v>
      </c>
      <c r="O1255" t="e">
        <v>#N/A</v>
      </c>
    </row>
    <row r="1256" spans="2:15" hidden="1" x14ac:dyDescent="0.3">
      <c r="B1256" t="s">
        <v>8</v>
      </c>
      <c r="C1256">
        <v>928</v>
      </c>
      <c r="D1256" t="s">
        <v>9</v>
      </c>
      <c r="E1256">
        <v>1202</v>
      </c>
      <c r="F1256" t="s">
        <v>10</v>
      </c>
      <c r="G1256">
        <v>939</v>
      </c>
      <c r="H1256" t="s">
        <v>11</v>
      </c>
      <c r="I1256" t="s">
        <v>4917</v>
      </c>
      <c r="J1256" t="s">
        <v>9065</v>
      </c>
      <c r="K1256">
        <v>288470</v>
      </c>
      <c r="L1256">
        <v>44866</v>
      </c>
      <c r="M1256" t="s">
        <v>1296</v>
      </c>
      <c r="N1256">
        <v>288470</v>
      </c>
      <c r="O1256" t="e">
        <v>#N/A</v>
      </c>
    </row>
    <row r="1257" spans="2:15" hidden="1" x14ac:dyDescent="0.3">
      <c r="B1257" t="s">
        <v>22</v>
      </c>
      <c r="C1257">
        <v>809</v>
      </c>
      <c r="D1257" t="s">
        <v>23</v>
      </c>
      <c r="E1257">
        <v>810</v>
      </c>
      <c r="F1257" t="s">
        <v>106</v>
      </c>
      <c r="G1257">
        <v>1349</v>
      </c>
      <c r="H1257" t="s">
        <v>11</v>
      </c>
      <c r="I1257" t="s">
        <v>4919</v>
      </c>
      <c r="J1257" t="s">
        <v>9066</v>
      </c>
      <c r="K1257">
        <v>1756780</v>
      </c>
      <c r="L1257">
        <v>44866</v>
      </c>
      <c r="M1257" t="s">
        <v>1297</v>
      </c>
      <c r="N1257">
        <v>1756780</v>
      </c>
      <c r="O1257" t="e">
        <v>#N/A</v>
      </c>
    </row>
    <row r="1258" spans="2:15" hidden="1" x14ac:dyDescent="0.3">
      <c r="B1258" t="s">
        <v>16</v>
      </c>
      <c r="C1258">
        <v>927</v>
      </c>
      <c r="D1258" t="s">
        <v>17</v>
      </c>
      <c r="E1258">
        <v>1200</v>
      </c>
      <c r="F1258" t="s">
        <v>446</v>
      </c>
      <c r="G1258">
        <v>566</v>
      </c>
      <c r="H1258" t="s">
        <v>11</v>
      </c>
      <c r="I1258" t="s">
        <v>4921</v>
      </c>
      <c r="J1258" t="s">
        <v>9067</v>
      </c>
      <c r="K1258">
        <v>420</v>
      </c>
      <c r="L1258">
        <v>44866</v>
      </c>
      <c r="M1258" t="s">
        <v>1298</v>
      </c>
      <c r="N1258">
        <v>420</v>
      </c>
      <c r="O1258" t="e">
        <v>#N/A</v>
      </c>
    </row>
    <row r="1259" spans="2:15" hidden="1" x14ac:dyDescent="0.3">
      <c r="B1259" t="s">
        <v>22</v>
      </c>
      <c r="C1259">
        <v>809</v>
      </c>
      <c r="D1259" t="s">
        <v>23</v>
      </c>
      <c r="E1259">
        <v>810</v>
      </c>
      <c r="F1259" t="s">
        <v>106</v>
      </c>
      <c r="G1259">
        <v>1349</v>
      </c>
      <c r="H1259" t="s">
        <v>11</v>
      </c>
      <c r="I1259" t="s">
        <v>4926</v>
      </c>
      <c r="J1259" t="s">
        <v>9068</v>
      </c>
      <c r="K1259">
        <v>741050</v>
      </c>
      <c r="L1259">
        <v>44866</v>
      </c>
      <c r="M1259" t="s">
        <v>1299</v>
      </c>
      <c r="N1259">
        <v>743390</v>
      </c>
      <c r="O1259" t="e">
        <v>#N/A</v>
      </c>
    </row>
    <row r="1260" spans="2:15" hidden="1" x14ac:dyDescent="0.3">
      <c r="B1260" t="s">
        <v>8</v>
      </c>
      <c r="C1260">
        <v>928</v>
      </c>
      <c r="D1260" t="s">
        <v>9</v>
      </c>
      <c r="E1260">
        <v>1202</v>
      </c>
      <c r="F1260" t="s">
        <v>31</v>
      </c>
      <c r="G1260">
        <v>1040</v>
      </c>
      <c r="H1260" t="s">
        <v>11</v>
      </c>
      <c r="I1260" t="s">
        <v>4931</v>
      </c>
      <c r="J1260" t="s">
        <v>9069</v>
      </c>
      <c r="K1260">
        <v>48790</v>
      </c>
      <c r="L1260">
        <v>44866</v>
      </c>
      <c r="M1260" t="s">
        <v>228</v>
      </c>
      <c r="N1260">
        <v>50060</v>
      </c>
      <c r="O1260" t="e">
        <v>#N/A</v>
      </c>
    </row>
    <row r="1261" spans="2:15" hidden="1" x14ac:dyDescent="0.3">
      <c r="B1261" t="s">
        <v>8</v>
      </c>
      <c r="C1261">
        <v>928</v>
      </c>
      <c r="D1261" t="s">
        <v>9</v>
      </c>
      <c r="E1261">
        <v>1202</v>
      </c>
      <c r="F1261" t="s">
        <v>33</v>
      </c>
      <c r="G1261">
        <v>933</v>
      </c>
      <c r="H1261" t="s">
        <v>11</v>
      </c>
      <c r="I1261" t="s">
        <v>4932</v>
      </c>
      <c r="J1261" t="s">
        <v>9070</v>
      </c>
      <c r="K1261">
        <v>1696900</v>
      </c>
      <c r="L1261">
        <v>44866</v>
      </c>
      <c r="M1261" t="s">
        <v>1300</v>
      </c>
      <c r="N1261">
        <v>1696900</v>
      </c>
      <c r="O1261" t="e">
        <v>#N/A</v>
      </c>
    </row>
    <row r="1262" spans="2:15" hidden="1" x14ac:dyDescent="0.3">
      <c r="B1262" t="s">
        <v>8</v>
      </c>
      <c r="C1262">
        <v>928</v>
      </c>
      <c r="D1262" t="s">
        <v>13</v>
      </c>
      <c r="E1262">
        <v>1184</v>
      </c>
      <c r="F1262" t="s">
        <v>115</v>
      </c>
      <c r="G1262">
        <v>1548</v>
      </c>
      <c r="H1262" t="s">
        <v>11</v>
      </c>
      <c r="I1262" t="s">
        <v>4933</v>
      </c>
      <c r="J1262" t="s">
        <v>9071</v>
      </c>
      <c r="K1262">
        <v>41620</v>
      </c>
      <c r="L1262">
        <v>44866</v>
      </c>
      <c r="M1262" t="s">
        <v>1301</v>
      </c>
      <c r="N1262">
        <v>41620</v>
      </c>
      <c r="O1262" t="e">
        <v>#N/A</v>
      </c>
    </row>
    <row r="1263" spans="2:15" hidden="1" x14ac:dyDescent="0.3">
      <c r="B1263" t="s">
        <v>8</v>
      </c>
      <c r="C1263">
        <v>928</v>
      </c>
      <c r="D1263" t="s">
        <v>13</v>
      </c>
      <c r="E1263">
        <v>1184</v>
      </c>
      <c r="F1263" t="s">
        <v>102</v>
      </c>
      <c r="G1263">
        <v>917</v>
      </c>
      <c r="H1263" t="s">
        <v>11</v>
      </c>
      <c r="I1263" t="s">
        <v>4937</v>
      </c>
      <c r="J1263" t="s">
        <v>9072</v>
      </c>
      <c r="K1263">
        <v>3470</v>
      </c>
      <c r="L1263">
        <v>44866</v>
      </c>
      <c r="M1263" t="s">
        <v>1302</v>
      </c>
      <c r="N1263">
        <v>3470</v>
      </c>
      <c r="O1263" t="e">
        <v>#N/A</v>
      </c>
    </row>
    <row r="1264" spans="2:15" hidden="1" x14ac:dyDescent="0.3">
      <c r="B1264" t="s">
        <v>8</v>
      </c>
      <c r="C1264">
        <v>928</v>
      </c>
      <c r="D1264" t="s">
        <v>9</v>
      </c>
      <c r="E1264">
        <v>1202</v>
      </c>
      <c r="F1264" t="s">
        <v>122</v>
      </c>
      <c r="G1264">
        <v>251</v>
      </c>
      <c r="H1264" t="s">
        <v>11</v>
      </c>
      <c r="I1264" t="s">
        <v>4938</v>
      </c>
      <c r="J1264" t="s">
        <v>9073</v>
      </c>
      <c r="K1264">
        <v>1075260</v>
      </c>
      <c r="L1264">
        <v>44866</v>
      </c>
      <c r="M1264" t="s">
        <v>1303</v>
      </c>
      <c r="N1264">
        <v>1075260</v>
      </c>
      <c r="O1264" t="e">
        <v>#N/A</v>
      </c>
    </row>
    <row r="1265" spans="2:15" x14ac:dyDescent="0.3">
      <c r="B1265" t="s">
        <v>41</v>
      </c>
      <c r="C1265">
        <v>926</v>
      </c>
      <c r="D1265" t="s">
        <v>56</v>
      </c>
      <c r="E1265">
        <v>1207</v>
      </c>
      <c r="F1265" t="s">
        <v>156</v>
      </c>
      <c r="G1265">
        <v>201103</v>
      </c>
      <c r="H1265" t="s">
        <v>11</v>
      </c>
      <c r="I1265" t="s">
        <v>9074</v>
      </c>
      <c r="J1265" t="s">
        <v>9075</v>
      </c>
      <c r="K1265">
        <v>180980</v>
      </c>
      <c r="L1265">
        <v>44866</v>
      </c>
      <c r="M1265" t="s">
        <v>1304</v>
      </c>
      <c r="N1265" t="e">
        <v>#N/A</v>
      </c>
      <c r="O1265" t="e">
        <v>#N/A</v>
      </c>
    </row>
    <row r="1266" spans="2:15" hidden="1" x14ac:dyDescent="0.3">
      <c r="B1266" t="s">
        <v>8</v>
      </c>
      <c r="C1266">
        <v>928</v>
      </c>
      <c r="D1266" t="s">
        <v>9</v>
      </c>
      <c r="E1266">
        <v>1202</v>
      </c>
      <c r="F1266" t="s">
        <v>73</v>
      </c>
      <c r="G1266">
        <v>895</v>
      </c>
      <c r="H1266" t="s">
        <v>11</v>
      </c>
      <c r="I1266" t="s">
        <v>4940</v>
      </c>
      <c r="J1266" t="s">
        <v>9076</v>
      </c>
      <c r="K1266">
        <v>114560</v>
      </c>
      <c r="L1266">
        <v>44866</v>
      </c>
      <c r="M1266" t="s">
        <v>1305</v>
      </c>
      <c r="N1266">
        <v>114560</v>
      </c>
      <c r="O1266" t="e">
        <v>#N/A</v>
      </c>
    </row>
    <row r="1267" spans="2:15" hidden="1" x14ac:dyDescent="0.3">
      <c r="B1267" t="s">
        <v>8</v>
      </c>
      <c r="C1267">
        <v>928</v>
      </c>
      <c r="D1267" t="s">
        <v>13</v>
      </c>
      <c r="E1267">
        <v>1184</v>
      </c>
      <c r="F1267" t="s">
        <v>217</v>
      </c>
      <c r="G1267">
        <v>201027</v>
      </c>
      <c r="H1267" t="s">
        <v>11</v>
      </c>
      <c r="I1267" t="s">
        <v>4942</v>
      </c>
      <c r="J1267" t="s">
        <v>9077</v>
      </c>
      <c r="K1267">
        <v>24810</v>
      </c>
      <c r="L1267">
        <v>44866</v>
      </c>
      <c r="M1267" t="s">
        <v>1306</v>
      </c>
      <c r="N1267">
        <v>24810</v>
      </c>
      <c r="O1267" t="e">
        <v>#N/A</v>
      </c>
    </row>
    <row r="1268" spans="2:15" hidden="1" x14ac:dyDescent="0.3">
      <c r="B1268" t="s">
        <v>16</v>
      </c>
      <c r="C1268">
        <v>927</v>
      </c>
      <c r="D1268" t="s">
        <v>17</v>
      </c>
      <c r="E1268">
        <v>1200</v>
      </c>
      <c r="F1268" t="s">
        <v>137</v>
      </c>
      <c r="G1268">
        <v>1012</v>
      </c>
      <c r="H1268" t="s">
        <v>11</v>
      </c>
      <c r="I1268" t="s">
        <v>4944</v>
      </c>
      <c r="J1268" t="s">
        <v>9078</v>
      </c>
      <c r="K1268">
        <v>370060</v>
      </c>
      <c r="L1268">
        <v>44866</v>
      </c>
      <c r="M1268" t="s">
        <v>1307</v>
      </c>
      <c r="N1268">
        <v>352970</v>
      </c>
      <c r="O1268" t="e">
        <v>#N/A</v>
      </c>
    </row>
    <row r="1269" spans="2:15" hidden="1" x14ac:dyDescent="0.3">
      <c r="B1269" t="s">
        <v>8</v>
      </c>
      <c r="C1269">
        <v>928</v>
      </c>
      <c r="D1269" t="s">
        <v>13</v>
      </c>
      <c r="E1269">
        <v>1184</v>
      </c>
      <c r="F1269" t="s">
        <v>51</v>
      </c>
      <c r="G1269">
        <v>1274</v>
      </c>
      <c r="H1269" t="s">
        <v>11</v>
      </c>
      <c r="I1269" t="s">
        <v>4945</v>
      </c>
      <c r="J1269" t="s">
        <v>9079</v>
      </c>
      <c r="K1269">
        <v>3810</v>
      </c>
      <c r="L1269">
        <v>44866</v>
      </c>
      <c r="M1269" t="s">
        <v>1308</v>
      </c>
      <c r="N1269">
        <v>3810</v>
      </c>
      <c r="O1269" t="e">
        <v>#N/A</v>
      </c>
    </row>
    <row r="1270" spans="2:15" hidden="1" x14ac:dyDescent="0.3">
      <c r="B1270" t="s">
        <v>8</v>
      </c>
      <c r="C1270">
        <v>928</v>
      </c>
      <c r="D1270" t="s">
        <v>9</v>
      </c>
      <c r="E1270">
        <v>1202</v>
      </c>
      <c r="F1270" t="s">
        <v>45</v>
      </c>
      <c r="G1270">
        <v>26</v>
      </c>
      <c r="H1270" t="s">
        <v>11</v>
      </c>
      <c r="I1270" t="s">
        <v>4946</v>
      </c>
      <c r="J1270" t="s">
        <v>9080</v>
      </c>
      <c r="K1270">
        <v>6050</v>
      </c>
      <c r="L1270">
        <v>44866</v>
      </c>
      <c r="M1270" t="s">
        <v>1309</v>
      </c>
      <c r="N1270">
        <v>6050</v>
      </c>
      <c r="O1270" t="e">
        <v>#N/A</v>
      </c>
    </row>
    <row r="1271" spans="2:15" hidden="1" x14ac:dyDescent="0.3">
      <c r="B1271" t="s">
        <v>8</v>
      </c>
      <c r="C1271">
        <v>928</v>
      </c>
      <c r="D1271" t="s">
        <v>9</v>
      </c>
      <c r="E1271">
        <v>1202</v>
      </c>
      <c r="F1271" t="s">
        <v>39</v>
      </c>
      <c r="G1271">
        <v>25</v>
      </c>
      <c r="H1271" t="s">
        <v>11</v>
      </c>
      <c r="I1271" t="s">
        <v>4949</v>
      </c>
      <c r="J1271" t="s">
        <v>9081</v>
      </c>
      <c r="K1271">
        <v>251570</v>
      </c>
      <c r="L1271">
        <v>44866</v>
      </c>
      <c r="M1271" t="s">
        <v>1310</v>
      </c>
      <c r="N1271">
        <v>251570</v>
      </c>
      <c r="O1271" t="e">
        <v>#N/A</v>
      </c>
    </row>
    <row r="1272" spans="2:15" hidden="1" x14ac:dyDescent="0.3">
      <c r="B1272" t="s">
        <v>22</v>
      </c>
      <c r="C1272">
        <v>809</v>
      </c>
      <c r="D1272" t="s">
        <v>23</v>
      </c>
      <c r="E1272">
        <v>810</v>
      </c>
      <c r="F1272" t="s">
        <v>106</v>
      </c>
      <c r="G1272">
        <v>1349</v>
      </c>
      <c r="H1272" t="s">
        <v>11</v>
      </c>
      <c r="I1272" t="s">
        <v>4950</v>
      </c>
      <c r="J1272" t="s">
        <v>9082</v>
      </c>
      <c r="K1272">
        <v>266170</v>
      </c>
      <c r="L1272">
        <v>44866</v>
      </c>
      <c r="M1272" t="s">
        <v>1311</v>
      </c>
      <c r="N1272">
        <v>266170</v>
      </c>
      <c r="O1272" t="e">
        <v>#N/A</v>
      </c>
    </row>
    <row r="1273" spans="2:15" hidden="1" x14ac:dyDescent="0.3">
      <c r="B1273" t="s">
        <v>16</v>
      </c>
      <c r="C1273">
        <v>927</v>
      </c>
      <c r="D1273" t="s">
        <v>17</v>
      </c>
      <c r="E1273">
        <v>1200</v>
      </c>
      <c r="F1273" t="s">
        <v>66</v>
      </c>
      <c r="G1273">
        <v>33</v>
      </c>
      <c r="H1273" t="s">
        <v>11</v>
      </c>
      <c r="I1273" t="s">
        <v>4951</v>
      </c>
      <c r="J1273" t="s">
        <v>9083</v>
      </c>
      <c r="K1273">
        <v>276910</v>
      </c>
      <c r="L1273">
        <v>44866</v>
      </c>
      <c r="M1273" t="s">
        <v>392</v>
      </c>
      <c r="N1273">
        <v>276910</v>
      </c>
      <c r="O1273" t="e">
        <v>#N/A</v>
      </c>
    </row>
    <row r="1274" spans="2:15" hidden="1" x14ac:dyDescent="0.3">
      <c r="B1274" t="s">
        <v>8</v>
      </c>
      <c r="C1274">
        <v>928</v>
      </c>
      <c r="D1274" t="s">
        <v>9</v>
      </c>
      <c r="E1274">
        <v>1202</v>
      </c>
      <c r="F1274" t="s">
        <v>31</v>
      </c>
      <c r="G1274">
        <v>1040</v>
      </c>
      <c r="H1274" t="s">
        <v>11</v>
      </c>
      <c r="I1274" t="s">
        <v>4953</v>
      </c>
      <c r="J1274" t="s">
        <v>9084</v>
      </c>
      <c r="K1274">
        <v>35210</v>
      </c>
      <c r="L1274">
        <v>44866</v>
      </c>
      <c r="M1274" t="s">
        <v>1312</v>
      </c>
      <c r="N1274">
        <v>35210</v>
      </c>
      <c r="O1274" t="e">
        <v>#N/A</v>
      </c>
    </row>
    <row r="1275" spans="2:15" hidden="1" x14ac:dyDescent="0.3">
      <c r="B1275" t="s">
        <v>16</v>
      </c>
      <c r="C1275">
        <v>927</v>
      </c>
      <c r="D1275" t="s">
        <v>17</v>
      </c>
      <c r="E1275">
        <v>1200</v>
      </c>
      <c r="F1275" t="s">
        <v>66</v>
      </c>
      <c r="G1275">
        <v>33</v>
      </c>
      <c r="H1275" t="s">
        <v>11</v>
      </c>
      <c r="I1275" t="s">
        <v>4954</v>
      </c>
      <c r="J1275" t="s">
        <v>9085</v>
      </c>
      <c r="K1275">
        <v>82520</v>
      </c>
      <c r="L1275">
        <v>44866</v>
      </c>
      <c r="M1275" t="s">
        <v>1313</v>
      </c>
      <c r="N1275">
        <v>82520</v>
      </c>
      <c r="O1275" t="e">
        <v>#N/A</v>
      </c>
    </row>
    <row r="1276" spans="2:15" hidden="1" x14ac:dyDescent="0.3">
      <c r="B1276" t="s">
        <v>41</v>
      </c>
      <c r="C1276">
        <v>926</v>
      </c>
      <c r="D1276" t="s">
        <v>56</v>
      </c>
      <c r="E1276">
        <v>1207</v>
      </c>
      <c r="F1276" t="s">
        <v>57</v>
      </c>
      <c r="G1276">
        <v>200982</v>
      </c>
      <c r="H1276" t="s">
        <v>11</v>
      </c>
      <c r="I1276" t="s">
        <v>4958</v>
      </c>
      <c r="J1276" t="s">
        <v>9086</v>
      </c>
      <c r="K1276">
        <v>157100</v>
      </c>
      <c r="L1276">
        <v>44866</v>
      </c>
      <c r="M1276" t="s">
        <v>1314</v>
      </c>
      <c r="N1276">
        <v>157100</v>
      </c>
      <c r="O1276" t="e">
        <v>#N/A</v>
      </c>
    </row>
    <row r="1277" spans="2:15" hidden="1" x14ac:dyDescent="0.3">
      <c r="B1277" t="s">
        <v>8</v>
      </c>
      <c r="C1277">
        <v>928</v>
      </c>
      <c r="D1277" t="s">
        <v>13</v>
      </c>
      <c r="E1277">
        <v>1184</v>
      </c>
      <c r="F1277" t="s">
        <v>14</v>
      </c>
      <c r="G1277">
        <v>914</v>
      </c>
      <c r="H1277" t="s">
        <v>11</v>
      </c>
      <c r="I1277" t="s">
        <v>4959</v>
      </c>
      <c r="J1277" t="s">
        <v>9087</v>
      </c>
      <c r="K1277">
        <v>10964470</v>
      </c>
      <c r="L1277">
        <v>44866</v>
      </c>
      <c r="M1277" t="s">
        <v>1315</v>
      </c>
      <c r="N1277">
        <v>10964470</v>
      </c>
      <c r="O1277" t="e">
        <v>#N/A</v>
      </c>
    </row>
    <row r="1278" spans="2:15" hidden="1" x14ac:dyDescent="0.3">
      <c r="B1278" t="s">
        <v>8</v>
      </c>
      <c r="C1278">
        <v>928</v>
      </c>
      <c r="D1278" t="s">
        <v>9</v>
      </c>
      <c r="E1278">
        <v>1202</v>
      </c>
      <c r="F1278" t="s">
        <v>27</v>
      </c>
      <c r="G1278">
        <v>806</v>
      </c>
      <c r="H1278" t="s">
        <v>11</v>
      </c>
      <c r="I1278" t="s">
        <v>4963</v>
      </c>
      <c r="J1278" t="s">
        <v>9088</v>
      </c>
      <c r="K1278">
        <v>2910</v>
      </c>
      <c r="L1278">
        <v>44866</v>
      </c>
      <c r="M1278" t="s">
        <v>1316</v>
      </c>
      <c r="N1278">
        <v>2910</v>
      </c>
      <c r="O1278" t="e">
        <v>#N/A</v>
      </c>
    </row>
    <row r="1279" spans="2:15" hidden="1" x14ac:dyDescent="0.3">
      <c r="B1279" t="s">
        <v>8</v>
      </c>
      <c r="C1279">
        <v>928</v>
      </c>
      <c r="D1279" t="s">
        <v>9</v>
      </c>
      <c r="E1279">
        <v>1202</v>
      </c>
      <c r="F1279" t="s">
        <v>35</v>
      </c>
      <c r="G1279">
        <v>51</v>
      </c>
      <c r="H1279" t="s">
        <v>11</v>
      </c>
      <c r="I1279" t="s">
        <v>4971</v>
      </c>
      <c r="J1279" t="s">
        <v>9089</v>
      </c>
      <c r="K1279">
        <v>81450</v>
      </c>
      <c r="L1279">
        <v>44866</v>
      </c>
      <c r="M1279" t="s">
        <v>1317</v>
      </c>
      <c r="N1279">
        <v>81450</v>
      </c>
      <c r="O1279" t="e">
        <v>#N/A</v>
      </c>
    </row>
    <row r="1280" spans="2:15" hidden="1" x14ac:dyDescent="0.3">
      <c r="B1280" t="s">
        <v>16</v>
      </c>
      <c r="C1280">
        <v>927</v>
      </c>
      <c r="D1280" t="s">
        <v>17</v>
      </c>
      <c r="E1280">
        <v>1200</v>
      </c>
      <c r="F1280" t="s">
        <v>244</v>
      </c>
      <c r="G1280">
        <v>817</v>
      </c>
      <c r="H1280" t="s">
        <v>11</v>
      </c>
      <c r="I1280" t="s">
        <v>4975</v>
      </c>
      <c r="J1280" t="s">
        <v>9090</v>
      </c>
      <c r="K1280">
        <v>266579</v>
      </c>
      <c r="L1280">
        <v>44866</v>
      </c>
      <c r="M1280" t="s">
        <v>1318</v>
      </c>
      <c r="N1280">
        <v>270370</v>
      </c>
      <c r="O1280" t="e">
        <v>#N/A</v>
      </c>
    </row>
    <row r="1281" spans="2:15" hidden="1" x14ac:dyDescent="0.3">
      <c r="B1281" t="s">
        <v>16</v>
      </c>
      <c r="C1281">
        <v>927</v>
      </c>
      <c r="D1281" t="s">
        <v>17</v>
      </c>
      <c r="E1281">
        <v>1200</v>
      </c>
      <c r="F1281" t="s">
        <v>96</v>
      </c>
      <c r="G1281">
        <v>1271</v>
      </c>
      <c r="H1281" t="s">
        <v>11</v>
      </c>
      <c r="I1281" t="s">
        <v>4980</v>
      </c>
      <c r="J1281" t="s">
        <v>9091</v>
      </c>
      <c r="K1281">
        <v>270280</v>
      </c>
      <c r="L1281">
        <v>44866</v>
      </c>
      <c r="M1281" t="s">
        <v>1319</v>
      </c>
      <c r="N1281">
        <v>270280</v>
      </c>
      <c r="O1281" t="e">
        <v>#N/A</v>
      </c>
    </row>
    <row r="1282" spans="2:15" hidden="1" x14ac:dyDescent="0.3">
      <c r="B1282" t="s">
        <v>16</v>
      </c>
      <c r="C1282">
        <v>927</v>
      </c>
      <c r="D1282" t="s">
        <v>17</v>
      </c>
      <c r="E1282">
        <v>1200</v>
      </c>
      <c r="F1282" t="s">
        <v>244</v>
      </c>
      <c r="G1282">
        <v>817</v>
      </c>
      <c r="H1282" t="s">
        <v>11</v>
      </c>
      <c r="I1282" t="s">
        <v>4984</v>
      </c>
      <c r="J1282" t="s">
        <v>9092</v>
      </c>
      <c r="K1282">
        <v>22870</v>
      </c>
      <c r="L1282">
        <v>44866</v>
      </c>
      <c r="M1282" t="s">
        <v>1320</v>
      </c>
      <c r="N1282">
        <v>22870</v>
      </c>
      <c r="O1282" t="e">
        <v>#N/A</v>
      </c>
    </row>
    <row r="1283" spans="2:15" hidden="1" x14ac:dyDescent="0.3">
      <c r="B1283" t="s">
        <v>8</v>
      </c>
      <c r="C1283">
        <v>928</v>
      </c>
      <c r="D1283" t="s">
        <v>9</v>
      </c>
      <c r="E1283">
        <v>1202</v>
      </c>
      <c r="F1283" t="s">
        <v>47</v>
      </c>
      <c r="G1283">
        <v>898</v>
      </c>
      <c r="H1283" t="s">
        <v>11</v>
      </c>
      <c r="I1283" t="s">
        <v>4990</v>
      </c>
      <c r="J1283" t="s">
        <v>9093</v>
      </c>
      <c r="K1283">
        <v>42020</v>
      </c>
      <c r="L1283">
        <v>44866</v>
      </c>
      <c r="M1283" t="s">
        <v>1321</v>
      </c>
      <c r="N1283">
        <v>42020</v>
      </c>
      <c r="O1283" t="e">
        <v>#N/A</v>
      </c>
    </row>
    <row r="1284" spans="2:15" hidden="1" x14ac:dyDescent="0.3">
      <c r="B1284" t="s">
        <v>8</v>
      </c>
      <c r="C1284">
        <v>928</v>
      </c>
      <c r="D1284" t="s">
        <v>9</v>
      </c>
      <c r="E1284">
        <v>1202</v>
      </c>
      <c r="F1284" t="s">
        <v>10</v>
      </c>
      <c r="G1284">
        <v>939</v>
      </c>
      <c r="H1284" t="s">
        <v>11</v>
      </c>
      <c r="I1284" t="s">
        <v>4992</v>
      </c>
      <c r="J1284" t="s">
        <v>9094</v>
      </c>
      <c r="K1284">
        <v>189390</v>
      </c>
      <c r="L1284">
        <v>44866</v>
      </c>
      <c r="M1284" t="s">
        <v>1322</v>
      </c>
      <c r="N1284">
        <v>189390</v>
      </c>
      <c r="O1284" t="e">
        <v>#N/A</v>
      </c>
    </row>
    <row r="1285" spans="2:15" hidden="1" x14ac:dyDescent="0.3">
      <c r="B1285" t="s">
        <v>41</v>
      </c>
      <c r="C1285">
        <v>926</v>
      </c>
      <c r="D1285" t="s">
        <v>56</v>
      </c>
      <c r="E1285">
        <v>1207</v>
      </c>
      <c r="F1285" t="s">
        <v>253</v>
      </c>
      <c r="G1285">
        <v>1328</v>
      </c>
      <c r="H1285" t="s">
        <v>11</v>
      </c>
      <c r="I1285" t="s">
        <v>4993</v>
      </c>
      <c r="J1285" t="s">
        <v>9095</v>
      </c>
      <c r="K1285">
        <v>158850</v>
      </c>
      <c r="L1285">
        <v>44866</v>
      </c>
      <c r="M1285" t="s">
        <v>1323</v>
      </c>
      <c r="N1285">
        <v>249630</v>
      </c>
      <c r="O1285" t="e">
        <v>#N/A</v>
      </c>
    </row>
    <row r="1286" spans="2:15" hidden="1" x14ac:dyDescent="0.3">
      <c r="B1286" t="s">
        <v>41</v>
      </c>
      <c r="C1286">
        <v>926</v>
      </c>
      <c r="D1286" t="s">
        <v>56</v>
      </c>
      <c r="E1286">
        <v>1207</v>
      </c>
      <c r="F1286" t="s">
        <v>62</v>
      </c>
      <c r="G1286">
        <v>201037</v>
      </c>
      <c r="H1286" t="s">
        <v>11</v>
      </c>
      <c r="I1286" t="s">
        <v>4998</v>
      </c>
      <c r="J1286" t="s">
        <v>9096</v>
      </c>
      <c r="K1286">
        <v>1038770</v>
      </c>
      <c r="L1286">
        <v>44866</v>
      </c>
      <c r="M1286" t="s">
        <v>1324</v>
      </c>
      <c r="N1286">
        <v>1456500</v>
      </c>
      <c r="O1286" t="e">
        <v>#N/A</v>
      </c>
    </row>
    <row r="1287" spans="2:15" hidden="1" x14ac:dyDescent="0.3">
      <c r="B1287" t="s">
        <v>176</v>
      </c>
      <c r="C1287">
        <v>1204</v>
      </c>
      <c r="D1287" t="s">
        <v>177</v>
      </c>
      <c r="E1287">
        <v>1205</v>
      </c>
      <c r="F1287" t="s">
        <v>178</v>
      </c>
      <c r="G1287">
        <v>201073</v>
      </c>
      <c r="H1287" t="s">
        <v>11</v>
      </c>
      <c r="I1287" t="s">
        <v>4999</v>
      </c>
      <c r="J1287" t="s">
        <v>9097</v>
      </c>
      <c r="K1287">
        <v>99230</v>
      </c>
      <c r="L1287">
        <v>44866</v>
      </c>
      <c r="M1287" t="s">
        <v>1325</v>
      </c>
      <c r="N1287">
        <v>99230</v>
      </c>
      <c r="O1287" t="e">
        <v>#N/A</v>
      </c>
    </row>
    <row r="1288" spans="2:15" hidden="1" x14ac:dyDescent="0.3">
      <c r="B1288" t="s">
        <v>8</v>
      </c>
      <c r="C1288">
        <v>928</v>
      </c>
      <c r="D1288" t="s">
        <v>13</v>
      </c>
      <c r="E1288">
        <v>1184</v>
      </c>
      <c r="F1288" t="s">
        <v>51</v>
      </c>
      <c r="G1288">
        <v>1274</v>
      </c>
      <c r="H1288" t="s">
        <v>11</v>
      </c>
      <c r="I1288" t="s">
        <v>5000</v>
      </c>
      <c r="J1288" t="s">
        <v>9098</v>
      </c>
      <c r="K1288">
        <v>1330</v>
      </c>
      <c r="L1288">
        <v>44866</v>
      </c>
      <c r="M1288" t="s">
        <v>1326</v>
      </c>
      <c r="N1288">
        <v>1330</v>
      </c>
      <c r="O1288" t="e">
        <v>#N/A</v>
      </c>
    </row>
    <row r="1289" spans="2:15" hidden="1" x14ac:dyDescent="0.3">
      <c r="B1289" t="s">
        <v>8</v>
      </c>
      <c r="C1289">
        <v>928</v>
      </c>
      <c r="D1289" t="s">
        <v>9</v>
      </c>
      <c r="E1289">
        <v>1202</v>
      </c>
      <c r="F1289" t="s">
        <v>122</v>
      </c>
      <c r="G1289">
        <v>251</v>
      </c>
      <c r="H1289" t="s">
        <v>11</v>
      </c>
      <c r="I1289" t="s">
        <v>5002</v>
      </c>
      <c r="J1289" t="s">
        <v>9099</v>
      </c>
      <c r="K1289">
        <v>22030</v>
      </c>
      <c r="L1289">
        <v>44866</v>
      </c>
      <c r="M1289" t="s">
        <v>1327</v>
      </c>
      <c r="N1289">
        <v>22030</v>
      </c>
      <c r="O1289" t="e">
        <v>#N/A</v>
      </c>
    </row>
    <row r="1290" spans="2:15" hidden="1" x14ac:dyDescent="0.3">
      <c r="B1290" t="s">
        <v>16</v>
      </c>
      <c r="C1290">
        <v>927</v>
      </c>
      <c r="D1290" t="s">
        <v>17</v>
      </c>
      <c r="E1290">
        <v>1200</v>
      </c>
      <c r="F1290" t="s">
        <v>53</v>
      </c>
      <c r="G1290">
        <v>201080</v>
      </c>
      <c r="H1290" t="s">
        <v>11</v>
      </c>
      <c r="I1290" t="s">
        <v>5003</v>
      </c>
      <c r="J1290" t="s">
        <v>9100</v>
      </c>
      <c r="K1290">
        <v>135520</v>
      </c>
      <c r="L1290">
        <v>44866</v>
      </c>
      <c r="M1290" t="s">
        <v>1328</v>
      </c>
      <c r="N1290">
        <v>135520</v>
      </c>
      <c r="O1290" t="e">
        <v>#N/A</v>
      </c>
    </row>
    <row r="1291" spans="2:15" hidden="1" x14ac:dyDescent="0.3">
      <c r="B1291" t="s">
        <v>8</v>
      </c>
      <c r="C1291">
        <v>928</v>
      </c>
      <c r="D1291" t="s">
        <v>9</v>
      </c>
      <c r="E1291">
        <v>1202</v>
      </c>
      <c r="F1291" t="s">
        <v>75</v>
      </c>
      <c r="G1291">
        <v>50</v>
      </c>
      <c r="H1291" t="s">
        <v>11</v>
      </c>
      <c r="I1291" t="s">
        <v>5004</v>
      </c>
      <c r="J1291" t="s">
        <v>9101</v>
      </c>
      <c r="K1291">
        <v>9877990</v>
      </c>
      <c r="L1291">
        <v>44866</v>
      </c>
      <c r="M1291" t="s">
        <v>1329</v>
      </c>
      <c r="N1291">
        <v>4395250</v>
      </c>
      <c r="O1291" t="e">
        <v>#N/A</v>
      </c>
    </row>
    <row r="1292" spans="2:15" hidden="1" x14ac:dyDescent="0.3">
      <c r="B1292" t="s">
        <v>8</v>
      </c>
      <c r="C1292">
        <v>928</v>
      </c>
      <c r="D1292" t="s">
        <v>9</v>
      </c>
      <c r="E1292">
        <v>1202</v>
      </c>
      <c r="F1292" t="s">
        <v>75</v>
      </c>
      <c r="G1292">
        <v>50</v>
      </c>
      <c r="H1292" t="s">
        <v>11</v>
      </c>
      <c r="I1292" t="s">
        <v>5005</v>
      </c>
      <c r="J1292" t="s">
        <v>9102</v>
      </c>
      <c r="K1292">
        <v>2043420</v>
      </c>
      <c r="L1292">
        <v>44866</v>
      </c>
      <c r="M1292" t="s">
        <v>1329</v>
      </c>
      <c r="N1292">
        <v>2043420</v>
      </c>
      <c r="O1292" t="e">
        <v>#N/A</v>
      </c>
    </row>
    <row r="1293" spans="2:15" hidden="1" x14ac:dyDescent="0.3">
      <c r="B1293" t="s">
        <v>8</v>
      </c>
      <c r="C1293">
        <v>928</v>
      </c>
      <c r="D1293" t="s">
        <v>9</v>
      </c>
      <c r="E1293">
        <v>1202</v>
      </c>
      <c r="F1293" t="s">
        <v>75</v>
      </c>
      <c r="G1293">
        <v>50</v>
      </c>
      <c r="H1293" t="s">
        <v>11</v>
      </c>
      <c r="I1293" t="s">
        <v>5006</v>
      </c>
      <c r="J1293" t="s">
        <v>9103</v>
      </c>
      <c r="K1293">
        <v>393190</v>
      </c>
      <c r="L1293">
        <v>44866</v>
      </c>
      <c r="M1293" t="s">
        <v>1329</v>
      </c>
      <c r="N1293">
        <v>393190</v>
      </c>
      <c r="O1293" t="e">
        <v>#N/A</v>
      </c>
    </row>
    <row r="1294" spans="2:15" hidden="1" x14ac:dyDescent="0.3">
      <c r="B1294" t="s">
        <v>8</v>
      </c>
      <c r="C1294">
        <v>928</v>
      </c>
      <c r="D1294" t="s">
        <v>9</v>
      </c>
      <c r="E1294">
        <v>1202</v>
      </c>
      <c r="F1294" t="s">
        <v>75</v>
      </c>
      <c r="G1294">
        <v>50</v>
      </c>
      <c r="H1294" t="s">
        <v>11</v>
      </c>
      <c r="I1294" t="s">
        <v>5007</v>
      </c>
      <c r="J1294" t="s">
        <v>9104</v>
      </c>
      <c r="K1294">
        <v>664130</v>
      </c>
      <c r="L1294">
        <v>44866</v>
      </c>
      <c r="M1294" t="s">
        <v>1329</v>
      </c>
      <c r="N1294">
        <v>664130</v>
      </c>
      <c r="O1294" t="e">
        <v>#N/A</v>
      </c>
    </row>
    <row r="1295" spans="2:15" hidden="1" x14ac:dyDescent="0.3">
      <c r="B1295" t="s">
        <v>8</v>
      </c>
      <c r="C1295">
        <v>928</v>
      </c>
      <c r="D1295" t="s">
        <v>9</v>
      </c>
      <c r="E1295">
        <v>1202</v>
      </c>
      <c r="F1295" t="s">
        <v>75</v>
      </c>
      <c r="G1295">
        <v>50</v>
      </c>
      <c r="H1295" t="s">
        <v>11</v>
      </c>
      <c r="I1295" t="s">
        <v>5008</v>
      </c>
      <c r="J1295" t="s">
        <v>9105</v>
      </c>
      <c r="K1295">
        <v>2031200</v>
      </c>
      <c r="L1295">
        <v>44866</v>
      </c>
      <c r="M1295" t="s">
        <v>1329</v>
      </c>
      <c r="N1295">
        <v>2031200</v>
      </c>
      <c r="O1295" t="e">
        <v>#N/A</v>
      </c>
    </row>
    <row r="1296" spans="2:15" hidden="1" x14ac:dyDescent="0.3">
      <c r="B1296" t="s">
        <v>16</v>
      </c>
      <c r="C1296">
        <v>927</v>
      </c>
      <c r="D1296" t="s">
        <v>17</v>
      </c>
      <c r="E1296">
        <v>1200</v>
      </c>
      <c r="F1296" t="s">
        <v>290</v>
      </c>
      <c r="G1296">
        <v>556</v>
      </c>
      <c r="H1296" t="s">
        <v>11</v>
      </c>
      <c r="I1296" t="s">
        <v>5009</v>
      </c>
      <c r="J1296" t="s">
        <v>9106</v>
      </c>
      <c r="K1296">
        <v>117710</v>
      </c>
      <c r="L1296">
        <v>44866</v>
      </c>
      <c r="M1296" t="s">
        <v>1330</v>
      </c>
      <c r="N1296">
        <v>117710</v>
      </c>
      <c r="O1296" t="e">
        <v>#N/A</v>
      </c>
    </row>
    <row r="1297" spans="2:15" hidden="1" x14ac:dyDescent="0.3">
      <c r="B1297" t="s">
        <v>8</v>
      </c>
      <c r="C1297">
        <v>928</v>
      </c>
      <c r="D1297" t="s">
        <v>9</v>
      </c>
      <c r="E1297">
        <v>1202</v>
      </c>
      <c r="F1297" t="s">
        <v>37</v>
      </c>
      <c r="G1297">
        <v>81</v>
      </c>
      <c r="H1297" t="s">
        <v>11</v>
      </c>
      <c r="I1297" t="s">
        <v>5011</v>
      </c>
      <c r="J1297" t="s">
        <v>9107</v>
      </c>
      <c r="K1297">
        <v>126400</v>
      </c>
      <c r="L1297">
        <v>44866</v>
      </c>
      <c r="M1297" t="s">
        <v>1331</v>
      </c>
      <c r="N1297">
        <v>126400</v>
      </c>
      <c r="O1297" t="e">
        <v>#N/A</v>
      </c>
    </row>
    <row r="1298" spans="2:15" hidden="1" x14ac:dyDescent="0.3">
      <c r="B1298" t="s">
        <v>8</v>
      </c>
      <c r="C1298">
        <v>928</v>
      </c>
      <c r="D1298" t="s">
        <v>13</v>
      </c>
      <c r="E1298">
        <v>1184</v>
      </c>
      <c r="F1298" t="s">
        <v>59</v>
      </c>
      <c r="G1298">
        <v>9</v>
      </c>
      <c r="H1298" t="s">
        <v>11</v>
      </c>
      <c r="I1298" t="s">
        <v>5012</v>
      </c>
      <c r="J1298" t="s">
        <v>9108</v>
      </c>
      <c r="K1298">
        <v>11240</v>
      </c>
      <c r="L1298">
        <v>44866</v>
      </c>
      <c r="M1298" t="s">
        <v>1332</v>
      </c>
      <c r="N1298">
        <v>11240</v>
      </c>
      <c r="O1298" t="e">
        <v>#N/A</v>
      </c>
    </row>
    <row r="1299" spans="2:15" hidden="1" x14ac:dyDescent="0.3">
      <c r="B1299" t="s">
        <v>8</v>
      </c>
      <c r="C1299">
        <v>928</v>
      </c>
      <c r="D1299" t="s">
        <v>13</v>
      </c>
      <c r="E1299">
        <v>1184</v>
      </c>
      <c r="F1299" t="s">
        <v>14</v>
      </c>
      <c r="G1299">
        <v>914</v>
      </c>
      <c r="H1299" t="s">
        <v>11</v>
      </c>
      <c r="I1299" t="s">
        <v>5014</v>
      </c>
      <c r="J1299" t="s">
        <v>9109</v>
      </c>
      <c r="K1299">
        <v>172560</v>
      </c>
      <c r="L1299">
        <v>44866</v>
      </c>
      <c r="M1299" t="s">
        <v>1333</v>
      </c>
      <c r="N1299">
        <v>172560</v>
      </c>
      <c r="O1299" t="e">
        <v>#N/A</v>
      </c>
    </row>
    <row r="1300" spans="2:15" hidden="1" x14ac:dyDescent="0.3">
      <c r="B1300" t="s">
        <v>176</v>
      </c>
      <c r="C1300">
        <v>1204</v>
      </c>
      <c r="D1300" t="s">
        <v>177</v>
      </c>
      <c r="E1300">
        <v>1205</v>
      </c>
      <c r="F1300" t="s">
        <v>1334</v>
      </c>
      <c r="G1300">
        <v>201109</v>
      </c>
      <c r="H1300" t="s">
        <v>11</v>
      </c>
      <c r="I1300" t="s">
        <v>5015</v>
      </c>
      <c r="J1300" t="s">
        <v>9110</v>
      </c>
      <c r="K1300">
        <v>785051</v>
      </c>
      <c r="L1300">
        <v>44866</v>
      </c>
      <c r="M1300" t="s">
        <v>1335</v>
      </c>
      <c r="N1300">
        <v>768490</v>
      </c>
      <c r="O1300" t="e">
        <v>#N/A</v>
      </c>
    </row>
    <row r="1301" spans="2:15" hidden="1" x14ac:dyDescent="0.3">
      <c r="B1301" t="s">
        <v>41</v>
      </c>
      <c r="C1301">
        <v>926</v>
      </c>
      <c r="D1301" t="s">
        <v>42</v>
      </c>
      <c r="E1301">
        <v>964</v>
      </c>
      <c r="F1301" t="s">
        <v>43</v>
      </c>
      <c r="G1301">
        <v>200998</v>
      </c>
      <c r="H1301" t="s">
        <v>11</v>
      </c>
      <c r="I1301" t="s">
        <v>5017</v>
      </c>
      <c r="J1301" t="s">
        <v>9111</v>
      </c>
      <c r="K1301">
        <v>77770</v>
      </c>
      <c r="L1301">
        <v>44866</v>
      </c>
      <c r="M1301" t="s">
        <v>1336</v>
      </c>
      <c r="N1301">
        <v>77770</v>
      </c>
      <c r="O1301" t="e">
        <v>#N/A</v>
      </c>
    </row>
    <row r="1302" spans="2:15" hidden="1" x14ac:dyDescent="0.3">
      <c r="B1302" t="s">
        <v>41</v>
      </c>
      <c r="C1302">
        <v>926</v>
      </c>
      <c r="D1302" t="s">
        <v>56</v>
      </c>
      <c r="E1302">
        <v>1207</v>
      </c>
      <c r="F1302" t="s">
        <v>57</v>
      </c>
      <c r="G1302">
        <v>200982</v>
      </c>
      <c r="H1302" t="s">
        <v>11</v>
      </c>
      <c r="I1302" t="s">
        <v>5024</v>
      </c>
      <c r="J1302" t="s">
        <v>9112</v>
      </c>
      <c r="K1302">
        <v>40160</v>
      </c>
      <c r="L1302">
        <v>44866</v>
      </c>
      <c r="M1302" t="s">
        <v>1337</v>
      </c>
      <c r="N1302">
        <v>40160</v>
      </c>
      <c r="O1302" t="e">
        <v>#N/A</v>
      </c>
    </row>
    <row r="1303" spans="2:15" hidden="1" x14ac:dyDescent="0.3">
      <c r="B1303" t="s">
        <v>8</v>
      </c>
      <c r="C1303">
        <v>928</v>
      </c>
      <c r="D1303" t="s">
        <v>13</v>
      </c>
      <c r="E1303">
        <v>1184</v>
      </c>
      <c r="F1303" t="s">
        <v>335</v>
      </c>
      <c r="G1303">
        <v>201090</v>
      </c>
      <c r="H1303" t="s">
        <v>11</v>
      </c>
      <c r="I1303" t="s">
        <v>5026</v>
      </c>
      <c r="J1303" t="s">
        <v>9113</v>
      </c>
      <c r="K1303">
        <v>344000</v>
      </c>
      <c r="L1303">
        <v>44866</v>
      </c>
      <c r="M1303" t="s">
        <v>1338</v>
      </c>
      <c r="N1303">
        <v>344000</v>
      </c>
      <c r="O1303" t="e">
        <v>#N/A</v>
      </c>
    </row>
    <row r="1304" spans="2:15" hidden="1" x14ac:dyDescent="0.3">
      <c r="B1304" t="s">
        <v>41</v>
      </c>
      <c r="C1304">
        <v>926</v>
      </c>
      <c r="D1304" t="s">
        <v>56</v>
      </c>
      <c r="E1304">
        <v>1207</v>
      </c>
      <c r="F1304" t="s">
        <v>57</v>
      </c>
      <c r="G1304">
        <v>200982</v>
      </c>
      <c r="H1304" t="s">
        <v>11</v>
      </c>
      <c r="I1304" t="s">
        <v>5027</v>
      </c>
      <c r="J1304" t="s">
        <v>9114</v>
      </c>
      <c r="K1304">
        <v>103390</v>
      </c>
      <c r="L1304">
        <v>44866</v>
      </c>
      <c r="M1304" t="s">
        <v>1339</v>
      </c>
      <c r="N1304">
        <v>103390</v>
      </c>
      <c r="O1304" t="e">
        <v>#N/A</v>
      </c>
    </row>
    <row r="1305" spans="2:15" hidden="1" x14ac:dyDescent="0.3">
      <c r="B1305" t="s">
        <v>41</v>
      </c>
      <c r="C1305">
        <v>926</v>
      </c>
      <c r="D1305" t="s">
        <v>42</v>
      </c>
      <c r="E1305">
        <v>964</v>
      </c>
      <c r="F1305" t="s">
        <v>704</v>
      </c>
      <c r="G1305">
        <v>1616</v>
      </c>
      <c r="H1305" t="s">
        <v>11</v>
      </c>
      <c r="I1305" t="s">
        <v>5032</v>
      </c>
      <c r="J1305" t="s">
        <v>9115</v>
      </c>
      <c r="K1305">
        <v>140</v>
      </c>
      <c r="L1305">
        <v>44866</v>
      </c>
      <c r="M1305" t="s">
        <v>1340</v>
      </c>
      <c r="N1305">
        <v>140</v>
      </c>
      <c r="O1305" t="e">
        <v>#N/A</v>
      </c>
    </row>
    <row r="1306" spans="2:15" hidden="1" x14ac:dyDescent="0.3">
      <c r="B1306" t="s">
        <v>8</v>
      </c>
      <c r="C1306">
        <v>928</v>
      </c>
      <c r="D1306" t="s">
        <v>13</v>
      </c>
      <c r="E1306">
        <v>1184</v>
      </c>
      <c r="F1306" t="s">
        <v>14</v>
      </c>
      <c r="G1306">
        <v>914</v>
      </c>
      <c r="H1306" t="s">
        <v>11</v>
      </c>
      <c r="I1306" t="s">
        <v>5034</v>
      </c>
      <c r="J1306" t="s">
        <v>9116</v>
      </c>
      <c r="K1306">
        <v>16280</v>
      </c>
      <c r="L1306">
        <v>44866</v>
      </c>
      <c r="M1306" t="s">
        <v>1341</v>
      </c>
      <c r="N1306">
        <v>16280</v>
      </c>
      <c r="O1306" t="e">
        <v>#N/A</v>
      </c>
    </row>
    <row r="1307" spans="2:15" hidden="1" x14ac:dyDescent="0.3">
      <c r="B1307" t="s">
        <v>8</v>
      </c>
      <c r="C1307">
        <v>928</v>
      </c>
      <c r="D1307" t="s">
        <v>9</v>
      </c>
      <c r="E1307">
        <v>1202</v>
      </c>
      <c r="F1307" t="s">
        <v>391</v>
      </c>
      <c r="G1307">
        <v>1216</v>
      </c>
      <c r="H1307" t="s">
        <v>11</v>
      </c>
      <c r="I1307" t="s">
        <v>5036</v>
      </c>
      <c r="J1307" t="s">
        <v>9117</v>
      </c>
      <c r="K1307">
        <v>839166</v>
      </c>
      <c r="L1307">
        <v>44866</v>
      </c>
      <c r="M1307" t="s">
        <v>1342</v>
      </c>
      <c r="N1307">
        <v>907430</v>
      </c>
      <c r="O1307" t="e">
        <v>#N/A</v>
      </c>
    </row>
    <row r="1308" spans="2:15" hidden="1" x14ac:dyDescent="0.3">
      <c r="B1308" t="s">
        <v>8</v>
      </c>
      <c r="C1308">
        <v>928</v>
      </c>
      <c r="D1308" t="s">
        <v>167</v>
      </c>
      <c r="E1308">
        <v>935</v>
      </c>
      <c r="F1308" t="s">
        <v>168</v>
      </c>
      <c r="G1308">
        <v>2</v>
      </c>
      <c r="H1308" t="s">
        <v>11</v>
      </c>
      <c r="I1308" t="s">
        <v>5038</v>
      </c>
      <c r="J1308" t="s">
        <v>9118</v>
      </c>
      <c r="K1308">
        <v>5465650</v>
      </c>
      <c r="L1308">
        <v>44866</v>
      </c>
      <c r="M1308" t="s">
        <v>1343</v>
      </c>
      <c r="N1308">
        <v>4065660</v>
      </c>
      <c r="O1308" t="e">
        <v>#N/A</v>
      </c>
    </row>
    <row r="1309" spans="2:15" hidden="1" x14ac:dyDescent="0.3">
      <c r="B1309" t="s">
        <v>8</v>
      </c>
      <c r="C1309">
        <v>928</v>
      </c>
      <c r="D1309" t="s">
        <v>167</v>
      </c>
      <c r="E1309">
        <v>935</v>
      </c>
      <c r="F1309" t="s">
        <v>168</v>
      </c>
      <c r="G1309">
        <v>2</v>
      </c>
      <c r="H1309" t="s">
        <v>11</v>
      </c>
      <c r="I1309" t="s">
        <v>5039</v>
      </c>
      <c r="J1309" t="s">
        <v>9119</v>
      </c>
      <c r="K1309">
        <v>699980</v>
      </c>
      <c r="L1309">
        <v>44866</v>
      </c>
      <c r="M1309" t="s">
        <v>1343</v>
      </c>
      <c r="N1309">
        <v>0</v>
      </c>
      <c r="O1309" t="e">
        <v>#N/A</v>
      </c>
    </row>
    <row r="1310" spans="2:15" hidden="1" x14ac:dyDescent="0.3">
      <c r="B1310" t="s">
        <v>8</v>
      </c>
      <c r="C1310">
        <v>928</v>
      </c>
      <c r="D1310" t="s">
        <v>167</v>
      </c>
      <c r="E1310">
        <v>935</v>
      </c>
      <c r="F1310" t="s">
        <v>168</v>
      </c>
      <c r="G1310">
        <v>2</v>
      </c>
      <c r="H1310" t="s">
        <v>11</v>
      </c>
      <c r="I1310" t="s">
        <v>5040</v>
      </c>
      <c r="J1310" t="s">
        <v>9120</v>
      </c>
      <c r="K1310">
        <v>1681730</v>
      </c>
      <c r="L1310">
        <v>44866</v>
      </c>
      <c r="M1310" t="s">
        <v>1344</v>
      </c>
      <c r="N1310">
        <v>1681730</v>
      </c>
      <c r="O1310" t="e">
        <v>#N/A</v>
      </c>
    </row>
    <row r="1311" spans="2:15" hidden="1" x14ac:dyDescent="0.3">
      <c r="B1311" t="s">
        <v>41</v>
      </c>
      <c r="C1311">
        <v>926</v>
      </c>
      <c r="D1311" t="s">
        <v>56</v>
      </c>
      <c r="E1311">
        <v>1207</v>
      </c>
      <c r="F1311" t="s">
        <v>62</v>
      </c>
      <c r="G1311">
        <v>201037</v>
      </c>
      <c r="H1311" t="s">
        <v>11</v>
      </c>
      <c r="I1311" t="s">
        <v>5045</v>
      </c>
      <c r="J1311" t="s">
        <v>9121</v>
      </c>
      <c r="K1311">
        <v>1017810</v>
      </c>
      <c r="L1311">
        <v>44866</v>
      </c>
      <c r="M1311" t="s">
        <v>1345</v>
      </c>
      <c r="N1311">
        <v>17830</v>
      </c>
      <c r="O1311" t="e">
        <v>#N/A</v>
      </c>
    </row>
    <row r="1312" spans="2:15" hidden="1" x14ac:dyDescent="0.3">
      <c r="B1312" t="s">
        <v>8</v>
      </c>
      <c r="C1312">
        <v>928</v>
      </c>
      <c r="D1312" t="s">
        <v>13</v>
      </c>
      <c r="E1312">
        <v>1184</v>
      </c>
      <c r="F1312" t="s">
        <v>51</v>
      </c>
      <c r="G1312">
        <v>1274</v>
      </c>
      <c r="H1312" t="s">
        <v>11</v>
      </c>
      <c r="I1312" t="s">
        <v>5052</v>
      </c>
      <c r="J1312" t="s">
        <v>9122</v>
      </c>
      <c r="K1312">
        <v>280</v>
      </c>
      <c r="L1312">
        <v>44866</v>
      </c>
      <c r="M1312" t="s">
        <v>1346</v>
      </c>
      <c r="N1312">
        <v>280</v>
      </c>
      <c r="O1312" t="e">
        <v>#N/A</v>
      </c>
    </row>
    <row r="1313" spans="2:15" hidden="1" x14ac:dyDescent="0.3">
      <c r="B1313" t="s">
        <v>8</v>
      </c>
      <c r="C1313">
        <v>928</v>
      </c>
      <c r="D1313" t="s">
        <v>13</v>
      </c>
      <c r="E1313">
        <v>1184</v>
      </c>
      <c r="F1313" t="s">
        <v>59</v>
      </c>
      <c r="G1313">
        <v>9</v>
      </c>
      <c r="H1313" t="s">
        <v>11</v>
      </c>
      <c r="I1313" t="s">
        <v>5053</v>
      </c>
      <c r="J1313" t="s">
        <v>9123</v>
      </c>
      <c r="K1313">
        <v>1860</v>
      </c>
      <c r="L1313">
        <v>44866</v>
      </c>
      <c r="M1313" t="s">
        <v>1347</v>
      </c>
      <c r="N1313">
        <v>1860</v>
      </c>
      <c r="O1313" t="e">
        <v>#N/A</v>
      </c>
    </row>
    <row r="1314" spans="2:15" hidden="1" x14ac:dyDescent="0.3">
      <c r="B1314" t="s">
        <v>8</v>
      </c>
      <c r="C1314">
        <v>928</v>
      </c>
      <c r="D1314" t="s">
        <v>223</v>
      </c>
      <c r="E1314">
        <v>966</v>
      </c>
      <c r="F1314" t="s">
        <v>224</v>
      </c>
      <c r="G1314">
        <v>201008</v>
      </c>
      <c r="H1314" t="s">
        <v>11</v>
      </c>
      <c r="I1314" t="s">
        <v>5054</v>
      </c>
      <c r="J1314" t="s">
        <v>9124</v>
      </c>
      <c r="K1314">
        <v>1380600</v>
      </c>
      <c r="L1314">
        <v>44866</v>
      </c>
      <c r="M1314" t="s">
        <v>225</v>
      </c>
      <c r="N1314">
        <v>1380600</v>
      </c>
      <c r="O1314" t="e">
        <v>#N/A</v>
      </c>
    </row>
    <row r="1315" spans="2:15" hidden="1" x14ac:dyDescent="0.3">
      <c r="B1315" t="s">
        <v>8</v>
      </c>
      <c r="C1315">
        <v>928</v>
      </c>
      <c r="D1315" t="s">
        <v>13</v>
      </c>
      <c r="E1315">
        <v>1184</v>
      </c>
      <c r="F1315" t="s">
        <v>102</v>
      </c>
      <c r="G1315">
        <v>917</v>
      </c>
      <c r="H1315" t="s">
        <v>11</v>
      </c>
      <c r="I1315" t="s">
        <v>5056</v>
      </c>
      <c r="J1315" t="s">
        <v>9125</v>
      </c>
      <c r="K1315">
        <v>450</v>
      </c>
      <c r="L1315">
        <v>44866</v>
      </c>
      <c r="M1315" t="s">
        <v>1348</v>
      </c>
      <c r="N1315">
        <v>2850</v>
      </c>
      <c r="O1315" t="e">
        <v>#N/A</v>
      </c>
    </row>
    <row r="1316" spans="2:15" hidden="1" x14ac:dyDescent="0.3">
      <c r="B1316" t="s">
        <v>41</v>
      </c>
      <c r="C1316">
        <v>926</v>
      </c>
      <c r="D1316" t="s">
        <v>56</v>
      </c>
      <c r="E1316">
        <v>1207</v>
      </c>
      <c r="F1316" t="s">
        <v>57</v>
      </c>
      <c r="G1316">
        <v>200982</v>
      </c>
      <c r="H1316" t="s">
        <v>11</v>
      </c>
      <c r="I1316" t="s">
        <v>5057</v>
      </c>
      <c r="J1316" t="s">
        <v>9126</v>
      </c>
      <c r="K1316">
        <v>41330</v>
      </c>
      <c r="L1316">
        <v>44866</v>
      </c>
      <c r="M1316" t="s">
        <v>1349</v>
      </c>
      <c r="N1316">
        <v>41330</v>
      </c>
      <c r="O1316" t="e">
        <v>#N/A</v>
      </c>
    </row>
    <row r="1317" spans="2:15" hidden="1" x14ac:dyDescent="0.3">
      <c r="B1317" t="s">
        <v>8</v>
      </c>
      <c r="C1317">
        <v>928</v>
      </c>
      <c r="D1317" t="s">
        <v>9</v>
      </c>
      <c r="E1317">
        <v>1202</v>
      </c>
      <c r="F1317" t="s">
        <v>45</v>
      </c>
      <c r="G1317">
        <v>26</v>
      </c>
      <c r="H1317" t="s">
        <v>11</v>
      </c>
      <c r="I1317" t="s">
        <v>5059</v>
      </c>
      <c r="J1317" t="s">
        <v>9127</v>
      </c>
      <c r="K1317">
        <v>194610</v>
      </c>
      <c r="L1317">
        <v>44866</v>
      </c>
      <c r="M1317" t="s">
        <v>1350</v>
      </c>
      <c r="N1317">
        <v>194610</v>
      </c>
      <c r="O1317" t="e">
        <v>#N/A</v>
      </c>
    </row>
    <row r="1318" spans="2:15" hidden="1" x14ac:dyDescent="0.3">
      <c r="B1318" t="s">
        <v>41</v>
      </c>
      <c r="C1318">
        <v>926</v>
      </c>
      <c r="D1318" t="s">
        <v>56</v>
      </c>
      <c r="E1318">
        <v>1207</v>
      </c>
      <c r="F1318" t="s">
        <v>57</v>
      </c>
      <c r="G1318">
        <v>200982</v>
      </c>
      <c r="H1318" t="s">
        <v>11</v>
      </c>
      <c r="I1318" t="s">
        <v>5061</v>
      </c>
      <c r="J1318" t="s">
        <v>9128</v>
      </c>
      <c r="K1318">
        <v>184840</v>
      </c>
      <c r="L1318">
        <v>44866</v>
      </c>
      <c r="M1318" t="s">
        <v>1351</v>
      </c>
      <c r="N1318">
        <v>184840</v>
      </c>
      <c r="O1318" t="e">
        <v>#N/A</v>
      </c>
    </row>
    <row r="1319" spans="2:15" hidden="1" x14ac:dyDescent="0.3">
      <c r="B1319" t="s">
        <v>8</v>
      </c>
      <c r="C1319">
        <v>928</v>
      </c>
      <c r="D1319" t="s">
        <v>9</v>
      </c>
      <c r="E1319">
        <v>1202</v>
      </c>
      <c r="F1319" t="s">
        <v>75</v>
      </c>
      <c r="G1319">
        <v>50</v>
      </c>
      <c r="H1319" t="s">
        <v>11</v>
      </c>
      <c r="I1319" t="s">
        <v>5066</v>
      </c>
      <c r="J1319" t="s">
        <v>9129</v>
      </c>
      <c r="K1319">
        <v>1188600</v>
      </c>
      <c r="L1319">
        <v>44866</v>
      </c>
      <c r="M1319" t="s">
        <v>1352</v>
      </c>
      <c r="N1319">
        <v>1188600</v>
      </c>
      <c r="O1319" t="e">
        <v>#N/A</v>
      </c>
    </row>
    <row r="1320" spans="2:15" hidden="1" x14ac:dyDescent="0.3">
      <c r="B1320" t="s">
        <v>8</v>
      </c>
      <c r="C1320">
        <v>928</v>
      </c>
      <c r="D1320" t="s">
        <v>9</v>
      </c>
      <c r="E1320">
        <v>1202</v>
      </c>
      <c r="F1320" t="s">
        <v>33</v>
      </c>
      <c r="G1320">
        <v>933</v>
      </c>
      <c r="H1320" t="s">
        <v>11</v>
      </c>
      <c r="I1320" t="s">
        <v>5067</v>
      </c>
      <c r="J1320" t="s">
        <v>9130</v>
      </c>
      <c r="K1320">
        <v>7980</v>
      </c>
      <c r="L1320">
        <v>44866</v>
      </c>
      <c r="M1320" t="s">
        <v>1353</v>
      </c>
      <c r="N1320">
        <v>7980</v>
      </c>
      <c r="O1320" t="e">
        <v>#N/A</v>
      </c>
    </row>
    <row r="1321" spans="2:15" hidden="1" x14ac:dyDescent="0.3">
      <c r="B1321" t="s">
        <v>8</v>
      </c>
      <c r="C1321">
        <v>928</v>
      </c>
      <c r="D1321" t="s">
        <v>9</v>
      </c>
      <c r="E1321">
        <v>1202</v>
      </c>
      <c r="F1321" t="s">
        <v>122</v>
      </c>
      <c r="G1321">
        <v>251</v>
      </c>
      <c r="H1321" t="s">
        <v>11</v>
      </c>
      <c r="I1321" t="s">
        <v>5069</v>
      </c>
      <c r="J1321" t="s">
        <v>9131</v>
      </c>
      <c r="K1321">
        <v>44860</v>
      </c>
      <c r="L1321">
        <v>44866</v>
      </c>
      <c r="M1321" t="s">
        <v>1354</v>
      </c>
      <c r="N1321">
        <v>44860</v>
      </c>
      <c r="O1321" t="e">
        <v>#N/A</v>
      </c>
    </row>
    <row r="1322" spans="2:15" hidden="1" x14ac:dyDescent="0.3">
      <c r="B1322" t="s">
        <v>8</v>
      </c>
      <c r="C1322">
        <v>928</v>
      </c>
      <c r="D1322" t="s">
        <v>9</v>
      </c>
      <c r="E1322">
        <v>1202</v>
      </c>
      <c r="F1322" t="s">
        <v>27</v>
      </c>
      <c r="G1322">
        <v>806</v>
      </c>
      <c r="H1322" t="s">
        <v>11</v>
      </c>
      <c r="I1322" t="s">
        <v>5072</v>
      </c>
      <c r="J1322" t="s">
        <v>9132</v>
      </c>
      <c r="K1322">
        <v>124170</v>
      </c>
      <c r="L1322">
        <v>44866</v>
      </c>
      <c r="M1322" t="s">
        <v>1355</v>
      </c>
      <c r="N1322">
        <v>124170</v>
      </c>
      <c r="O1322" t="e">
        <v>#N/A</v>
      </c>
    </row>
    <row r="1323" spans="2:15" hidden="1" x14ac:dyDescent="0.3">
      <c r="B1323" t="s">
        <v>16</v>
      </c>
      <c r="C1323">
        <v>927</v>
      </c>
      <c r="D1323" t="s">
        <v>17</v>
      </c>
      <c r="E1323">
        <v>1200</v>
      </c>
      <c r="F1323" t="s">
        <v>262</v>
      </c>
      <c r="G1323">
        <v>1594</v>
      </c>
      <c r="H1323" t="s">
        <v>11</v>
      </c>
      <c r="I1323" t="s">
        <v>5077</v>
      </c>
      <c r="J1323" t="s">
        <v>9133</v>
      </c>
      <c r="K1323">
        <v>99550</v>
      </c>
      <c r="L1323">
        <v>44866</v>
      </c>
      <c r="M1323" t="s">
        <v>1356</v>
      </c>
      <c r="N1323">
        <v>99550</v>
      </c>
      <c r="O1323" t="e">
        <v>#N/A</v>
      </c>
    </row>
    <row r="1324" spans="2:15" hidden="1" x14ac:dyDescent="0.3">
      <c r="B1324" t="s">
        <v>8</v>
      </c>
      <c r="C1324">
        <v>928</v>
      </c>
      <c r="D1324" t="s">
        <v>13</v>
      </c>
      <c r="E1324">
        <v>1184</v>
      </c>
      <c r="F1324" t="s">
        <v>14</v>
      </c>
      <c r="G1324">
        <v>914</v>
      </c>
      <c r="H1324" t="s">
        <v>11</v>
      </c>
      <c r="I1324" t="s">
        <v>5080</v>
      </c>
      <c r="J1324" t="s">
        <v>9134</v>
      </c>
      <c r="K1324">
        <v>222250</v>
      </c>
      <c r="L1324">
        <v>44866</v>
      </c>
      <c r="M1324" t="s">
        <v>323</v>
      </c>
      <c r="N1324">
        <v>222250</v>
      </c>
      <c r="O1324" t="e">
        <v>#N/A</v>
      </c>
    </row>
    <row r="1325" spans="2:15" hidden="1" x14ac:dyDescent="0.3">
      <c r="B1325" t="s">
        <v>16</v>
      </c>
      <c r="C1325">
        <v>927</v>
      </c>
      <c r="D1325" t="s">
        <v>17</v>
      </c>
      <c r="E1325">
        <v>1200</v>
      </c>
      <c r="F1325" t="s">
        <v>93</v>
      </c>
      <c r="G1325">
        <v>930</v>
      </c>
      <c r="H1325" t="s">
        <v>11</v>
      </c>
      <c r="I1325" t="s">
        <v>5083</v>
      </c>
      <c r="J1325" t="s">
        <v>9135</v>
      </c>
      <c r="K1325">
        <v>3287900</v>
      </c>
      <c r="L1325">
        <v>44866</v>
      </c>
      <c r="M1325" t="s">
        <v>1357</v>
      </c>
      <c r="N1325">
        <v>3287900</v>
      </c>
      <c r="O1325" t="e">
        <v>#N/A</v>
      </c>
    </row>
    <row r="1326" spans="2:15" hidden="1" x14ac:dyDescent="0.3">
      <c r="B1326" t="s">
        <v>8</v>
      </c>
      <c r="C1326">
        <v>928</v>
      </c>
      <c r="D1326" t="s">
        <v>9</v>
      </c>
      <c r="E1326">
        <v>1202</v>
      </c>
      <c r="F1326" t="s">
        <v>10</v>
      </c>
      <c r="G1326">
        <v>939</v>
      </c>
      <c r="H1326" t="s">
        <v>11</v>
      </c>
      <c r="I1326" t="s">
        <v>5086</v>
      </c>
      <c r="J1326" t="s">
        <v>9136</v>
      </c>
      <c r="K1326">
        <v>428470</v>
      </c>
      <c r="L1326">
        <v>44866</v>
      </c>
      <c r="M1326" t="s">
        <v>1358</v>
      </c>
      <c r="N1326">
        <v>428470</v>
      </c>
      <c r="O1326" t="e">
        <v>#N/A</v>
      </c>
    </row>
    <row r="1327" spans="2:15" hidden="1" x14ac:dyDescent="0.3">
      <c r="B1327" t="s">
        <v>41</v>
      </c>
      <c r="C1327">
        <v>926</v>
      </c>
      <c r="D1327" t="s">
        <v>56</v>
      </c>
      <c r="E1327">
        <v>1207</v>
      </c>
      <c r="F1327" t="s">
        <v>57</v>
      </c>
      <c r="G1327">
        <v>200982</v>
      </c>
      <c r="H1327" t="s">
        <v>11</v>
      </c>
      <c r="I1327" t="s">
        <v>5093</v>
      </c>
      <c r="J1327" t="s">
        <v>9137</v>
      </c>
      <c r="K1327">
        <v>43640</v>
      </c>
      <c r="L1327">
        <v>44866</v>
      </c>
      <c r="M1327" t="s">
        <v>1359</v>
      </c>
      <c r="N1327">
        <v>43640</v>
      </c>
      <c r="O1327" t="e">
        <v>#N/A</v>
      </c>
    </row>
    <row r="1328" spans="2:15" hidden="1" x14ac:dyDescent="0.3">
      <c r="B1328" t="s">
        <v>16</v>
      </c>
      <c r="C1328">
        <v>927</v>
      </c>
      <c r="D1328" t="s">
        <v>17</v>
      </c>
      <c r="E1328">
        <v>1200</v>
      </c>
      <c r="F1328" t="s">
        <v>244</v>
      </c>
      <c r="G1328">
        <v>817</v>
      </c>
      <c r="H1328" t="s">
        <v>11</v>
      </c>
      <c r="I1328" t="s">
        <v>5094</v>
      </c>
      <c r="J1328" t="s">
        <v>9138</v>
      </c>
      <c r="K1328">
        <v>3795450</v>
      </c>
      <c r="L1328">
        <v>44866</v>
      </c>
      <c r="M1328" t="s">
        <v>1360</v>
      </c>
      <c r="N1328">
        <v>3795450</v>
      </c>
      <c r="O1328" t="e">
        <v>#N/A</v>
      </c>
    </row>
    <row r="1329" spans="2:15" hidden="1" x14ac:dyDescent="0.3">
      <c r="B1329" t="s">
        <v>8</v>
      </c>
      <c r="C1329">
        <v>928</v>
      </c>
      <c r="D1329" t="s">
        <v>9</v>
      </c>
      <c r="E1329">
        <v>1202</v>
      </c>
      <c r="F1329" t="s">
        <v>27</v>
      </c>
      <c r="G1329">
        <v>806</v>
      </c>
      <c r="H1329" t="s">
        <v>11</v>
      </c>
      <c r="I1329" t="s">
        <v>5095</v>
      </c>
      <c r="J1329" t="s">
        <v>9139</v>
      </c>
      <c r="K1329">
        <v>467670</v>
      </c>
      <c r="L1329">
        <v>44866</v>
      </c>
      <c r="M1329" t="s">
        <v>1361</v>
      </c>
      <c r="N1329">
        <v>467670</v>
      </c>
      <c r="O1329" t="e">
        <v>#N/A</v>
      </c>
    </row>
    <row r="1330" spans="2:15" hidden="1" x14ac:dyDescent="0.3">
      <c r="B1330" t="s">
        <v>41</v>
      </c>
      <c r="C1330">
        <v>926</v>
      </c>
      <c r="D1330" t="s">
        <v>56</v>
      </c>
      <c r="E1330">
        <v>1207</v>
      </c>
      <c r="F1330" t="s">
        <v>57</v>
      </c>
      <c r="G1330">
        <v>200982</v>
      </c>
      <c r="H1330" t="s">
        <v>11</v>
      </c>
      <c r="I1330" t="s">
        <v>5096</v>
      </c>
      <c r="J1330" t="s">
        <v>9140</v>
      </c>
      <c r="K1330">
        <v>570220</v>
      </c>
      <c r="L1330">
        <v>44866</v>
      </c>
      <c r="M1330" t="s">
        <v>1362</v>
      </c>
      <c r="N1330">
        <v>570220</v>
      </c>
      <c r="O1330" t="e">
        <v>#N/A</v>
      </c>
    </row>
    <row r="1331" spans="2:15" hidden="1" x14ac:dyDescent="0.3">
      <c r="B1331" t="s">
        <v>8</v>
      </c>
      <c r="C1331">
        <v>928</v>
      </c>
      <c r="D1331" t="s">
        <v>9</v>
      </c>
      <c r="E1331">
        <v>1202</v>
      </c>
      <c r="F1331" t="s">
        <v>45</v>
      </c>
      <c r="G1331">
        <v>26</v>
      </c>
      <c r="H1331" t="s">
        <v>11</v>
      </c>
      <c r="I1331" t="s">
        <v>5097</v>
      </c>
      <c r="J1331" t="s">
        <v>9141</v>
      </c>
      <c r="K1331">
        <v>43820</v>
      </c>
      <c r="L1331">
        <v>44866</v>
      </c>
      <c r="M1331" t="s">
        <v>1363</v>
      </c>
      <c r="N1331">
        <v>43820</v>
      </c>
      <c r="O1331" t="e">
        <v>#N/A</v>
      </c>
    </row>
    <row r="1332" spans="2:15" hidden="1" x14ac:dyDescent="0.3">
      <c r="B1332" t="s">
        <v>8</v>
      </c>
      <c r="C1332">
        <v>928</v>
      </c>
      <c r="D1332" t="s">
        <v>9</v>
      </c>
      <c r="E1332">
        <v>1202</v>
      </c>
      <c r="F1332" t="s">
        <v>220</v>
      </c>
      <c r="G1332">
        <v>1211</v>
      </c>
      <c r="H1332" t="s">
        <v>11</v>
      </c>
      <c r="I1332" t="s">
        <v>5099</v>
      </c>
      <c r="J1332" t="s">
        <v>9142</v>
      </c>
      <c r="K1332">
        <v>3193170</v>
      </c>
      <c r="L1332">
        <v>44866</v>
      </c>
      <c r="M1332" t="s">
        <v>1364</v>
      </c>
      <c r="N1332">
        <v>3193170</v>
      </c>
      <c r="O1332" t="e">
        <v>#N/A</v>
      </c>
    </row>
    <row r="1333" spans="2:15" hidden="1" x14ac:dyDescent="0.3">
      <c r="B1333" t="s">
        <v>8</v>
      </c>
      <c r="C1333">
        <v>928</v>
      </c>
      <c r="D1333" t="s">
        <v>9</v>
      </c>
      <c r="E1333">
        <v>1202</v>
      </c>
      <c r="F1333" t="s">
        <v>220</v>
      </c>
      <c r="G1333">
        <v>1211</v>
      </c>
      <c r="H1333" t="s">
        <v>11</v>
      </c>
      <c r="I1333" t="s">
        <v>5100</v>
      </c>
      <c r="J1333" t="s">
        <v>9143</v>
      </c>
      <c r="K1333">
        <v>431350</v>
      </c>
      <c r="L1333">
        <v>44866</v>
      </c>
      <c r="M1333" t="s">
        <v>1364</v>
      </c>
      <c r="N1333">
        <v>431350</v>
      </c>
      <c r="O1333" t="e">
        <v>#N/A</v>
      </c>
    </row>
    <row r="1334" spans="2:15" hidden="1" x14ac:dyDescent="0.3">
      <c r="B1334" t="s">
        <v>8</v>
      </c>
      <c r="C1334">
        <v>928</v>
      </c>
      <c r="D1334" t="s">
        <v>9</v>
      </c>
      <c r="E1334">
        <v>1202</v>
      </c>
      <c r="F1334" t="s">
        <v>110</v>
      </c>
      <c r="G1334">
        <v>929</v>
      </c>
      <c r="H1334" t="s">
        <v>11</v>
      </c>
      <c r="I1334" t="s">
        <v>5101</v>
      </c>
      <c r="J1334" t="s">
        <v>9144</v>
      </c>
      <c r="K1334">
        <v>160420</v>
      </c>
      <c r="L1334">
        <v>44866</v>
      </c>
      <c r="M1334" t="s">
        <v>1365</v>
      </c>
      <c r="N1334">
        <v>160420</v>
      </c>
      <c r="O1334" t="e">
        <v>#N/A</v>
      </c>
    </row>
    <row r="1335" spans="2:15" hidden="1" x14ac:dyDescent="0.3">
      <c r="B1335" t="s">
        <v>8</v>
      </c>
      <c r="C1335">
        <v>928</v>
      </c>
      <c r="D1335" t="s">
        <v>9</v>
      </c>
      <c r="E1335">
        <v>1202</v>
      </c>
      <c r="F1335" t="s">
        <v>37</v>
      </c>
      <c r="G1335">
        <v>81</v>
      </c>
      <c r="H1335" t="s">
        <v>11</v>
      </c>
      <c r="I1335" t="s">
        <v>5104</v>
      </c>
      <c r="J1335" t="s">
        <v>9145</v>
      </c>
      <c r="K1335">
        <v>649460</v>
      </c>
      <c r="L1335">
        <v>44866</v>
      </c>
      <c r="M1335" t="s">
        <v>1366</v>
      </c>
      <c r="N1335">
        <v>649460</v>
      </c>
      <c r="O1335" t="e">
        <v>#N/A</v>
      </c>
    </row>
    <row r="1336" spans="2:15" hidden="1" x14ac:dyDescent="0.3">
      <c r="B1336" t="s">
        <v>41</v>
      </c>
      <c r="C1336">
        <v>926</v>
      </c>
      <c r="D1336" t="s">
        <v>56</v>
      </c>
      <c r="E1336">
        <v>1207</v>
      </c>
      <c r="F1336" t="s">
        <v>57</v>
      </c>
      <c r="G1336">
        <v>200982</v>
      </c>
      <c r="H1336" t="s">
        <v>11</v>
      </c>
      <c r="I1336" t="s">
        <v>5105</v>
      </c>
      <c r="J1336" t="s">
        <v>9146</v>
      </c>
      <c r="K1336">
        <v>7180</v>
      </c>
      <c r="L1336">
        <v>44866</v>
      </c>
      <c r="M1336" t="s">
        <v>1367</v>
      </c>
      <c r="N1336">
        <v>7180</v>
      </c>
      <c r="O1336" t="e">
        <v>#N/A</v>
      </c>
    </row>
    <row r="1337" spans="2:15" hidden="1" x14ac:dyDescent="0.3">
      <c r="B1337" t="s">
        <v>16</v>
      </c>
      <c r="C1337">
        <v>927</v>
      </c>
      <c r="D1337" t="s">
        <v>17</v>
      </c>
      <c r="E1337">
        <v>1200</v>
      </c>
      <c r="F1337" t="s">
        <v>100</v>
      </c>
      <c r="G1337">
        <v>201038</v>
      </c>
      <c r="H1337" t="s">
        <v>11</v>
      </c>
      <c r="I1337" t="s">
        <v>5106</v>
      </c>
      <c r="J1337" t="s">
        <v>9147</v>
      </c>
      <c r="K1337">
        <v>36170</v>
      </c>
      <c r="L1337">
        <v>44866</v>
      </c>
      <c r="M1337" t="s">
        <v>1368</v>
      </c>
      <c r="N1337">
        <v>36170</v>
      </c>
      <c r="O1337" t="e">
        <v>#N/A</v>
      </c>
    </row>
    <row r="1338" spans="2:15" hidden="1" x14ac:dyDescent="0.3">
      <c r="B1338" t="s">
        <v>8</v>
      </c>
      <c r="C1338">
        <v>928</v>
      </c>
      <c r="D1338" t="s">
        <v>9</v>
      </c>
      <c r="E1338">
        <v>1202</v>
      </c>
      <c r="F1338" t="s">
        <v>35</v>
      </c>
      <c r="G1338">
        <v>51</v>
      </c>
      <c r="H1338" t="s">
        <v>11</v>
      </c>
      <c r="I1338" t="s">
        <v>5111</v>
      </c>
      <c r="J1338" t="s">
        <v>9148</v>
      </c>
      <c r="K1338">
        <v>1301389</v>
      </c>
      <c r="L1338">
        <v>44866</v>
      </c>
      <c r="M1338" t="s">
        <v>891</v>
      </c>
      <c r="N1338">
        <v>1301436</v>
      </c>
      <c r="O1338" t="e">
        <v>#N/A</v>
      </c>
    </row>
    <row r="1339" spans="2:15" x14ac:dyDescent="0.3">
      <c r="B1339" t="s">
        <v>8</v>
      </c>
      <c r="C1339">
        <v>928</v>
      </c>
      <c r="D1339" t="s">
        <v>9</v>
      </c>
      <c r="E1339">
        <v>1202</v>
      </c>
      <c r="F1339" t="s">
        <v>142</v>
      </c>
      <c r="G1339">
        <v>652</v>
      </c>
      <c r="H1339" t="s">
        <v>11</v>
      </c>
      <c r="I1339" t="s">
        <v>9149</v>
      </c>
      <c r="J1339" t="s">
        <v>9150</v>
      </c>
      <c r="K1339">
        <v>47950</v>
      </c>
      <c r="L1339">
        <v>44866</v>
      </c>
      <c r="M1339" t="s">
        <v>1369</v>
      </c>
      <c r="N1339" t="e">
        <v>#N/A</v>
      </c>
      <c r="O1339" t="e">
        <v>#N/A</v>
      </c>
    </row>
    <row r="1340" spans="2:15" hidden="1" x14ac:dyDescent="0.3">
      <c r="B1340" t="s">
        <v>8</v>
      </c>
      <c r="C1340">
        <v>928</v>
      </c>
      <c r="D1340" t="s">
        <v>13</v>
      </c>
      <c r="E1340">
        <v>1184</v>
      </c>
      <c r="F1340" t="s">
        <v>217</v>
      </c>
      <c r="G1340">
        <v>201027</v>
      </c>
      <c r="H1340" t="s">
        <v>11</v>
      </c>
      <c r="I1340" t="s">
        <v>5114</v>
      </c>
      <c r="J1340" t="s">
        <v>9151</v>
      </c>
      <c r="K1340">
        <v>70</v>
      </c>
      <c r="L1340">
        <v>44866</v>
      </c>
      <c r="M1340" t="s">
        <v>1370</v>
      </c>
      <c r="N1340">
        <v>70</v>
      </c>
      <c r="O1340" t="e">
        <v>#N/A</v>
      </c>
    </row>
    <row r="1341" spans="2:15" hidden="1" x14ac:dyDescent="0.3">
      <c r="B1341" t="s">
        <v>8</v>
      </c>
      <c r="C1341">
        <v>928</v>
      </c>
      <c r="D1341" t="s">
        <v>9</v>
      </c>
      <c r="E1341">
        <v>1202</v>
      </c>
      <c r="F1341" t="s">
        <v>35</v>
      </c>
      <c r="G1341">
        <v>51</v>
      </c>
      <c r="H1341" t="s">
        <v>11</v>
      </c>
      <c r="I1341" t="s">
        <v>5118</v>
      </c>
      <c r="J1341" t="s">
        <v>9152</v>
      </c>
      <c r="K1341">
        <v>740</v>
      </c>
      <c r="L1341">
        <v>44866</v>
      </c>
      <c r="M1341" t="s">
        <v>1371</v>
      </c>
      <c r="N1341">
        <v>740</v>
      </c>
      <c r="O1341" t="e">
        <v>#N/A</v>
      </c>
    </row>
    <row r="1342" spans="2:15" hidden="1" x14ac:dyDescent="0.3">
      <c r="B1342" t="s">
        <v>41</v>
      </c>
      <c r="C1342">
        <v>926</v>
      </c>
      <c r="D1342" t="s">
        <v>56</v>
      </c>
      <c r="E1342">
        <v>1207</v>
      </c>
      <c r="F1342" t="s">
        <v>57</v>
      </c>
      <c r="G1342">
        <v>200982</v>
      </c>
      <c r="H1342" t="s">
        <v>11</v>
      </c>
      <c r="I1342" t="s">
        <v>5122</v>
      </c>
      <c r="J1342" t="s">
        <v>9153</v>
      </c>
      <c r="K1342">
        <v>17200</v>
      </c>
      <c r="L1342">
        <v>44866</v>
      </c>
      <c r="M1342" t="s">
        <v>1372</v>
      </c>
      <c r="N1342">
        <v>17200</v>
      </c>
      <c r="O1342" t="e">
        <v>#N/A</v>
      </c>
    </row>
    <row r="1343" spans="2:15" hidden="1" x14ac:dyDescent="0.3">
      <c r="B1343" t="s">
        <v>8</v>
      </c>
      <c r="C1343">
        <v>928</v>
      </c>
      <c r="D1343" t="s">
        <v>13</v>
      </c>
      <c r="E1343">
        <v>1184</v>
      </c>
      <c r="F1343" t="s">
        <v>14</v>
      </c>
      <c r="G1343">
        <v>914</v>
      </c>
      <c r="H1343" t="s">
        <v>11</v>
      </c>
      <c r="I1343" t="s">
        <v>5126</v>
      </c>
      <c r="J1343" t="s">
        <v>9154</v>
      </c>
      <c r="K1343">
        <v>24890</v>
      </c>
      <c r="L1343">
        <v>44866</v>
      </c>
      <c r="M1343" t="s">
        <v>1373</v>
      </c>
      <c r="N1343">
        <v>24890</v>
      </c>
      <c r="O1343" t="e">
        <v>#N/A</v>
      </c>
    </row>
    <row r="1344" spans="2:15" hidden="1" x14ac:dyDescent="0.3">
      <c r="B1344" t="s">
        <v>41</v>
      </c>
      <c r="C1344">
        <v>926</v>
      </c>
      <c r="D1344" t="s">
        <v>56</v>
      </c>
      <c r="E1344">
        <v>1207</v>
      </c>
      <c r="F1344" t="s">
        <v>64</v>
      </c>
      <c r="G1344">
        <v>201011</v>
      </c>
      <c r="H1344" t="s">
        <v>11</v>
      </c>
      <c r="I1344" t="s">
        <v>5128</v>
      </c>
      <c r="J1344" t="s">
        <v>9155</v>
      </c>
      <c r="K1344">
        <v>196210</v>
      </c>
      <c r="L1344">
        <v>44866</v>
      </c>
      <c r="M1344" t="s">
        <v>1374</v>
      </c>
      <c r="N1344">
        <v>196210</v>
      </c>
      <c r="O1344" t="e">
        <v>#N/A</v>
      </c>
    </row>
    <row r="1345" spans="2:15" hidden="1" x14ac:dyDescent="0.3">
      <c r="B1345" t="s">
        <v>8</v>
      </c>
      <c r="C1345">
        <v>928</v>
      </c>
      <c r="D1345" t="s">
        <v>9</v>
      </c>
      <c r="E1345">
        <v>1202</v>
      </c>
      <c r="F1345" t="s">
        <v>27</v>
      </c>
      <c r="G1345">
        <v>806</v>
      </c>
      <c r="H1345" t="s">
        <v>11</v>
      </c>
      <c r="I1345" t="s">
        <v>5129</v>
      </c>
      <c r="J1345" t="s">
        <v>9156</v>
      </c>
      <c r="K1345">
        <v>218100</v>
      </c>
      <c r="L1345">
        <v>44866</v>
      </c>
      <c r="M1345" t="s">
        <v>1375</v>
      </c>
      <c r="N1345">
        <v>218100</v>
      </c>
      <c r="O1345" t="e">
        <v>#N/A</v>
      </c>
    </row>
    <row r="1346" spans="2:15" hidden="1" x14ac:dyDescent="0.3">
      <c r="B1346" t="s">
        <v>8</v>
      </c>
      <c r="C1346">
        <v>928</v>
      </c>
      <c r="D1346" t="s">
        <v>9</v>
      </c>
      <c r="E1346">
        <v>1202</v>
      </c>
      <c r="F1346" t="s">
        <v>27</v>
      </c>
      <c r="G1346">
        <v>806</v>
      </c>
      <c r="H1346" t="s">
        <v>11</v>
      </c>
      <c r="I1346" t="s">
        <v>5130</v>
      </c>
      <c r="J1346" t="s">
        <v>9157</v>
      </c>
      <c r="K1346">
        <v>856580</v>
      </c>
      <c r="L1346">
        <v>44866</v>
      </c>
      <c r="M1346" t="s">
        <v>1375</v>
      </c>
      <c r="N1346">
        <v>856580</v>
      </c>
      <c r="O1346" t="e">
        <v>#N/A</v>
      </c>
    </row>
    <row r="1347" spans="2:15" hidden="1" x14ac:dyDescent="0.3">
      <c r="B1347" t="s">
        <v>8</v>
      </c>
      <c r="C1347">
        <v>928</v>
      </c>
      <c r="D1347" t="s">
        <v>9</v>
      </c>
      <c r="E1347">
        <v>1202</v>
      </c>
      <c r="F1347" t="s">
        <v>45</v>
      </c>
      <c r="G1347">
        <v>26</v>
      </c>
      <c r="H1347" t="s">
        <v>11</v>
      </c>
      <c r="I1347" t="s">
        <v>5133</v>
      </c>
      <c r="J1347" t="s">
        <v>9158</v>
      </c>
      <c r="K1347">
        <v>192230</v>
      </c>
      <c r="L1347">
        <v>44866</v>
      </c>
      <c r="M1347" t="s">
        <v>1376</v>
      </c>
      <c r="N1347">
        <v>192230</v>
      </c>
      <c r="O1347" t="e">
        <v>#N/A</v>
      </c>
    </row>
    <row r="1348" spans="2:15" hidden="1" x14ac:dyDescent="0.3">
      <c r="B1348" t="s">
        <v>8</v>
      </c>
      <c r="C1348">
        <v>928</v>
      </c>
      <c r="D1348" t="s">
        <v>9</v>
      </c>
      <c r="E1348">
        <v>1202</v>
      </c>
      <c r="F1348" t="s">
        <v>37</v>
      </c>
      <c r="G1348">
        <v>81</v>
      </c>
      <c r="H1348" t="s">
        <v>11</v>
      </c>
      <c r="I1348" t="s">
        <v>5134</v>
      </c>
      <c r="J1348" t="s">
        <v>9159</v>
      </c>
      <c r="K1348">
        <v>191960</v>
      </c>
      <c r="L1348">
        <v>44866</v>
      </c>
      <c r="M1348" t="s">
        <v>1377</v>
      </c>
      <c r="N1348">
        <v>191960</v>
      </c>
      <c r="O1348" t="e">
        <v>#N/A</v>
      </c>
    </row>
    <row r="1349" spans="2:15" hidden="1" x14ac:dyDescent="0.3">
      <c r="B1349" t="s">
        <v>8</v>
      </c>
      <c r="C1349">
        <v>928</v>
      </c>
      <c r="D1349" t="s">
        <v>9</v>
      </c>
      <c r="E1349">
        <v>1202</v>
      </c>
      <c r="F1349" t="s">
        <v>10</v>
      </c>
      <c r="G1349">
        <v>939</v>
      </c>
      <c r="H1349" t="s">
        <v>11</v>
      </c>
      <c r="I1349" t="s">
        <v>5140</v>
      </c>
      <c r="J1349" t="s">
        <v>9160</v>
      </c>
      <c r="K1349">
        <v>940740</v>
      </c>
      <c r="L1349">
        <v>44866</v>
      </c>
      <c r="M1349" t="s">
        <v>1378</v>
      </c>
      <c r="N1349">
        <v>940740</v>
      </c>
      <c r="O1349" t="e">
        <v>#N/A</v>
      </c>
    </row>
    <row r="1350" spans="2:15" hidden="1" x14ac:dyDescent="0.3">
      <c r="B1350" t="s">
        <v>8</v>
      </c>
      <c r="C1350">
        <v>928</v>
      </c>
      <c r="D1350" t="s">
        <v>13</v>
      </c>
      <c r="E1350">
        <v>1184</v>
      </c>
      <c r="F1350" t="s">
        <v>51</v>
      </c>
      <c r="G1350">
        <v>1274</v>
      </c>
      <c r="H1350" t="s">
        <v>11</v>
      </c>
      <c r="I1350" t="s">
        <v>5141</v>
      </c>
      <c r="J1350" t="s">
        <v>9161</v>
      </c>
      <c r="K1350">
        <v>66780</v>
      </c>
      <c r="L1350">
        <v>44866</v>
      </c>
      <c r="M1350" t="s">
        <v>1379</v>
      </c>
      <c r="N1350">
        <v>66780</v>
      </c>
      <c r="O1350" t="e">
        <v>#N/A</v>
      </c>
    </row>
    <row r="1351" spans="2:15" hidden="1" x14ac:dyDescent="0.3">
      <c r="B1351" t="s">
        <v>8</v>
      </c>
      <c r="C1351">
        <v>928</v>
      </c>
      <c r="D1351" t="s">
        <v>13</v>
      </c>
      <c r="E1351">
        <v>1184</v>
      </c>
      <c r="F1351" t="s">
        <v>51</v>
      </c>
      <c r="G1351">
        <v>1274</v>
      </c>
      <c r="H1351" t="s">
        <v>11</v>
      </c>
      <c r="I1351" t="s">
        <v>5142</v>
      </c>
      <c r="J1351" t="s">
        <v>9162</v>
      </c>
      <c r="K1351">
        <v>35670</v>
      </c>
      <c r="L1351">
        <v>44866</v>
      </c>
      <c r="M1351" t="s">
        <v>1380</v>
      </c>
      <c r="N1351">
        <v>35670</v>
      </c>
      <c r="O1351" t="e">
        <v>#N/A</v>
      </c>
    </row>
    <row r="1352" spans="2:15" hidden="1" x14ac:dyDescent="0.3">
      <c r="B1352" t="s">
        <v>22</v>
      </c>
      <c r="C1352">
        <v>809</v>
      </c>
      <c r="D1352" t="s">
        <v>23</v>
      </c>
      <c r="E1352">
        <v>810</v>
      </c>
      <c r="F1352" t="s">
        <v>86</v>
      </c>
      <c r="G1352">
        <v>201021</v>
      </c>
      <c r="H1352" t="s">
        <v>11</v>
      </c>
      <c r="I1352" t="s">
        <v>5143</v>
      </c>
      <c r="J1352" t="s">
        <v>9163</v>
      </c>
      <c r="K1352">
        <v>270010</v>
      </c>
      <c r="L1352">
        <v>44866</v>
      </c>
      <c r="M1352" t="s">
        <v>1381</v>
      </c>
      <c r="N1352">
        <v>270010</v>
      </c>
      <c r="O1352" t="e">
        <v>#N/A</v>
      </c>
    </row>
    <row r="1353" spans="2:15" hidden="1" x14ac:dyDescent="0.3">
      <c r="B1353" t="s">
        <v>8</v>
      </c>
      <c r="C1353">
        <v>928</v>
      </c>
      <c r="D1353" t="s">
        <v>13</v>
      </c>
      <c r="E1353">
        <v>1184</v>
      </c>
      <c r="F1353" t="s">
        <v>59</v>
      </c>
      <c r="G1353">
        <v>9</v>
      </c>
      <c r="H1353" t="s">
        <v>11</v>
      </c>
      <c r="I1353" t="s">
        <v>5147</v>
      </c>
      <c r="J1353" t="s">
        <v>9164</v>
      </c>
      <c r="K1353">
        <v>1202080</v>
      </c>
      <c r="L1353">
        <v>44866</v>
      </c>
      <c r="M1353" t="s">
        <v>1382</v>
      </c>
      <c r="N1353">
        <v>1202080</v>
      </c>
      <c r="O1353" t="e">
        <v>#N/A</v>
      </c>
    </row>
    <row r="1354" spans="2:15" hidden="1" x14ac:dyDescent="0.3">
      <c r="B1354" t="s">
        <v>16</v>
      </c>
      <c r="C1354">
        <v>927</v>
      </c>
      <c r="D1354" t="s">
        <v>17</v>
      </c>
      <c r="E1354">
        <v>1200</v>
      </c>
      <c r="F1354" t="s">
        <v>93</v>
      </c>
      <c r="G1354">
        <v>930</v>
      </c>
      <c r="H1354" t="s">
        <v>11</v>
      </c>
      <c r="I1354" t="s">
        <v>5148</v>
      </c>
      <c r="J1354" t="s">
        <v>9165</v>
      </c>
      <c r="K1354">
        <v>30903370</v>
      </c>
      <c r="L1354">
        <v>44866</v>
      </c>
      <c r="M1354" t="s">
        <v>1383</v>
      </c>
      <c r="N1354">
        <v>30903370</v>
      </c>
      <c r="O1354" t="e">
        <v>#N/A</v>
      </c>
    </row>
    <row r="1355" spans="2:15" hidden="1" x14ac:dyDescent="0.3">
      <c r="B1355" t="s">
        <v>8</v>
      </c>
      <c r="C1355">
        <v>928</v>
      </c>
      <c r="D1355" t="s">
        <v>13</v>
      </c>
      <c r="E1355">
        <v>1184</v>
      </c>
      <c r="F1355" t="s">
        <v>115</v>
      </c>
      <c r="G1355">
        <v>1548</v>
      </c>
      <c r="H1355" t="s">
        <v>11</v>
      </c>
      <c r="I1355" t="s">
        <v>5150</v>
      </c>
      <c r="J1355" t="s">
        <v>9166</v>
      </c>
      <c r="K1355">
        <v>140780</v>
      </c>
      <c r="L1355">
        <v>44866</v>
      </c>
      <c r="M1355" t="s">
        <v>1384</v>
      </c>
      <c r="N1355">
        <v>140780</v>
      </c>
      <c r="O1355" t="e">
        <v>#N/A</v>
      </c>
    </row>
    <row r="1356" spans="2:15" hidden="1" x14ac:dyDescent="0.3">
      <c r="B1356" t="s">
        <v>16</v>
      </c>
      <c r="C1356">
        <v>927</v>
      </c>
      <c r="D1356" t="s">
        <v>17</v>
      </c>
      <c r="E1356">
        <v>1200</v>
      </c>
      <c r="F1356" t="s">
        <v>244</v>
      </c>
      <c r="G1356">
        <v>817</v>
      </c>
      <c r="H1356" t="s">
        <v>11</v>
      </c>
      <c r="I1356" t="s">
        <v>5151</v>
      </c>
      <c r="J1356" t="s">
        <v>9167</v>
      </c>
      <c r="K1356">
        <v>172440</v>
      </c>
      <c r="L1356">
        <v>44866</v>
      </c>
      <c r="M1356" t="s">
        <v>1385</v>
      </c>
      <c r="N1356">
        <v>172440</v>
      </c>
      <c r="O1356" t="e">
        <v>#N/A</v>
      </c>
    </row>
    <row r="1357" spans="2:15" hidden="1" x14ac:dyDescent="0.3">
      <c r="B1357" t="s">
        <v>8</v>
      </c>
      <c r="C1357">
        <v>928</v>
      </c>
      <c r="D1357" t="s">
        <v>9</v>
      </c>
      <c r="E1357">
        <v>1202</v>
      </c>
      <c r="F1357" t="s">
        <v>47</v>
      </c>
      <c r="G1357">
        <v>898</v>
      </c>
      <c r="H1357" t="s">
        <v>11</v>
      </c>
      <c r="I1357" t="s">
        <v>5152</v>
      </c>
      <c r="J1357" t="s">
        <v>9168</v>
      </c>
      <c r="K1357">
        <v>88830</v>
      </c>
      <c r="L1357">
        <v>44866</v>
      </c>
      <c r="M1357" t="s">
        <v>1386</v>
      </c>
      <c r="N1357">
        <v>30330</v>
      </c>
      <c r="O1357" t="e">
        <v>#N/A</v>
      </c>
    </row>
    <row r="1358" spans="2:15" hidden="1" x14ac:dyDescent="0.3">
      <c r="B1358" t="s">
        <v>8</v>
      </c>
      <c r="C1358">
        <v>928</v>
      </c>
      <c r="D1358" t="s">
        <v>9</v>
      </c>
      <c r="E1358">
        <v>1202</v>
      </c>
      <c r="F1358" t="s">
        <v>45</v>
      </c>
      <c r="G1358">
        <v>26</v>
      </c>
      <c r="H1358" t="s">
        <v>11</v>
      </c>
      <c r="I1358" t="s">
        <v>5153</v>
      </c>
      <c r="J1358" t="s">
        <v>9169</v>
      </c>
      <c r="K1358">
        <v>130900</v>
      </c>
      <c r="L1358">
        <v>44866</v>
      </c>
      <c r="M1358" t="s">
        <v>1387</v>
      </c>
      <c r="N1358">
        <v>130900</v>
      </c>
      <c r="O1358" t="e">
        <v>#N/A</v>
      </c>
    </row>
    <row r="1359" spans="2:15" hidden="1" x14ac:dyDescent="0.3">
      <c r="B1359" t="s">
        <v>8</v>
      </c>
      <c r="C1359">
        <v>928</v>
      </c>
      <c r="D1359" t="s">
        <v>13</v>
      </c>
      <c r="E1359">
        <v>1184</v>
      </c>
      <c r="F1359" t="s">
        <v>14</v>
      </c>
      <c r="G1359">
        <v>914</v>
      </c>
      <c r="H1359" t="s">
        <v>11</v>
      </c>
      <c r="I1359" t="s">
        <v>5156</v>
      </c>
      <c r="J1359" t="s">
        <v>9170</v>
      </c>
      <c r="K1359">
        <v>767650</v>
      </c>
      <c r="L1359">
        <v>44866</v>
      </c>
      <c r="M1359" t="s">
        <v>1388</v>
      </c>
      <c r="N1359">
        <v>767650</v>
      </c>
      <c r="O1359" t="e">
        <v>#N/A</v>
      </c>
    </row>
    <row r="1360" spans="2:15" hidden="1" x14ac:dyDescent="0.3">
      <c r="B1360" t="s">
        <v>8</v>
      </c>
      <c r="C1360">
        <v>928</v>
      </c>
      <c r="D1360" t="s">
        <v>9</v>
      </c>
      <c r="E1360">
        <v>1202</v>
      </c>
      <c r="F1360" t="s">
        <v>37</v>
      </c>
      <c r="G1360">
        <v>81</v>
      </c>
      <c r="H1360" t="s">
        <v>11</v>
      </c>
      <c r="I1360" t="s">
        <v>5158</v>
      </c>
      <c r="J1360" t="s">
        <v>9171</v>
      </c>
      <c r="K1360">
        <v>569900</v>
      </c>
      <c r="L1360">
        <v>44866</v>
      </c>
      <c r="M1360" t="s">
        <v>625</v>
      </c>
      <c r="N1360">
        <v>569900</v>
      </c>
      <c r="O1360" t="e">
        <v>#N/A</v>
      </c>
    </row>
    <row r="1361" spans="2:15" hidden="1" x14ac:dyDescent="0.3">
      <c r="B1361" t="s">
        <v>41</v>
      </c>
      <c r="C1361">
        <v>926</v>
      </c>
      <c r="D1361" t="s">
        <v>56</v>
      </c>
      <c r="E1361">
        <v>1207</v>
      </c>
      <c r="F1361" t="s">
        <v>253</v>
      </c>
      <c r="G1361">
        <v>1328</v>
      </c>
      <c r="H1361" t="s">
        <v>11</v>
      </c>
      <c r="I1361" t="s">
        <v>5159</v>
      </c>
      <c r="J1361" t="s">
        <v>9172</v>
      </c>
      <c r="K1361">
        <v>209030</v>
      </c>
      <c r="L1361">
        <v>44866</v>
      </c>
      <c r="M1361" t="s">
        <v>1389</v>
      </c>
      <c r="N1361">
        <v>209030</v>
      </c>
      <c r="O1361" t="e">
        <v>#N/A</v>
      </c>
    </row>
    <row r="1362" spans="2:15" hidden="1" x14ac:dyDescent="0.3">
      <c r="B1362" t="s">
        <v>8</v>
      </c>
      <c r="C1362">
        <v>928</v>
      </c>
      <c r="D1362" t="s">
        <v>9</v>
      </c>
      <c r="E1362">
        <v>1202</v>
      </c>
      <c r="F1362" t="s">
        <v>73</v>
      </c>
      <c r="G1362">
        <v>895</v>
      </c>
      <c r="H1362" t="s">
        <v>11</v>
      </c>
      <c r="I1362" t="s">
        <v>5160</v>
      </c>
      <c r="J1362" t="s">
        <v>9173</v>
      </c>
      <c r="K1362">
        <v>832420</v>
      </c>
      <c r="L1362">
        <v>44866</v>
      </c>
      <c r="M1362" t="s">
        <v>1390</v>
      </c>
      <c r="N1362">
        <v>832420</v>
      </c>
      <c r="O1362" t="e">
        <v>#N/A</v>
      </c>
    </row>
    <row r="1363" spans="2:15" hidden="1" x14ac:dyDescent="0.3">
      <c r="B1363" t="s">
        <v>16</v>
      </c>
      <c r="C1363">
        <v>927</v>
      </c>
      <c r="D1363" t="s">
        <v>17</v>
      </c>
      <c r="E1363">
        <v>1200</v>
      </c>
      <c r="F1363" t="s">
        <v>170</v>
      </c>
      <c r="G1363">
        <v>1530</v>
      </c>
      <c r="H1363" t="s">
        <v>11</v>
      </c>
      <c r="I1363" t="s">
        <v>5167</v>
      </c>
      <c r="J1363" t="s">
        <v>9174</v>
      </c>
      <c r="K1363">
        <v>10970</v>
      </c>
      <c r="L1363">
        <v>44866</v>
      </c>
      <c r="M1363" t="s">
        <v>1391</v>
      </c>
      <c r="N1363">
        <v>10970</v>
      </c>
      <c r="O1363" t="e">
        <v>#N/A</v>
      </c>
    </row>
    <row r="1364" spans="2:15" hidden="1" x14ac:dyDescent="0.3">
      <c r="B1364" t="s">
        <v>8</v>
      </c>
      <c r="C1364">
        <v>928</v>
      </c>
      <c r="D1364" t="s">
        <v>13</v>
      </c>
      <c r="E1364">
        <v>1184</v>
      </c>
      <c r="F1364" t="s">
        <v>217</v>
      </c>
      <c r="G1364">
        <v>201027</v>
      </c>
      <c r="H1364" t="s">
        <v>11</v>
      </c>
      <c r="I1364" t="s">
        <v>5168</v>
      </c>
      <c r="J1364" t="s">
        <v>9175</v>
      </c>
      <c r="K1364">
        <v>18490</v>
      </c>
      <c r="L1364">
        <v>44866</v>
      </c>
      <c r="M1364" t="s">
        <v>1392</v>
      </c>
      <c r="N1364">
        <v>18490</v>
      </c>
      <c r="O1364" t="e">
        <v>#N/A</v>
      </c>
    </row>
    <row r="1365" spans="2:15" hidden="1" x14ac:dyDescent="0.3">
      <c r="B1365" t="s">
        <v>41</v>
      </c>
      <c r="C1365">
        <v>926</v>
      </c>
      <c r="D1365" t="s">
        <v>56</v>
      </c>
      <c r="E1365">
        <v>1207</v>
      </c>
      <c r="F1365" t="s">
        <v>57</v>
      </c>
      <c r="G1365">
        <v>200982</v>
      </c>
      <c r="H1365" t="s">
        <v>11</v>
      </c>
      <c r="I1365" t="s">
        <v>5169</v>
      </c>
      <c r="J1365" t="s">
        <v>9176</v>
      </c>
      <c r="K1365">
        <v>1215480</v>
      </c>
      <c r="L1365">
        <v>44866</v>
      </c>
      <c r="M1365" t="s">
        <v>1393</v>
      </c>
      <c r="N1365">
        <v>1215480</v>
      </c>
      <c r="O1365" t="e">
        <v>#N/A</v>
      </c>
    </row>
    <row r="1366" spans="2:15" hidden="1" x14ac:dyDescent="0.3">
      <c r="B1366" t="s">
        <v>16</v>
      </c>
      <c r="C1366">
        <v>927</v>
      </c>
      <c r="D1366" t="s">
        <v>17</v>
      </c>
      <c r="E1366">
        <v>1200</v>
      </c>
      <c r="F1366" t="s">
        <v>137</v>
      </c>
      <c r="G1366">
        <v>1012</v>
      </c>
      <c r="H1366" t="s">
        <v>11</v>
      </c>
      <c r="I1366" t="s">
        <v>5170</v>
      </c>
      <c r="J1366" t="s">
        <v>9177</v>
      </c>
      <c r="K1366">
        <v>2327620</v>
      </c>
      <c r="L1366">
        <v>44866</v>
      </c>
      <c r="M1366" t="s">
        <v>1394</v>
      </c>
      <c r="N1366">
        <v>2327620</v>
      </c>
      <c r="O1366" t="e">
        <v>#N/A</v>
      </c>
    </row>
    <row r="1367" spans="2:15" hidden="1" x14ac:dyDescent="0.3">
      <c r="B1367" t="s">
        <v>16</v>
      </c>
      <c r="C1367">
        <v>927</v>
      </c>
      <c r="D1367" t="s">
        <v>17</v>
      </c>
      <c r="E1367">
        <v>1200</v>
      </c>
      <c r="F1367" t="s">
        <v>29</v>
      </c>
      <c r="G1367">
        <v>1496</v>
      </c>
      <c r="H1367" t="s">
        <v>11</v>
      </c>
      <c r="I1367" t="s">
        <v>5171</v>
      </c>
      <c r="J1367" t="s">
        <v>9178</v>
      </c>
      <c r="K1367">
        <v>722586</v>
      </c>
      <c r="L1367">
        <v>44866</v>
      </c>
      <c r="M1367" t="s">
        <v>1395</v>
      </c>
      <c r="N1367">
        <v>325930</v>
      </c>
      <c r="O1367" t="e">
        <v>#N/A</v>
      </c>
    </row>
    <row r="1368" spans="2:15" hidden="1" x14ac:dyDescent="0.3">
      <c r="B1368" t="s">
        <v>8</v>
      </c>
      <c r="C1368">
        <v>928</v>
      </c>
      <c r="D1368" t="s">
        <v>9</v>
      </c>
      <c r="E1368">
        <v>1202</v>
      </c>
      <c r="F1368" t="s">
        <v>31</v>
      </c>
      <c r="G1368">
        <v>1040</v>
      </c>
      <c r="H1368" t="s">
        <v>11</v>
      </c>
      <c r="I1368" t="s">
        <v>5172</v>
      </c>
      <c r="J1368" t="s">
        <v>9179</v>
      </c>
      <c r="K1368">
        <v>8097600</v>
      </c>
      <c r="L1368">
        <v>44866</v>
      </c>
      <c r="M1368" t="s">
        <v>1396</v>
      </c>
      <c r="N1368">
        <v>8097600</v>
      </c>
      <c r="O1368" t="e">
        <v>#N/A</v>
      </c>
    </row>
    <row r="1369" spans="2:15" hidden="1" x14ac:dyDescent="0.3">
      <c r="B1369" t="s">
        <v>8</v>
      </c>
      <c r="C1369">
        <v>928</v>
      </c>
      <c r="D1369" t="s">
        <v>13</v>
      </c>
      <c r="E1369">
        <v>1184</v>
      </c>
      <c r="F1369" t="s">
        <v>335</v>
      </c>
      <c r="G1369">
        <v>201090</v>
      </c>
      <c r="H1369" t="s">
        <v>11</v>
      </c>
      <c r="I1369" t="s">
        <v>5174</v>
      </c>
      <c r="J1369" t="s">
        <v>9180</v>
      </c>
      <c r="K1369">
        <v>3380810</v>
      </c>
      <c r="L1369">
        <v>44866</v>
      </c>
      <c r="M1369" t="s">
        <v>1397</v>
      </c>
      <c r="N1369">
        <v>2861810</v>
      </c>
      <c r="O1369" t="e">
        <v>#N/A</v>
      </c>
    </row>
    <row r="1370" spans="2:15" x14ac:dyDescent="0.3">
      <c r="B1370" t="s">
        <v>8</v>
      </c>
      <c r="C1370">
        <v>928</v>
      </c>
      <c r="D1370" t="s">
        <v>9</v>
      </c>
      <c r="E1370">
        <v>1202</v>
      </c>
      <c r="F1370" t="s">
        <v>33</v>
      </c>
      <c r="G1370">
        <v>933</v>
      </c>
      <c r="H1370" t="s">
        <v>11</v>
      </c>
      <c r="I1370" t="s">
        <v>9181</v>
      </c>
      <c r="J1370" t="s">
        <v>9182</v>
      </c>
      <c r="K1370">
        <v>271622</v>
      </c>
      <c r="L1370">
        <v>44866</v>
      </c>
      <c r="M1370" t="s">
        <v>1398</v>
      </c>
      <c r="N1370" t="e">
        <v>#N/A</v>
      </c>
      <c r="O1370" t="e">
        <v>#N/A</v>
      </c>
    </row>
    <row r="1371" spans="2:15" hidden="1" x14ac:dyDescent="0.3">
      <c r="B1371" t="s">
        <v>8</v>
      </c>
      <c r="C1371">
        <v>928</v>
      </c>
      <c r="D1371" t="s">
        <v>9</v>
      </c>
      <c r="E1371">
        <v>1202</v>
      </c>
      <c r="F1371" t="s">
        <v>27</v>
      </c>
      <c r="G1371">
        <v>806</v>
      </c>
      <c r="H1371" t="s">
        <v>11</v>
      </c>
      <c r="I1371" t="s">
        <v>5178</v>
      </c>
      <c r="J1371" t="s">
        <v>9183</v>
      </c>
      <c r="K1371">
        <v>323310</v>
      </c>
      <c r="L1371">
        <v>44866</v>
      </c>
      <c r="M1371" t="s">
        <v>1399</v>
      </c>
      <c r="N1371">
        <v>323310</v>
      </c>
      <c r="O1371" t="e">
        <v>#N/A</v>
      </c>
    </row>
    <row r="1372" spans="2:15" hidden="1" x14ac:dyDescent="0.3">
      <c r="B1372" t="s">
        <v>8</v>
      </c>
      <c r="C1372">
        <v>928</v>
      </c>
      <c r="D1372" t="s">
        <v>9</v>
      </c>
      <c r="E1372">
        <v>1202</v>
      </c>
      <c r="F1372" t="s">
        <v>10</v>
      </c>
      <c r="G1372">
        <v>939</v>
      </c>
      <c r="H1372" t="s">
        <v>11</v>
      </c>
      <c r="I1372" t="s">
        <v>5180</v>
      </c>
      <c r="J1372" t="s">
        <v>9184</v>
      </c>
      <c r="K1372">
        <v>680</v>
      </c>
      <c r="L1372">
        <v>44866</v>
      </c>
      <c r="M1372" t="s">
        <v>1400</v>
      </c>
      <c r="N1372">
        <v>680</v>
      </c>
      <c r="O1372" t="e">
        <v>#N/A</v>
      </c>
    </row>
    <row r="1373" spans="2:15" hidden="1" x14ac:dyDescent="0.3">
      <c r="B1373" t="s">
        <v>8</v>
      </c>
      <c r="C1373">
        <v>928</v>
      </c>
      <c r="D1373" t="s">
        <v>9</v>
      </c>
      <c r="E1373">
        <v>1202</v>
      </c>
      <c r="F1373" t="s">
        <v>10</v>
      </c>
      <c r="G1373">
        <v>939</v>
      </c>
      <c r="H1373" t="s">
        <v>11</v>
      </c>
      <c r="I1373" t="s">
        <v>5181</v>
      </c>
      <c r="J1373" t="s">
        <v>9185</v>
      </c>
      <c r="K1373">
        <v>1690</v>
      </c>
      <c r="L1373">
        <v>44866</v>
      </c>
      <c r="M1373" t="s">
        <v>1400</v>
      </c>
      <c r="N1373">
        <v>1690</v>
      </c>
      <c r="O1373" t="e">
        <v>#N/A</v>
      </c>
    </row>
    <row r="1374" spans="2:15" hidden="1" x14ac:dyDescent="0.3">
      <c r="B1374" t="s">
        <v>8</v>
      </c>
      <c r="C1374">
        <v>928</v>
      </c>
      <c r="D1374" t="s">
        <v>9</v>
      </c>
      <c r="E1374">
        <v>1202</v>
      </c>
      <c r="F1374" t="s">
        <v>27</v>
      </c>
      <c r="G1374">
        <v>806</v>
      </c>
      <c r="H1374" t="s">
        <v>11</v>
      </c>
      <c r="I1374" t="s">
        <v>5183</v>
      </c>
      <c r="J1374" t="s">
        <v>9186</v>
      </c>
      <c r="K1374">
        <v>1400</v>
      </c>
      <c r="L1374">
        <v>44866</v>
      </c>
      <c r="M1374" t="s">
        <v>1401</v>
      </c>
      <c r="N1374">
        <v>1400</v>
      </c>
      <c r="O1374" t="e">
        <v>#N/A</v>
      </c>
    </row>
    <row r="1375" spans="2:15" hidden="1" x14ac:dyDescent="0.3">
      <c r="B1375" t="s">
        <v>16</v>
      </c>
      <c r="C1375">
        <v>927</v>
      </c>
      <c r="D1375" t="s">
        <v>17</v>
      </c>
      <c r="E1375">
        <v>1200</v>
      </c>
      <c r="F1375" t="s">
        <v>290</v>
      </c>
      <c r="G1375">
        <v>556</v>
      </c>
      <c r="H1375" t="s">
        <v>11</v>
      </c>
      <c r="I1375" t="s">
        <v>5184</v>
      </c>
      <c r="J1375" t="s">
        <v>9187</v>
      </c>
      <c r="K1375">
        <v>5120</v>
      </c>
      <c r="L1375">
        <v>44866</v>
      </c>
      <c r="M1375" t="s">
        <v>1402</v>
      </c>
      <c r="N1375">
        <v>5120</v>
      </c>
      <c r="O1375" t="e">
        <v>#N/A</v>
      </c>
    </row>
    <row r="1376" spans="2:15" hidden="1" x14ac:dyDescent="0.3">
      <c r="B1376" t="s">
        <v>41</v>
      </c>
      <c r="C1376">
        <v>926</v>
      </c>
      <c r="D1376" t="s">
        <v>56</v>
      </c>
      <c r="E1376">
        <v>1207</v>
      </c>
      <c r="F1376" t="s">
        <v>57</v>
      </c>
      <c r="G1376">
        <v>200982</v>
      </c>
      <c r="H1376" t="s">
        <v>11</v>
      </c>
      <c r="I1376" t="s">
        <v>5187</v>
      </c>
      <c r="J1376" t="s">
        <v>9188</v>
      </c>
      <c r="K1376">
        <v>61820</v>
      </c>
      <c r="L1376">
        <v>44866</v>
      </c>
      <c r="M1376" t="s">
        <v>1403</v>
      </c>
      <c r="N1376">
        <v>61820</v>
      </c>
      <c r="O1376" t="e">
        <v>#N/A</v>
      </c>
    </row>
    <row r="1377" spans="2:15" hidden="1" x14ac:dyDescent="0.3">
      <c r="B1377" t="s">
        <v>8</v>
      </c>
      <c r="C1377">
        <v>928</v>
      </c>
      <c r="D1377" t="s">
        <v>9</v>
      </c>
      <c r="E1377">
        <v>1202</v>
      </c>
      <c r="F1377" t="s">
        <v>20</v>
      </c>
      <c r="G1377">
        <v>938</v>
      </c>
      <c r="H1377" t="s">
        <v>11</v>
      </c>
      <c r="I1377" t="s">
        <v>5188</v>
      </c>
      <c r="J1377" t="s">
        <v>9189</v>
      </c>
      <c r="K1377">
        <v>350</v>
      </c>
      <c r="L1377">
        <v>44866</v>
      </c>
      <c r="M1377" t="s">
        <v>1404</v>
      </c>
      <c r="N1377">
        <v>350</v>
      </c>
      <c r="O1377" t="e">
        <v>#N/A</v>
      </c>
    </row>
    <row r="1378" spans="2:15" hidden="1" x14ac:dyDescent="0.3">
      <c r="B1378" t="s">
        <v>176</v>
      </c>
      <c r="C1378">
        <v>1204</v>
      </c>
      <c r="D1378" t="s">
        <v>177</v>
      </c>
      <c r="E1378">
        <v>1205</v>
      </c>
      <c r="F1378" t="s">
        <v>178</v>
      </c>
      <c r="G1378">
        <v>201073</v>
      </c>
      <c r="H1378" t="s">
        <v>11</v>
      </c>
      <c r="I1378" t="s">
        <v>5189</v>
      </c>
      <c r="J1378" t="s">
        <v>9190</v>
      </c>
      <c r="K1378">
        <v>13334730</v>
      </c>
      <c r="L1378">
        <v>44866</v>
      </c>
      <c r="M1378" t="s">
        <v>1405</v>
      </c>
      <c r="N1378">
        <v>9758320</v>
      </c>
      <c r="O1378" t="e">
        <v>#N/A</v>
      </c>
    </row>
    <row r="1379" spans="2:15" hidden="1" x14ac:dyDescent="0.3">
      <c r="B1379" t="s">
        <v>41</v>
      </c>
      <c r="C1379">
        <v>926</v>
      </c>
      <c r="D1379" t="s">
        <v>42</v>
      </c>
      <c r="E1379">
        <v>964</v>
      </c>
      <c r="F1379" t="s">
        <v>43</v>
      </c>
      <c r="G1379">
        <v>200998</v>
      </c>
      <c r="H1379" t="s">
        <v>11</v>
      </c>
      <c r="I1379" t="s">
        <v>5191</v>
      </c>
      <c r="J1379" t="s">
        <v>9191</v>
      </c>
      <c r="K1379">
        <v>9210</v>
      </c>
      <c r="L1379">
        <v>44866</v>
      </c>
      <c r="M1379" t="s">
        <v>1406</v>
      </c>
      <c r="N1379">
        <v>9210</v>
      </c>
      <c r="O1379" t="e">
        <v>#N/A</v>
      </c>
    </row>
    <row r="1380" spans="2:15" hidden="1" x14ac:dyDescent="0.3">
      <c r="B1380" t="s">
        <v>8</v>
      </c>
      <c r="C1380">
        <v>928</v>
      </c>
      <c r="D1380" t="s">
        <v>9</v>
      </c>
      <c r="E1380">
        <v>1202</v>
      </c>
      <c r="F1380" t="s">
        <v>75</v>
      </c>
      <c r="G1380">
        <v>50</v>
      </c>
      <c r="H1380" t="s">
        <v>11</v>
      </c>
      <c r="I1380" t="s">
        <v>5193</v>
      </c>
      <c r="J1380" t="s">
        <v>9192</v>
      </c>
      <c r="K1380">
        <v>141730</v>
      </c>
      <c r="L1380">
        <v>44866</v>
      </c>
      <c r="M1380" t="s">
        <v>1407</v>
      </c>
      <c r="N1380">
        <v>141730</v>
      </c>
      <c r="O1380" t="e">
        <v>#N/A</v>
      </c>
    </row>
    <row r="1381" spans="2:15" hidden="1" x14ac:dyDescent="0.3">
      <c r="B1381" t="s">
        <v>16</v>
      </c>
      <c r="C1381">
        <v>927</v>
      </c>
      <c r="D1381" t="s">
        <v>17</v>
      </c>
      <c r="E1381">
        <v>1200</v>
      </c>
      <c r="F1381" t="s">
        <v>446</v>
      </c>
      <c r="G1381">
        <v>566</v>
      </c>
      <c r="H1381" t="s">
        <v>11</v>
      </c>
      <c r="I1381" t="s">
        <v>5195</v>
      </c>
      <c r="J1381" t="s">
        <v>9193</v>
      </c>
      <c r="K1381">
        <v>5260</v>
      </c>
      <c r="L1381">
        <v>44866</v>
      </c>
      <c r="M1381" t="s">
        <v>1408</v>
      </c>
      <c r="N1381">
        <v>6180</v>
      </c>
      <c r="O1381" t="e">
        <v>#N/A</v>
      </c>
    </row>
    <row r="1382" spans="2:15" hidden="1" x14ac:dyDescent="0.3">
      <c r="B1382" t="s">
        <v>8</v>
      </c>
      <c r="C1382">
        <v>928</v>
      </c>
      <c r="D1382" t="s">
        <v>13</v>
      </c>
      <c r="E1382">
        <v>1184</v>
      </c>
      <c r="F1382" t="s">
        <v>14</v>
      </c>
      <c r="G1382">
        <v>914</v>
      </c>
      <c r="H1382" t="s">
        <v>11</v>
      </c>
      <c r="I1382" t="s">
        <v>5196</v>
      </c>
      <c r="J1382" t="s">
        <v>9194</v>
      </c>
      <c r="K1382">
        <v>67100</v>
      </c>
      <c r="L1382">
        <v>44866</v>
      </c>
      <c r="M1382" t="s">
        <v>1409</v>
      </c>
      <c r="N1382">
        <v>67100</v>
      </c>
      <c r="O1382" t="e">
        <v>#N/A</v>
      </c>
    </row>
    <row r="1383" spans="2:15" hidden="1" x14ac:dyDescent="0.3">
      <c r="B1383" t="s">
        <v>8</v>
      </c>
      <c r="C1383">
        <v>928</v>
      </c>
      <c r="D1383" t="s">
        <v>9</v>
      </c>
      <c r="E1383">
        <v>1202</v>
      </c>
      <c r="F1383" t="s">
        <v>122</v>
      </c>
      <c r="G1383">
        <v>251</v>
      </c>
      <c r="H1383" t="s">
        <v>11</v>
      </c>
      <c r="I1383" t="s">
        <v>5198</v>
      </c>
      <c r="J1383" t="s">
        <v>9195</v>
      </c>
      <c r="K1383">
        <v>3981020</v>
      </c>
      <c r="L1383">
        <v>44866</v>
      </c>
      <c r="M1383" t="s">
        <v>1410</v>
      </c>
      <c r="N1383">
        <v>3281040</v>
      </c>
      <c r="O1383" t="e">
        <v>#N/A</v>
      </c>
    </row>
    <row r="1384" spans="2:15" hidden="1" x14ac:dyDescent="0.3">
      <c r="B1384" t="s">
        <v>8</v>
      </c>
      <c r="C1384">
        <v>928</v>
      </c>
      <c r="D1384" t="s">
        <v>13</v>
      </c>
      <c r="E1384">
        <v>1184</v>
      </c>
      <c r="F1384" t="s">
        <v>217</v>
      </c>
      <c r="G1384">
        <v>201027</v>
      </c>
      <c r="H1384" t="s">
        <v>11</v>
      </c>
      <c r="I1384" t="s">
        <v>5199</v>
      </c>
      <c r="J1384" t="s">
        <v>9196</v>
      </c>
      <c r="K1384">
        <v>7210</v>
      </c>
      <c r="L1384">
        <v>44866</v>
      </c>
      <c r="M1384" t="s">
        <v>1411</v>
      </c>
      <c r="N1384">
        <v>7210</v>
      </c>
      <c r="O1384" t="e">
        <v>#N/A</v>
      </c>
    </row>
    <row r="1385" spans="2:15" hidden="1" x14ac:dyDescent="0.3">
      <c r="B1385" t="s">
        <v>8</v>
      </c>
      <c r="C1385">
        <v>928</v>
      </c>
      <c r="D1385" t="s">
        <v>9</v>
      </c>
      <c r="E1385">
        <v>1202</v>
      </c>
      <c r="F1385" t="s">
        <v>47</v>
      </c>
      <c r="G1385">
        <v>898</v>
      </c>
      <c r="H1385" t="s">
        <v>11</v>
      </c>
      <c r="I1385" t="s">
        <v>5201</v>
      </c>
      <c r="J1385" t="s">
        <v>9197</v>
      </c>
      <c r="K1385">
        <v>66420</v>
      </c>
      <c r="L1385">
        <v>44866</v>
      </c>
      <c r="M1385" t="s">
        <v>1412</v>
      </c>
      <c r="N1385">
        <v>66420</v>
      </c>
      <c r="O1385" t="e">
        <v>#N/A</v>
      </c>
    </row>
    <row r="1386" spans="2:15" hidden="1" x14ac:dyDescent="0.3">
      <c r="B1386" t="s">
        <v>8</v>
      </c>
      <c r="C1386">
        <v>928</v>
      </c>
      <c r="D1386" t="s">
        <v>13</v>
      </c>
      <c r="E1386">
        <v>1184</v>
      </c>
      <c r="F1386" t="s">
        <v>115</v>
      </c>
      <c r="G1386">
        <v>1548</v>
      </c>
      <c r="H1386" t="s">
        <v>11</v>
      </c>
      <c r="I1386" t="s">
        <v>5205</v>
      </c>
      <c r="J1386" t="s">
        <v>9198</v>
      </c>
      <c r="K1386">
        <v>1286900</v>
      </c>
      <c r="L1386">
        <v>44866</v>
      </c>
      <c r="M1386" t="s">
        <v>1413</v>
      </c>
      <c r="N1386">
        <v>1286900</v>
      </c>
      <c r="O1386" t="e">
        <v>#N/A</v>
      </c>
    </row>
    <row r="1387" spans="2:15" hidden="1" x14ac:dyDescent="0.3">
      <c r="B1387" t="s">
        <v>8</v>
      </c>
      <c r="C1387">
        <v>928</v>
      </c>
      <c r="D1387" t="s">
        <v>167</v>
      </c>
      <c r="E1387">
        <v>935</v>
      </c>
      <c r="F1387" t="s">
        <v>168</v>
      </c>
      <c r="G1387">
        <v>2</v>
      </c>
      <c r="H1387" t="s">
        <v>11</v>
      </c>
      <c r="I1387" t="s">
        <v>5207</v>
      </c>
      <c r="J1387" t="s">
        <v>9199</v>
      </c>
      <c r="K1387">
        <v>554090</v>
      </c>
      <c r="L1387">
        <v>44866</v>
      </c>
      <c r="M1387" t="s">
        <v>1414</v>
      </c>
      <c r="N1387">
        <v>554090</v>
      </c>
      <c r="O1387" t="e">
        <v>#N/A</v>
      </c>
    </row>
    <row r="1388" spans="2:15" hidden="1" x14ac:dyDescent="0.3">
      <c r="B1388" t="s">
        <v>8</v>
      </c>
      <c r="C1388">
        <v>928</v>
      </c>
      <c r="D1388" t="s">
        <v>9</v>
      </c>
      <c r="E1388">
        <v>1202</v>
      </c>
      <c r="F1388" t="s">
        <v>220</v>
      </c>
      <c r="G1388">
        <v>1211</v>
      </c>
      <c r="H1388" t="s">
        <v>11</v>
      </c>
      <c r="I1388" t="s">
        <v>5210</v>
      </c>
      <c r="J1388" t="s">
        <v>9200</v>
      </c>
      <c r="K1388">
        <v>2620260</v>
      </c>
      <c r="L1388">
        <v>44866</v>
      </c>
      <c r="M1388" t="s">
        <v>1415</v>
      </c>
      <c r="N1388">
        <v>1920280</v>
      </c>
      <c r="O1388" t="e">
        <v>#N/A</v>
      </c>
    </row>
    <row r="1389" spans="2:15" hidden="1" x14ac:dyDescent="0.3">
      <c r="B1389" t="s">
        <v>8</v>
      </c>
      <c r="C1389">
        <v>928</v>
      </c>
      <c r="D1389" t="s">
        <v>13</v>
      </c>
      <c r="E1389">
        <v>1184</v>
      </c>
      <c r="F1389" t="s">
        <v>14</v>
      </c>
      <c r="G1389">
        <v>914</v>
      </c>
      <c r="H1389" t="s">
        <v>11</v>
      </c>
      <c r="I1389" t="s">
        <v>5211</v>
      </c>
      <c r="J1389" t="s">
        <v>9201</v>
      </c>
      <c r="K1389">
        <v>112430</v>
      </c>
      <c r="L1389">
        <v>44866</v>
      </c>
      <c r="M1389" t="s">
        <v>1416</v>
      </c>
      <c r="N1389">
        <v>112430</v>
      </c>
      <c r="O1389" t="e">
        <v>#N/A</v>
      </c>
    </row>
    <row r="1390" spans="2:15" hidden="1" x14ac:dyDescent="0.3">
      <c r="B1390" t="s">
        <v>8</v>
      </c>
      <c r="C1390">
        <v>928</v>
      </c>
      <c r="D1390" t="s">
        <v>9</v>
      </c>
      <c r="E1390">
        <v>1202</v>
      </c>
      <c r="F1390" t="s">
        <v>39</v>
      </c>
      <c r="G1390">
        <v>25</v>
      </c>
      <c r="H1390" t="s">
        <v>11</v>
      </c>
      <c r="I1390" t="s">
        <v>5213</v>
      </c>
      <c r="J1390" t="s">
        <v>9202</v>
      </c>
      <c r="K1390">
        <v>7764180</v>
      </c>
      <c r="L1390">
        <v>44866</v>
      </c>
      <c r="M1390" t="s">
        <v>1417</v>
      </c>
      <c r="N1390">
        <v>7826990</v>
      </c>
      <c r="O1390" t="e">
        <v>#N/A</v>
      </c>
    </row>
    <row r="1391" spans="2:15" hidden="1" x14ac:dyDescent="0.3">
      <c r="B1391" t="s">
        <v>16</v>
      </c>
      <c r="C1391">
        <v>927</v>
      </c>
      <c r="D1391" t="s">
        <v>17</v>
      </c>
      <c r="E1391">
        <v>1200</v>
      </c>
      <c r="F1391" t="s">
        <v>78</v>
      </c>
      <c r="G1391">
        <v>57</v>
      </c>
      <c r="H1391" t="s">
        <v>11</v>
      </c>
      <c r="I1391" t="s">
        <v>5215</v>
      </c>
      <c r="J1391" t="s">
        <v>9203</v>
      </c>
      <c r="K1391">
        <v>947750</v>
      </c>
      <c r="L1391">
        <v>44866</v>
      </c>
      <c r="M1391" t="s">
        <v>1418</v>
      </c>
      <c r="N1391">
        <v>947750</v>
      </c>
      <c r="O1391" t="e">
        <v>#N/A</v>
      </c>
    </row>
    <row r="1392" spans="2:15" hidden="1" x14ac:dyDescent="0.3">
      <c r="B1392" t="s">
        <v>8</v>
      </c>
      <c r="C1392">
        <v>928</v>
      </c>
      <c r="D1392" t="s">
        <v>9</v>
      </c>
      <c r="E1392">
        <v>1202</v>
      </c>
      <c r="F1392" t="s">
        <v>31</v>
      </c>
      <c r="G1392">
        <v>1040</v>
      </c>
      <c r="H1392" t="s">
        <v>11</v>
      </c>
      <c r="I1392" t="s">
        <v>5218</v>
      </c>
      <c r="J1392" t="s">
        <v>9204</v>
      </c>
      <c r="K1392">
        <v>249995</v>
      </c>
      <c r="L1392">
        <v>44866</v>
      </c>
      <c r="M1392" t="s">
        <v>1419</v>
      </c>
      <c r="N1392">
        <v>0</v>
      </c>
      <c r="O1392" t="e">
        <v>#N/A</v>
      </c>
    </row>
    <row r="1393" spans="2:15" hidden="1" x14ac:dyDescent="0.3">
      <c r="B1393" t="s">
        <v>8</v>
      </c>
      <c r="C1393">
        <v>928</v>
      </c>
      <c r="D1393" t="s">
        <v>9</v>
      </c>
      <c r="E1393">
        <v>1202</v>
      </c>
      <c r="F1393" t="s">
        <v>75</v>
      </c>
      <c r="G1393">
        <v>50</v>
      </c>
      <c r="H1393" t="s">
        <v>11</v>
      </c>
      <c r="I1393" t="s">
        <v>5219</v>
      </c>
      <c r="J1393" t="s">
        <v>9205</v>
      </c>
      <c r="K1393">
        <v>1610130</v>
      </c>
      <c r="L1393">
        <v>44866</v>
      </c>
      <c r="M1393" t="s">
        <v>1420</v>
      </c>
      <c r="N1393">
        <v>1610130</v>
      </c>
      <c r="O1393" t="e">
        <v>#N/A</v>
      </c>
    </row>
    <row r="1394" spans="2:15" hidden="1" x14ac:dyDescent="0.3">
      <c r="B1394" t="s">
        <v>41</v>
      </c>
      <c r="C1394">
        <v>926</v>
      </c>
      <c r="D1394" t="s">
        <v>56</v>
      </c>
      <c r="E1394">
        <v>1207</v>
      </c>
      <c r="F1394" t="s">
        <v>62</v>
      </c>
      <c r="G1394">
        <v>201037</v>
      </c>
      <c r="H1394" t="s">
        <v>11</v>
      </c>
      <c r="I1394" t="s">
        <v>5221</v>
      </c>
      <c r="J1394" t="s">
        <v>9206</v>
      </c>
      <c r="K1394">
        <v>2548291</v>
      </c>
      <c r="L1394">
        <v>44866</v>
      </c>
      <c r="M1394" t="s">
        <v>1421</v>
      </c>
      <c r="N1394">
        <v>1001650</v>
      </c>
      <c r="O1394" t="e">
        <v>#N/A</v>
      </c>
    </row>
    <row r="1395" spans="2:15" hidden="1" x14ac:dyDescent="0.3">
      <c r="B1395" t="s">
        <v>16</v>
      </c>
      <c r="C1395">
        <v>927</v>
      </c>
      <c r="D1395" t="s">
        <v>17</v>
      </c>
      <c r="E1395">
        <v>1200</v>
      </c>
      <c r="F1395" t="s">
        <v>244</v>
      </c>
      <c r="G1395">
        <v>817</v>
      </c>
      <c r="H1395" t="s">
        <v>11</v>
      </c>
      <c r="I1395" t="s">
        <v>5224</v>
      </c>
      <c r="J1395" t="s">
        <v>9207</v>
      </c>
      <c r="K1395">
        <v>6430</v>
      </c>
      <c r="L1395">
        <v>44866</v>
      </c>
      <c r="M1395" t="s">
        <v>1422</v>
      </c>
      <c r="N1395">
        <v>6430</v>
      </c>
      <c r="O1395" t="e">
        <v>#N/A</v>
      </c>
    </row>
    <row r="1396" spans="2:15" hidden="1" x14ac:dyDescent="0.3">
      <c r="B1396" t="s">
        <v>8</v>
      </c>
      <c r="C1396">
        <v>928</v>
      </c>
      <c r="D1396" t="s">
        <v>13</v>
      </c>
      <c r="E1396">
        <v>1184</v>
      </c>
      <c r="F1396" t="s">
        <v>59</v>
      </c>
      <c r="G1396">
        <v>9</v>
      </c>
      <c r="H1396" t="s">
        <v>11</v>
      </c>
      <c r="I1396" t="s">
        <v>5228</v>
      </c>
      <c r="J1396" t="s">
        <v>9208</v>
      </c>
      <c r="K1396">
        <v>890</v>
      </c>
      <c r="L1396">
        <v>44866</v>
      </c>
      <c r="M1396" t="s">
        <v>1423</v>
      </c>
      <c r="N1396">
        <v>890</v>
      </c>
      <c r="O1396" t="e">
        <v>#N/A</v>
      </c>
    </row>
    <row r="1397" spans="2:15" hidden="1" x14ac:dyDescent="0.3">
      <c r="B1397" t="s">
        <v>8</v>
      </c>
      <c r="C1397">
        <v>928</v>
      </c>
      <c r="D1397" t="s">
        <v>13</v>
      </c>
      <c r="E1397">
        <v>1184</v>
      </c>
      <c r="F1397" t="s">
        <v>59</v>
      </c>
      <c r="G1397">
        <v>9</v>
      </c>
      <c r="H1397" t="s">
        <v>11</v>
      </c>
      <c r="I1397" t="s">
        <v>5229</v>
      </c>
      <c r="J1397" t="s">
        <v>9209</v>
      </c>
      <c r="K1397">
        <v>490</v>
      </c>
      <c r="L1397">
        <v>44866</v>
      </c>
      <c r="M1397" t="s">
        <v>1424</v>
      </c>
      <c r="N1397">
        <v>490</v>
      </c>
      <c r="O1397" t="e">
        <v>#N/A</v>
      </c>
    </row>
    <row r="1398" spans="2:15" hidden="1" x14ac:dyDescent="0.3">
      <c r="B1398" t="s">
        <v>8</v>
      </c>
      <c r="C1398">
        <v>928</v>
      </c>
      <c r="D1398" t="s">
        <v>9</v>
      </c>
      <c r="E1398">
        <v>1202</v>
      </c>
      <c r="F1398" t="s">
        <v>39</v>
      </c>
      <c r="G1398">
        <v>25</v>
      </c>
      <c r="H1398" t="s">
        <v>11</v>
      </c>
      <c r="I1398" t="s">
        <v>5230</v>
      </c>
      <c r="J1398" t="s">
        <v>9210</v>
      </c>
      <c r="K1398">
        <v>861300</v>
      </c>
      <c r="L1398">
        <v>44866</v>
      </c>
      <c r="M1398" t="s">
        <v>1425</v>
      </c>
      <c r="N1398">
        <v>861300</v>
      </c>
      <c r="O1398" t="e">
        <v>#N/A</v>
      </c>
    </row>
    <row r="1399" spans="2:15" hidden="1" x14ac:dyDescent="0.3">
      <c r="B1399" t="s">
        <v>41</v>
      </c>
      <c r="C1399">
        <v>926</v>
      </c>
      <c r="D1399" t="s">
        <v>56</v>
      </c>
      <c r="E1399">
        <v>1207</v>
      </c>
      <c r="F1399" t="s">
        <v>57</v>
      </c>
      <c r="G1399">
        <v>200982</v>
      </c>
      <c r="H1399" t="s">
        <v>11</v>
      </c>
      <c r="I1399" t="s">
        <v>5233</v>
      </c>
      <c r="J1399" t="s">
        <v>9211</v>
      </c>
      <c r="K1399">
        <v>1680</v>
      </c>
      <c r="L1399">
        <v>44866</v>
      </c>
      <c r="M1399" t="s">
        <v>1426</v>
      </c>
      <c r="N1399">
        <v>1680</v>
      </c>
      <c r="O1399" t="e">
        <v>#N/A</v>
      </c>
    </row>
    <row r="1400" spans="2:15" hidden="1" x14ac:dyDescent="0.3">
      <c r="B1400" t="s">
        <v>8</v>
      </c>
      <c r="C1400">
        <v>928</v>
      </c>
      <c r="D1400" t="s">
        <v>9</v>
      </c>
      <c r="E1400">
        <v>1202</v>
      </c>
      <c r="F1400" t="s">
        <v>20</v>
      </c>
      <c r="G1400">
        <v>938</v>
      </c>
      <c r="H1400" t="s">
        <v>11</v>
      </c>
      <c r="I1400" t="s">
        <v>5234</v>
      </c>
      <c r="J1400" t="s">
        <v>9212</v>
      </c>
      <c r="K1400">
        <v>260</v>
      </c>
      <c r="L1400">
        <v>44866</v>
      </c>
      <c r="M1400" t="s">
        <v>1427</v>
      </c>
      <c r="N1400">
        <v>260</v>
      </c>
      <c r="O1400" t="e">
        <v>#N/A</v>
      </c>
    </row>
    <row r="1401" spans="2:15" hidden="1" x14ac:dyDescent="0.3">
      <c r="B1401" t="s">
        <v>16</v>
      </c>
      <c r="C1401">
        <v>927</v>
      </c>
      <c r="D1401" t="s">
        <v>17</v>
      </c>
      <c r="E1401">
        <v>1200</v>
      </c>
      <c r="F1401" t="s">
        <v>262</v>
      </c>
      <c r="G1401">
        <v>1594</v>
      </c>
      <c r="H1401" t="s">
        <v>11</v>
      </c>
      <c r="I1401" t="s">
        <v>5236</v>
      </c>
      <c r="J1401" t="s">
        <v>9213</v>
      </c>
      <c r="K1401">
        <v>127570</v>
      </c>
      <c r="L1401">
        <v>44866</v>
      </c>
      <c r="M1401" t="s">
        <v>1428</v>
      </c>
      <c r="N1401">
        <v>184270</v>
      </c>
      <c r="O1401" t="e">
        <v>#N/A</v>
      </c>
    </row>
    <row r="1402" spans="2:15" hidden="1" x14ac:dyDescent="0.3">
      <c r="B1402" t="s">
        <v>41</v>
      </c>
      <c r="C1402">
        <v>926</v>
      </c>
      <c r="D1402" t="s">
        <v>56</v>
      </c>
      <c r="E1402">
        <v>1207</v>
      </c>
      <c r="F1402" t="s">
        <v>62</v>
      </c>
      <c r="G1402">
        <v>201037</v>
      </c>
      <c r="H1402" t="s">
        <v>11</v>
      </c>
      <c r="I1402" t="s">
        <v>5237</v>
      </c>
      <c r="J1402" t="s">
        <v>9214</v>
      </c>
      <c r="K1402">
        <v>2596560</v>
      </c>
      <c r="L1402">
        <v>44866</v>
      </c>
      <c r="M1402" t="s">
        <v>1429</v>
      </c>
      <c r="N1402">
        <v>2596560</v>
      </c>
      <c r="O1402" t="e">
        <v>#N/A</v>
      </c>
    </row>
    <row r="1403" spans="2:15" hidden="1" x14ac:dyDescent="0.3">
      <c r="B1403" t="s">
        <v>8</v>
      </c>
      <c r="C1403">
        <v>928</v>
      </c>
      <c r="D1403" t="s">
        <v>9</v>
      </c>
      <c r="E1403">
        <v>1202</v>
      </c>
      <c r="F1403" t="s">
        <v>122</v>
      </c>
      <c r="G1403">
        <v>251</v>
      </c>
      <c r="H1403" t="s">
        <v>11</v>
      </c>
      <c r="I1403" t="s">
        <v>5243</v>
      </c>
      <c r="J1403" t="s">
        <v>9215</v>
      </c>
      <c r="K1403">
        <v>870</v>
      </c>
      <c r="L1403">
        <v>44866</v>
      </c>
      <c r="M1403" t="s">
        <v>1430</v>
      </c>
      <c r="N1403">
        <v>870</v>
      </c>
      <c r="O1403" t="e">
        <v>#N/A</v>
      </c>
    </row>
    <row r="1404" spans="2:15" hidden="1" x14ac:dyDescent="0.3">
      <c r="B1404" t="s">
        <v>16</v>
      </c>
      <c r="C1404">
        <v>927</v>
      </c>
      <c r="D1404" t="s">
        <v>17</v>
      </c>
      <c r="E1404">
        <v>1200</v>
      </c>
      <c r="F1404" t="s">
        <v>100</v>
      </c>
      <c r="G1404">
        <v>201038</v>
      </c>
      <c r="H1404" t="s">
        <v>11</v>
      </c>
      <c r="I1404" t="s">
        <v>5244</v>
      </c>
      <c r="J1404" t="s">
        <v>9216</v>
      </c>
      <c r="K1404">
        <v>1987550</v>
      </c>
      <c r="L1404">
        <v>44866</v>
      </c>
      <c r="M1404" t="s">
        <v>1431</v>
      </c>
      <c r="N1404">
        <v>1987550</v>
      </c>
      <c r="O1404" t="e">
        <v>#N/A</v>
      </c>
    </row>
    <row r="1405" spans="2:15" hidden="1" x14ac:dyDescent="0.3">
      <c r="B1405" t="s">
        <v>8</v>
      </c>
      <c r="C1405">
        <v>928</v>
      </c>
      <c r="D1405" t="s">
        <v>13</v>
      </c>
      <c r="E1405">
        <v>1184</v>
      </c>
      <c r="F1405" t="s">
        <v>59</v>
      </c>
      <c r="G1405">
        <v>9</v>
      </c>
      <c r="H1405" t="s">
        <v>11</v>
      </c>
      <c r="I1405" t="s">
        <v>5245</v>
      </c>
      <c r="J1405" t="s">
        <v>9217</v>
      </c>
      <c r="K1405">
        <v>210</v>
      </c>
      <c r="L1405">
        <v>44866</v>
      </c>
      <c r="M1405" t="s">
        <v>1432</v>
      </c>
      <c r="N1405">
        <v>210</v>
      </c>
      <c r="O1405" t="e">
        <v>#N/A</v>
      </c>
    </row>
    <row r="1406" spans="2:15" hidden="1" x14ac:dyDescent="0.3">
      <c r="B1406" t="s">
        <v>8</v>
      </c>
      <c r="C1406">
        <v>928</v>
      </c>
      <c r="D1406" t="s">
        <v>9</v>
      </c>
      <c r="E1406">
        <v>1202</v>
      </c>
      <c r="F1406" t="s">
        <v>37</v>
      </c>
      <c r="G1406">
        <v>81</v>
      </c>
      <c r="H1406" t="s">
        <v>11</v>
      </c>
      <c r="I1406" t="s">
        <v>5246</v>
      </c>
      <c r="J1406" t="s">
        <v>9218</v>
      </c>
      <c r="K1406">
        <v>3640</v>
      </c>
      <c r="L1406">
        <v>44866</v>
      </c>
      <c r="M1406" t="s">
        <v>1433</v>
      </c>
      <c r="N1406">
        <v>3640</v>
      </c>
      <c r="O1406" t="e">
        <v>#N/A</v>
      </c>
    </row>
    <row r="1407" spans="2:15" hidden="1" x14ac:dyDescent="0.3">
      <c r="B1407" t="s">
        <v>8</v>
      </c>
      <c r="C1407">
        <v>928</v>
      </c>
      <c r="D1407" t="s">
        <v>9</v>
      </c>
      <c r="E1407">
        <v>1202</v>
      </c>
      <c r="F1407" t="s">
        <v>35</v>
      </c>
      <c r="G1407">
        <v>51</v>
      </c>
      <c r="H1407" t="s">
        <v>11</v>
      </c>
      <c r="I1407" t="s">
        <v>5247</v>
      </c>
      <c r="J1407" t="s">
        <v>9219</v>
      </c>
      <c r="K1407">
        <v>19730</v>
      </c>
      <c r="L1407">
        <v>44866</v>
      </c>
      <c r="M1407" t="s">
        <v>1434</v>
      </c>
      <c r="N1407">
        <v>19730</v>
      </c>
      <c r="O1407" t="e">
        <v>#N/A</v>
      </c>
    </row>
    <row r="1408" spans="2:15" hidden="1" x14ac:dyDescent="0.3">
      <c r="B1408" t="s">
        <v>16</v>
      </c>
      <c r="C1408">
        <v>927</v>
      </c>
      <c r="D1408" t="s">
        <v>17</v>
      </c>
      <c r="E1408">
        <v>1200</v>
      </c>
      <c r="F1408" t="s">
        <v>93</v>
      </c>
      <c r="G1408">
        <v>930</v>
      </c>
      <c r="H1408" t="s">
        <v>11</v>
      </c>
      <c r="I1408" t="s">
        <v>5250</v>
      </c>
      <c r="J1408" t="s">
        <v>9220</v>
      </c>
      <c r="K1408">
        <v>958310</v>
      </c>
      <c r="L1408">
        <v>44866</v>
      </c>
      <c r="M1408" t="s">
        <v>1435</v>
      </c>
      <c r="N1408">
        <v>958310</v>
      </c>
      <c r="O1408" t="e">
        <v>#N/A</v>
      </c>
    </row>
    <row r="1409" spans="2:15" hidden="1" x14ac:dyDescent="0.3">
      <c r="B1409" t="s">
        <v>41</v>
      </c>
      <c r="C1409">
        <v>926</v>
      </c>
      <c r="D1409" t="s">
        <v>56</v>
      </c>
      <c r="E1409">
        <v>1207</v>
      </c>
      <c r="F1409" t="s">
        <v>57</v>
      </c>
      <c r="G1409">
        <v>200982</v>
      </c>
      <c r="H1409" t="s">
        <v>11</v>
      </c>
      <c r="I1409" t="s">
        <v>5251</v>
      </c>
      <c r="J1409" t="s">
        <v>9221</v>
      </c>
      <c r="K1409">
        <v>17185330</v>
      </c>
      <c r="L1409">
        <v>44866</v>
      </c>
      <c r="M1409" t="s">
        <v>1436</v>
      </c>
      <c r="N1409">
        <v>15285350</v>
      </c>
      <c r="O1409" t="e">
        <v>#N/A</v>
      </c>
    </row>
    <row r="1410" spans="2:15" hidden="1" x14ac:dyDescent="0.3">
      <c r="B1410" t="s">
        <v>8</v>
      </c>
      <c r="C1410">
        <v>928</v>
      </c>
      <c r="D1410" t="s">
        <v>9</v>
      </c>
      <c r="E1410">
        <v>1202</v>
      </c>
      <c r="F1410" t="s">
        <v>39</v>
      </c>
      <c r="G1410">
        <v>25</v>
      </c>
      <c r="H1410" t="s">
        <v>11</v>
      </c>
      <c r="I1410" t="s">
        <v>5264</v>
      </c>
      <c r="J1410" t="s">
        <v>9222</v>
      </c>
      <c r="K1410">
        <v>6902630</v>
      </c>
      <c r="L1410">
        <v>44866</v>
      </c>
      <c r="M1410" t="s">
        <v>1437</v>
      </c>
      <c r="N1410">
        <v>6902630</v>
      </c>
      <c r="O1410" t="e">
        <v>#N/A</v>
      </c>
    </row>
    <row r="1411" spans="2:15" hidden="1" x14ac:dyDescent="0.3">
      <c r="B1411" t="s">
        <v>16</v>
      </c>
      <c r="C1411">
        <v>927</v>
      </c>
      <c r="D1411" t="s">
        <v>17</v>
      </c>
      <c r="E1411">
        <v>1200</v>
      </c>
      <c r="F1411" t="s">
        <v>29</v>
      </c>
      <c r="G1411">
        <v>1496</v>
      </c>
      <c r="H1411" t="s">
        <v>11</v>
      </c>
      <c r="I1411" t="s">
        <v>5267</v>
      </c>
      <c r="J1411" t="s">
        <v>9223</v>
      </c>
      <c r="K1411">
        <v>14802580</v>
      </c>
      <c r="L1411">
        <v>44866</v>
      </c>
      <c r="M1411" t="s">
        <v>1438</v>
      </c>
      <c r="N1411">
        <v>14802580</v>
      </c>
      <c r="O1411" t="e">
        <v>#N/A</v>
      </c>
    </row>
    <row r="1412" spans="2:15" hidden="1" x14ac:dyDescent="0.3">
      <c r="B1412" t="s">
        <v>8</v>
      </c>
      <c r="C1412">
        <v>928</v>
      </c>
      <c r="D1412" t="s">
        <v>9</v>
      </c>
      <c r="E1412">
        <v>1202</v>
      </c>
      <c r="F1412" t="s">
        <v>110</v>
      </c>
      <c r="G1412">
        <v>929</v>
      </c>
      <c r="H1412" t="s">
        <v>11</v>
      </c>
      <c r="I1412" t="s">
        <v>5268</v>
      </c>
      <c r="J1412" t="s">
        <v>9224</v>
      </c>
      <c r="K1412">
        <v>3000510</v>
      </c>
      <c r="L1412">
        <v>44866</v>
      </c>
      <c r="M1412" t="s">
        <v>1439</v>
      </c>
      <c r="N1412">
        <v>3000510</v>
      </c>
      <c r="O1412" t="e">
        <v>#N/A</v>
      </c>
    </row>
    <row r="1413" spans="2:15" hidden="1" x14ac:dyDescent="0.3">
      <c r="B1413" t="s">
        <v>8</v>
      </c>
      <c r="C1413">
        <v>928</v>
      </c>
      <c r="D1413" t="s">
        <v>9</v>
      </c>
      <c r="E1413">
        <v>1202</v>
      </c>
      <c r="F1413" t="s">
        <v>73</v>
      </c>
      <c r="G1413">
        <v>895</v>
      </c>
      <c r="H1413" t="s">
        <v>11</v>
      </c>
      <c r="I1413" t="s">
        <v>5270</v>
      </c>
      <c r="J1413" t="s">
        <v>9225</v>
      </c>
      <c r="K1413">
        <v>11160</v>
      </c>
      <c r="L1413">
        <v>44866</v>
      </c>
      <c r="M1413" t="s">
        <v>1440</v>
      </c>
      <c r="N1413">
        <v>11160</v>
      </c>
      <c r="O1413" t="e">
        <v>#N/A</v>
      </c>
    </row>
    <row r="1414" spans="2:15" hidden="1" x14ac:dyDescent="0.3">
      <c r="B1414" t="s">
        <v>8</v>
      </c>
      <c r="C1414">
        <v>928</v>
      </c>
      <c r="D1414" t="s">
        <v>13</v>
      </c>
      <c r="E1414">
        <v>1184</v>
      </c>
      <c r="F1414" t="s">
        <v>51</v>
      </c>
      <c r="G1414">
        <v>1274</v>
      </c>
      <c r="H1414" t="s">
        <v>11</v>
      </c>
      <c r="I1414" t="s">
        <v>5271</v>
      </c>
      <c r="J1414" t="s">
        <v>9226</v>
      </c>
      <c r="K1414">
        <v>1020</v>
      </c>
      <c r="L1414">
        <v>44866</v>
      </c>
      <c r="M1414" t="s">
        <v>1441</v>
      </c>
      <c r="N1414">
        <v>1020</v>
      </c>
      <c r="O1414" t="e">
        <v>#N/A</v>
      </c>
    </row>
    <row r="1415" spans="2:15" hidden="1" x14ac:dyDescent="0.3">
      <c r="B1415" t="s">
        <v>8</v>
      </c>
      <c r="C1415">
        <v>928</v>
      </c>
      <c r="D1415" t="s">
        <v>9</v>
      </c>
      <c r="E1415">
        <v>1202</v>
      </c>
      <c r="F1415" t="s">
        <v>33</v>
      </c>
      <c r="G1415">
        <v>933</v>
      </c>
      <c r="H1415" t="s">
        <v>11</v>
      </c>
      <c r="I1415" t="s">
        <v>5278</v>
      </c>
      <c r="J1415" t="s">
        <v>9227</v>
      </c>
      <c r="K1415">
        <v>6865560</v>
      </c>
      <c r="L1415">
        <v>44866</v>
      </c>
      <c r="M1415" t="s">
        <v>1442</v>
      </c>
      <c r="N1415">
        <v>4965580</v>
      </c>
      <c r="O1415" t="e">
        <v>#N/A</v>
      </c>
    </row>
    <row r="1416" spans="2:15" hidden="1" x14ac:dyDescent="0.3">
      <c r="B1416" t="s">
        <v>8</v>
      </c>
      <c r="C1416">
        <v>928</v>
      </c>
      <c r="D1416" t="s">
        <v>9</v>
      </c>
      <c r="E1416">
        <v>1202</v>
      </c>
      <c r="F1416" t="s">
        <v>73</v>
      </c>
      <c r="G1416">
        <v>895</v>
      </c>
      <c r="H1416" t="s">
        <v>11</v>
      </c>
      <c r="I1416" t="s">
        <v>5285</v>
      </c>
      <c r="J1416" t="s">
        <v>9228</v>
      </c>
      <c r="K1416">
        <v>13583940</v>
      </c>
      <c r="L1416">
        <v>44866</v>
      </c>
      <c r="M1416" t="s">
        <v>1443</v>
      </c>
      <c r="N1416">
        <v>13583940</v>
      </c>
      <c r="O1416" t="e">
        <v>#N/A</v>
      </c>
    </row>
    <row r="1417" spans="2:15" hidden="1" x14ac:dyDescent="0.3">
      <c r="B1417" t="s">
        <v>8</v>
      </c>
      <c r="C1417">
        <v>928</v>
      </c>
      <c r="D1417" t="s">
        <v>13</v>
      </c>
      <c r="E1417">
        <v>1184</v>
      </c>
      <c r="F1417" t="s">
        <v>51</v>
      </c>
      <c r="G1417">
        <v>1274</v>
      </c>
      <c r="H1417" t="s">
        <v>11</v>
      </c>
      <c r="I1417" t="s">
        <v>5289</v>
      </c>
      <c r="J1417" t="s">
        <v>9229</v>
      </c>
      <c r="K1417">
        <v>63760</v>
      </c>
      <c r="L1417">
        <v>44866</v>
      </c>
      <c r="M1417" t="s">
        <v>1444</v>
      </c>
      <c r="N1417">
        <v>63760</v>
      </c>
      <c r="O1417" t="e">
        <v>#N/A</v>
      </c>
    </row>
    <row r="1418" spans="2:15" hidden="1" x14ac:dyDescent="0.3">
      <c r="B1418" t="s">
        <v>8</v>
      </c>
      <c r="C1418">
        <v>928</v>
      </c>
      <c r="D1418" t="s">
        <v>13</v>
      </c>
      <c r="E1418">
        <v>1184</v>
      </c>
      <c r="F1418" t="s">
        <v>115</v>
      </c>
      <c r="G1418">
        <v>1548</v>
      </c>
      <c r="H1418" t="s">
        <v>11</v>
      </c>
      <c r="I1418" t="s">
        <v>5291</v>
      </c>
      <c r="J1418" t="s">
        <v>9230</v>
      </c>
      <c r="K1418">
        <v>4990</v>
      </c>
      <c r="L1418">
        <v>44866</v>
      </c>
      <c r="M1418" t="s">
        <v>1445</v>
      </c>
      <c r="N1418">
        <v>4990</v>
      </c>
      <c r="O1418" t="e">
        <v>#N/A</v>
      </c>
    </row>
    <row r="1419" spans="2:15" hidden="1" x14ac:dyDescent="0.3">
      <c r="B1419" t="s">
        <v>41</v>
      </c>
      <c r="C1419">
        <v>926</v>
      </c>
      <c r="D1419" t="s">
        <v>56</v>
      </c>
      <c r="E1419">
        <v>1207</v>
      </c>
      <c r="F1419" t="s">
        <v>62</v>
      </c>
      <c r="G1419">
        <v>201037</v>
      </c>
      <c r="H1419" t="s">
        <v>11</v>
      </c>
      <c r="I1419" t="s">
        <v>5292</v>
      </c>
      <c r="J1419" t="s">
        <v>9231</v>
      </c>
      <c r="K1419">
        <v>690</v>
      </c>
      <c r="L1419">
        <v>44866</v>
      </c>
      <c r="M1419" t="s">
        <v>1446</v>
      </c>
      <c r="N1419">
        <v>690</v>
      </c>
      <c r="O1419" t="e">
        <v>#N/A</v>
      </c>
    </row>
    <row r="1420" spans="2:15" hidden="1" x14ac:dyDescent="0.3">
      <c r="B1420" t="s">
        <v>8</v>
      </c>
      <c r="C1420">
        <v>928</v>
      </c>
      <c r="D1420" t="s">
        <v>9</v>
      </c>
      <c r="E1420">
        <v>1202</v>
      </c>
      <c r="F1420" t="s">
        <v>10</v>
      </c>
      <c r="G1420">
        <v>939</v>
      </c>
      <c r="H1420" t="s">
        <v>11</v>
      </c>
      <c r="I1420" t="s">
        <v>5294</v>
      </c>
      <c r="J1420" t="s">
        <v>9232</v>
      </c>
      <c r="K1420">
        <v>68290</v>
      </c>
      <c r="L1420">
        <v>44866</v>
      </c>
      <c r="M1420" t="s">
        <v>1447</v>
      </c>
      <c r="N1420">
        <v>68290</v>
      </c>
      <c r="O1420" t="e">
        <v>#N/A</v>
      </c>
    </row>
    <row r="1421" spans="2:15" hidden="1" x14ac:dyDescent="0.3">
      <c r="B1421" t="s">
        <v>16</v>
      </c>
      <c r="C1421">
        <v>927</v>
      </c>
      <c r="D1421" t="s">
        <v>17</v>
      </c>
      <c r="E1421">
        <v>1200</v>
      </c>
      <c r="F1421" t="s">
        <v>244</v>
      </c>
      <c r="G1421">
        <v>817</v>
      </c>
      <c r="H1421" t="s">
        <v>11</v>
      </c>
      <c r="I1421" t="s">
        <v>5296</v>
      </c>
      <c r="J1421" t="s">
        <v>9233</v>
      </c>
      <c r="K1421">
        <v>4040</v>
      </c>
      <c r="L1421">
        <v>44866</v>
      </c>
      <c r="M1421" t="s">
        <v>1448</v>
      </c>
      <c r="N1421">
        <v>4040</v>
      </c>
      <c r="O1421" t="e">
        <v>#N/A</v>
      </c>
    </row>
    <row r="1422" spans="2:15" hidden="1" x14ac:dyDescent="0.3">
      <c r="B1422" t="s">
        <v>8</v>
      </c>
      <c r="C1422">
        <v>928</v>
      </c>
      <c r="D1422" t="s">
        <v>9</v>
      </c>
      <c r="E1422">
        <v>1202</v>
      </c>
      <c r="F1422" t="s">
        <v>27</v>
      </c>
      <c r="G1422">
        <v>806</v>
      </c>
      <c r="H1422" t="s">
        <v>11</v>
      </c>
      <c r="I1422" t="s">
        <v>5299</v>
      </c>
      <c r="J1422" t="s">
        <v>9234</v>
      </c>
      <c r="K1422">
        <v>3542610</v>
      </c>
      <c r="L1422">
        <v>44866</v>
      </c>
      <c r="M1422" t="s">
        <v>1449</v>
      </c>
      <c r="N1422">
        <v>3550530</v>
      </c>
      <c r="O1422" t="e">
        <v>#N/A</v>
      </c>
    </row>
    <row r="1423" spans="2:15" hidden="1" x14ac:dyDescent="0.3">
      <c r="B1423" t="s">
        <v>8</v>
      </c>
      <c r="C1423">
        <v>928</v>
      </c>
      <c r="D1423" t="s">
        <v>13</v>
      </c>
      <c r="E1423">
        <v>1184</v>
      </c>
      <c r="F1423" t="s">
        <v>14</v>
      </c>
      <c r="G1423">
        <v>914</v>
      </c>
      <c r="H1423" t="s">
        <v>11</v>
      </c>
      <c r="I1423" t="s">
        <v>5300</v>
      </c>
      <c r="J1423" t="s">
        <v>9235</v>
      </c>
      <c r="K1423">
        <v>139900</v>
      </c>
      <c r="L1423">
        <v>44866</v>
      </c>
      <c r="M1423" t="s">
        <v>1450</v>
      </c>
      <c r="N1423">
        <v>139900</v>
      </c>
      <c r="O1423" t="e">
        <v>#N/A</v>
      </c>
    </row>
    <row r="1424" spans="2:15" hidden="1" x14ac:dyDescent="0.3">
      <c r="B1424" t="s">
        <v>41</v>
      </c>
      <c r="C1424">
        <v>926</v>
      </c>
      <c r="D1424" t="s">
        <v>42</v>
      </c>
      <c r="E1424">
        <v>964</v>
      </c>
      <c r="F1424" t="s">
        <v>43</v>
      </c>
      <c r="G1424">
        <v>200998</v>
      </c>
      <c r="H1424" t="s">
        <v>11</v>
      </c>
      <c r="I1424" t="s">
        <v>5303</v>
      </c>
      <c r="J1424" t="s">
        <v>7077</v>
      </c>
      <c r="K1424">
        <v>46150</v>
      </c>
      <c r="L1424">
        <v>44866</v>
      </c>
      <c r="M1424" t="s">
        <v>1451</v>
      </c>
      <c r="N1424">
        <v>46150</v>
      </c>
      <c r="O1424" t="s">
        <v>7078</v>
      </c>
    </row>
    <row r="1425" spans="2:15" hidden="1" x14ac:dyDescent="0.3">
      <c r="B1425" t="s">
        <v>8</v>
      </c>
      <c r="C1425">
        <v>928</v>
      </c>
      <c r="D1425" t="s">
        <v>9</v>
      </c>
      <c r="E1425">
        <v>1202</v>
      </c>
      <c r="F1425" t="s">
        <v>20</v>
      </c>
      <c r="G1425">
        <v>938</v>
      </c>
      <c r="H1425" t="s">
        <v>11</v>
      </c>
      <c r="I1425" t="s">
        <v>5305</v>
      </c>
      <c r="J1425" t="s">
        <v>9236</v>
      </c>
      <c r="K1425">
        <v>567740</v>
      </c>
      <c r="L1425">
        <v>44866</v>
      </c>
      <c r="M1425" t="s">
        <v>1452</v>
      </c>
      <c r="N1425">
        <v>567740</v>
      </c>
      <c r="O1425" t="e">
        <v>#N/A</v>
      </c>
    </row>
    <row r="1426" spans="2:15" hidden="1" x14ac:dyDescent="0.3">
      <c r="B1426" t="s">
        <v>8</v>
      </c>
      <c r="C1426">
        <v>928</v>
      </c>
      <c r="D1426" t="s">
        <v>9</v>
      </c>
      <c r="E1426">
        <v>1202</v>
      </c>
      <c r="F1426" t="s">
        <v>35</v>
      </c>
      <c r="G1426">
        <v>51</v>
      </c>
      <c r="H1426" t="s">
        <v>11</v>
      </c>
      <c r="I1426" t="s">
        <v>5307</v>
      </c>
      <c r="J1426" t="s">
        <v>9237</v>
      </c>
      <c r="K1426">
        <v>104710</v>
      </c>
      <c r="L1426">
        <v>44866</v>
      </c>
      <c r="M1426" t="s">
        <v>1453</v>
      </c>
      <c r="N1426">
        <v>104710</v>
      </c>
      <c r="O1426" t="e">
        <v>#N/A</v>
      </c>
    </row>
    <row r="1427" spans="2:15" hidden="1" x14ac:dyDescent="0.3">
      <c r="B1427" t="s">
        <v>41</v>
      </c>
      <c r="C1427">
        <v>926</v>
      </c>
      <c r="D1427" t="s">
        <v>56</v>
      </c>
      <c r="E1427">
        <v>1207</v>
      </c>
      <c r="F1427" t="s">
        <v>64</v>
      </c>
      <c r="G1427">
        <v>201011</v>
      </c>
      <c r="H1427" t="s">
        <v>11</v>
      </c>
      <c r="I1427" t="s">
        <v>5311</v>
      </c>
      <c r="J1427" t="s">
        <v>9238</v>
      </c>
      <c r="K1427">
        <v>194360</v>
      </c>
      <c r="L1427">
        <v>44866</v>
      </c>
      <c r="M1427" t="s">
        <v>1454</v>
      </c>
      <c r="N1427">
        <v>194360</v>
      </c>
      <c r="O1427" t="e">
        <v>#N/A</v>
      </c>
    </row>
    <row r="1428" spans="2:15" hidden="1" x14ac:dyDescent="0.3">
      <c r="B1428" t="s">
        <v>16</v>
      </c>
      <c r="C1428">
        <v>927</v>
      </c>
      <c r="D1428" t="s">
        <v>17</v>
      </c>
      <c r="E1428">
        <v>1200</v>
      </c>
      <c r="F1428" t="s">
        <v>446</v>
      </c>
      <c r="G1428">
        <v>566</v>
      </c>
      <c r="H1428" t="s">
        <v>11</v>
      </c>
      <c r="I1428" t="s">
        <v>5314</v>
      </c>
      <c r="J1428" t="s">
        <v>9239</v>
      </c>
      <c r="K1428">
        <v>89520</v>
      </c>
      <c r="L1428">
        <v>44866</v>
      </c>
      <c r="M1428" t="s">
        <v>1455</v>
      </c>
      <c r="N1428">
        <v>89520</v>
      </c>
      <c r="O1428" t="e">
        <v>#N/A</v>
      </c>
    </row>
    <row r="1429" spans="2:15" hidden="1" x14ac:dyDescent="0.3">
      <c r="B1429" t="s">
        <v>8</v>
      </c>
      <c r="C1429">
        <v>928</v>
      </c>
      <c r="D1429" t="s">
        <v>9</v>
      </c>
      <c r="E1429">
        <v>1202</v>
      </c>
      <c r="F1429" t="s">
        <v>37</v>
      </c>
      <c r="G1429">
        <v>81</v>
      </c>
      <c r="H1429" t="s">
        <v>11</v>
      </c>
      <c r="I1429" t="s">
        <v>5315</v>
      </c>
      <c r="J1429" t="s">
        <v>9240</v>
      </c>
      <c r="K1429">
        <v>918290</v>
      </c>
      <c r="L1429">
        <v>44866</v>
      </c>
      <c r="M1429" t="s">
        <v>1456</v>
      </c>
      <c r="N1429">
        <v>918290</v>
      </c>
      <c r="O1429" t="e">
        <v>#N/A</v>
      </c>
    </row>
    <row r="1430" spans="2:15" hidden="1" x14ac:dyDescent="0.3">
      <c r="B1430" t="s">
        <v>8</v>
      </c>
      <c r="C1430">
        <v>928</v>
      </c>
      <c r="D1430" t="s">
        <v>9</v>
      </c>
      <c r="E1430">
        <v>1202</v>
      </c>
      <c r="F1430" t="s">
        <v>35</v>
      </c>
      <c r="G1430">
        <v>51</v>
      </c>
      <c r="H1430" t="s">
        <v>11</v>
      </c>
      <c r="I1430" t="s">
        <v>5316</v>
      </c>
      <c r="J1430" t="s">
        <v>9241</v>
      </c>
      <c r="K1430">
        <v>70</v>
      </c>
      <c r="L1430">
        <v>44866</v>
      </c>
      <c r="M1430" t="s">
        <v>1457</v>
      </c>
      <c r="N1430">
        <v>70</v>
      </c>
      <c r="O1430" t="e">
        <v>#N/A</v>
      </c>
    </row>
    <row r="1431" spans="2:15" hidden="1" x14ac:dyDescent="0.3">
      <c r="B1431" t="s">
        <v>8</v>
      </c>
      <c r="C1431">
        <v>928</v>
      </c>
      <c r="D1431" t="s">
        <v>13</v>
      </c>
      <c r="E1431">
        <v>1184</v>
      </c>
      <c r="F1431" t="s">
        <v>59</v>
      </c>
      <c r="G1431">
        <v>9</v>
      </c>
      <c r="H1431" t="s">
        <v>11</v>
      </c>
      <c r="I1431" t="s">
        <v>5317</v>
      </c>
      <c r="J1431" t="s">
        <v>9242</v>
      </c>
      <c r="K1431">
        <v>9310</v>
      </c>
      <c r="L1431">
        <v>44866</v>
      </c>
      <c r="M1431" t="s">
        <v>1458</v>
      </c>
      <c r="N1431">
        <v>9310</v>
      </c>
      <c r="O1431" t="e">
        <v>#N/A</v>
      </c>
    </row>
    <row r="1432" spans="2:15" hidden="1" x14ac:dyDescent="0.3">
      <c r="B1432" t="s">
        <v>8</v>
      </c>
      <c r="C1432">
        <v>928</v>
      </c>
      <c r="D1432" t="s">
        <v>9</v>
      </c>
      <c r="E1432">
        <v>1202</v>
      </c>
      <c r="F1432" t="s">
        <v>10</v>
      </c>
      <c r="G1432">
        <v>939</v>
      </c>
      <c r="H1432" t="s">
        <v>11</v>
      </c>
      <c r="I1432" t="s">
        <v>5319</v>
      </c>
      <c r="J1432" t="s">
        <v>9243</v>
      </c>
      <c r="K1432">
        <v>152280</v>
      </c>
      <c r="L1432">
        <v>44866</v>
      </c>
      <c r="M1432" t="s">
        <v>1459</v>
      </c>
      <c r="N1432">
        <v>152280</v>
      </c>
      <c r="O1432" t="e">
        <v>#N/A</v>
      </c>
    </row>
    <row r="1433" spans="2:15" hidden="1" x14ac:dyDescent="0.3">
      <c r="B1433" t="s">
        <v>8</v>
      </c>
      <c r="C1433">
        <v>928</v>
      </c>
      <c r="D1433" t="s">
        <v>9</v>
      </c>
      <c r="E1433">
        <v>1202</v>
      </c>
      <c r="F1433" t="s">
        <v>10</v>
      </c>
      <c r="G1433">
        <v>939</v>
      </c>
      <c r="H1433" t="s">
        <v>11</v>
      </c>
      <c r="I1433" t="s">
        <v>5320</v>
      </c>
      <c r="J1433" t="s">
        <v>9244</v>
      </c>
      <c r="K1433">
        <v>157150</v>
      </c>
      <c r="L1433">
        <v>44866</v>
      </c>
      <c r="M1433" t="s">
        <v>1460</v>
      </c>
      <c r="N1433">
        <v>157150</v>
      </c>
      <c r="O1433" t="e">
        <v>#N/A</v>
      </c>
    </row>
    <row r="1434" spans="2:15" hidden="1" x14ac:dyDescent="0.3">
      <c r="B1434" t="s">
        <v>8</v>
      </c>
      <c r="C1434">
        <v>928</v>
      </c>
      <c r="D1434" t="s">
        <v>13</v>
      </c>
      <c r="E1434">
        <v>1184</v>
      </c>
      <c r="F1434" t="s">
        <v>374</v>
      </c>
      <c r="G1434">
        <v>201022</v>
      </c>
      <c r="H1434" t="s">
        <v>11</v>
      </c>
      <c r="I1434" t="s">
        <v>5321</v>
      </c>
      <c r="J1434" t="s">
        <v>9245</v>
      </c>
      <c r="K1434">
        <v>4019980</v>
      </c>
      <c r="L1434">
        <v>44866</v>
      </c>
      <c r="M1434" t="s">
        <v>1461</v>
      </c>
      <c r="N1434">
        <v>0</v>
      </c>
      <c r="O1434" t="e">
        <v>#N/A</v>
      </c>
    </row>
    <row r="1435" spans="2:15" hidden="1" x14ac:dyDescent="0.3">
      <c r="B1435" t="s">
        <v>8</v>
      </c>
      <c r="C1435">
        <v>928</v>
      </c>
      <c r="D1435" t="s">
        <v>9</v>
      </c>
      <c r="E1435">
        <v>1202</v>
      </c>
      <c r="F1435" t="s">
        <v>20</v>
      </c>
      <c r="G1435">
        <v>938</v>
      </c>
      <c r="H1435" t="s">
        <v>11</v>
      </c>
      <c r="I1435" t="s">
        <v>5323</v>
      </c>
      <c r="J1435" t="s">
        <v>9246</v>
      </c>
      <c r="K1435">
        <v>601420</v>
      </c>
      <c r="L1435">
        <v>44866</v>
      </c>
      <c r="M1435" t="s">
        <v>1462</v>
      </c>
      <c r="N1435">
        <v>601420</v>
      </c>
      <c r="O1435" t="e">
        <v>#N/A</v>
      </c>
    </row>
    <row r="1436" spans="2:15" hidden="1" x14ac:dyDescent="0.3">
      <c r="B1436" t="s">
        <v>8</v>
      </c>
      <c r="C1436">
        <v>928</v>
      </c>
      <c r="D1436" t="s">
        <v>13</v>
      </c>
      <c r="E1436">
        <v>1184</v>
      </c>
      <c r="F1436" t="s">
        <v>51</v>
      </c>
      <c r="G1436">
        <v>1274</v>
      </c>
      <c r="H1436" t="s">
        <v>11</v>
      </c>
      <c r="I1436" t="s">
        <v>5324</v>
      </c>
      <c r="J1436" t="s">
        <v>9247</v>
      </c>
      <c r="K1436">
        <v>172750</v>
      </c>
      <c r="L1436">
        <v>44866</v>
      </c>
      <c r="M1436" t="s">
        <v>1463</v>
      </c>
      <c r="N1436">
        <v>172750</v>
      </c>
      <c r="O1436" t="e">
        <v>#N/A</v>
      </c>
    </row>
    <row r="1437" spans="2:15" hidden="1" x14ac:dyDescent="0.3">
      <c r="B1437" t="s">
        <v>41</v>
      </c>
      <c r="C1437">
        <v>926</v>
      </c>
      <c r="D1437" t="s">
        <v>56</v>
      </c>
      <c r="E1437">
        <v>1207</v>
      </c>
      <c r="F1437" t="s">
        <v>62</v>
      </c>
      <c r="G1437">
        <v>201037</v>
      </c>
      <c r="H1437" t="s">
        <v>11</v>
      </c>
      <c r="I1437" t="s">
        <v>5326</v>
      </c>
      <c r="J1437" t="s">
        <v>9248</v>
      </c>
      <c r="K1437">
        <v>638160</v>
      </c>
      <c r="L1437">
        <v>44866</v>
      </c>
      <c r="M1437" t="s">
        <v>1464</v>
      </c>
      <c r="N1437">
        <v>638160</v>
      </c>
      <c r="O1437" t="e">
        <v>#N/A</v>
      </c>
    </row>
    <row r="1438" spans="2:15" hidden="1" x14ac:dyDescent="0.3">
      <c r="B1438" t="s">
        <v>8</v>
      </c>
      <c r="C1438">
        <v>928</v>
      </c>
      <c r="D1438" t="s">
        <v>9</v>
      </c>
      <c r="E1438">
        <v>1202</v>
      </c>
      <c r="F1438" t="s">
        <v>47</v>
      </c>
      <c r="G1438">
        <v>898</v>
      </c>
      <c r="H1438" t="s">
        <v>11</v>
      </c>
      <c r="I1438" t="s">
        <v>5328</v>
      </c>
      <c r="J1438" t="s">
        <v>9249</v>
      </c>
      <c r="K1438">
        <v>199200</v>
      </c>
      <c r="L1438">
        <v>44866</v>
      </c>
      <c r="M1438" t="s">
        <v>1465</v>
      </c>
      <c r="N1438">
        <v>209980</v>
      </c>
      <c r="O1438" t="e">
        <v>#N/A</v>
      </c>
    </row>
    <row r="1439" spans="2:15" hidden="1" x14ac:dyDescent="0.3">
      <c r="B1439" t="s">
        <v>8</v>
      </c>
      <c r="C1439">
        <v>928</v>
      </c>
      <c r="D1439" t="s">
        <v>13</v>
      </c>
      <c r="E1439">
        <v>1184</v>
      </c>
      <c r="F1439" t="s">
        <v>59</v>
      </c>
      <c r="G1439">
        <v>9</v>
      </c>
      <c r="H1439" t="s">
        <v>11</v>
      </c>
      <c r="I1439" t="s">
        <v>5329</v>
      </c>
      <c r="J1439" t="s">
        <v>9250</v>
      </c>
      <c r="K1439">
        <v>70</v>
      </c>
      <c r="L1439">
        <v>44866</v>
      </c>
      <c r="M1439" t="s">
        <v>1466</v>
      </c>
      <c r="N1439">
        <v>70</v>
      </c>
      <c r="O1439" t="e">
        <v>#N/A</v>
      </c>
    </row>
    <row r="1440" spans="2:15" hidden="1" x14ac:dyDescent="0.3">
      <c r="B1440" t="s">
        <v>16</v>
      </c>
      <c r="C1440">
        <v>927</v>
      </c>
      <c r="D1440" t="s">
        <v>17</v>
      </c>
      <c r="E1440">
        <v>1200</v>
      </c>
      <c r="F1440" t="s">
        <v>100</v>
      </c>
      <c r="G1440">
        <v>201038</v>
      </c>
      <c r="H1440" t="s">
        <v>11</v>
      </c>
      <c r="I1440" t="s">
        <v>5331</v>
      </c>
      <c r="J1440" t="s">
        <v>9251</v>
      </c>
      <c r="K1440">
        <v>460550</v>
      </c>
      <c r="L1440">
        <v>44866</v>
      </c>
      <c r="M1440" t="s">
        <v>1467</v>
      </c>
      <c r="N1440">
        <v>461020</v>
      </c>
      <c r="O1440" t="e">
        <v>#N/A</v>
      </c>
    </row>
    <row r="1441" spans="2:15" hidden="1" x14ac:dyDescent="0.3">
      <c r="B1441" t="s">
        <v>8</v>
      </c>
      <c r="C1441">
        <v>928</v>
      </c>
      <c r="D1441" t="s">
        <v>9</v>
      </c>
      <c r="E1441">
        <v>1202</v>
      </c>
      <c r="F1441" t="s">
        <v>20</v>
      </c>
      <c r="G1441">
        <v>938</v>
      </c>
      <c r="H1441" t="s">
        <v>11</v>
      </c>
      <c r="I1441" t="s">
        <v>5332</v>
      </c>
      <c r="J1441" t="s">
        <v>9252</v>
      </c>
      <c r="K1441">
        <v>680660</v>
      </c>
      <c r="L1441">
        <v>44866</v>
      </c>
      <c r="M1441" t="s">
        <v>1468</v>
      </c>
      <c r="N1441">
        <v>680660</v>
      </c>
      <c r="O1441" t="e">
        <v>#N/A</v>
      </c>
    </row>
    <row r="1442" spans="2:15" hidden="1" x14ac:dyDescent="0.3">
      <c r="B1442" t="s">
        <v>8</v>
      </c>
      <c r="C1442">
        <v>928</v>
      </c>
      <c r="D1442" t="s">
        <v>9</v>
      </c>
      <c r="E1442">
        <v>1202</v>
      </c>
      <c r="F1442" t="s">
        <v>104</v>
      </c>
      <c r="G1442">
        <v>201009</v>
      </c>
      <c r="H1442" t="s">
        <v>11</v>
      </c>
      <c r="I1442" t="s">
        <v>5336</v>
      </c>
      <c r="J1442" t="s">
        <v>9253</v>
      </c>
      <c r="K1442">
        <v>37203070</v>
      </c>
      <c r="L1442">
        <v>44866</v>
      </c>
      <c r="M1442" t="s">
        <v>1469</v>
      </c>
      <c r="N1442">
        <v>37203070</v>
      </c>
      <c r="O1442" t="e">
        <v>#N/A</v>
      </c>
    </row>
    <row r="1443" spans="2:15" hidden="1" x14ac:dyDescent="0.3">
      <c r="B1443" t="s">
        <v>8</v>
      </c>
      <c r="C1443">
        <v>928</v>
      </c>
      <c r="D1443" t="s">
        <v>9</v>
      </c>
      <c r="E1443">
        <v>1202</v>
      </c>
      <c r="F1443" t="s">
        <v>39</v>
      </c>
      <c r="G1443">
        <v>25</v>
      </c>
      <c r="H1443" t="s">
        <v>11</v>
      </c>
      <c r="I1443" t="s">
        <v>5338</v>
      </c>
      <c r="J1443" t="s">
        <v>9254</v>
      </c>
      <c r="K1443">
        <v>122410</v>
      </c>
      <c r="L1443">
        <v>44866</v>
      </c>
      <c r="M1443" t="s">
        <v>1470</v>
      </c>
      <c r="N1443">
        <v>122410</v>
      </c>
      <c r="O1443" t="e">
        <v>#N/A</v>
      </c>
    </row>
    <row r="1444" spans="2:15" hidden="1" x14ac:dyDescent="0.3">
      <c r="B1444" t="s">
        <v>16</v>
      </c>
      <c r="C1444">
        <v>927</v>
      </c>
      <c r="D1444" t="s">
        <v>17</v>
      </c>
      <c r="E1444">
        <v>1200</v>
      </c>
      <c r="F1444" t="s">
        <v>137</v>
      </c>
      <c r="G1444">
        <v>1012</v>
      </c>
      <c r="H1444" t="s">
        <v>11</v>
      </c>
      <c r="I1444" t="s">
        <v>5339</v>
      </c>
      <c r="J1444" t="s">
        <v>9255</v>
      </c>
      <c r="K1444">
        <v>3120</v>
      </c>
      <c r="L1444">
        <v>44866</v>
      </c>
      <c r="M1444" t="s">
        <v>1471</v>
      </c>
      <c r="N1444">
        <v>3120</v>
      </c>
      <c r="O1444" t="e">
        <v>#N/A</v>
      </c>
    </row>
    <row r="1445" spans="2:15" hidden="1" x14ac:dyDescent="0.3">
      <c r="B1445" t="s">
        <v>41</v>
      </c>
      <c r="C1445">
        <v>926</v>
      </c>
      <c r="D1445" t="s">
        <v>56</v>
      </c>
      <c r="E1445">
        <v>1207</v>
      </c>
      <c r="F1445" t="s">
        <v>62</v>
      </c>
      <c r="G1445">
        <v>201037</v>
      </c>
      <c r="H1445" t="s">
        <v>11</v>
      </c>
      <c r="I1445" t="s">
        <v>5341</v>
      </c>
      <c r="J1445" t="s">
        <v>9256</v>
      </c>
      <c r="K1445">
        <v>403870</v>
      </c>
      <c r="L1445">
        <v>44866</v>
      </c>
      <c r="M1445" t="s">
        <v>1472</v>
      </c>
      <c r="N1445">
        <v>403870</v>
      </c>
      <c r="O1445" t="e">
        <v>#N/A</v>
      </c>
    </row>
    <row r="1446" spans="2:15" hidden="1" x14ac:dyDescent="0.3">
      <c r="B1446" t="s">
        <v>8</v>
      </c>
      <c r="C1446">
        <v>928</v>
      </c>
      <c r="D1446" t="s">
        <v>9</v>
      </c>
      <c r="E1446">
        <v>1202</v>
      </c>
      <c r="F1446" t="s">
        <v>10</v>
      </c>
      <c r="G1446">
        <v>939</v>
      </c>
      <c r="H1446" t="s">
        <v>11</v>
      </c>
      <c r="I1446" t="s">
        <v>5343</v>
      </c>
      <c r="J1446" t="s">
        <v>9257</v>
      </c>
      <c r="K1446">
        <v>2376760</v>
      </c>
      <c r="L1446">
        <v>44866</v>
      </c>
      <c r="M1446" t="s">
        <v>1473</v>
      </c>
      <c r="N1446">
        <v>2376760</v>
      </c>
      <c r="O1446" t="e">
        <v>#N/A</v>
      </c>
    </row>
    <row r="1447" spans="2:15" hidden="1" x14ac:dyDescent="0.3">
      <c r="B1447" t="s">
        <v>8</v>
      </c>
      <c r="C1447">
        <v>928</v>
      </c>
      <c r="D1447" t="s">
        <v>9</v>
      </c>
      <c r="E1447">
        <v>1202</v>
      </c>
      <c r="F1447" t="s">
        <v>47</v>
      </c>
      <c r="G1447">
        <v>898</v>
      </c>
      <c r="H1447" t="s">
        <v>11</v>
      </c>
      <c r="I1447" t="s">
        <v>5344</v>
      </c>
      <c r="J1447" t="s">
        <v>9258</v>
      </c>
      <c r="K1447">
        <v>18630</v>
      </c>
      <c r="L1447">
        <v>44866</v>
      </c>
      <c r="M1447" t="s">
        <v>1474</v>
      </c>
      <c r="N1447">
        <v>18630</v>
      </c>
      <c r="O1447" t="e">
        <v>#N/A</v>
      </c>
    </row>
    <row r="1448" spans="2:15" hidden="1" x14ac:dyDescent="0.3">
      <c r="B1448" t="s">
        <v>8</v>
      </c>
      <c r="C1448">
        <v>928</v>
      </c>
      <c r="D1448" t="s">
        <v>9</v>
      </c>
      <c r="E1448">
        <v>1202</v>
      </c>
      <c r="F1448" t="s">
        <v>27</v>
      </c>
      <c r="G1448">
        <v>806</v>
      </c>
      <c r="H1448" t="s">
        <v>11</v>
      </c>
      <c r="I1448" t="s">
        <v>5352</v>
      </c>
      <c r="J1448" t="s">
        <v>9259</v>
      </c>
      <c r="K1448">
        <v>67970</v>
      </c>
      <c r="L1448">
        <v>44866</v>
      </c>
      <c r="M1448" t="s">
        <v>1475</v>
      </c>
      <c r="N1448">
        <v>67970</v>
      </c>
      <c r="O1448" t="e">
        <v>#N/A</v>
      </c>
    </row>
    <row r="1449" spans="2:15" hidden="1" x14ac:dyDescent="0.3">
      <c r="B1449" t="s">
        <v>8</v>
      </c>
      <c r="C1449">
        <v>928</v>
      </c>
      <c r="D1449" t="s">
        <v>9</v>
      </c>
      <c r="E1449">
        <v>1202</v>
      </c>
      <c r="F1449" t="s">
        <v>37</v>
      </c>
      <c r="G1449">
        <v>81</v>
      </c>
      <c r="H1449" t="s">
        <v>11</v>
      </c>
      <c r="I1449" t="s">
        <v>5353</v>
      </c>
      <c r="J1449" t="s">
        <v>9260</v>
      </c>
      <c r="K1449">
        <v>7320</v>
      </c>
      <c r="L1449">
        <v>44866</v>
      </c>
      <c r="M1449" t="s">
        <v>1476</v>
      </c>
      <c r="N1449">
        <v>7320</v>
      </c>
      <c r="O1449" t="e">
        <v>#N/A</v>
      </c>
    </row>
    <row r="1450" spans="2:15" hidden="1" x14ac:dyDescent="0.3">
      <c r="B1450" t="s">
        <v>8</v>
      </c>
      <c r="C1450">
        <v>928</v>
      </c>
      <c r="D1450" t="s">
        <v>167</v>
      </c>
      <c r="E1450">
        <v>935</v>
      </c>
      <c r="F1450" t="s">
        <v>168</v>
      </c>
      <c r="G1450">
        <v>2</v>
      </c>
      <c r="H1450" t="s">
        <v>11</v>
      </c>
      <c r="I1450" t="s">
        <v>5354</v>
      </c>
      <c r="J1450" t="s">
        <v>9261</v>
      </c>
      <c r="K1450">
        <v>4565153</v>
      </c>
      <c r="L1450">
        <v>44866</v>
      </c>
      <c r="M1450" t="s">
        <v>1343</v>
      </c>
      <c r="N1450">
        <v>3704550</v>
      </c>
      <c r="O1450" t="e">
        <v>#N/A</v>
      </c>
    </row>
    <row r="1451" spans="2:15" hidden="1" x14ac:dyDescent="0.3">
      <c r="B1451" t="s">
        <v>41</v>
      </c>
      <c r="C1451">
        <v>926</v>
      </c>
      <c r="D1451" t="s">
        <v>42</v>
      </c>
      <c r="E1451">
        <v>964</v>
      </c>
      <c r="F1451" t="s">
        <v>43</v>
      </c>
      <c r="G1451">
        <v>200998</v>
      </c>
      <c r="H1451" t="s">
        <v>11</v>
      </c>
      <c r="I1451" t="s">
        <v>5356</v>
      </c>
      <c r="J1451" t="s">
        <v>9262</v>
      </c>
      <c r="K1451">
        <v>1670</v>
      </c>
      <c r="L1451">
        <v>44866</v>
      </c>
      <c r="M1451" t="s">
        <v>1477</v>
      </c>
      <c r="N1451">
        <v>1670</v>
      </c>
      <c r="O1451" t="e">
        <v>#N/A</v>
      </c>
    </row>
    <row r="1452" spans="2:15" hidden="1" x14ac:dyDescent="0.3">
      <c r="B1452" t="s">
        <v>16</v>
      </c>
      <c r="C1452">
        <v>927</v>
      </c>
      <c r="D1452" t="s">
        <v>17</v>
      </c>
      <c r="E1452">
        <v>1200</v>
      </c>
      <c r="F1452" t="s">
        <v>96</v>
      </c>
      <c r="G1452">
        <v>1271</v>
      </c>
      <c r="H1452" t="s">
        <v>11</v>
      </c>
      <c r="I1452" t="s">
        <v>5358</v>
      </c>
      <c r="J1452" t="s">
        <v>9263</v>
      </c>
      <c r="K1452">
        <v>1331580</v>
      </c>
      <c r="L1452">
        <v>44866</v>
      </c>
      <c r="M1452" t="s">
        <v>1478</v>
      </c>
      <c r="N1452">
        <v>1331580</v>
      </c>
      <c r="O1452" t="e">
        <v>#N/A</v>
      </c>
    </row>
    <row r="1453" spans="2:15" hidden="1" x14ac:dyDescent="0.3">
      <c r="B1453" t="s">
        <v>16</v>
      </c>
      <c r="C1453">
        <v>927</v>
      </c>
      <c r="D1453" t="s">
        <v>17</v>
      </c>
      <c r="E1453">
        <v>1200</v>
      </c>
      <c r="F1453" t="s">
        <v>96</v>
      </c>
      <c r="G1453">
        <v>1271</v>
      </c>
      <c r="H1453" t="s">
        <v>11</v>
      </c>
      <c r="I1453" t="s">
        <v>5359</v>
      </c>
      <c r="J1453" t="s">
        <v>9264</v>
      </c>
      <c r="K1453">
        <v>496930</v>
      </c>
      <c r="L1453">
        <v>44866</v>
      </c>
      <c r="M1453" t="s">
        <v>1479</v>
      </c>
      <c r="N1453">
        <v>496930</v>
      </c>
      <c r="O1453" t="e">
        <v>#N/A</v>
      </c>
    </row>
    <row r="1454" spans="2:15" hidden="1" x14ac:dyDescent="0.3">
      <c r="B1454" t="s">
        <v>41</v>
      </c>
      <c r="C1454">
        <v>926</v>
      </c>
      <c r="D1454" t="s">
        <v>56</v>
      </c>
      <c r="E1454">
        <v>1207</v>
      </c>
      <c r="F1454" t="s">
        <v>253</v>
      </c>
      <c r="G1454">
        <v>1328</v>
      </c>
      <c r="H1454" t="s">
        <v>11</v>
      </c>
      <c r="I1454" t="s">
        <v>5361</v>
      </c>
      <c r="J1454" t="s">
        <v>9265</v>
      </c>
      <c r="K1454">
        <v>823716</v>
      </c>
      <c r="L1454">
        <v>44866</v>
      </c>
      <c r="M1454" t="s">
        <v>1480</v>
      </c>
      <c r="N1454">
        <v>823768</v>
      </c>
      <c r="O1454" t="e">
        <v>#N/A</v>
      </c>
    </row>
    <row r="1455" spans="2:15" x14ac:dyDescent="0.3">
      <c r="B1455" t="s">
        <v>8</v>
      </c>
      <c r="C1455">
        <v>928</v>
      </c>
      <c r="D1455" t="s">
        <v>9</v>
      </c>
      <c r="E1455">
        <v>1202</v>
      </c>
      <c r="F1455" t="s">
        <v>10</v>
      </c>
      <c r="G1455">
        <v>939</v>
      </c>
      <c r="H1455" t="s">
        <v>11</v>
      </c>
      <c r="I1455" t="s">
        <v>9266</v>
      </c>
      <c r="J1455" t="s">
        <v>9267</v>
      </c>
      <c r="K1455">
        <v>700</v>
      </c>
      <c r="L1455">
        <v>44866</v>
      </c>
      <c r="M1455" t="s">
        <v>1481</v>
      </c>
      <c r="N1455" t="e">
        <v>#N/A</v>
      </c>
      <c r="O1455" t="e">
        <v>#N/A</v>
      </c>
    </row>
    <row r="1456" spans="2:15" hidden="1" x14ac:dyDescent="0.3">
      <c r="B1456" t="s">
        <v>41</v>
      </c>
      <c r="C1456">
        <v>926</v>
      </c>
      <c r="D1456" t="s">
        <v>42</v>
      </c>
      <c r="E1456">
        <v>964</v>
      </c>
      <c r="F1456" t="s">
        <v>43</v>
      </c>
      <c r="G1456">
        <v>200998</v>
      </c>
      <c r="H1456" t="s">
        <v>11</v>
      </c>
      <c r="I1456" t="s">
        <v>5362</v>
      </c>
      <c r="J1456" t="s">
        <v>9268</v>
      </c>
      <c r="K1456">
        <v>1780</v>
      </c>
      <c r="L1456">
        <v>44866</v>
      </c>
      <c r="M1456" t="s">
        <v>1482</v>
      </c>
      <c r="N1456">
        <v>1780</v>
      </c>
      <c r="O1456" t="e">
        <v>#N/A</v>
      </c>
    </row>
    <row r="1457" spans="2:15" hidden="1" x14ac:dyDescent="0.3">
      <c r="B1457" t="s">
        <v>16</v>
      </c>
      <c r="C1457">
        <v>927</v>
      </c>
      <c r="D1457" t="s">
        <v>17</v>
      </c>
      <c r="E1457">
        <v>1200</v>
      </c>
      <c r="F1457" t="s">
        <v>100</v>
      </c>
      <c r="G1457">
        <v>201038</v>
      </c>
      <c r="H1457" t="s">
        <v>11</v>
      </c>
      <c r="I1457" t="s">
        <v>5365</v>
      </c>
      <c r="J1457" t="s">
        <v>9269</v>
      </c>
      <c r="K1457">
        <v>34900</v>
      </c>
      <c r="L1457">
        <v>44866</v>
      </c>
      <c r="M1457" t="s">
        <v>1483</v>
      </c>
      <c r="N1457">
        <v>34900</v>
      </c>
      <c r="O1457" t="e">
        <v>#N/A</v>
      </c>
    </row>
    <row r="1458" spans="2:15" hidden="1" x14ac:dyDescent="0.3">
      <c r="B1458" t="s">
        <v>8</v>
      </c>
      <c r="C1458">
        <v>928</v>
      </c>
      <c r="D1458" t="s">
        <v>9</v>
      </c>
      <c r="E1458">
        <v>1202</v>
      </c>
      <c r="F1458" t="s">
        <v>73</v>
      </c>
      <c r="G1458">
        <v>895</v>
      </c>
      <c r="H1458" t="s">
        <v>11</v>
      </c>
      <c r="I1458" t="s">
        <v>5366</v>
      </c>
      <c r="J1458" t="s">
        <v>9270</v>
      </c>
      <c r="K1458">
        <v>7190</v>
      </c>
      <c r="L1458">
        <v>44866</v>
      </c>
      <c r="M1458" t="s">
        <v>1484</v>
      </c>
      <c r="N1458">
        <v>7190</v>
      </c>
      <c r="O1458" t="e">
        <v>#N/A</v>
      </c>
    </row>
    <row r="1459" spans="2:15" hidden="1" x14ac:dyDescent="0.3">
      <c r="B1459" t="s">
        <v>8</v>
      </c>
      <c r="C1459">
        <v>928</v>
      </c>
      <c r="D1459" t="s">
        <v>9</v>
      </c>
      <c r="E1459">
        <v>1202</v>
      </c>
      <c r="F1459" t="s">
        <v>142</v>
      </c>
      <c r="G1459">
        <v>652</v>
      </c>
      <c r="H1459" t="s">
        <v>11</v>
      </c>
      <c r="I1459" t="s">
        <v>5367</v>
      </c>
      <c r="J1459" t="s">
        <v>9271</v>
      </c>
      <c r="K1459">
        <v>26150</v>
      </c>
      <c r="L1459">
        <v>44866</v>
      </c>
      <c r="M1459" t="s">
        <v>1485</v>
      </c>
      <c r="N1459">
        <v>26150</v>
      </c>
      <c r="O1459" t="e">
        <v>#N/A</v>
      </c>
    </row>
    <row r="1460" spans="2:15" hidden="1" x14ac:dyDescent="0.3">
      <c r="B1460" t="s">
        <v>8</v>
      </c>
      <c r="C1460">
        <v>928</v>
      </c>
      <c r="D1460" t="s">
        <v>167</v>
      </c>
      <c r="E1460">
        <v>935</v>
      </c>
      <c r="F1460" t="s">
        <v>168</v>
      </c>
      <c r="G1460">
        <v>2</v>
      </c>
      <c r="H1460" t="s">
        <v>11</v>
      </c>
      <c r="I1460" t="s">
        <v>5368</v>
      </c>
      <c r="J1460" t="s">
        <v>9272</v>
      </c>
      <c r="K1460">
        <v>6242540</v>
      </c>
      <c r="L1460">
        <v>44866</v>
      </c>
      <c r="M1460" t="s">
        <v>1486</v>
      </c>
      <c r="N1460">
        <v>4342560</v>
      </c>
      <c r="O1460" t="e">
        <v>#N/A</v>
      </c>
    </row>
    <row r="1461" spans="2:15" hidden="1" x14ac:dyDescent="0.3">
      <c r="B1461" t="s">
        <v>8</v>
      </c>
      <c r="C1461">
        <v>928</v>
      </c>
      <c r="D1461" t="s">
        <v>13</v>
      </c>
      <c r="E1461">
        <v>1184</v>
      </c>
      <c r="F1461" t="s">
        <v>59</v>
      </c>
      <c r="G1461">
        <v>9</v>
      </c>
      <c r="H1461" t="s">
        <v>11</v>
      </c>
      <c r="I1461" t="s">
        <v>5372</v>
      </c>
      <c r="J1461" t="s">
        <v>9273</v>
      </c>
      <c r="K1461">
        <v>11700</v>
      </c>
      <c r="L1461">
        <v>44866</v>
      </c>
      <c r="M1461" t="s">
        <v>1487</v>
      </c>
      <c r="N1461">
        <v>11700</v>
      </c>
      <c r="O1461" t="e">
        <v>#N/A</v>
      </c>
    </row>
    <row r="1462" spans="2:15" hidden="1" x14ac:dyDescent="0.3">
      <c r="B1462" t="s">
        <v>8</v>
      </c>
      <c r="C1462">
        <v>928</v>
      </c>
      <c r="D1462" t="s">
        <v>13</v>
      </c>
      <c r="E1462">
        <v>1184</v>
      </c>
      <c r="F1462" t="s">
        <v>59</v>
      </c>
      <c r="G1462">
        <v>9</v>
      </c>
      <c r="H1462" t="s">
        <v>11</v>
      </c>
      <c r="I1462" t="s">
        <v>5376</v>
      </c>
      <c r="J1462" t="s">
        <v>9274</v>
      </c>
      <c r="K1462">
        <v>6080</v>
      </c>
      <c r="L1462">
        <v>44866</v>
      </c>
      <c r="M1462" t="s">
        <v>1488</v>
      </c>
      <c r="N1462">
        <v>6080</v>
      </c>
      <c r="O1462" t="e">
        <v>#N/A</v>
      </c>
    </row>
    <row r="1463" spans="2:15" hidden="1" x14ac:dyDescent="0.3">
      <c r="B1463" t="s">
        <v>8</v>
      </c>
      <c r="C1463">
        <v>928</v>
      </c>
      <c r="D1463" t="s">
        <v>9</v>
      </c>
      <c r="E1463">
        <v>1202</v>
      </c>
      <c r="F1463" t="s">
        <v>391</v>
      </c>
      <c r="G1463">
        <v>1216</v>
      </c>
      <c r="H1463" t="s">
        <v>11</v>
      </c>
      <c r="I1463" t="s">
        <v>5377</v>
      </c>
      <c r="J1463" t="s">
        <v>9275</v>
      </c>
      <c r="K1463">
        <v>4187810</v>
      </c>
      <c r="L1463">
        <v>44866</v>
      </c>
      <c r="M1463" t="s">
        <v>1489</v>
      </c>
      <c r="N1463">
        <v>4078360</v>
      </c>
      <c r="O1463" t="e">
        <v>#N/A</v>
      </c>
    </row>
    <row r="1464" spans="2:15" hidden="1" x14ac:dyDescent="0.3">
      <c r="B1464" t="s">
        <v>16</v>
      </c>
      <c r="C1464">
        <v>927</v>
      </c>
      <c r="D1464" t="s">
        <v>17</v>
      </c>
      <c r="E1464">
        <v>1200</v>
      </c>
      <c r="F1464" t="s">
        <v>93</v>
      </c>
      <c r="G1464">
        <v>930</v>
      </c>
      <c r="H1464" t="s">
        <v>11</v>
      </c>
      <c r="I1464" t="s">
        <v>5378</v>
      </c>
      <c r="J1464" t="s">
        <v>9276</v>
      </c>
      <c r="K1464">
        <v>13813600</v>
      </c>
      <c r="L1464">
        <v>44866</v>
      </c>
      <c r="M1464" t="s">
        <v>1490</v>
      </c>
      <c r="N1464">
        <v>13813600</v>
      </c>
      <c r="O1464" t="e">
        <v>#N/A</v>
      </c>
    </row>
    <row r="1465" spans="2:15" hidden="1" x14ac:dyDescent="0.3">
      <c r="B1465" t="s">
        <v>16</v>
      </c>
      <c r="C1465">
        <v>927</v>
      </c>
      <c r="D1465" t="s">
        <v>17</v>
      </c>
      <c r="E1465">
        <v>1200</v>
      </c>
      <c r="F1465" t="s">
        <v>244</v>
      </c>
      <c r="G1465">
        <v>817</v>
      </c>
      <c r="H1465" t="s">
        <v>11</v>
      </c>
      <c r="I1465" t="s">
        <v>5379</v>
      </c>
      <c r="J1465" t="s">
        <v>9277</v>
      </c>
      <c r="K1465">
        <v>127920</v>
      </c>
      <c r="L1465">
        <v>44866</v>
      </c>
      <c r="M1465" t="s">
        <v>1491</v>
      </c>
      <c r="N1465">
        <v>127920</v>
      </c>
      <c r="O1465" t="e">
        <v>#N/A</v>
      </c>
    </row>
    <row r="1466" spans="2:15" hidden="1" x14ac:dyDescent="0.3">
      <c r="B1466" t="s">
        <v>8</v>
      </c>
      <c r="C1466">
        <v>928</v>
      </c>
      <c r="D1466" t="s">
        <v>13</v>
      </c>
      <c r="E1466">
        <v>1184</v>
      </c>
      <c r="F1466" t="s">
        <v>59</v>
      </c>
      <c r="G1466">
        <v>9</v>
      </c>
      <c r="H1466" t="s">
        <v>11</v>
      </c>
      <c r="I1466" t="s">
        <v>5385</v>
      </c>
      <c r="J1466" t="s">
        <v>9278</v>
      </c>
      <c r="K1466">
        <v>2640</v>
      </c>
      <c r="L1466">
        <v>44866</v>
      </c>
      <c r="M1466" t="s">
        <v>1492</v>
      </c>
      <c r="N1466">
        <v>2640</v>
      </c>
      <c r="O1466" t="e">
        <v>#N/A</v>
      </c>
    </row>
    <row r="1467" spans="2:15" hidden="1" x14ac:dyDescent="0.3">
      <c r="B1467" t="s">
        <v>8</v>
      </c>
      <c r="C1467">
        <v>928</v>
      </c>
      <c r="D1467" t="s">
        <v>9</v>
      </c>
      <c r="E1467">
        <v>1202</v>
      </c>
      <c r="F1467" t="s">
        <v>33</v>
      </c>
      <c r="G1467">
        <v>933</v>
      </c>
      <c r="H1467" t="s">
        <v>11</v>
      </c>
      <c r="I1467" t="s">
        <v>5388</v>
      </c>
      <c r="J1467" t="s">
        <v>9279</v>
      </c>
      <c r="K1467">
        <v>385940</v>
      </c>
      <c r="L1467">
        <v>44866</v>
      </c>
      <c r="M1467" t="s">
        <v>1493</v>
      </c>
      <c r="N1467">
        <v>385940</v>
      </c>
      <c r="O1467" t="e">
        <v>#N/A</v>
      </c>
    </row>
    <row r="1468" spans="2:15" hidden="1" x14ac:dyDescent="0.3">
      <c r="B1468" t="s">
        <v>8</v>
      </c>
      <c r="C1468">
        <v>928</v>
      </c>
      <c r="D1468" t="s">
        <v>13</v>
      </c>
      <c r="E1468">
        <v>1184</v>
      </c>
      <c r="F1468" t="s">
        <v>59</v>
      </c>
      <c r="G1468">
        <v>9</v>
      </c>
      <c r="H1468" t="s">
        <v>11</v>
      </c>
      <c r="I1468" t="s">
        <v>5393</v>
      </c>
      <c r="J1468" t="s">
        <v>9280</v>
      </c>
      <c r="K1468">
        <v>741200</v>
      </c>
      <c r="L1468">
        <v>44866</v>
      </c>
      <c r="M1468" t="s">
        <v>1494</v>
      </c>
      <c r="N1468">
        <v>741200</v>
      </c>
      <c r="O1468" t="e">
        <v>#N/A</v>
      </c>
    </row>
    <row r="1469" spans="2:15" hidden="1" x14ac:dyDescent="0.3">
      <c r="B1469" t="s">
        <v>8</v>
      </c>
      <c r="C1469">
        <v>928</v>
      </c>
      <c r="D1469" t="s">
        <v>9</v>
      </c>
      <c r="E1469">
        <v>1202</v>
      </c>
      <c r="F1469" t="s">
        <v>10</v>
      </c>
      <c r="G1469">
        <v>939</v>
      </c>
      <c r="H1469" t="s">
        <v>11</v>
      </c>
      <c r="I1469" t="s">
        <v>5395</v>
      </c>
      <c r="J1469" t="s">
        <v>9281</v>
      </c>
      <c r="K1469">
        <v>3123730</v>
      </c>
      <c r="L1469">
        <v>44866</v>
      </c>
      <c r="M1469" t="s">
        <v>1495</v>
      </c>
      <c r="N1469">
        <v>3123730</v>
      </c>
      <c r="O1469" t="e">
        <v>#N/A</v>
      </c>
    </row>
    <row r="1470" spans="2:15" hidden="1" x14ac:dyDescent="0.3">
      <c r="B1470" t="s">
        <v>8</v>
      </c>
      <c r="C1470">
        <v>928</v>
      </c>
      <c r="D1470" t="s">
        <v>9</v>
      </c>
      <c r="E1470">
        <v>1202</v>
      </c>
      <c r="F1470" t="s">
        <v>10</v>
      </c>
      <c r="G1470">
        <v>939</v>
      </c>
      <c r="H1470" t="s">
        <v>11</v>
      </c>
      <c r="I1470" t="s">
        <v>5398</v>
      </c>
      <c r="J1470" t="s">
        <v>9282</v>
      </c>
      <c r="K1470">
        <v>19300</v>
      </c>
      <c r="L1470">
        <v>44866</v>
      </c>
      <c r="M1470" t="s">
        <v>1496</v>
      </c>
      <c r="N1470">
        <v>19300</v>
      </c>
      <c r="O1470" t="e">
        <v>#N/A</v>
      </c>
    </row>
    <row r="1471" spans="2:15" hidden="1" x14ac:dyDescent="0.3">
      <c r="B1471" t="s">
        <v>8</v>
      </c>
      <c r="C1471">
        <v>928</v>
      </c>
      <c r="D1471" t="s">
        <v>13</v>
      </c>
      <c r="E1471">
        <v>1184</v>
      </c>
      <c r="F1471" t="s">
        <v>59</v>
      </c>
      <c r="G1471">
        <v>9</v>
      </c>
      <c r="H1471" t="s">
        <v>11</v>
      </c>
      <c r="I1471" t="s">
        <v>5399</v>
      </c>
      <c r="J1471" t="s">
        <v>9283</v>
      </c>
      <c r="K1471">
        <v>16000</v>
      </c>
      <c r="L1471">
        <v>44866</v>
      </c>
      <c r="M1471" t="s">
        <v>1497</v>
      </c>
      <c r="N1471">
        <v>16000</v>
      </c>
      <c r="O1471" t="e">
        <v>#N/A</v>
      </c>
    </row>
    <row r="1472" spans="2:15" hidden="1" x14ac:dyDescent="0.3">
      <c r="B1472" t="s">
        <v>41</v>
      </c>
      <c r="C1472">
        <v>926</v>
      </c>
      <c r="D1472" t="s">
        <v>56</v>
      </c>
      <c r="E1472">
        <v>1207</v>
      </c>
      <c r="F1472" t="s">
        <v>57</v>
      </c>
      <c r="G1472">
        <v>200982</v>
      </c>
      <c r="H1472" t="s">
        <v>11</v>
      </c>
      <c r="I1472" t="s">
        <v>5404</v>
      </c>
      <c r="J1472" t="s">
        <v>9284</v>
      </c>
      <c r="K1472">
        <v>180620</v>
      </c>
      <c r="L1472">
        <v>44866</v>
      </c>
      <c r="M1472" t="s">
        <v>1498</v>
      </c>
      <c r="N1472">
        <v>180620</v>
      </c>
      <c r="O1472" t="e">
        <v>#N/A</v>
      </c>
    </row>
    <row r="1473" spans="2:15" hidden="1" x14ac:dyDescent="0.3">
      <c r="B1473" t="s">
        <v>16</v>
      </c>
      <c r="C1473">
        <v>927</v>
      </c>
      <c r="D1473" t="s">
        <v>17</v>
      </c>
      <c r="E1473">
        <v>1200</v>
      </c>
      <c r="F1473" t="s">
        <v>96</v>
      </c>
      <c r="G1473">
        <v>1271</v>
      </c>
      <c r="H1473" t="s">
        <v>11</v>
      </c>
      <c r="I1473" t="s">
        <v>5405</v>
      </c>
      <c r="J1473" t="s">
        <v>9285</v>
      </c>
      <c r="K1473">
        <v>3880</v>
      </c>
      <c r="L1473">
        <v>44866</v>
      </c>
      <c r="M1473" t="s">
        <v>1499</v>
      </c>
      <c r="N1473">
        <v>3880</v>
      </c>
      <c r="O1473" t="e">
        <v>#N/A</v>
      </c>
    </row>
    <row r="1474" spans="2:15" hidden="1" x14ac:dyDescent="0.3">
      <c r="B1474" t="s">
        <v>8</v>
      </c>
      <c r="C1474">
        <v>928</v>
      </c>
      <c r="D1474" t="s">
        <v>9</v>
      </c>
      <c r="E1474">
        <v>1202</v>
      </c>
      <c r="F1474" t="s">
        <v>75</v>
      </c>
      <c r="G1474">
        <v>50</v>
      </c>
      <c r="H1474" t="s">
        <v>11</v>
      </c>
      <c r="I1474" t="s">
        <v>5406</v>
      </c>
      <c r="J1474" t="s">
        <v>9286</v>
      </c>
      <c r="K1474">
        <v>549870</v>
      </c>
      <c r="L1474">
        <v>44866</v>
      </c>
      <c r="M1474" t="s">
        <v>1500</v>
      </c>
      <c r="N1474">
        <v>549870</v>
      </c>
      <c r="O1474" t="e">
        <v>#N/A</v>
      </c>
    </row>
    <row r="1475" spans="2:15" hidden="1" x14ac:dyDescent="0.3">
      <c r="B1475" t="s">
        <v>8</v>
      </c>
      <c r="C1475">
        <v>928</v>
      </c>
      <c r="D1475" t="s">
        <v>9</v>
      </c>
      <c r="E1475">
        <v>1202</v>
      </c>
      <c r="F1475" t="s">
        <v>122</v>
      </c>
      <c r="G1475">
        <v>251</v>
      </c>
      <c r="H1475" t="s">
        <v>11</v>
      </c>
      <c r="I1475" t="s">
        <v>5407</v>
      </c>
      <c r="J1475" t="s">
        <v>9287</v>
      </c>
      <c r="K1475">
        <v>317640</v>
      </c>
      <c r="L1475">
        <v>44866</v>
      </c>
      <c r="M1475" t="s">
        <v>1501</v>
      </c>
      <c r="N1475">
        <v>317640</v>
      </c>
      <c r="O1475" t="e">
        <v>#N/A</v>
      </c>
    </row>
    <row r="1476" spans="2:15" hidden="1" x14ac:dyDescent="0.3">
      <c r="B1476" t="s">
        <v>8</v>
      </c>
      <c r="C1476">
        <v>928</v>
      </c>
      <c r="D1476" t="s">
        <v>9</v>
      </c>
      <c r="E1476">
        <v>1202</v>
      </c>
      <c r="F1476" t="s">
        <v>35</v>
      </c>
      <c r="G1476">
        <v>51</v>
      </c>
      <c r="H1476" t="s">
        <v>11</v>
      </c>
      <c r="I1476" t="s">
        <v>5409</v>
      </c>
      <c r="J1476" t="s">
        <v>9288</v>
      </c>
      <c r="K1476">
        <v>187750</v>
      </c>
      <c r="L1476">
        <v>44866</v>
      </c>
      <c r="M1476" t="s">
        <v>1502</v>
      </c>
      <c r="N1476">
        <v>187750</v>
      </c>
      <c r="O1476" t="e">
        <v>#N/A</v>
      </c>
    </row>
    <row r="1477" spans="2:15" hidden="1" x14ac:dyDescent="0.3">
      <c r="B1477" t="s">
        <v>41</v>
      </c>
      <c r="C1477">
        <v>926</v>
      </c>
      <c r="D1477" t="s">
        <v>56</v>
      </c>
      <c r="E1477">
        <v>1207</v>
      </c>
      <c r="F1477" t="s">
        <v>253</v>
      </c>
      <c r="G1477">
        <v>1328</v>
      </c>
      <c r="H1477" t="s">
        <v>11</v>
      </c>
      <c r="I1477" t="s">
        <v>5410</v>
      </c>
      <c r="J1477" t="s">
        <v>9289</v>
      </c>
      <c r="K1477">
        <v>3780780</v>
      </c>
      <c r="L1477">
        <v>44866</v>
      </c>
      <c r="M1477" t="s">
        <v>1503</v>
      </c>
      <c r="N1477">
        <v>3780780</v>
      </c>
      <c r="O1477" t="e">
        <v>#N/A</v>
      </c>
    </row>
    <row r="1478" spans="2:15" hidden="1" x14ac:dyDescent="0.3">
      <c r="B1478" t="s">
        <v>8</v>
      </c>
      <c r="C1478">
        <v>928</v>
      </c>
      <c r="D1478" t="s">
        <v>9</v>
      </c>
      <c r="E1478">
        <v>1202</v>
      </c>
      <c r="F1478" t="s">
        <v>31</v>
      </c>
      <c r="G1478">
        <v>1040</v>
      </c>
      <c r="H1478" t="s">
        <v>11</v>
      </c>
      <c r="I1478" t="s">
        <v>5411</v>
      </c>
      <c r="J1478" t="s">
        <v>9290</v>
      </c>
      <c r="K1478">
        <v>327383</v>
      </c>
      <c r="L1478">
        <v>44866</v>
      </c>
      <c r="M1478" t="s">
        <v>1504</v>
      </c>
      <c r="N1478">
        <v>327431</v>
      </c>
      <c r="O1478" t="e">
        <v>#N/A</v>
      </c>
    </row>
    <row r="1479" spans="2:15" hidden="1" x14ac:dyDescent="0.3">
      <c r="B1479" t="s">
        <v>8</v>
      </c>
      <c r="C1479">
        <v>928</v>
      </c>
      <c r="D1479" t="s">
        <v>13</v>
      </c>
      <c r="E1479">
        <v>1184</v>
      </c>
      <c r="F1479" t="s">
        <v>59</v>
      </c>
      <c r="G1479">
        <v>9</v>
      </c>
      <c r="H1479" t="s">
        <v>11</v>
      </c>
      <c r="I1479" t="s">
        <v>5414</v>
      </c>
      <c r="J1479" t="s">
        <v>9291</v>
      </c>
      <c r="K1479">
        <v>28700</v>
      </c>
      <c r="L1479">
        <v>44866</v>
      </c>
      <c r="M1479" t="s">
        <v>1505</v>
      </c>
      <c r="N1479">
        <v>28700</v>
      </c>
      <c r="O1479" t="e">
        <v>#N/A</v>
      </c>
    </row>
    <row r="1480" spans="2:15" hidden="1" x14ac:dyDescent="0.3">
      <c r="B1480" t="s">
        <v>41</v>
      </c>
      <c r="C1480">
        <v>926</v>
      </c>
      <c r="D1480" t="s">
        <v>56</v>
      </c>
      <c r="E1480">
        <v>1207</v>
      </c>
      <c r="F1480" t="s">
        <v>91</v>
      </c>
      <c r="G1480">
        <v>201104</v>
      </c>
      <c r="H1480" t="s">
        <v>11</v>
      </c>
      <c r="I1480" t="s">
        <v>5418</v>
      </c>
      <c r="J1480" t="s">
        <v>9292</v>
      </c>
      <c r="K1480">
        <v>384508</v>
      </c>
      <c r="L1480">
        <v>44866</v>
      </c>
      <c r="M1480" t="s">
        <v>1506</v>
      </c>
      <c r="N1480">
        <v>408690</v>
      </c>
      <c r="O1480" t="e">
        <v>#N/A</v>
      </c>
    </row>
    <row r="1481" spans="2:15" hidden="1" x14ac:dyDescent="0.3">
      <c r="B1481" t="s">
        <v>8</v>
      </c>
      <c r="C1481">
        <v>928</v>
      </c>
      <c r="D1481" t="s">
        <v>9</v>
      </c>
      <c r="E1481">
        <v>1202</v>
      </c>
      <c r="F1481" t="s">
        <v>39</v>
      </c>
      <c r="G1481">
        <v>25</v>
      </c>
      <c r="H1481" t="s">
        <v>11</v>
      </c>
      <c r="I1481" t="s">
        <v>5420</v>
      </c>
      <c r="J1481" t="s">
        <v>9293</v>
      </c>
      <c r="K1481">
        <v>134590</v>
      </c>
      <c r="L1481">
        <v>44866</v>
      </c>
      <c r="M1481" t="s">
        <v>1507</v>
      </c>
      <c r="N1481">
        <v>134590</v>
      </c>
      <c r="O1481" t="e">
        <v>#N/A</v>
      </c>
    </row>
    <row r="1482" spans="2:15" hidden="1" x14ac:dyDescent="0.3">
      <c r="B1482" t="s">
        <v>8</v>
      </c>
      <c r="C1482">
        <v>928</v>
      </c>
      <c r="D1482" t="s">
        <v>13</v>
      </c>
      <c r="E1482">
        <v>1184</v>
      </c>
      <c r="F1482" t="s">
        <v>335</v>
      </c>
      <c r="G1482">
        <v>201090</v>
      </c>
      <c r="H1482" t="s">
        <v>11</v>
      </c>
      <c r="I1482" t="s">
        <v>5423</v>
      </c>
      <c r="J1482" t="s">
        <v>9294</v>
      </c>
      <c r="K1482">
        <v>2450570</v>
      </c>
      <c r="L1482">
        <v>44866</v>
      </c>
      <c r="M1482" t="s">
        <v>1508</v>
      </c>
      <c r="N1482">
        <v>2450570</v>
      </c>
      <c r="O1482" t="e">
        <v>#N/A</v>
      </c>
    </row>
    <row r="1483" spans="2:15" hidden="1" x14ac:dyDescent="0.3">
      <c r="B1483" t="s">
        <v>8</v>
      </c>
      <c r="C1483">
        <v>928</v>
      </c>
      <c r="D1483" t="s">
        <v>13</v>
      </c>
      <c r="E1483">
        <v>1184</v>
      </c>
      <c r="F1483" t="s">
        <v>59</v>
      </c>
      <c r="G1483">
        <v>9</v>
      </c>
      <c r="H1483" t="s">
        <v>11</v>
      </c>
      <c r="I1483" t="s">
        <v>5430</v>
      </c>
      <c r="J1483" t="s">
        <v>9295</v>
      </c>
      <c r="K1483">
        <v>20620</v>
      </c>
      <c r="L1483">
        <v>44866</v>
      </c>
      <c r="M1483" t="s">
        <v>1509</v>
      </c>
      <c r="N1483">
        <v>20620</v>
      </c>
      <c r="O1483" t="e">
        <v>#N/A</v>
      </c>
    </row>
    <row r="1484" spans="2:15" hidden="1" x14ac:dyDescent="0.3">
      <c r="B1484" t="s">
        <v>8</v>
      </c>
      <c r="C1484">
        <v>928</v>
      </c>
      <c r="D1484" t="s">
        <v>9</v>
      </c>
      <c r="E1484">
        <v>1202</v>
      </c>
      <c r="F1484" t="s">
        <v>31</v>
      </c>
      <c r="G1484">
        <v>1040</v>
      </c>
      <c r="H1484" t="s">
        <v>11</v>
      </c>
      <c r="I1484" t="s">
        <v>5431</v>
      </c>
      <c r="J1484" t="s">
        <v>9296</v>
      </c>
      <c r="K1484">
        <v>222830</v>
      </c>
      <c r="L1484">
        <v>44866</v>
      </c>
      <c r="M1484" t="s">
        <v>1510</v>
      </c>
      <c r="N1484">
        <v>222830</v>
      </c>
      <c r="O1484" t="e">
        <v>#N/A</v>
      </c>
    </row>
    <row r="1485" spans="2:15" hidden="1" x14ac:dyDescent="0.3">
      <c r="B1485" t="s">
        <v>8</v>
      </c>
      <c r="C1485">
        <v>928</v>
      </c>
      <c r="D1485" t="s">
        <v>13</v>
      </c>
      <c r="E1485">
        <v>1184</v>
      </c>
      <c r="F1485" t="s">
        <v>115</v>
      </c>
      <c r="G1485">
        <v>1548</v>
      </c>
      <c r="H1485" t="s">
        <v>11</v>
      </c>
      <c r="I1485" t="s">
        <v>5432</v>
      </c>
      <c r="J1485" t="s">
        <v>9297</v>
      </c>
      <c r="K1485">
        <v>490030</v>
      </c>
      <c r="L1485">
        <v>44866</v>
      </c>
      <c r="M1485" t="s">
        <v>1511</v>
      </c>
      <c r="N1485">
        <v>490030</v>
      </c>
      <c r="O1485" t="e">
        <v>#N/A</v>
      </c>
    </row>
    <row r="1486" spans="2:15" hidden="1" x14ac:dyDescent="0.3">
      <c r="B1486" t="s">
        <v>8</v>
      </c>
      <c r="C1486">
        <v>928</v>
      </c>
      <c r="D1486" t="s">
        <v>13</v>
      </c>
      <c r="E1486">
        <v>1184</v>
      </c>
      <c r="F1486" t="s">
        <v>102</v>
      </c>
      <c r="G1486">
        <v>917</v>
      </c>
      <c r="H1486" t="s">
        <v>11</v>
      </c>
      <c r="I1486" t="s">
        <v>5433</v>
      </c>
      <c r="J1486" t="s">
        <v>9298</v>
      </c>
      <c r="K1486">
        <v>213260</v>
      </c>
      <c r="L1486">
        <v>44866</v>
      </c>
      <c r="M1486" t="s">
        <v>1512</v>
      </c>
      <c r="N1486">
        <v>213260</v>
      </c>
      <c r="O1486" t="e">
        <v>#N/A</v>
      </c>
    </row>
    <row r="1487" spans="2:15" hidden="1" x14ac:dyDescent="0.3">
      <c r="B1487" t="s">
        <v>41</v>
      </c>
      <c r="C1487">
        <v>926</v>
      </c>
      <c r="D1487" t="s">
        <v>56</v>
      </c>
      <c r="E1487">
        <v>1207</v>
      </c>
      <c r="F1487" t="s">
        <v>464</v>
      </c>
      <c r="G1487">
        <v>201071</v>
      </c>
      <c r="H1487" t="s">
        <v>11</v>
      </c>
      <c r="I1487" t="s">
        <v>5434</v>
      </c>
      <c r="J1487" t="s">
        <v>9299</v>
      </c>
      <c r="K1487">
        <v>2085590</v>
      </c>
      <c r="L1487">
        <v>44866</v>
      </c>
      <c r="M1487" t="s">
        <v>1513</v>
      </c>
      <c r="N1487">
        <v>2085590</v>
      </c>
      <c r="O1487" t="e">
        <v>#N/A</v>
      </c>
    </row>
    <row r="1488" spans="2:15" hidden="1" x14ac:dyDescent="0.3">
      <c r="B1488" t="s">
        <v>16</v>
      </c>
      <c r="C1488">
        <v>927</v>
      </c>
      <c r="D1488" t="s">
        <v>17</v>
      </c>
      <c r="E1488">
        <v>1200</v>
      </c>
      <c r="F1488" t="s">
        <v>170</v>
      </c>
      <c r="G1488">
        <v>1530</v>
      </c>
      <c r="H1488" t="s">
        <v>11</v>
      </c>
      <c r="I1488" t="s">
        <v>5437</v>
      </c>
      <c r="J1488" t="s">
        <v>9300</v>
      </c>
      <c r="K1488">
        <v>307920</v>
      </c>
      <c r="L1488">
        <v>44866</v>
      </c>
      <c r="M1488" t="s">
        <v>1514</v>
      </c>
      <c r="N1488">
        <v>307920</v>
      </c>
      <c r="O1488" t="e">
        <v>#N/A</v>
      </c>
    </row>
    <row r="1489" spans="2:15" hidden="1" x14ac:dyDescent="0.3">
      <c r="B1489" t="s">
        <v>8</v>
      </c>
      <c r="C1489">
        <v>928</v>
      </c>
      <c r="D1489" t="s">
        <v>9</v>
      </c>
      <c r="E1489">
        <v>1202</v>
      </c>
      <c r="F1489" t="s">
        <v>10</v>
      </c>
      <c r="G1489">
        <v>939</v>
      </c>
      <c r="H1489" t="s">
        <v>11</v>
      </c>
      <c r="I1489" t="s">
        <v>5439</v>
      </c>
      <c r="J1489" t="s">
        <v>9301</v>
      </c>
      <c r="K1489">
        <v>33840</v>
      </c>
      <c r="L1489">
        <v>44866</v>
      </c>
      <c r="M1489" t="s">
        <v>1515</v>
      </c>
      <c r="N1489">
        <v>33840</v>
      </c>
      <c r="O1489" t="e">
        <v>#N/A</v>
      </c>
    </row>
    <row r="1490" spans="2:15" hidden="1" x14ac:dyDescent="0.3">
      <c r="B1490" t="s">
        <v>16</v>
      </c>
      <c r="C1490">
        <v>927</v>
      </c>
      <c r="D1490" t="s">
        <v>17</v>
      </c>
      <c r="E1490">
        <v>1200</v>
      </c>
      <c r="F1490" t="s">
        <v>290</v>
      </c>
      <c r="G1490">
        <v>556</v>
      </c>
      <c r="H1490" t="s">
        <v>11</v>
      </c>
      <c r="I1490" t="s">
        <v>5442</v>
      </c>
      <c r="J1490" t="s">
        <v>9302</v>
      </c>
      <c r="K1490">
        <v>431740</v>
      </c>
      <c r="L1490">
        <v>44866</v>
      </c>
      <c r="M1490" t="s">
        <v>1516</v>
      </c>
      <c r="N1490">
        <v>404800</v>
      </c>
      <c r="O1490" t="e">
        <v>#N/A</v>
      </c>
    </row>
    <row r="1491" spans="2:15" hidden="1" x14ac:dyDescent="0.3">
      <c r="B1491" t="s">
        <v>8</v>
      </c>
      <c r="C1491">
        <v>928</v>
      </c>
      <c r="D1491" t="s">
        <v>9</v>
      </c>
      <c r="E1491">
        <v>1202</v>
      </c>
      <c r="F1491" t="s">
        <v>35</v>
      </c>
      <c r="G1491">
        <v>51</v>
      </c>
      <c r="H1491" t="s">
        <v>11</v>
      </c>
      <c r="I1491" t="s">
        <v>9303</v>
      </c>
      <c r="J1491" t="s">
        <v>6892</v>
      </c>
      <c r="K1491">
        <v>210000</v>
      </c>
      <c r="L1491">
        <v>44866</v>
      </c>
      <c r="M1491" t="s">
        <v>1517</v>
      </c>
      <c r="N1491" t="e">
        <v>#N/A</v>
      </c>
      <c r="O1491" t="s">
        <v>6893</v>
      </c>
    </row>
    <row r="1492" spans="2:15" hidden="1" x14ac:dyDescent="0.3">
      <c r="B1492" t="s">
        <v>8</v>
      </c>
      <c r="C1492">
        <v>928</v>
      </c>
      <c r="D1492" t="s">
        <v>13</v>
      </c>
      <c r="E1492">
        <v>1184</v>
      </c>
      <c r="F1492" t="s">
        <v>115</v>
      </c>
      <c r="G1492">
        <v>1548</v>
      </c>
      <c r="H1492" t="s">
        <v>11</v>
      </c>
      <c r="I1492" t="s">
        <v>5447</v>
      </c>
      <c r="J1492" t="s">
        <v>9304</v>
      </c>
      <c r="K1492">
        <v>171550</v>
      </c>
      <c r="L1492">
        <v>44866</v>
      </c>
      <c r="M1492" t="s">
        <v>1518</v>
      </c>
      <c r="N1492">
        <v>171550</v>
      </c>
      <c r="O1492" t="e">
        <v>#N/A</v>
      </c>
    </row>
    <row r="1493" spans="2:15" hidden="1" x14ac:dyDescent="0.3">
      <c r="B1493" t="s">
        <v>41</v>
      </c>
      <c r="C1493">
        <v>926</v>
      </c>
      <c r="D1493" t="s">
        <v>56</v>
      </c>
      <c r="E1493">
        <v>1207</v>
      </c>
      <c r="F1493" t="s">
        <v>91</v>
      </c>
      <c r="G1493">
        <v>201104</v>
      </c>
      <c r="H1493" t="s">
        <v>11</v>
      </c>
      <c r="I1493" t="s">
        <v>5448</v>
      </c>
      <c r="J1493" t="s">
        <v>9305</v>
      </c>
      <c r="K1493">
        <v>2781960</v>
      </c>
      <c r="L1493">
        <v>44866</v>
      </c>
      <c r="M1493" t="s">
        <v>1519</v>
      </c>
      <c r="N1493">
        <v>881980</v>
      </c>
      <c r="O1493" t="e">
        <v>#N/A</v>
      </c>
    </row>
    <row r="1494" spans="2:15" hidden="1" x14ac:dyDescent="0.3">
      <c r="B1494" t="s">
        <v>41</v>
      </c>
      <c r="C1494">
        <v>926</v>
      </c>
      <c r="D1494" t="s">
        <v>56</v>
      </c>
      <c r="E1494">
        <v>1207</v>
      </c>
      <c r="F1494" t="s">
        <v>57</v>
      </c>
      <c r="G1494">
        <v>200982</v>
      </c>
      <c r="H1494" t="s">
        <v>11</v>
      </c>
      <c r="I1494" t="s">
        <v>5449</v>
      </c>
      <c r="J1494" t="s">
        <v>9306</v>
      </c>
      <c r="K1494">
        <v>179380</v>
      </c>
      <c r="L1494">
        <v>44866</v>
      </c>
      <c r="M1494" t="s">
        <v>1520</v>
      </c>
      <c r="N1494">
        <v>179380</v>
      </c>
      <c r="O1494" t="e">
        <v>#N/A</v>
      </c>
    </row>
    <row r="1495" spans="2:15" hidden="1" x14ac:dyDescent="0.3">
      <c r="B1495" t="s">
        <v>8</v>
      </c>
      <c r="C1495">
        <v>928</v>
      </c>
      <c r="D1495" t="s">
        <v>9</v>
      </c>
      <c r="E1495">
        <v>1202</v>
      </c>
      <c r="F1495" t="s">
        <v>27</v>
      </c>
      <c r="G1495">
        <v>806</v>
      </c>
      <c r="H1495" t="s">
        <v>11</v>
      </c>
      <c r="I1495" t="s">
        <v>5450</v>
      </c>
      <c r="J1495" t="s">
        <v>9307</v>
      </c>
      <c r="K1495">
        <v>3237930</v>
      </c>
      <c r="L1495">
        <v>44866</v>
      </c>
      <c r="M1495" t="s">
        <v>1521</v>
      </c>
      <c r="N1495">
        <v>3237930</v>
      </c>
      <c r="O1495" t="e">
        <v>#N/A</v>
      </c>
    </row>
    <row r="1496" spans="2:15" hidden="1" x14ac:dyDescent="0.3">
      <c r="B1496" t="s">
        <v>8</v>
      </c>
      <c r="C1496">
        <v>928</v>
      </c>
      <c r="D1496" t="s">
        <v>9</v>
      </c>
      <c r="E1496">
        <v>1202</v>
      </c>
      <c r="F1496" t="s">
        <v>33</v>
      </c>
      <c r="G1496">
        <v>933</v>
      </c>
      <c r="H1496" t="s">
        <v>11</v>
      </c>
      <c r="I1496" t="s">
        <v>5452</v>
      </c>
      <c r="J1496" t="s">
        <v>9308</v>
      </c>
      <c r="K1496">
        <v>126600</v>
      </c>
      <c r="L1496">
        <v>44866</v>
      </c>
      <c r="M1496" t="s">
        <v>1522</v>
      </c>
      <c r="N1496">
        <v>126600</v>
      </c>
      <c r="O1496" t="e">
        <v>#N/A</v>
      </c>
    </row>
    <row r="1497" spans="2:15" hidden="1" x14ac:dyDescent="0.3">
      <c r="B1497" t="s">
        <v>8</v>
      </c>
      <c r="C1497">
        <v>928</v>
      </c>
      <c r="D1497" t="s">
        <v>9</v>
      </c>
      <c r="E1497">
        <v>1202</v>
      </c>
      <c r="F1497" t="s">
        <v>10</v>
      </c>
      <c r="G1497">
        <v>939</v>
      </c>
      <c r="H1497" t="s">
        <v>11</v>
      </c>
      <c r="I1497" t="s">
        <v>5455</v>
      </c>
      <c r="J1497" t="s">
        <v>9309</v>
      </c>
      <c r="K1497">
        <v>452400</v>
      </c>
      <c r="L1497">
        <v>44866</v>
      </c>
      <c r="M1497" t="s">
        <v>1523</v>
      </c>
      <c r="N1497">
        <v>452400</v>
      </c>
      <c r="O1497" t="e">
        <v>#N/A</v>
      </c>
    </row>
    <row r="1498" spans="2:15" hidden="1" x14ac:dyDescent="0.3">
      <c r="B1498" t="s">
        <v>41</v>
      </c>
      <c r="C1498">
        <v>926</v>
      </c>
      <c r="D1498" t="s">
        <v>56</v>
      </c>
      <c r="E1498">
        <v>1207</v>
      </c>
      <c r="F1498" t="s">
        <v>62</v>
      </c>
      <c r="G1498">
        <v>201037</v>
      </c>
      <c r="H1498" t="s">
        <v>11</v>
      </c>
      <c r="I1498" t="s">
        <v>5460</v>
      </c>
      <c r="J1498" t="s">
        <v>9310</v>
      </c>
      <c r="K1498">
        <v>4636960</v>
      </c>
      <c r="L1498">
        <v>44866</v>
      </c>
      <c r="M1498" t="s">
        <v>1524</v>
      </c>
      <c r="N1498">
        <v>4636960</v>
      </c>
      <c r="O1498" t="e">
        <v>#N/A</v>
      </c>
    </row>
    <row r="1499" spans="2:15" hidden="1" x14ac:dyDescent="0.3">
      <c r="B1499" t="s">
        <v>8</v>
      </c>
      <c r="C1499">
        <v>928</v>
      </c>
      <c r="D1499" t="s">
        <v>13</v>
      </c>
      <c r="E1499">
        <v>1184</v>
      </c>
      <c r="F1499" t="s">
        <v>115</v>
      </c>
      <c r="G1499">
        <v>1548</v>
      </c>
      <c r="H1499" t="s">
        <v>11</v>
      </c>
      <c r="I1499" t="s">
        <v>5461</v>
      </c>
      <c r="J1499" t="s">
        <v>9311</v>
      </c>
      <c r="K1499">
        <v>349400</v>
      </c>
      <c r="L1499">
        <v>44866</v>
      </c>
      <c r="M1499" t="s">
        <v>1525</v>
      </c>
      <c r="N1499">
        <v>349400</v>
      </c>
      <c r="O1499" t="e">
        <v>#N/A</v>
      </c>
    </row>
    <row r="1500" spans="2:15" hidden="1" x14ac:dyDescent="0.3">
      <c r="B1500" t="s">
        <v>8</v>
      </c>
      <c r="C1500">
        <v>928</v>
      </c>
      <c r="D1500" t="s">
        <v>13</v>
      </c>
      <c r="E1500">
        <v>1184</v>
      </c>
      <c r="F1500" t="s">
        <v>51</v>
      </c>
      <c r="G1500">
        <v>1274</v>
      </c>
      <c r="H1500" t="s">
        <v>11</v>
      </c>
      <c r="I1500" t="s">
        <v>5462</v>
      </c>
      <c r="J1500" t="s">
        <v>9312</v>
      </c>
      <c r="K1500">
        <v>21000</v>
      </c>
      <c r="L1500">
        <v>44866</v>
      </c>
      <c r="M1500" t="s">
        <v>1526</v>
      </c>
      <c r="N1500">
        <v>21000</v>
      </c>
      <c r="O1500" t="e">
        <v>#N/A</v>
      </c>
    </row>
    <row r="1501" spans="2:15" hidden="1" x14ac:dyDescent="0.3">
      <c r="B1501" t="s">
        <v>41</v>
      </c>
      <c r="C1501">
        <v>926</v>
      </c>
      <c r="D1501" t="s">
        <v>42</v>
      </c>
      <c r="E1501">
        <v>964</v>
      </c>
      <c r="F1501" t="s">
        <v>43</v>
      </c>
      <c r="G1501">
        <v>200998</v>
      </c>
      <c r="H1501" t="s">
        <v>11</v>
      </c>
      <c r="I1501" t="s">
        <v>5464</v>
      </c>
      <c r="J1501" t="s">
        <v>9313</v>
      </c>
      <c r="K1501">
        <v>520</v>
      </c>
      <c r="L1501">
        <v>44866</v>
      </c>
      <c r="M1501" t="s">
        <v>1527</v>
      </c>
      <c r="N1501">
        <v>520</v>
      </c>
      <c r="O1501" t="e">
        <v>#N/A</v>
      </c>
    </row>
    <row r="1502" spans="2:15" hidden="1" x14ac:dyDescent="0.3">
      <c r="B1502" t="s">
        <v>16</v>
      </c>
      <c r="C1502">
        <v>927</v>
      </c>
      <c r="D1502" t="s">
        <v>17</v>
      </c>
      <c r="E1502">
        <v>1200</v>
      </c>
      <c r="F1502" t="s">
        <v>371</v>
      </c>
      <c r="G1502">
        <v>551</v>
      </c>
      <c r="H1502" t="s">
        <v>11</v>
      </c>
      <c r="I1502" t="s">
        <v>5465</v>
      </c>
      <c r="J1502" t="s">
        <v>9314</v>
      </c>
      <c r="K1502">
        <v>88920</v>
      </c>
      <c r="L1502">
        <v>44866</v>
      </c>
      <c r="M1502" t="s">
        <v>1528</v>
      </c>
      <c r="N1502">
        <v>88920</v>
      </c>
      <c r="O1502" t="e">
        <v>#N/A</v>
      </c>
    </row>
    <row r="1503" spans="2:15" hidden="1" x14ac:dyDescent="0.3">
      <c r="B1503" t="s">
        <v>16</v>
      </c>
      <c r="C1503">
        <v>927</v>
      </c>
      <c r="D1503" t="s">
        <v>17</v>
      </c>
      <c r="E1503">
        <v>1200</v>
      </c>
      <c r="F1503" t="s">
        <v>371</v>
      </c>
      <c r="G1503">
        <v>551</v>
      </c>
      <c r="H1503" t="s">
        <v>11</v>
      </c>
      <c r="I1503" t="s">
        <v>5466</v>
      </c>
      <c r="J1503" t="s">
        <v>7188</v>
      </c>
      <c r="K1503">
        <v>131830</v>
      </c>
      <c r="L1503">
        <v>44866</v>
      </c>
      <c r="M1503" t="s">
        <v>1529</v>
      </c>
      <c r="N1503">
        <v>131230</v>
      </c>
      <c r="O1503" t="s">
        <v>7189</v>
      </c>
    </row>
    <row r="1504" spans="2:15" hidden="1" x14ac:dyDescent="0.3">
      <c r="B1504" t="s">
        <v>8</v>
      </c>
      <c r="C1504">
        <v>928</v>
      </c>
      <c r="D1504" t="s">
        <v>13</v>
      </c>
      <c r="E1504">
        <v>1184</v>
      </c>
      <c r="F1504" t="s">
        <v>217</v>
      </c>
      <c r="G1504">
        <v>201027</v>
      </c>
      <c r="H1504" t="s">
        <v>11</v>
      </c>
      <c r="I1504" t="s">
        <v>5470</v>
      </c>
      <c r="J1504" t="s">
        <v>9315</v>
      </c>
      <c r="K1504">
        <v>15480</v>
      </c>
      <c r="L1504">
        <v>44866</v>
      </c>
      <c r="M1504" t="s">
        <v>1530</v>
      </c>
      <c r="N1504">
        <v>0</v>
      </c>
      <c r="O1504" t="e">
        <v>#N/A</v>
      </c>
    </row>
    <row r="1505" spans="2:15" hidden="1" x14ac:dyDescent="0.3">
      <c r="B1505" t="s">
        <v>8</v>
      </c>
      <c r="C1505">
        <v>928</v>
      </c>
      <c r="D1505" t="s">
        <v>9</v>
      </c>
      <c r="E1505">
        <v>1202</v>
      </c>
      <c r="F1505" t="s">
        <v>10</v>
      </c>
      <c r="G1505">
        <v>939</v>
      </c>
      <c r="H1505" t="s">
        <v>11</v>
      </c>
      <c r="I1505" t="s">
        <v>5471</v>
      </c>
      <c r="J1505" t="s">
        <v>9316</v>
      </c>
      <c r="K1505">
        <v>92190</v>
      </c>
      <c r="L1505">
        <v>44866</v>
      </c>
      <c r="M1505" t="s">
        <v>1531</v>
      </c>
      <c r="N1505">
        <v>92190</v>
      </c>
      <c r="O1505" t="e">
        <v>#N/A</v>
      </c>
    </row>
    <row r="1506" spans="2:15" hidden="1" x14ac:dyDescent="0.3">
      <c r="B1506" t="s">
        <v>8</v>
      </c>
      <c r="C1506">
        <v>928</v>
      </c>
      <c r="D1506" t="s">
        <v>13</v>
      </c>
      <c r="E1506">
        <v>1184</v>
      </c>
      <c r="F1506" t="s">
        <v>102</v>
      </c>
      <c r="G1506">
        <v>917</v>
      </c>
      <c r="H1506" t="s">
        <v>11</v>
      </c>
      <c r="I1506" t="s">
        <v>5473</v>
      </c>
      <c r="J1506" t="s">
        <v>9317</v>
      </c>
      <c r="K1506">
        <v>8447980</v>
      </c>
      <c r="L1506">
        <v>44866</v>
      </c>
      <c r="M1506" t="s">
        <v>1532</v>
      </c>
      <c r="N1506">
        <v>8447980</v>
      </c>
      <c r="O1506" t="e">
        <v>#N/A</v>
      </c>
    </row>
    <row r="1507" spans="2:15" hidden="1" x14ac:dyDescent="0.3">
      <c r="B1507" t="s">
        <v>41</v>
      </c>
      <c r="C1507">
        <v>926</v>
      </c>
      <c r="D1507" t="s">
        <v>56</v>
      </c>
      <c r="E1507">
        <v>1207</v>
      </c>
      <c r="F1507" t="s">
        <v>57</v>
      </c>
      <c r="G1507">
        <v>200982</v>
      </c>
      <c r="H1507" t="s">
        <v>11</v>
      </c>
      <c r="I1507" t="s">
        <v>5477</v>
      </c>
      <c r="J1507" t="s">
        <v>9318</v>
      </c>
      <c r="K1507">
        <v>2452210</v>
      </c>
      <c r="L1507">
        <v>44866</v>
      </c>
      <c r="M1507" t="s">
        <v>1533</v>
      </c>
      <c r="N1507">
        <v>2452210</v>
      </c>
      <c r="O1507" t="e">
        <v>#N/A</v>
      </c>
    </row>
    <row r="1508" spans="2:15" hidden="1" x14ac:dyDescent="0.3">
      <c r="B1508" t="s">
        <v>8</v>
      </c>
      <c r="C1508">
        <v>928</v>
      </c>
      <c r="D1508" t="s">
        <v>13</v>
      </c>
      <c r="E1508">
        <v>1184</v>
      </c>
      <c r="F1508" t="s">
        <v>102</v>
      </c>
      <c r="G1508">
        <v>917</v>
      </c>
      <c r="H1508" t="s">
        <v>11</v>
      </c>
      <c r="I1508" t="s">
        <v>5478</v>
      </c>
      <c r="J1508" t="s">
        <v>9319</v>
      </c>
      <c r="K1508">
        <v>109736</v>
      </c>
      <c r="L1508">
        <v>44866</v>
      </c>
      <c r="M1508" t="s">
        <v>1534</v>
      </c>
      <c r="N1508">
        <v>109783</v>
      </c>
      <c r="O1508" t="e">
        <v>#N/A</v>
      </c>
    </row>
    <row r="1509" spans="2:15" hidden="1" x14ac:dyDescent="0.3">
      <c r="B1509" t="s">
        <v>16</v>
      </c>
      <c r="C1509">
        <v>927</v>
      </c>
      <c r="D1509" t="s">
        <v>17</v>
      </c>
      <c r="E1509">
        <v>1200</v>
      </c>
      <c r="F1509" t="s">
        <v>229</v>
      </c>
      <c r="G1509">
        <v>560</v>
      </c>
      <c r="H1509" t="s">
        <v>11</v>
      </c>
      <c r="I1509" t="s">
        <v>9320</v>
      </c>
      <c r="J1509" t="s">
        <v>7099</v>
      </c>
      <c r="K1509">
        <v>385410</v>
      </c>
      <c r="L1509">
        <v>44866</v>
      </c>
      <c r="M1509" t="s">
        <v>1535</v>
      </c>
      <c r="N1509" t="e">
        <v>#N/A</v>
      </c>
      <c r="O1509" t="s">
        <v>7100</v>
      </c>
    </row>
    <row r="1510" spans="2:15" hidden="1" x14ac:dyDescent="0.3">
      <c r="B1510" t="s">
        <v>16</v>
      </c>
      <c r="C1510">
        <v>927</v>
      </c>
      <c r="D1510" t="s">
        <v>17</v>
      </c>
      <c r="E1510">
        <v>1200</v>
      </c>
      <c r="F1510" t="s">
        <v>229</v>
      </c>
      <c r="G1510">
        <v>560</v>
      </c>
      <c r="H1510" t="s">
        <v>11</v>
      </c>
      <c r="I1510" t="s">
        <v>5480</v>
      </c>
      <c r="J1510" t="s">
        <v>9321</v>
      </c>
      <c r="K1510">
        <v>192500</v>
      </c>
      <c r="L1510">
        <v>44866</v>
      </c>
      <c r="M1510" t="s">
        <v>1536</v>
      </c>
      <c r="N1510">
        <v>232860</v>
      </c>
      <c r="O1510" t="e">
        <v>#N/A</v>
      </c>
    </row>
    <row r="1511" spans="2:15" hidden="1" x14ac:dyDescent="0.3">
      <c r="B1511" t="s">
        <v>8</v>
      </c>
      <c r="C1511">
        <v>928</v>
      </c>
      <c r="D1511" t="s">
        <v>13</v>
      </c>
      <c r="E1511">
        <v>1184</v>
      </c>
      <c r="F1511" t="s">
        <v>51</v>
      </c>
      <c r="G1511">
        <v>1274</v>
      </c>
      <c r="H1511" t="s">
        <v>11</v>
      </c>
      <c r="I1511" t="s">
        <v>5482</v>
      </c>
      <c r="J1511" t="s">
        <v>9322</v>
      </c>
      <c r="K1511">
        <v>17690</v>
      </c>
      <c r="L1511">
        <v>44866</v>
      </c>
      <c r="M1511" t="s">
        <v>1537</v>
      </c>
      <c r="N1511">
        <v>17690</v>
      </c>
      <c r="O1511" t="e">
        <v>#N/A</v>
      </c>
    </row>
    <row r="1512" spans="2:15" hidden="1" x14ac:dyDescent="0.3">
      <c r="B1512" t="s">
        <v>8</v>
      </c>
      <c r="C1512">
        <v>928</v>
      </c>
      <c r="D1512" t="s">
        <v>13</v>
      </c>
      <c r="E1512">
        <v>1184</v>
      </c>
      <c r="F1512" t="s">
        <v>59</v>
      </c>
      <c r="G1512">
        <v>9</v>
      </c>
      <c r="H1512" t="s">
        <v>11</v>
      </c>
      <c r="I1512" t="s">
        <v>5484</v>
      </c>
      <c r="J1512" t="s">
        <v>9323</v>
      </c>
      <c r="K1512">
        <v>48270</v>
      </c>
      <c r="L1512">
        <v>44866</v>
      </c>
      <c r="M1512" t="s">
        <v>1538</v>
      </c>
      <c r="N1512">
        <v>48270</v>
      </c>
      <c r="O1512" t="e">
        <v>#N/A</v>
      </c>
    </row>
    <row r="1513" spans="2:15" hidden="1" x14ac:dyDescent="0.3">
      <c r="B1513" t="s">
        <v>8</v>
      </c>
      <c r="C1513">
        <v>928</v>
      </c>
      <c r="D1513" t="s">
        <v>9</v>
      </c>
      <c r="E1513">
        <v>1202</v>
      </c>
      <c r="F1513" t="s">
        <v>27</v>
      </c>
      <c r="G1513">
        <v>806</v>
      </c>
      <c r="H1513" t="s">
        <v>11</v>
      </c>
      <c r="I1513" t="s">
        <v>5487</v>
      </c>
      <c r="J1513" t="s">
        <v>9324</v>
      </c>
      <c r="K1513">
        <v>940</v>
      </c>
      <c r="L1513">
        <v>44866</v>
      </c>
      <c r="M1513" t="s">
        <v>1539</v>
      </c>
      <c r="N1513">
        <v>940</v>
      </c>
      <c r="O1513" t="e">
        <v>#N/A</v>
      </c>
    </row>
    <row r="1514" spans="2:15" hidden="1" x14ac:dyDescent="0.3">
      <c r="B1514" t="s">
        <v>8</v>
      </c>
      <c r="C1514">
        <v>928</v>
      </c>
      <c r="D1514" t="s">
        <v>9</v>
      </c>
      <c r="E1514">
        <v>1202</v>
      </c>
      <c r="F1514" t="s">
        <v>104</v>
      </c>
      <c r="G1514">
        <v>201009</v>
      </c>
      <c r="H1514" t="s">
        <v>11</v>
      </c>
      <c r="I1514" t="s">
        <v>5490</v>
      </c>
      <c r="J1514" t="s">
        <v>9325</v>
      </c>
      <c r="K1514">
        <v>13790</v>
      </c>
      <c r="L1514">
        <v>44866</v>
      </c>
      <c r="M1514" t="s">
        <v>1540</v>
      </c>
      <c r="N1514">
        <v>13790</v>
      </c>
      <c r="O1514" t="e">
        <v>#N/A</v>
      </c>
    </row>
    <row r="1515" spans="2:15" hidden="1" x14ac:dyDescent="0.3">
      <c r="B1515" t="s">
        <v>8</v>
      </c>
      <c r="C1515">
        <v>928</v>
      </c>
      <c r="D1515" t="s">
        <v>13</v>
      </c>
      <c r="E1515">
        <v>1184</v>
      </c>
      <c r="F1515" t="s">
        <v>217</v>
      </c>
      <c r="G1515">
        <v>201027</v>
      </c>
      <c r="H1515" t="s">
        <v>11</v>
      </c>
      <c r="I1515" t="s">
        <v>5491</v>
      </c>
      <c r="J1515" t="s">
        <v>9326</v>
      </c>
      <c r="K1515">
        <v>45750</v>
      </c>
      <c r="L1515">
        <v>44866</v>
      </c>
      <c r="M1515" t="s">
        <v>1541</v>
      </c>
      <c r="N1515">
        <v>45750</v>
      </c>
      <c r="O1515" t="e">
        <v>#N/A</v>
      </c>
    </row>
    <row r="1516" spans="2:15" hidden="1" x14ac:dyDescent="0.3">
      <c r="B1516" t="s">
        <v>8</v>
      </c>
      <c r="C1516">
        <v>928</v>
      </c>
      <c r="D1516" t="s">
        <v>9</v>
      </c>
      <c r="E1516">
        <v>1202</v>
      </c>
      <c r="F1516" t="s">
        <v>45</v>
      </c>
      <c r="G1516">
        <v>26</v>
      </c>
      <c r="H1516" t="s">
        <v>11</v>
      </c>
      <c r="I1516" t="s">
        <v>5492</v>
      </c>
      <c r="J1516" t="s">
        <v>9327</v>
      </c>
      <c r="K1516">
        <v>660000</v>
      </c>
      <c r="L1516">
        <v>44866</v>
      </c>
      <c r="M1516" t="s">
        <v>1542</v>
      </c>
      <c r="N1516">
        <v>660000</v>
      </c>
      <c r="O1516" t="e">
        <v>#N/A</v>
      </c>
    </row>
    <row r="1517" spans="2:15" hidden="1" x14ac:dyDescent="0.3">
      <c r="B1517" t="s">
        <v>8</v>
      </c>
      <c r="C1517">
        <v>928</v>
      </c>
      <c r="D1517" t="s">
        <v>9</v>
      </c>
      <c r="E1517">
        <v>1202</v>
      </c>
      <c r="F1517" t="s">
        <v>45</v>
      </c>
      <c r="G1517">
        <v>26</v>
      </c>
      <c r="H1517" t="s">
        <v>11</v>
      </c>
      <c r="I1517" t="s">
        <v>5493</v>
      </c>
      <c r="J1517" t="s">
        <v>9328</v>
      </c>
      <c r="K1517">
        <v>396380</v>
      </c>
      <c r="L1517">
        <v>44866</v>
      </c>
      <c r="M1517" t="s">
        <v>1543</v>
      </c>
      <c r="N1517">
        <v>396380</v>
      </c>
      <c r="O1517" t="e">
        <v>#N/A</v>
      </c>
    </row>
    <row r="1518" spans="2:15" hidden="1" x14ac:dyDescent="0.3">
      <c r="B1518" t="s">
        <v>16</v>
      </c>
      <c r="C1518">
        <v>927</v>
      </c>
      <c r="D1518" t="s">
        <v>17</v>
      </c>
      <c r="E1518">
        <v>1200</v>
      </c>
      <c r="F1518" t="s">
        <v>100</v>
      </c>
      <c r="G1518">
        <v>201038</v>
      </c>
      <c r="H1518" t="s">
        <v>11</v>
      </c>
      <c r="I1518" t="s">
        <v>5494</v>
      </c>
      <c r="J1518" t="s">
        <v>9329</v>
      </c>
      <c r="K1518">
        <v>388790</v>
      </c>
      <c r="L1518">
        <v>44866</v>
      </c>
      <c r="M1518" t="s">
        <v>1544</v>
      </c>
      <c r="N1518">
        <v>388790</v>
      </c>
      <c r="O1518" t="e">
        <v>#N/A</v>
      </c>
    </row>
    <row r="1519" spans="2:15" hidden="1" x14ac:dyDescent="0.3">
      <c r="B1519" t="s">
        <v>8</v>
      </c>
      <c r="C1519">
        <v>928</v>
      </c>
      <c r="D1519" t="s">
        <v>13</v>
      </c>
      <c r="E1519">
        <v>1184</v>
      </c>
      <c r="F1519" t="s">
        <v>51</v>
      </c>
      <c r="G1519">
        <v>1274</v>
      </c>
      <c r="H1519" t="s">
        <v>11</v>
      </c>
      <c r="I1519" t="s">
        <v>5497</v>
      </c>
      <c r="J1519" t="s">
        <v>9330</v>
      </c>
      <c r="K1519">
        <v>1470</v>
      </c>
      <c r="L1519">
        <v>44866</v>
      </c>
      <c r="M1519" t="s">
        <v>1545</v>
      </c>
      <c r="N1519">
        <v>1470</v>
      </c>
      <c r="O1519" t="e">
        <v>#N/A</v>
      </c>
    </row>
    <row r="1520" spans="2:15" hidden="1" x14ac:dyDescent="0.3">
      <c r="B1520" t="s">
        <v>8</v>
      </c>
      <c r="C1520">
        <v>928</v>
      </c>
      <c r="D1520" t="s">
        <v>13</v>
      </c>
      <c r="E1520">
        <v>1184</v>
      </c>
      <c r="F1520" t="s">
        <v>51</v>
      </c>
      <c r="G1520">
        <v>1274</v>
      </c>
      <c r="H1520" t="s">
        <v>11</v>
      </c>
      <c r="I1520" t="s">
        <v>5498</v>
      </c>
      <c r="J1520" t="s">
        <v>9331</v>
      </c>
      <c r="K1520">
        <v>70</v>
      </c>
      <c r="L1520">
        <v>44866</v>
      </c>
      <c r="M1520" t="s">
        <v>1546</v>
      </c>
      <c r="N1520">
        <v>70</v>
      </c>
      <c r="O1520" t="e">
        <v>#N/A</v>
      </c>
    </row>
    <row r="1521" spans="2:15" hidden="1" x14ac:dyDescent="0.3">
      <c r="B1521" t="s">
        <v>8</v>
      </c>
      <c r="C1521">
        <v>928</v>
      </c>
      <c r="D1521" t="s">
        <v>9</v>
      </c>
      <c r="E1521">
        <v>1202</v>
      </c>
      <c r="F1521" t="s">
        <v>20</v>
      </c>
      <c r="G1521">
        <v>938</v>
      </c>
      <c r="H1521" t="s">
        <v>11</v>
      </c>
      <c r="I1521" t="s">
        <v>5502</v>
      </c>
      <c r="J1521" t="s">
        <v>9332</v>
      </c>
      <c r="K1521">
        <v>172230</v>
      </c>
      <c r="L1521">
        <v>44866</v>
      </c>
      <c r="M1521" t="s">
        <v>1547</v>
      </c>
      <c r="N1521">
        <v>172230</v>
      </c>
      <c r="O1521" t="e">
        <v>#N/A</v>
      </c>
    </row>
    <row r="1522" spans="2:15" hidden="1" x14ac:dyDescent="0.3">
      <c r="B1522" t="s">
        <v>41</v>
      </c>
      <c r="C1522">
        <v>926</v>
      </c>
      <c r="D1522" t="s">
        <v>56</v>
      </c>
      <c r="E1522">
        <v>1207</v>
      </c>
      <c r="F1522" t="s">
        <v>57</v>
      </c>
      <c r="G1522">
        <v>200982</v>
      </c>
      <c r="H1522" t="s">
        <v>11</v>
      </c>
      <c r="I1522" t="s">
        <v>5503</v>
      </c>
      <c r="J1522" t="s">
        <v>9333</v>
      </c>
      <c r="K1522">
        <v>590630</v>
      </c>
      <c r="L1522">
        <v>44866</v>
      </c>
      <c r="M1522" t="s">
        <v>1548</v>
      </c>
      <c r="N1522">
        <v>590630</v>
      </c>
      <c r="O1522" t="e">
        <v>#N/A</v>
      </c>
    </row>
    <row r="1523" spans="2:15" hidden="1" x14ac:dyDescent="0.3">
      <c r="B1523" t="s">
        <v>41</v>
      </c>
      <c r="C1523">
        <v>926</v>
      </c>
      <c r="D1523" t="s">
        <v>56</v>
      </c>
      <c r="E1523">
        <v>1207</v>
      </c>
      <c r="F1523" t="s">
        <v>57</v>
      </c>
      <c r="G1523">
        <v>200982</v>
      </c>
      <c r="H1523" t="s">
        <v>11</v>
      </c>
      <c r="I1523" t="s">
        <v>5506</v>
      </c>
      <c r="J1523" t="s">
        <v>9334</v>
      </c>
      <c r="K1523">
        <v>352660</v>
      </c>
      <c r="L1523">
        <v>44866</v>
      </c>
      <c r="M1523" t="s">
        <v>1549</v>
      </c>
      <c r="N1523">
        <v>352660</v>
      </c>
      <c r="O1523" t="e">
        <v>#N/A</v>
      </c>
    </row>
    <row r="1524" spans="2:15" hidden="1" x14ac:dyDescent="0.3">
      <c r="B1524" t="s">
        <v>16</v>
      </c>
      <c r="C1524">
        <v>927</v>
      </c>
      <c r="D1524" t="s">
        <v>17</v>
      </c>
      <c r="E1524">
        <v>1200</v>
      </c>
      <c r="F1524" t="s">
        <v>371</v>
      </c>
      <c r="G1524">
        <v>551</v>
      </c>
      <c r="H1524" t="s">
        <v>11</v>
      </c>
      <c r="I1524" t="s">
        <v>5508</v>
      </c>
      <c r="J1524" t="s">
        <v>9335</v>
      </c>
      <c r="K1524">
        <v>6808460</v>
      </c>
      <c r="L1524">
        <v>44866</v>
      </c>
      <c r="M1524" t="s">
        <v>1550</v>
      </c>
      <c r="N1524">
        <v>6808460</v>
      </c>
      <c r="O1524" t="e">
        <v>#N/A</v>
      </c>
    </row>
    <row r="1525" spans="2:15" hidden="1" x14ac:dyDescent="0.3">
      <c r="B1525" t="s">
        <v>41</v>
      </c>
      <c r="C1525">
        <v>926</v>
      </c>
      <c r="D1525" t="s">
        <v>56</v>
      </c>
      <c r="E1525">
        <v>1207</v>
      </c>
      <c r="F1525" t="s">
        <v>57</v>
      </c>
      <c r="G1525">
        <v>200982</v>
      </c>
      <c r="H1525" t="s">
        <v>11</v>
      </c>
      <c r="I1525" t="s">
        <v>5509</v>
      </c>
      <c r="J1525" t="s">
        <v>9336</v>
      </c>
      <c r="K1525">
        <v>12340</v>
      </c>
      <c r="L1525">
        <v>44866</v>
      </c>
      <c r="M1525" t="s">
        <v>1551</v>
      </c>
      <c r="N1525">
        <v>12340</v>
      </c>
      <c r="O1525" t="e">
        <v>#N/A</v>
      </c>
    </row>
    <row r="1526" spans="2:15" hidden="1" x14ac:dyDescent="0.3">
      <c r="B1526" t="s">
        <v>8</v>
      </c>
      <c r="C1526">
        <v>928</v>
      </c>
      <c r="D1526" t="s">
        <v>9</v>
      </c>
      <c r="E1526">
        <v>1202</v>
      </c>
      <c r="F1526" t="s">
        <v>104</v>
      </c>
      <c r="G1526">
        <v>201009</v>
      </c>
      <c r="H1526" t="s">
        <v>11</v>
      </c>
      <c r="I1526" t="s">
        <v>5510</v>
      </c>
      <c r="J1526" t="s">
        <v>9337</v>
      </c>
      <c r="K1526">
        <v>1968910</v>
      </c>
      <c r="L1526">
        <v>44866</v>
      </c>
      <c r="M1526" t="s">
        <v>1540</v>
      </c>
      <c r="N1526">
        <v>1968910</v>
      </c>
      <c r="O1526" t="e">
        <v>#N/A</v>
      </c>
    </row>
    <row r="1527" spans="2:15" hidden="1" x14ac:dyDescent="0.3">
      <c r="B1527" t="s">
        <v>16</v>
      </c>
      <c r="C1527">
        <v>927</v>
      </c>
      <c r="D1527" t="s">
        <v>17</v>
      </c>
      <c r="E1527">
        <v>1200</v>
      </c>
      <c r="F1527" t="s">
        <v>66</v>
      </c>
      <c r="G1527">
        <v>33</v>
      </c>
      <c r="H1527" t="s">
        <v>11</v>
      </c>
      <c r="I1527" t="s">
        <v>5512</v>
      </c>
      <c r="J1527" t="s">
        <v>9338</v>
      </c>
      <c r="K1527">
        <v>526370</v>
      </c>
      <c r="L1527">
        <v>44866</v>
      </c>
      <c r="M1527" t="s">
        <v>1552</v>
      </c>
      <c r="N1527">
        <v>526370</v>
      </c>
      <c r="O1527" t="e">
        <v>#N/A</v>
      </c>
    </row>
    <row r="1528" spans="2:15" hidden="1" x14ac:dyDescent="0.3">
      <c r="B1528" t="s">
        <v>8</v>
      </c>
      <c r="C1528">
        <v>928</v>
      </c>
      <c r="D1528" t="s">
        <v>9</v>
      </c>
      <c r="E1528">
        <v>1202</v>
      </c>
      <c r="F1528" t="s">
        <v>10</v>
      </c>
      <c r="G1528">
        <v>939</v>
      </c>
      <c r="H1528" t="s">
        <v>11</v>
      </c>
      <c r="I1528" t="s">
        <v>5515</v>
      </c>
      <c r="J1528" t="s">
        <v>9339</v>
      </c>
      <c r="K1528">
        <v>25880</v>
      </c>
      <c r="L1528">
        <v>44866</v>
      </c>
      <c r="M1528" t="s">
        <v>1553</v>
      </c>
      <c r="N1528">
        <v>25880</v>
      </c>
      <c r="O1528" t="e">
        <v>#N/A</v>
      </c>
    </row>
    <row r="1529" spans="2:15" hidden="1" x14ac:dyDescent="0.3">
      <c r="B1529" t="s">
        <v>16</v>
      </c>
      <c r="C1529">
        <v>927</v>
      </c>
      <c r="D1529" t="s">
        <v>17</v>
      </c>
      <c r="E1529">
        <v>1200</v>
      </c>
      <c r="F1529" t="s">
        <v>78</v>
      </c>
      <c r="G1529">
        <v>57</v>
      </c>
      <c r="H1529" t="s">
        <v>11</v>
      </c>
      <c r="I1529" t="s">
        <v>5517</v>
      </c>
      <c r="J1529" t="s">
        <v>9340</v>
      </c>
      <c r="K1529">
        <v>1423030</v>
      </c>
      <c r="L1529">
        <v>44866</v>
      </c>
      <c r="M1529" t="s">
        <v>1554</v>
      </c>
      <c r="N1529">
        <v>1423030</v>
      </c>
      <c r="O1529" t="e">
        <v>#N/A</v>
      </c>
    </row>
    <row r="1530" spans="2:15" hidden="1" x14ac:dyDescent="0.3">
      <c r="B1530" t="s">
        <v>41</v>
      </c>
      <c r="C1530">
        <v>926</v>
      </c>
      <c r="D1530" t="s">
        <v>56</v>
      </c>
      <c r="E1530">
        <v>1207</v>
      </c>
      <c r="F1530" t="s">
        <v>156</v>
      </c>
      <c r="G1530">
        <v>201103</v>
      </c>
      <c r="H1530" t="s">
        <v>11</v>
      </c>
      <c r="I1530" t="s">
        <v>5521</v>
      </c>
      <c r="J1530" t="s">
        <v>9341</v>
      </c>
      <c r="K1530">
        <v>35120</v>
      </c>
      <c r="L1530">
        <v>44866</v>
      </c>
      <c r="M1530" t="s">
        <v>1555</v>
      </c>
      <c r="N1530">
        <v>35120</v>
      </c>
      <c r="O1530" t="e">
        <v>#N/A</v>
      </c>
    </row>
    <row r="1531" spans="2:15" hidden="1" x14ac:dyDescent="0.3">
      <c r="B1531" t="s">
        <v>8</v>
      </c>
      <c r="C1531">
        <v>928</v>
      </c>
      <c r="D1531" t="s">
        <v>13</v>
      </c>
      <c r="E1531">
        <v>1184</v>
      </c>
      <c r="F1531" t="s">
        <v>59</v>
      </c>
      <c r="G1531">
        <v>9</v>
      </c>
      <c r="H1531" t="s">
        <v>11</v>
      </c>
      <c r="I1531" t="s">
        <v>5524</v>
      </c>
      <c r="J1531" t="s">
        <v>9342</v>
      </c>
      <c r="K1531">
        <v>2180</v>
      </c>
      <c r="L1531">
        <v>44866</v>
      </c>
      <c r="M1531" t="s">
        <v>1556</v>
      </c>
      <c r="N1531">
        <v>2180</v>
      </c>
      <c r="O1531" t="e">
        <v>#N/A</v>
      </c>
    </row>
    <row r="1532" spans="2:15" hidden="1" x14ac:dyDescent="0.3">
      <c r="B1532" t="s">
        <v>16</v>
      </c>
      <c r="C1532">
        <v>927</v>
      </c>
      <c r="D1532" t="s">
        <v>17</v>
      </c>
      <c r="E1532">
        <v>1200</v>
      </c>
      <c r="F1532" t="s">
        <v>66</v>
      </c>
      <c r="G1532">
        <v>33</v>
      </c>
      <c r="H1532" t="s">
        <v>11</v>
      </c>
      <c r="I1532" t="s">
        <v>5527</v>
      </c>
      <c r="J1532" t="s">
        <v>9343</v>
      </c>
      <c r="K1532">
        <v>436610</v>
      </c>
      <c r="L1532">
        <v>44866</v>
      </c>
      <c r="M1532" t="s">
        <v>1557</v>
      </c>
      <c r="N1532">
        <v>436610</v>
      </c>
      <c r="O1532" t="e">
        <v>#N/A</v>
      </c>
    </row>
    <row r="1533" spans="2:15" hidden="1" x14ac:dyDescent="0.3">
      <c r="B1533" t="s">
        <v>8</v>
      </c>
      <c r="C1533">
        <v>928</v>
      </c>
      <c r="D1533" t="s">
        <v>9</v>
      </c>
      <c r="E1533">
        <v>1202</v>
      </c>
      <c r="F1533" t="s">
        <v>27</v>
      </c>
      <c r="G1533">
        <v>806</v>
      </c>
      <c r="H1533" t="s">
        <v>11</v>
      </c>
      <c r="I1533" t="s">
        <v>9344</v>
      </c>
      <c r="J1533" t="s">
        <v>6920</v>
      </c>
      <c r="K1533">
        <v>206050</v>
      </c>
      <c r="L1533">
        <v>44866</v>
      </c>
      <c r="M1533" t="s">
        <v>1558</v>
      </c>
      <c r="N1533" t="e">
        <v>#N/A</v>
      </c>
      <c r="O1533" t="s">
        <v>9345</v>
      </c>
    </row>
    <row r="1534" spans="2:15" hidden="1" x14ac:dyDescent="0.3">
      <c r="B1534" t="s">
        <v>8</v>
      </c>
      <c r="C1534">
        <v>928</v>
      </c>
      <c r="D1534" t="s">
        <v>9</v>
      </c>
      <c r="E1534">
        <v>1202</v>
      </c>
      <c r="F1534" t="s">
        <v>45</v>
      </c>
      <c r="G1534">
        <v>26</v>
      </c>
      <c r="H1534" t="s">
        <v>11</v>
      </c>
      <c r="I1534" t="s">
        <v>5534</v>
      </c>
      <c r="J1534" t="s">
        <v>9346</v>
      </c>
      <c r="K1534">
        <v>2579180</v>
      </c>
      <c r="L1534">
        <v>44866</v>
      </c>
      <c r="M1534" t="s">
        <v>1559</v>
      </c>
      <c r="N1534">
        <v>2579180</v>
      </c>
      <c r="O1534" t="e">
        <v>#N/A</v>
      </c>
    </row>
    <row r="1535" spans="2:15" hidden="1" x14ac:dyDescent="0.3">
      <c r="B1535" t="s">
        <v>8</v>
      </c>
      <c r="C1535">
        <v>928</v>
      </c>
      <c r="D1535" t="s">
        <v>13</v>
      </c>
      <c r="E1535">
        <v>1184</v>
      </c>
      <c r="F1535" t="s">
        <v>115</v>
      </c>
      <c r="G1535">
        <v>1548</v>
      </c>
      <c r="H1535" t="s">
        <v>11</v>
      </c>
      <c r="I1535" t="s">
        <v>5538</v>
      </c>
      <c r="J1535" t="s">
        <v>9347</v>
      </c>
      <c r="K1535">
        <v>303010</v>
      </c>
      <c r="L1535">
        <v>44866</v>
      </c>
      <c r="M1535" t="s">
        <v>1560</v>
      </c>
      <c r="N1535">
        <v>303010</v>
      </c>
      <c r="O1535" t="e">
        <v>#N/A</v>
      </c>
    </row>
    <row r="1536" spans="2:15" hidden="1" x14ac:dyDescent="0.3">
      <c r="B1536" t="s">
        <v>41</v>
      </c>
      <c r="C1536">
        <v>926</v>
      </c>
      <c r="D1536" t="s">
        <v>56</v>
      </c>
      <c r="E1536">
        <v>1207</v>
      </c>
      <c r="F1536" t="s">
        <v>57</v>
      </c>
      <c r="G1536">
        <v>200982</v>
      </c>
      <c r="H1536" t="s">
        <v>11</v>
      </c>
      <c r="I1536" t="s">
        <v>5540</v>
      </c>
      <c r="J1536" t="s">
        <v>9348</v>
      </c>
      <c r="K1536">
        <v>31170</v>
      </c>
      <c r="L1536">
        <v>44866</v>
      </c>
      <c r="M1536" t="s">
        <v>1561</v>
      </c>
      <c r="N1536">
        <v>31170</v>
      </c>
      <c r="O1536" t="e">
        <v>#N/A</v>
      </c>
    </row>
    <row r="1537" spans="2:15" hidden="1" x14ac:dyDescent="0.3">
      <c r="B1537" t="s">
        <v>8</v>
      </c>
      <c r="C1537">
        <v>928</v>
      </c>
      <c r="D1537" t="s">
        <v>9</v>
      </c>
      <c r="E1537">
        <v>1202</v>
      </c>
      <c r="F1537" t="s">
        <v>220</v>
      </c>
      <c r="G1537">
        <v>1211</v>
      </c>
      <c r="H1537" t="s">
        <v>11</v>
      </c>
      <c r="I1537" t="s">
        <v>5542</v>
      </c>
      <c r="J1537" t="s">
        <v>9349</v>
      </c>
      <c r="K1537">
        <v>113240</v>
      </c>
      <c r="L1537">
        <v>44866</v>
      </c>
      <c r="M1537" t="s">
        <v>1562</v>
      </c>
      <c r="N1537">
        <v>113240</v>
      </c>
      <c r="O1537" t="e">
        <v>#N/A</v>
      </c>
    </row>
    <row r="1538" spans="2:15" hidden="1" x14ac:dyDescent="0.3">
      <c r="B1538" t="s">
        <v>16</v>
      </c>
      <c r="C1538">
        <v>927</v>
      </c>
      <c r="D1538" t="s">
        <v>17</v>
      </c>
      <c r="E1538">
        <v>1200</v>
      </c>
      <c r="F1538" t="s">
        <v>100</v>
      </c>
      <c r="G1538">
        <v>201038</v>
      </c>
      <c r="H1538" t="s">
        <v>11</v>
      </c>
      <c r="I1538" t="s">
        <v>5543</v>
      </c>
      <c r="J1538" t="s">
        <v>9350</v>
      </c>
      <c r="K1538">
        <v>83540</v>
      </c>
      <c r="L1538">
        <v>44866</v>
      </c>
      <c r="M1538" t="s">
        <v>1563</v>
      </c>
      <c r="N1538">
        <v>83540</v>
      </c>
      <c r="O1538" t="e">
        <v>#N/A</v>
      </c>
    </row>
    <row r="1539" spans="2:15" hidden="1" x14ac:dyDescent="0.3">
      <c r="B1539" t="s">
        <v>8</v>
      </c>
      <c r="C1539">
        <v>928</v>
      </c>
      <c r="D1539" t="s">
        <v>13</v>
      </c>
      <c r="E1539">
        <v>1184</v>
      </c>
      <c r="F1539" t="s">
        <v>14</v>
      </c>
      <c r="G1539">
        <v>914</v>
      </c>
      <c r="H1539" t="s">
        <v>11</v>
      </c>
      <c r="I1539" t="s">
        <v>5549</v>
      </c>
      <c r="J1539" t="s">
        <v>9351</v>
      </c>
      <c r="K1539">
        <v>61460</v>
      </c>
      <c r="L1539">
        <v>44866</v>
      </c>
      <c r="M1539" t="s">
        <v>1564</v>
      </c>
      <c r="N1539">
        <v>61460</v>
      </c>
      <c r="O1539" t="e">
        <v>#N/A</v>
      </c>
    </row>
    <row r="1540" spans="2:15" hidden="1" x14ac:dyDescent="0.3">
      <c r="B1540" t="s">
        <v>8</v>
      </c>
      <c r="C1540">
        <v>928</v>
      </c>
      <c r="D1540" t="s">
        <v>13</v>
      </c>
      <c r="E1540">
        <v>1184</v>
      </c>
      <c r="F1540" t="s">
        <v>59</v>
      </c>
      <c r="G1540">
        <v>9</v>
      </c>
      <c r="H1540" t="s">
        <v>11</v>
      </c>
      <c r="I1540" t="s">
        <v>5558</v>
      </c>
      <c r="J1540" t="s">
        <v>9352</v>
      </c>
      <c r="K1540">
        <v>1280</v>
      </c>
      <c r="L1540">
        <v>44866</v>
      </c>
      <c r="M1540" t="s">
        <v>1565</v>
      </c>
      <c r="N1540">
        <v>1280</v>
      </c>
      <c r="O1540" t="e">
        <v>#N/A</v>
      </c>
    </row>
    <row r="1541" spans="2:15" hidden="1" x14ac:dyDescent="0.3">
      <c r="B1541" t="s">
        <v>8</v>
      </c>
      <c r="C1541">
        <v>928</v>
      </c>
      <c r="D1541" t="s">
        <v>9</v>
      </c>
      <c r="E1541">
        <v>1202</v>
      </c>
      <c r="F1541" t="s">
        <v>110</v>
      </c>
      <c r="G1541">
        <v>929</v>
      </c>
      <c r="H1541" t="s">
        <v>11</v>
      </c>
      <c r="I1541" t="s">
        <v>5559</v>
      </c>
      <c r="J1541" t="s">
        <v>9353</v>
      </c>
      <c r="K1541">
        <v>637620</v>
      </c>
      <c r="L1541">
        <v>44866</v>
      </c>
      <c r="M1541" t="s">
        <v>1566</v>
      </c>
      <c r="N1541">
        <v>637620</v>
      </c>
      <c r="O1541" t="e">
        <v>#N/A</v>
      </c>
    </row>
    <row r="1542" spans="2:15" hidden="1" x14ac:dyDescent="0.3">
      <c r="B1542" t="s">
        <v>41</v>
      </c>
      <c r="C1542">
        <v>926</v>
      </c>
      <c r="D1542" t="s">
        <v>56</v>
      </c>
      <c r="E1542">
        <v>1207</v>
      </c>
      <c r="F1542" t="s">
        <v>57</v>
      </c>
      <c r="G1542">
        <v>200982</v>
      </c>
      <c r="H1542" t="s">
        <v>11</v>
      </c>
      <c r="I1542" t="s">
        <v>5570</v>
      </c>
      <c r="J1542" t="s">
        <v>9354</v>
      </c>
      <c r="K1542">
        <v>150360</v>
      </c>
      <c r="L1542">
        <v>44866</v>
      </c>
      <c r="M1542" t="s">
        <v>1567</v>
      </c>
      <c r="N1542">
        <v>150360</v>
      </c>
      <c r="O1542" t="e">
        <v>#N/A</v>
      </c>
    </row>
    <row r="1543" spans="2:15" hidden="1" x14ac:dyDescent="0.3">
      <c r="B1543" t="s">
        <v>16</v>
      </c>
      <c r="C1543">
        <v>927</v>
      </c>
      <c r="D1543" t="s">
        <v>17</v>
      </c>
      <c r="E1543">
        <v>1200</v>
      </c>
      <c r="F1543" t="s">
        <v>371</v>
      </c>
      <c r="G1543">
        <v>551</v>
      </c>
      <c r="H1543" t="s">
        <v>11</v>
      </c>
      <c r="I1543" t="s">
        <v>5573</v>
      </c>
      <c r="J1543" t="s">
        <v>9355</v>
      </c>
      <c r="K1543">
        <v>140770</v>
      </c>
      <c r="L1543">
        <v>44866</v>
      </c>
      <c r="M1543" t="s">
        <v>1568</v>
      </c>
      <c r="N1543">
        <v>140770</v>
      </c>
      <c r="O1543" t="e">
        <v>#N/A</v>
      </c>
    </row>
    <row r="1544" spans="2:15" hidden="1" x14ac:dyDescent="0.3">
      <c r="B1544" t="s">
        <v>22</v>
      </c>
      <c r="C1544">
        <v>809</v>
      </c>
      <c r="D1544" t="s">
        <v>23</v>
      </c>
      <c r="E1544">
        <v>810</v>
      </c>
      <c r="F1544" t="s">
        <v>106</v>
      </c>
      <c r="G1544">
        <v>1349</v>
      </c>
      <c r="H1544" t="s">
        <v>11</v>
      </c>
      <c r="I1544" t="s">
        <v>5575</v>
      </c>
      <c r="J1544" t="s">
        <v>9356</v>
      </c>
      <c r="K1544">
        <v>10736910</v>
      </c>
      <c r="L1544">
        <v>44866</v>
      </c>
      <c r="M1544" t="s">
        <v>1569</v>
      </c>
      <c r="N1544">
        <v>10736910</v>
      </c>
      <c r="O1544" t="e">
        <v>#N/A</v>
      </c>
    </row>
    <row r="1545" spans="2:15" hidden="1" x14ac:dyDescent="0.3">
      <c r="B1545" t="s">
        <v>16</v>
      </c>
      <c r="C1545">
        <v>927</v>
      </c>
      <c r="D1545" t="s">
        <v>1570</v>
      </c>
      <c r="E1545">
        <v>965</v>
      </c>
      <c r="F1545" t="s">
        <v>1571</v>
      </c>
      <c r="G1545">
        <v>201061</v>
      </c>
      <c r="H1545" t="s">
        <v>11</v>
      </c>
      <c r="I1545" t="s">
        <v>5577</v>
      </c>
      <c r="J1545" t="s">
        <v>9357</v>
      </c>
      <c r="K1545">
        <v>1544751</v>
      </c>
      <c r="L1545">
        <v>44866</v>
      </c>
      <c r="M1545" t="s">
        <v>1572</v>
      </c>
      <c r="N1545">
        <v>1094760</v>
      </c>
      <c r="O1545" t="e">
        <v>#N/A</v>
      </c>
    </row>
    <row r="1546" spans="2:15" hidden="1" x14ac:dyDescent="0.3">
      <c r="B1546" t="s">
        <v>8</v>
      </c>
      <c r="C1546">
        <v>928</v>
      </c>
      <c r="D1546" t="s">
        <v>9</v>
      </c>
      <c r="E1546">
        <v>1202</v>
      </c>
      <c r="F1546" t="s">
        <v>35</v>
      </c>
      <c r="G1546">
        <v>51</v>
      </c>
      <c r="H1546" t="s">
        <v>11</v>
      </c>
      <c r="I1546" t="s">
        <v>5579</v>
      </c>
      <c r="J1546" t="s">
        <v>9358</v>
      </c>
      <c r="K1546">
        <v>29040</v>
      </c>
      <c r="L1546">
        <v>44866</v>
      </c>
      <c r="M1546" t="s">
        <v>1573</v>
      </c>
      <c r="N1546">
        <v>29040</v>
      </c>
      <c r="O1546" t="e">
        <v>#N/A</v>
      </c>
    </row>
    <row r="1547" spans="2:15" hidden="1" x14ac:dyDescent="0.3">
      <c r="B1547" t="s">
        <v>8</v>
      </c>
      <c r="C1547">
        <v>928</v>
      </c>
      <c r="D1547" t="s">
        <v>9</v>
      </c>
      <c r="E1547">
        <v>1202</v>
      </c>
      <c r="F1547" t="s">
        <v>35</v>
      </c>
      <c r="G1547">
        <v>51</v>
      </c>
      <c r="H1547" t="s">
        <v>11</v>
      </c>
      <c r="I1547" t="s">
        <v>5580</v>
      </c>
      <c r="J1547" t="s">
        <v>9359</v>
      </c>
      <c r="K1547">
        <v>55200</v>
      </c>
      <c r="L1547">
        <v>44866</v>
      </c>
      <c r="M1547" t="s">
        <v>1574</v>
      </c>
      <c r="N1547">
        <v>830</v>
      </c>
      <c r="O1547" t="e">
        <v>#N/A</v>
      </c>
    </row>
    <row r="1548" spans="2:15" hidden="1" x14ac:dyDescent="0.3">
      <c r="B1548" t="s">
        <v>8</v>
      </c>
      <c r="C1548">
        <v>928</v>
      </c>
      <c r="D1548" t="s">
        <v>9</v>
      </c>
      <c r="E1548">
        <v>1202</v>
      </c>
      <c r="F1548" t="s">
        <v>27</v>
      </c>
      <c r="G1548">
        <v>806</v>
      </c>
      <c r="H1548" t="s">
        <v>11</v>
      </c>
      <c r="I1548" t="s">
        <v>5584</v>
      </c>
      <c r="J1548" t="s">
        <v>9360</v>
      </c>
      <c r="K1548">
        <v>638420</v>
      </c>
      <c r="L1548">
        <v>44866</v>
      </c>
      <c r="M1548" t="s">
        <v>1575</v>
      </c>
      <c r="N1548">
        <v>638420</v>
      </c>
      <c r="O1548" t="e">
        <v>#N/A</v>
      </c>
    </row>
    <row r="1549" spans="2:15" hidden="1" x14ac:dyDescent="0.3">
      <c r="B1549" t="s">
        <v>8</v>
      </c>
      <c r="C1549">
        <v>928</v>
      </c>
      <c r="D1549" t="s">
        <v>9</v>
      </c>
      <c r="E1549">
        <v>1202</v>
      </c>
      <c r="F1549" t="s">
        <v>31</v>
      </c>
      <c r="G1549">
        <v>1040</v>
      </c>
      <c r="H1549" t="s">
        <v>11</v>
      </c>
      <c r="I1549" t="s">
        <v>5586</v>
      </c>
      <c r="J1549" t="s">
        <v>9361</v>
      </c>
      <c r="K1549">
        <v>17100</v>
      </c>
      <c r="L1549">
        <v>44866</v>
      </c>
      <c r="M1549" t="s">
        <v>1576</v>
      </c>
      <c r="N1549">
        <v>17100</v>
      </c>
      <c r="O1549" t="e">
        <v>#N/A</v>
      </c>
    </row>
    <row r="1550" spans="2:15" hidden="1" x14ac:dyDescent="0.3">
      <c r="B1550" t="s">
        <v>8</v>
      </c>
      <c r="C1550">
        <v>928</v>
      </c>
      <c r="D1550" t="s">
        <v>167</v>
      </c>
      <c r="E1550">
        <v>935</v>
      </c>
      <c r="F1550" t="s">
        <v>168</v>
      </c>
      <c r="G1550">
        <v>2</v>
      </c>
      <c r="H1550" t="s">
        <v>11</v>
      </c>
      <c r="I1550" t="s">
        <v>5590</v>
      </c>
      <c r="J1550" t="s">
        <v>9362</v>
      </c>
      <c r="K1550">
        <v>2400100</v>
      </c>
      <c r="L1550">
        <v>44866</v>
      </c>
      <c r="M1550" t="s">
        <v>1577</v>
      </c>
      <c r="N1550">
        <v>2400100</v>
      </c>
      <c r="O1550" t="e">
        <v>#N/A</v>
      </c>
    </row>
    <row r="1551" spans="2:15" hidden="1" x14ac:dyDescent="0.3">
      <c r="B1551" t="s">
        <v>16</v>
      </c>
      <c r="C1551">
        <v>927</v>
      </c>
      <c r="D1551" t="s">
        <v>17</v>
      </c>
      <c r="E1551">
        <v>1200</v>
      </c>
      <c r="F1551" t="s">
        <v>446</v>
      </c>
      <c r="G1551">
        <v>566</v>
      </c>
      <c r="H1551" t="s">
        <v>11</v>
      </c>
      <c r="I1551" t="s">
        <v>5592</v>
      </c>
      <c r="J1551" t="s">
        <v>9363</v>
      </c>
      <c r="K1551">
        <v>2974160</v>
      </c>
      <c r="L1551">
        <v>44866</v>
      </c>
      <c r="M1551" t="s">
        <v>1578</v>
      </c>
      <c r="N1551">
        <v>2986530</v>
      </c>
      <c r="O1551" t="e">
        <v>#N/A</v>
      </c>
    </row>
    <row r="1552" spans="2:15" hidden="1" x14ac:dyDescent="0.3">
      <c r="B1552" t="s">
        <v>8</v>
      </c>
      <c r="C1552">
        <v>928</v>
      </c>
      <c r="D1552" t="s">
        <v>9</v>
      </c>
      <c r="E1552">
        <v>1202</v>
      </c>
      <c r="F1552" t="s">
        <v>20</v>
      </c>
      <c r="G1552">
        <v>938</v>
      </c>
      <c r="H1552" t="s">
        <v>11</v>
      </c>
      <c r="I1552" t="s">
        <v>5594</v>
      </c>
      <c r="J1552" t="s">
        <v>9364</v>
      </c>
      <c r="K1552">
        <v>19477</v>
      </c>
      <c r="L1552">
        <v>44866</v>
      </c>
      <c r="M1552" t="s">
        <v>1579</v>
      </c>
      <c r="N1552">
        <v>19524</v>
      </c>
      <c r="O1552" t="e">
        <v>#N/A</v>
      </c>
    </row>
    <row r="1553" spans="2:15" hidden="1" x14ac:dyDescent="0.3">
      <c r="B1553" t="s">
        <v>8</v>
      </c>
      <c r="C1553">
        <v>928</v>
      </c>
      <c r="D1553" t="s">
        <v>9</v>
      </c>
      <c r="E1553">
        <v>1202</v>
      </c>
      <c r="F1553" t="s">
        <v>45</v>
      </c>
      <c r="G1553">
        <v>26</v>
      </c>
      <c r="H1553" t="s">
        <v>11</v>
      </c>
      <c r="I1553" t="s">
        <v>5597</v>
      </c>
      <c r="J1553" t="s">
        <v>9365</v>
      </c>
      <c r="K1553">
        <v>27690</v>
      </c>
      <c r="L1553">
        <v>44866</v>
      </c>
      <c r="M1553" t="s">
        <v>1580</v>
      </c>
      <c r="N1553">
        <v>1790</v>
      </c>
      <c r="O1553" t="e">
        <v>#N/A</v>
      </c>
    </row>
    <row r="1554" spans="2:15" hidden="1" x14ac:dyDescent="0.3">
      <c r="B1554" t="s">
        <v>8</v>
      </c>
      <c r="C1554">
        <v>928</v>
      </c>
      <c r="D1554" t="s">
        <v>9</v>
      </c>
      <c r="E1554">
        <v>1202</v>
      </c>
      <c r="F1554" t="s">
        <v>47</v>
      </c>
      <c r="G1554">
        <v>898</v>
      </c>
      <c r="H1554" t="s">
        <v>11</v>
      </c>
      <c r="I1554" t="s">
        <v>5601</v>
      </c>
      <c r="J1554" t="s">
        <v>9366</v>
      </c>
      <c r="K1554">
        <v>90130</v>
      </c>
      <c r="L1554">
        <v>44866</v>
      </c>
      <c r="M1554" t="s">
        <v>1581</v>
      </c>
      <c r="N1554">
        <v>90130</v>
      </c>
      <c r="O1554" t="e">
        <v>#N/A</v>
      </c>
    </row>
    <row r="1555" spans="2:15" hidden="1" x14ac:dyDescent="0.3">
      <c r="B1555" t="s">
        <v>41</v>
      </c>
      <c r="C1555">
        <v>926</v>
      </c>
      <c r="D1555" t="s">
        <v>56</v>
      </c>
      <c r="E1555">
        <v>1207</v>
      </c>
      <c r="F1555" t="s">
        <v>253</v>
      </c>
      <c r="G1555">
        <v>1328</v>
      </c>
      <c r="H1555" t="s">
        <v>11</v>
      </c>
      <c r="I1555" t="s">
        <v>9367</v>
      </c>
      <c r="J1555" t="s">
        <v>7017</v>
      </c>
      <c r="K1555">
        <v>34710</v>
      </c>
      <c r="L1555">
        <v>44866</v>
      </c>
      <c r="M1555" t="s">
        <v>1582</v>
      </c>
      <c r="N1555" t="e">
        <v>#N/A</v>
      </c>
      <c r="O1555" t="s">
        <v>9368</v>
      </c>
    </row>
    <row r="1556" spans="2:15" hidden="1" x14ac:dyDescent="0.3">
      <c r="B1556" t="s">
        <v>8</v>
      </c>
      <c r="C1556">
        <v>928</v>
      </c>
      <c r="D1556" t="s">
        <v>9</v>
      </c>
      <c r="E1556">
        <v>1202</v>
      </c>
      <c r="F1556" t="s">
        <v>75</v>
      </c>
      <c r="G1556">
        <v>50</v>
      </c>
      <c r="H1556" t="s">
        <v>11</v>
      </c>
      <c r="I1556" t="s">
        <v>5609</v>
      </c>
      <c r="J1556" t="s">
        <v>9369</v>
      </c>
      <c r="K1556">
        <v>1962940</v>
      </c>
      <c r="L1556">
        <v>44866</v>
      </c>
      <c r="M1556" t="s">
        <v>1583</v>
      </c>
      <c r="N1556">
        <v>1968450</v>
      </c>
      <c r="O1556" t="e">
        <v>#N/A</v>
      </c>
    </row>
    <row r="1557" spans="2:15" hidden="1" x14ac:dyDescent="0.3">
      <c r="B1557" t="s">
        <v>41</v>
      </c>
      <c r="C1557">
        <v>926</v>
      </c>
      <c r="D1557" t="s">
        <v>42</v>
      </c>
      <c r="E1557">
        <v>964</v>
      </c>
      <c r="F1557" t="s">
        <v>43</v>
      </c>
      <c r="G1557">
        <v>200998</v>
      </c>
      <c r="H1557" t="s">
        <v>11</v>
      </c>
      <c r="I1557" t="s">
        <v>5611</v>
      </c>
      <c r="J1557" t="s">
        <v>9370</v>
      </c>
      <c r="K1557">
        <v>8870</v>
      </c>
      <c r="L1557">
        <v>44866</v>
      </c>
      <c r="M1557" t="s">
        <v>1584</v>
      </c>
      <c r="N1557">
        <v>8870</v>
      </c>
      <c r="O1557" t="e">
        <v>#N/A</v>
      </c>
    </row>
    <row r="1558" spans="2:15" hidden="1" x14ac:dyDescent="0.3">
      <c r="B1558" t="s">
        <v>41</v>
      </c>
      <c r="C1558">
        <v>926</v>
      </c>
      <c r="D1558" t="s">
        <v>56</v>
      </c>
      <c r="E1558">
        <v>1207</v>
      </c>
      <c r="F1558" t="s">
        <v>253</v>
      </c>
      <c r="G1558">
        <v>1328</v>
      </c>
      <c r="H1558" t="s">
        <v>11</v>
      </c>
      <c r="I1558" t="s">
        <v>5613</v>
      </c>
      <c r="J1558" t="s">
        <v>9371</v>
      </c>
      <c r="K1558">
        <v>2177460</v>
      </c>
      <c r="L1558">
        <v>44866</v>
      </c>
      <c r="M1558" t="s">
        <v>1585</v>
      </c>
      <c r="N1558">
        <v>2155520</v>
      </c>
      <c r="O1558" t="e">
        <v>#N/A</v>
      </c>
    </row>
    <row r="1559" spans="2:15" hidden="1" x14ac:dyDescent="0.3">
      <c r="B1559" t="s">
        <v>41</v>
      </c>
      <c r="C1559">
        <v>926</v>
      </c>
      <c r="D1559" t="s">
        <v>42</v>
      </c>
      <c r="E1559">
        <v>964</v>
      </c>
      <c r="F1559" t="s">
        <v>43</v>
      </c>
      <c r="G1559">
        <v>200998</v>
      </c>
      <c r="H1559" t="s">
        <v>11</v>
      </c>
      <c r="I1559" t="s">
        <v>5617</v>
      </c>
      <c r="J1559" t="s">
        <v>9372</v>
      </c>
      <c r="K1559">
        <v>310</v>
      </c>
      <c r="L1559">
        <v>44866</v>
      </c>
      <c r="M1559" t="s">
        <v>1586</v>
      </c>
      <c r="N1559">
        <v>310</v>
      </c>
      <c r="O1559" t="e">
        <v>#N/A</v>
      </c>
    </row>
    <row r="1560" spans="2:15" hidden="1" x14ac:dyDescent="0.3">
      <c r="B1560" t="s">
        <v>8</v>
      </c>
      <c r="C1560">
        <v>928</v>
      </c>
      <c r="D1560" t="s">
        <v>9</v>
      </c>
      <c r="E1560">
        <v>1202</v>
      </c>
      <c r="F1560" t="s">
        <v>39</v>
      </c>
      <c r="G1560">
        <v>25</v>
      </c>
      <c r="H1560" t="s">
        <v>11</v>
      </c>
      <c r="I1560" t="s">
        <v>5621</v>
      </c>
      <c r="J1560" t="s">
        <v>9373</v>
      </c>
      <c r="K1560">
        <v>557261</v>
      </c>
      <c r="L1560">
        <v>44866</v>
      </c>
      <c r="M1560" t="s">
        <v>1587</v>
      </c>
      <c r="N1560">
        <v>107270</v>
      </c>
      <c r="O1560" t="e">
        <v>#N/A</v>
      </c>
    </row>
    <row r="1561" spans="2:15" hidden="1" x14ac:dyDescent="0.3">
      <c r="B1561" t="s">
        <v>8</v>
      </c>
      <c r="C1561">
        <v>928</v>
      </c>
      <c r="D1561" t="s">
        <v>13</v>
      </c>
      <c r="E1561">
        <v>1184</v>
      </c>
      <c r="F1561" t="s">
        <v>59</v>
      </c>
      <c r="G1561">
        <v>9</v>
      </c>
      <c r="H1561" t="s">
        <v>11</v>
      </c>
      <c r="I1561" t="s">
        <v>5627</v>
      </c>
      <c r="J1561" t="s">
        <v>9374</v>
      </c>
      <c r="K1561">
        <v>60710</v>
      </c>
      <c r="L1561">
        <v>44866</v>
      </c>
      <c r="M1561" t="s">
        <v>1588</v>
      </c>
      <c r="N1561">
        <v>60710</v>
      </c>
      <c r="O1561" t="e">
        <v>#N/A</v>
      </c>
    </row>
    <row r="1562" spans="2:15" hidden="1" x14ac:dyDescent="0.3">
      <c r="B1562" t="s">
        <v>8</v>
      </c>
      <c r="C1562">
        <v>928</v>
      </c>
      <c r="D1562" t="s">
        <v>13</v>
      </c>
      <c r="E1562">
        <v>1184</v>
      </c>
      <c r="F1562" t="s">
        <v>59</v>
      </c>
      <c r="G1562">
        <v>9</v>
      </c>
      <c r="H1562" t="s">
        <v>11</v>
      </c>
      <c r="I1562" t="s">
        <v>5629</v>
      </c>
      <c r="J1562" t="s">
        <v>9375</v>
      </c>
      <c r="K1562">
        <v>100</v>
      </c>
      <c r="L1562">
        <v>44866</v>
      </c>
      <c r="M1562" t="s">
        <v>1589</v>
      </c>
      <c r="N1562">
        <v>100</v>
      </c>
      <c r="O1562" t="e">
        <v>#N/A</v>
      </c>
    </row>
    <row r="1563" spans="2:15" hidden="1" x14ac:dyDescent="0.3">
      <c r="B1563" t="s">
        <v>41</v>
      </c>
      <c r="C1563">
        <v>926</v>
      </c>
      <c r="D1563" t="s">
        <v>56</v>
      </c>
      <c r="E1563">
        <v>1207</v>
      </c>
      <c r="F1563" t="s">
        <v>62</v>
      </c>
      <c r="G1563">
        <v>201037</v>
      </c>
      <c r="H1563" t="s">
        <v>11</v>
      </c>
      <c r="I1563" t="s">
        <v>5630</v>
      </c>
      <c r="J1563" t="s">
        <v>9376</v>
      </c>
      <c r="K1563">
        <v>480050</v>
      </c>
      <c r="L1563">
        <v>44866</v>
      </c>
      <c r="M1563" t="s">
        <v>1590</v>
      </c>
      <c r="N1563">
        <v>480050</v>
      </c>
      <c r="O1563" t="e">
        <v>#N/A</v>
      </c>
    </row>
    <row r="1564" spans="2:15" hidden="1" x14ac:dyDescent="0.3">
      <c r="B1564" t="s">
        <v>8</v>
      </c>
      <c r="C1564">
        <v>928</v>
      </c>
      <c r="D1564" t="s">
        <v>13</v>
      </c>
      <c r="E1564">
        <v>1184</v>
      </c>
      <c r="F1564" t="s">
        <v>59</v>
      </c>
      <c r="G1564">
        <v>9</v>
      </c>
      <c r="H1564" t="s">
        <v>11</v>
      </c>
      <c r="I1564" t="s">
        <v>5631</v>
      </c>
      <c r="J1564" t="s">
        <v>9377</v>
      </c>
      <c r="K1564">
        <v>8820</v>
      </c>
      <c r="L1564">
        <v>44866</v>
      </c>
      <c r="M1564" t="s">
        <v>1591</v>
      </c>
      <c r="N1564">
        <v>8820</v>
      </c>
      <c r="O1564" t="e">
        <v>#N/A</v>
      </c>
    </row>
    <row r="1565" spans="2:15" hidden="1" x14ac:dyDescent="0.3">
      <c r="B1565" t="s">
        <v>8</v>
      </c>
      <c r="C1565">
        <v>928</v>
      </c>
      <c r="D1565" t="s">
        <v>13</v>
      </c>
      <c r="E1565">
        <v>1184</v>
      </c>
      <c r="F1565" t="s">
        <v>115</v>
      </c>
      <c r="G1565">
        <v>1548</v>
      </c>
      <c r="H1565" t="s">
        <v>11</v>
      </c>
      <c r="I1565" t="s">
        <v>5634</v>
      </c>
      <c r="J1565" t="s">
        <v>9378</v>
      </c>
      <c r="K1565">
        <v>612970</v>
      </c>
      <c r="L1565">
        <v>44866</v>
      </c>
      <c r="M1565" t="s">
        <v>1592</v>
      </c>
      <c r="N1565">
        <v>612970</v>
      </c>
      <c r="O1565" t="e">
        <v>#N/A</v>
      </c>
    </row>
    <row r="1566" spans="2:15" hidden="1" x14ac:dyDescent="0.3">
      <c r="B1566" t="s">
        <v>8</v>
      </c>
      <c r="C1566">
        <v>928</v>
      </c>
      <c r="D1566" t="s">
        <v>9</v>
      </c>
      <c r="E1566">
        <v>1202</v>
      </c>
      <c r="F1566" t="s">
        <v>27</v>
      </c>
      <c r="G1566">
        <v>806</v>
      </c>
      <c r="H1566" t="s">
        <v>11</v>
      </c>
      <c r="I1566" t="s">
        <v>5640</v>
      </c>
      <c r="J1566" t="s">
        <v>9379</v>
      </c>
      <c r="K1566">
        <v>161010</v>
      </c>
      <c r="L1566">
        <v>44866</v>
      </c>
      <c r="M1566" t="s">
        <v>1593</v>
      </c>
      <c r="N1566">
        <v>161010</v>
      </c>
      <c r="O1566" t="e">
        <v>#N/A</v>
      </c>
    </row>
    <row r="1567" spans="2:15" hidden="1" x14ac:dyDescent="0.3">
      <c r="B1567" t="s">
        <v>8</v>
      </c>
      <c r="C1567">
        <v>928</v>
      </c>
      <c r="D1567" t="s">
        <v>13</v>
      </c>
      <c r="E1567">
        <v>1184</v>
      </c>
      <c r="F1567" t="s">
        <v>59</v>
      </c>
      <c r="G1567">
        <v>9</v>
      </c>
      <c r="H1567" t="s">
        <v>11</v>
      </c>
      <c r="I1567" t="s">
        <v>5644</v>
      </c>
      <c r="J1567" t="s">
        <v>9380</v>
      </c>
      <c r="K1567">
        <v>17580</v>
      </c>
      <c r="L1567">
        <v>44866</v>
      </c>
      <c r="M1567" t="s">
        <v>1594</v>
      </c>
      <c r="N1567">
        <v>17580</v>
      </c>
      <c r="O1567" t="e">
        <v>#N/A</v>
      </c>
    </row>
    <row r="1568" spans="2:15" hidden="1" x14ac:dyDescent="0.3">
      <c r="B1568" t="s">
        <v>8</v>
      </c>
      <c r="C1568">
        <v>928</v>
      </c>
      <c r="D1568" t="s">
        <v>9</v>
      </c>
      <c r="E1568">
        <v>1202</v>
      </c>
      <c r="F1568" t="s">
        <v>37</v>
      </c>
      <c r="G1568">
        <v>81</v>
      </c>
      <c r="H1568" t="s">
        <v>11</v>
      </c>
      <c r="I1568" t="s">
        <v>5648</v>
      </c>
      <c r="J1568" t="s">
        <v>9381</v>
      </c>
      <c r="K1568">
        <v>392650</v>
      </c>
      <c r="L1568">
        <v>44866</v>
      </c>
      <c r="M1568" t="s">
        <v>1595</v>
      </c>
      <c r="N1568">
        <v>392650</v>
      </c>
      <c r="O1568" t="e">
        <v>#N/A</v>
      </c>
    </row>
    <row r="1569" spans="2:15" hidden="1" x14ac:dyDescent="0.3">
      <c r="B1569" t="s">
        <v>8</v>
      </c>
      <c r="C1569">
        <v>928</v>
      </c>
      <c r="D1569" t="s">
        <v>9</v>
      </c>
      <c r="E1569">
        <v>1202</v>
      </c>
      <c r="F1569" t="s">
        <v>31</v>
      </c>
      <c r="G1569">
        <v>1040</v>
      </c>
      <c r="H1569" t="s">
        <v>11</v>
      </c>
      <c r="I1569" t="s">
        <v>5649</v>
      </c>
      <c r="J1569" t="s">
        <v>9382</v>
      </c>
      <c r="K1569">
        <v>409360</v>
      </c>
      <c r="L1569">
        <v>44866</v>
      </c>
      <c r="M1569" t="s">
        <v>1596</v>
      </c>
      <c r="N1569">
        <v>409360</v>
      </c>
      <c r="O1569" t="e">
        <v>#N/A</v>
      </c>
    </row>
    <row r="1570" spans="2:15" hidden="1" x14ac:dyDescent="0.3">
      <c r="B1570" t="s">
        <v>8</v>
      </c>
      <c r="C1570">
        <v>928</v>
      </c>
      <c r="D1570" t="s">
        <v>9</v>
      </c>
      <c r="E1570">
        <v>1202</v>
      </c>
      <c r="F1570" t="s">
        <v>20</v>
      </c>
      <c r="G1570">
        <v>938</v>
      </c>
      <c r="H1570" t="s">
        <v>11</v>
      </c>
      <c r="I1570" t="s">
        <v>5650</v>
      </c>
      <c r="J1570" t="s">
        <v>9383</v>
      </c>
      <c r="K1570">
        <v>1920620</v>
      </c>
      <c r="L1570">
        <v>44866</v>
      </c>
      <c r="M1570" t="s">
        <v>1597</v>
      </c>
      <c r="N1570">
        <v>1920620</v>
      </c>
      <c r="O1570" t="e">
        <v>#N/A</v>
      </c>
    </row>
    <row r="1571" spans="2:15" hidden="1" x14ac:dyDescent="0.3">
      <c r="B1571" t="s">
        <v>8</v>
      </c>
      <c r="C1571">
        <v>928</v>
      </c>
      <c r="D1571" t="s">
        <v>9</v>
      </c>
      <c r="E1571">
        <v>1202</v>
      </c>
      <c r="F1571" t="s">
        <v>20</v>
      </c>
      <c r="G1571">
        <v>938</v>
      </c>
      <c r="H1571" t="s">
        <v>11</v>
      </c>
      <c r="I1571" t="s">
        <v>5653</v>
      </c>
      <c r="J1571" t="s">
        <v>9384</v>
      </c>
      <c r="K1571">
        <v>58460</v>
      </c>
      <c r="L1571">
        <v>44866</v>
      </c>
      <c r="M1571" t="s">
        <v>1598</v>
      </c>
      <c r="N1571">
        <v>58460</v>
      </c>
      <c r="O1571" t="e">
        <v>#N/A</v>
      </c>
    </row>
    <row r="1572" spans="2:15" hidden="1" x14ac:dyDescent="0.3">
      <c r="B1572" t="s">
        <v>8</v>
      </c>
      <c r="C1572">
        <v>928</v>
      </c>
      <c r="D1572" t="s">
        <v>9</v>
      </c>
      <c r="E1572">
        <v>1202</v>
      </c>
      <c r="F1572" t="s">
        <v>39</v>
      </c>
      <c r="G1572">
        <v>25</v>
      </c>
      <c r="H1572" t="s">
        <v>11</v>
      </c>
      <c r="I1572" t="s">
        <v>5656</v>
      </c>
      <c r="J1572" t="s">
        <v>9385</v>
      </c>
      <c r="K1572">
        <v>1298920</v>
      </c>
      <c r="L1572">
        <v>44866</v>
      </c>
      <c r="M1572" t="s">
        <v>1599</v>
      </c>
      <c r="N1572">
        <v>1298920</v>
      </c>
      <c r="O1572" t="e">
        <v>#N/A</v>
      </c>
    </row>
    <row r="1573" spans="2:15" hidden="1" x14ac:dyDescent="0.3">
      <c r="B1573" t="s">
        <v>16</v>
      </c>
      <c r="C1573">
        <v>927</v>
      </c>
      <c r="D1573" t="s">
        <v>17</v>
      </c>
      <c r="E1573">
        <v>1200</v>
      </c>
      <c r="F1573" t="s">
        <v>262</v>
      </c>
      <c r="G1573">
        <v>1594</v>
      </c>
      <c r="H1573" t="s">
        <v>11</v>
      </c>
      <c r="I1573" t="s">
        <v>5663</v>
      </c>
      <c r="J1573" t="s">
        <v>9386</v>
      </c>
      <c r="K1573">
        <v>132180</v>
      </c>
      <c r="L1573">
        <v>44866</v>
      </c>
      <c r="M1573" t="s">
        <v>1600</v>
      </c>
      <c r="N1573">
        <v>132180</v>
      </c>
      <c r="O1573" t="e">
        <v>#N/A</v>
      </c>
    </row>
    <row r="1574" spans="2:15" hidden="1" x14ac:dyDescent="0.3">
      <c r="B1574" t="s">
        <v>16</v>
      </c>
      <c r="C1574">
        <v>927</v>
      </c>
      <c r="D1574" t="s">
        <v>17</v>
      </c>
      <c r="E1574">
        <v>1200</v>
      </c>
      <c r="F1574" t="s">
        <v>137</v>
      </c>
      <c r="G1574">
        <v>1012</v>
      </c>
      <c r="H1574" t="s">
        <v>11</v>
      </c>
      <c r="I1574" t="s">
        <v>5664</v>
      </c>
      <c r="J1574" t="s">
        <v>9387</v>
      </c>
      <c r="K1574">
        <v>88680</v>
      </c>
      <c r="L1574">
        <v>44866</v>
      </c>
      <c r="M1574" t="s">
        <v>164</v>
      </c>
      <c r="N1574">
        <v>88680</v>
      </c>
      <c r="O1574" t="e">
        <v>#N/A</v>
      </c>
    </row>
    <row r="1575" spans="2:15" hidden="1" x14ac:dyDescent="0.3">
      <c r="B1575" t="s">
        <v>8</v>
      </c>
      <c r="C1575">
        <v>928</v>
      </c>
      <c r="D1575" t="s">
        <v>13</v>
      </c>
      <c r="E1575">
        <v>1184</v>
      </c>
      <c r="F1575" t="s">
        <v>59</v>
      </c>
      <c r="G1575">
        <v>9</v>
      </c>
      <c r="H1575" t="s">
        <v>11</v>
      </c>
      <c r="I1575" t="s">
        <v>5665</v>
      </c>
      <c r="J1575" t="s">
        <v>9388</v>
      </c>
      <c r="K1575">
        <v>11290</v>
      </c>
      <c r="L1575">
        <v>44866</v>
      </c>
      <c r="M1575" t="s">
        <v>1601</v>
      </c>
      <c r="N1575">
        <v>11290</v>
      </c>
      <c r="O1575" t="e">
        <v>#N/A</v>
      </c>
    </row>
    <row r="1576" spans="2:15" hidden="1" x14ac:dyDescent="0.3">
      <c r="B1576" t="s">
        <v>8</v>
      </c>
      <c r="C1576">
        <v>928</v>
      </c>
      <c r="D1576" t="s">
        <v>9</v>
      </c>
      <c r="E1576">
        <v>1202</v>
      </c>
      <c r="F1576" t="s">
        <v>75</v>
      </c>
      <c r="G1576">
        <v>50</v>
      </c>
      <c r="H1576" t="s">
        <v>11</v>
      </c>
      <c r="I1576" t="s">
        <v>5667</v>
      </c>
      <c r="J1576" t="s">
        <v>9389</v>
      </c>
      <c r="K1576">
        <v>32910</v>
      </c>
      <c r="L1576">
        <v>44866</v>
      </c>
      <c r="M1576" t="s">
        <v>1602</v>
      </c>
      <c r="N1576">
        <v>32910</v>
      </c>
      <c r="O1576" t="e">
        <v>#N/A</v>
      </c>
    </row>
    <row r="1577" spans="2:15" hidden="1" x14ac:dyDescent="0.3">
      <c r="B1577" t="s">
        <v>8</v>
      </c>
      <c r="C1577">
        <v>928</v>
      </c>
      <c r="D1577" t="s">
        <v>13</v>
      </c>
      <c r="E1577">
        <v>1184</v>
      </c>
      <c r="F1577" t="s">
        <v>59</v>
      </c>
      <c r="G1577">
        <v>9</v>
      </c>
      <c r="H1577" t="s">
        <v>11</v>
      </c>
      <c r="I1577" t="s">
        <v>5668</v>
      </c>
      <c r="J1577" t="s">
        <v>9390</v>
      </c>
      <c r="K1577">
        <v>11260</v>
      </c>
      <c r="L1577">
        <v>44866</v>
      </c>
      <c r="M1577" t="s">
        <v>1603</v>
      </c>
      <c r="N1577">
        <v>11260</v>
      </c>
      <c r="O1577" t="e">
        <v>#N/A</v>
      </c>
    </row>
    <row r="1578" spans="2:15" hidden="1" x14ac:dyDescent="0.3">
      <c r="B1578" t="s">
        <v>8</v>
      </c>
      <c r="C1578">
        <v>928</v>
      </c>
      <c r="D1578" t="s">
        <v>9</v>
      </c>
      <c r="E1578">
        <v>1202</v>
      </c>
      <c r="F1578" t="s">
        <v>27</v>
      </c>
      <c r="G1578">
        <v>806</v>
      </c>
      <c r="H1578" t="s">
        <v>11</v>
      </c>
      <c r="I1578" t="s">
        <v>5672</v>
      </c>
      <c r="J1578" t="s">
        <v>9391</v>
      </c>
      <c r="K1578">
        <v>483340</v>
      </c>
      <c r="L1578">
        <v>44866</v>
      </c>
      <c r="M1578" t="s">
        <v>1604</v>
      </c>
      <c r="N1578">
        <v>483340</v>
      </c>
      <c r="O1578" t="e">
        <v>#N/A</v>
      </c>
    </row>
    <row r="1579" spans="2:15" hidden="1" x14ac:dyDescent="0.3">
      <c r="B1579" t="s">
        <v>8</v>
      </c>
      <c r="C1579">
        <v>928</v>
      </c>
      <c r="D1579" t="s">
        <v>13</v>
      </c>
      <c r="E1579">
        <v>1184</v>
      </c>
      <c r="F1579" t="s">
        <v>14</v>
      </c>
      <c r="G1579">
        <v>914</v>
      </c>
      <c r="H1579" t="s">
        <v>11</v>
      </c>
      <c r="I1579" t="s">
        <v>5676</v>
      </c>
      <c r="J1579" t="s">
        <v>9392</v>
      </c>
      <c r="K1579">
        <v>38250</v>
      </c>
      <c r="L1579">
        <v>44866</v>
      </c>
      <c r="M1579" t="s">
        <v>1605</v>
      </c>
      <c r="N1579">
        <v>38250</v>
      </c>
      <c r="O1579" t="e">
        <v>#N/A</v>
      </c>
    </row>
    <row r="1580" spans="2:15" hidden="1" x14ac:dyDescent="0.3">
      <c r="B1580" t="s">
        <v>41</v>
      </c>
      <c r="C1580">
        <v>926</v>
      </c>
      <c r="D1580" t="s">
        <v>42</v>
      </c>
      <c r="E1580">
        <v>964</v>
      </c>
      <c r="F1580" t="s">
        <v>43</v>
      </c>
      <c r="G1580">
        <v>200998</v>
      </c>
      <c r="H1580" t="s">
        <v>11</v>
      </c>
      <c r="I1580" t="s">
        <v>5679</v>
      </c>
      <c r="J1580" t="s">
        <v>9393</v>
      </c>
      <c r="K1580">
        <v>2510</v>
      </c>
      <c r="L1580">
        <v>44866</v>
      </c>
      <c r="M1580" t="s">
        <v>1606</v>
      </c>
      <c r="N1580">
        <v>2510</v>
      </c>
      <c r="O1580" t="e">
        <v>#N/A</v>
      </c>
    </row>
    <row r="1581" spans="2:15" hidden="1" x14ac:dyDescent="0.3">
      <c r="B1581" t="s">
        <v>8</v>
      </c>
      <c r="C1581">
        <v>928</v>
      </c>
      <c r="D1581" t="s">
        <v>13</v>
      </c>
      <c r="E1581">
        <v>1184</v>
      </c>
      <c r="F1581" t="s">
        <v>59</v>
      </c>
      <c r="G1581">
        <v>9</v>
      </c>
      <c r="H1581" t="s">
        <v>11</v>
      </c>
      <c r="I1581" t="s">
        <v>5682</v>
      </c>
      <c r="J1581" t="s">
        <v>9394</v>
      </c>
      <c r="K1581">
        <v>14520</v>
      </c>
      <c r="L1581">
        <v>44866</v>
      </c>
      <c r="M1581" t="s">
        <v>1607</v>
      </c>
      <c r="N1581">
        <v>14520</v>
      </c>
      <c r="O1581" t="e">
        <v>#N/A</v>
      </c>
    </row>
    <row r="1582" spans="2:15" hidden="1" x14ac:dyDescent="0.3">
      <c r="B1582" t="s">
        <v>8</v>
      </c>
      <c r="C1582">
        <v>928</v>
      </c>
      <c r="D1582" t="s">
        <v>9</v>
      </c>
      <c r="E1582">
        <v>1202</v>
      </c>
      <c r="F1582" t="s">
        <v>45</v>
      </c>
      <c r="G1582">
        <v>26</v>
      </c>
      <c r="H1582" t="s">
        <v>11</v>
      </c>
      <c r="I1582" t="s">
        <v>5683</v>
      </c>
      <c r="J1582" t="s">
        <v>9395</v>
      </c>
      <c r="K1582">
        <v>3428500</v>
      </c>
      <c r="L1582">
        <v>44866</v>
      </c>
      <c r="M1582" t="s">
        <v>1608</v>
      </c>
      <c r="N1582">
        <v>3428500</v>
      </c>
      <c r="O1582" t="e">
        <v>#N/A</v>
      </c>
    </row>
    <row r="1583" spans="2:15" hidden="1" x14ac:dyDescent="0.3">
      <c r="B1583" t="s">
        <v>8</v>
      </c>
      <c r="C1583">
        <v>928</v>
      </c>
      <c r="D1583" t="s">
        <v>13</v>
      </c>
      <c r="E1583">
        <v>1184</v>
      </c>
      <c r="F1583" t="s">
        <v>51</v>
      </c>
      <c r="G1583">
        <v>1274</v>
      </c>
      <c r="H1583" t="s">
        <v>11</v>
      </c>
      <c r="I1583" t="s">
        <v>5687</v>
      </c>
      <c r="J1583" t="s">
        <v>9396</v>
      </c>
      <c r="K1583">
        <v>250</v>
      </c>
      <c r="L1583">
        <v>44866</v>
      </c>
      <c r="M1583" t="s">
        <v>1609</v>
      </c>
      <c r="N1583">
        <v>250</v>
      </c>
      <c r="O1583" t="e">
        <v>#N/A</v>
      </c>
    </row>
    <row r="1584" spans="2:15" hidden="1" x14ac:dyDescent="0.3">
      <c r="B1584" t="s">
        <v>8</v>
      </c>
      <c r="C1584">
        <v>928</v>
      </c>
      <c r="D1584" t="s">
        <v>9</v>
      </c>
      <c r="E1584">
        <v>1202</v>
      </c>
      <c r="F1584" t="s">
        <v>104</v>
      </c>
      <c r="G1584">
        <v>201009</v>
      </c>
      <c r="H1584" t="s">
        <v>11</v>
      </c>
      <c r="I1584" t="s">
        <v>5688</v>
      </c>
      <c r="J1584" t="s">
        <v>9397</v>
      </c>
      <c r="K1584">
        <v>1980140</v>
      </c>
      <c r="L1584">
        <v>44866</v>
      </c>
      <c r="M1584" t="s">
        <v>1002</v>
      </c>
      <c r="N1584">
        <v>1980140</v>
      </c>
      <c r="O1584" t="e">
        <v>#N/A</v>
      </c>
    </row>
    <row r="1585" spans="2:15" hidden="1" x14ac:dyDescent="0.3">
      <c r="B1585" t="s">
        <v>16</v>
      </c>
      <c r="C1585">
        <v>927</v>
      </c>
      <c r="D1585" t="s">
        <v>17</v>
      </c>
      <c r="E1585">
        <v>1200</v>
      </c>
      <c r="F1585" t="s">
        <v>170</v>
      </c>
      <c r="G1585">
        <v>1530</v>
      </c>
      <c r="H1585" t="s">
        <v>11</v>
      </c>
      <c r="I1585" t="s">
        <v>5690</v>
      </c>
      <c r="J1585" t="s">
        <v>9398</v>
      </c>
      <c r="K1585">
        <v>1228140</v>
      </c>
      <c r="L1585">
        <v>44866</v>
      </c>
      <c r="M1585" t="s">
        <v>1610</v>
      </c>
      <c r="N1585">
        <v>1228140</v>
      </c>
      <c r="O1585" t="e">
        <v>#N/A</v>
      </c>
    </row>
    <row r="1586" spans="2:15" hidden="1" x14ac:dyDescent="0.3">
      <c r="B1586" t="s">
        <v>16</v>
      </c>
      <c r="C1586">
        <v>927</v>
      </c>
      <c r="D1586" t="s">
        <v>17</v>
      </c>
      <c r="E1586">
        <v>1200</v>
      </c>
      <c r="F1586" t="s">
        <v>137</v>
      </c>
      <c r="G1586">
        <v>1012</v>
      </c>
      <c r="H1586" t="s">
        <v>11</v>
      </c>
      <c r="I1586" t="s">
        <v>5695</v>
      </c>
      <c r="J1586" t="s">
        <v>9399</v>
      </c>
      <c r="K1586">
        <v>895730</v>
      </c>
      <c r="L1586">
        <v>44866</v>
      </c>
      <c r="M1586" t="s">
        <v>1611</v>
      </c>
      <c r="N1586">
        <v>895730</v>
      </c>
      <c r="O1586" t="e">
        <v>#N/A</v>
      </c>
    </row>
    <row r="1587" spans="2:15" hidden="1" x14ac:dyDescent="0.3">
      <c r="B1587" t="s">
        <v>41</v>
      </c>
      <c r="C1587">
        <v>926</v>
      </c>
      <c r="D1587" t="s">
        <v>56</v>
      </c>
      <c r="E1587">
        <v>1207</v>
      </c>
      <c r="F1587" t="s">
        <v>91</v>
      </c>
      <c r="G1587">
        <v>201104</v>
      </c>
      <c r="H1587" t="s">
        <v>11</v>
      </c>
      <c r="I1587" t="s">
        <v>5705</v>
      </c>
      <c r="J1587" t="s">
        <v>9400</v>
      </c>
      <c r="K1587">
        <v>221140</v>
      </c>
      <c r="L1587">
        <v>44866</v>
      </c>
      <c r="M1587" t="s">
        <v>1612</v>
      </c>
      <c r="N1587">
        <v>221140</v>
      </c>
      <c r="O1587" t="e">
        <v>#N/A</v>
      </c>
    </row>
    <row r="1588" spans="2:15" hidden="1" x14ac:dyDescent="0.3">
      <c r="B1588" t="s">
        <v>41</v>
      </c>
      <c r="C1588">
        <v>926</v>
      </c>
      <c r="D1588" t="s">
        <v>56</v>
      </c>
      <c r="E1588">
        <v>1207</v>
      </c>
      <c r="F1588" t="s">
        <v>57</v>
      </c>
      <c r="G1588">
        <v>200982</v>
      </c>
      <c r="H1588" t="s">
        <v>11</v>
      </c>
      <c r="I1588" t="s">
        <v>5717</v>
      </c>
      <c r="J1588" t="s">
        <v>9401</v>
      </c>
      <c r="K1588">
        <v>236000</v>
      </c>
      <c r="L1588">
        <v>44866</v>
      </c>
      <c r="M1588" t="s">
        <v>1613</v>
      </c>
      <c r="N1588">
        <v>236000</v>
      </c>
      <c r="O1588" t="e">
        <v>#N/A</v>
      </c>
    </row>
    <row r="1589" spans="2:15" hidden="1" x14ac:dyDescent="0.3">
      <c r="B1589" t="s">
        <v>8</v>
      </c>
      <c r="C1589">
        <v>928</v>
      </c>
      <c r="D1589" t="s">
        <v>9</v>
      </c>
      <c r="E1589">
        <v>1202</v>
      </c>
      <c r="F1589" t="s">
        <v>73</v>
      </c>
      <c r="G1589">
        <v>895</v>
      </c>
      <c r="H1589" t="s">
        <v>11</v>
      </c>
      <c r="I1589" t="s">
        <v>5721</v>
      </c>
      <c r="J1589" t="s">
        <v>9402</v>
      </c>
      <c r="K1589">
        <v>38800</v>
      </c>
      <c r="L1589">
        <v>44866</v>
      </c>
      <c r="M1589" t="s">
        <v>1614</v>
      </c>
      <c r="N1589">
        <v>39390</v>
      </c>
      <c r="O1589" t="e">
        <v>#N/A</v>
      </c>
    </row>
    <row r="1590" spans="2:15" hidden="1" x14ac:dyDescent="0.3">
      <c r="B1590" t="s">
        <v>16</v>
      </c>
      <c r="C1590">
        <v>927</v>
      </c>
      <c r="D1590" t="s">
        <v>17</v>
      </c>
      <c r="E1590">
        <v>1200</v>
      </c>
      <c r="F1590" t="s">
        <v>93</v>
      </c>
      <c r="G1590">
        <v>930</v>
      </c>
      <c r="H1590" t="s">
        <v>11</v>
      </c>
      <c r="I1590" t="s">
        <v>5725</v>
      </c>
      <c r="J1590" t="s">
        <v>9403</v>
      </c>
      <c r="K1590">
        <v>281430</v>
      </c>
      <c r="L1590">
        <v>44866</v>
      </c>
      <c r="M1590" t="s">
        <v>1615</v>
      </c>
      <c r="N1590">
        <v>281430</v>
      </c>
      <c r="O1590" t="e">
        <v>#N/A</v>
      </c>
    </row>
    <row r="1591" spans="2:15" x14ac:dyDescent="0.3">
      <c r="B1591" t="s">
        <v>16</v>
      </c>
      <c r="C1591">
        <v>927</v>
      </c>
      <c r="D1591" t="s">
        <v>17</v>
      </c>
      <c r="E1591">
        <v>1200</v>
      </c>
      <c r="F1591" t="s">
        <v>100</v>
      </c>
      <c r="G1591">
        <v>201038</v>
      </c>
      <c r="H1591" t="s">
        <v>11</v>
      </c>
      <c r="I1591" t="s">
        <v>9404</v>
      </c>
      <c r="J1591" t="s">
        <v>9405</v>
      </c>
      <c r="K1591">
        <v>159140</v>
      </c>
      <c r="L1591">
        <v>44866</v>
      </c>
      <c r="M1591" t="s">
        <v>1616</v>
      </c>
      <c r="N1591" t="e">
        <v>#N/A</v>
      </c>
      <c r="O1591" t="e">
        <v>#N/A</v>
      </c>
    </row>
    <row r="1592" spans="2:15" hidden="1" x14ac:dyDescent="0.3">
      <c r="B1592" t="s">
        <v>8</v>
      </c>
      <c r="C1592">
        <v>928</v>
      </c>
      <c r="D1592" t="s">
        <v>9</v>
      </c>
      <c r="E1592">
        <v>1202</v>
      </c>
      <c r="F1592" t="s">
        <v>104</v>
      </c>
      <c r="G1592">
        <v>201009</v>
      </c>
      <c r="H1592" t="s">
        <v>11</v>
      </c>
      <c r="I1592" t="s">
        <v>5728</v>
      </c>
      <c r="J1592" t="s">
        <v>9406</v>
      </c>
      <c r="K1592">
        <v>205350</v>
      </c>
      <c r="L1592">
        <v>44866</v>
      </c>
      <c r="M1592" t="s">
        <v>1617</v>
      </c>
      <c r="N1592">
        <v>205350</v>
      </c>
      <c r="O1592" t="e">
        <v>#N/A</v>
      </c>
    </row>
    <row r="1593" spans="2:15" hidden="1" x14ac:dyDescent="0.3">
      <c r="B1593" t="s">
        <v>41</v>
      </c>
      <c r="C1593">
        <v>926</v>
      </c>
      <c r="D1593" t="s">
        <v>56</v>
      </c>
      <c r="E1593">
        <v>1207</v>
      </c>
      <c r="F1593" t="s">
        <v>57</v>
      </c>
      <c r="G1593">
        <v>200982</v>
      </c>
      <c r="H1593" t="s">
        <v>11</v>
      </c>
      <c r="I1593" t="s">
        <v>5729</v>
      </c>
      <c r="J1593" t="s">
        <v>9407</v>
      </c>
      <c r="K1593">
        <v>36300</v>
      </c>
      <c r="L1593">
        <v>44866</v>
      </c>
      <c r="M1593" t="s">
        <v>1618</v>
      </c>
      <c r="N1593">
        <v>36300</v>
      </c>
      <c r="O1593" t="e">
        <v>#N/A</v>
      </c>
    </row>
    <row r="1594" spans="2:15" hidden="1" x14ac:dyDescent="0.3">
      <c r="B1594" t="s">
        <v>41</v>
      </c>
      <c r="C1594">
        <v>926</v>
      </c>
      <c r="D1594" t="s">
        <v>42</v>
      </c>
      <c r="E1594">
        <v>964</v>
      </c>
      <c r="F1594" t="s">
        <v>43</v>
      </c>
      <c r="G1594">
        <v>200998</v>
      </c>
      <c r="H1594" t="s">
        <v>11</v>
      </c>
      <c r="I1594" t="s">
        <v>5730</v>
      </c>
      <c r="J1594" t="s">
        <v>9408</v>
      </c>
      <c r="K1594">
        <v>1150</v>
      </c>
      <c r="L1594">
        <v>44866</v>
      </c>
      <c r="M1594" t="s">
        <v>1619</v>
      </c>
      <c r="N1594">
        <v>1150</v>
      </c>
      <c r="O1594" t="e">
        <v>#N/A</v>
      </c>
    </row>
    <row r="1595" spans="2:15" hidden="1" x14ac:dyDescent="0.3">
      <c r="B1595" t="s">
        <v>41</v>
      </c>
      <c r="C1595">
        <v>926</v>
      </c>
      <c r="D1595" t="s">
        <v>42</v>
      </c>
      <c r="E1595">
        <v>964</v>
      </c>
      <c r="F1595" t="s">
        <v>704</v>
      </c>
      <c r="G1595">
        <v>1616</v>
      </c>
      <c r="H1595" t="s">
        <v>11</v>
      </c>
      <c r="I1595" t="s">
        <v>5733</v>
      </c>
      <c r="J1595" t="s">
        <v>9409</v>
      </c>
      <c r="K1595">
        <v>570</v>
      </c>
      <c r="L1595">
        <v>44866</v>
      </c>
      <c r="M1595" t="s">
        <v>1620</v>
      </c>
      <c r="N1595">
        <v>570</v>
      </c>
      <c r="O1595" t="e">
        <v>#N/A</v>
      </c>
    </row>
    <row r="1596" spans="2:15" hidden="1" x14ac:dyDescent="0.3">
      <c r="B1596" t="s">
        <v>8</v>
      </c>
      <c r="C1596">
        <v>928</v>
      </c>
      <c r="D1596" t="s">
        <v>13</v>
      </c>
      <c r="E1596">
        <v>1184</v>
      </c>
      <c r="F1596" t="s">
        <v>51</v>
      </c>
      <c r="G1596">
        <v>1274</v>
      </c>
      <c r="H1596" t="s">
        <v>11</v>
      </c>
      <c r="I1596" t="s">
        <v>5734</v>
      </c>
      <c r="J1596" t="s">
        <v>9410</v>
      </c>
      <c r="K1596">
        <v>1667520</v>
      </c>
      <c r="L1596">
        <v>44866</v>
      </c>
      <c r="M1596" t="s">
        <v>1621</v>
      </c>
      <c r="N1596">
        <v>1667520</v>
      </c>
      <c r="O1596" t="e">
        <v>#N/A</v>
      </c>
    </row>
    <row r="1597" spans="2:15" hidden="1" x14ac:dyDescent="0.3">
      <c r="B1597" t="s">
        <v>16</v>
      </c>
      <c r="C1597">
        <v>927</v>
      </c>
      <c r="D1597" t="s">
        <v>17</v>
      </c>
      <c r="E1597">
        <v>1200</v>
      </c>
      <c r="F1597" t="s">
        <v>371</v>
      </c>
      <c r="G1597">
        <v>551</v>
      </c>
      <c r="H1597" t="s">
        <v>11</v>
      </c>
      <c r="I1597" t="s">
        <v>5735</v>
      </c>
      <c r="J1597" t="s">
        <v>9411</v>
      </c>
      <c r="K1597">
        <v>2352610</v>
      </c>
      <c r="L1597">
        <v>44866</v>
      </c>
      <c r="M1597" t="s">
        <v>1622</v>
      </c>
      <c r="N1597">
        <v>2352610</v>
      </c>
      <c r="O1597" t="e">
        <v>#N/A</v>
      </c>
    </row>
    <row r="1598" spans="2:15" hidden="1" x14ac:dyDescent="0.3">
      <c r="B1598" t="s">
        <v>41</v>
      </c>
      <c r="C1598">
        <v>926</v>
      </c>
      <c r="D1598" t="s">
        <v>56</v>
      </c>
      <c r="E1598">
        <v>1207</v>
      </c>
      <c r="F1598" t="s">
        <v>57</v>
      </c>
      <c r="G1598">
        <v>200982</v>
      </c>
      <c r="H1598" t="s">
        <v>11</v>
      </c>
      <c r="I1598" t="s">
        <v>5739</v>
      </c>
      <c r="J1598" t="s">
        <v>9412</v>
      </c>
      <c r="K1598">
        <v>2911650</v>
      </c>
      <c r="L1598">
        <v>44866</v>
      </c>
      <c r="M1598" t="s">
        <v>1623</v>
      </c>
      <c r="N1598">
        <v>2911650</v>
      </c>
      <c r="O1598" t="e">
        <v>#N/A</v>
      </c>
    </row>
    <row r="1599" spans="2:15" hidden="1" x14ac:dyDescent="0.3">
      <c r="B1599" t="s">
        <v>176</v>
      </c>
      <c r="C1599">
        <v>1204</v>
      </c>
      <c r="D1599" t="s">
        <v>177</v>
      </c>
      <c r="E1599">
        <v>1205</v>
      </c>
      <c r="F1599" t="s">
        <v>178</v>
      </c>
      <c r="G1599">
        <v>201073</v>
      </c>
      <c r="H1599" t="s">
        <v>11</v>
      </c>
      <c r="I1599" t="s">
        <v>5744</v>
      </c>
      <c r="J1599" t="s">
        <v>9413</v>
      </c>
      <c r="K1599">
        <v>532010</v>
      </c>
      <c r="L1599">
        <v>44866</v>
      </c>
      <c r="M1599" t="s">
        <v>1624</v>
      </c>
      <c r="N1599">
        <v>532010</v>
      </c>
      <c r="O1599" t="e">
        <v>#N/A</v>
      </c>
    </row>
    <row r="1600" spans="2:15" hidden="1" x14ac:dyDescent="0.3">
      <c r="B1600" t="s">
        <v>8</v>
      </c>
      <c r="C1600">
        <v>928</v>
      </c>
      <c r="D1600" t="s">
        <v>13</v>
      </c>
      <c r="E1600">
        <v>1184</v>
      </c>
      <c r="F1600" t="s">
        <v>102</v>
      </c>
      <c r="G1600">
        <v>917</v>
      </c>
      <c r="H1600" t="s">
        <v>11</v>
      </c>
      <c r="I1600" t="s">
        <v>5746</v>
      </c>
      <c r="J1600" t="s">
        <v>9414</v>
      </c>
      <c r="K1600">
        <v>280</v>
      </c>
      <c r="L1600">
        <v>44866</v>
      </c>
      <c r="M1600" t="s">
        <v>1625</v>
      </c>
      <c r="N1600">
        <v>280</v>
      </c>
      <c r="O1600" t="e">
        <v>#N/A</v>
      </c>
    </row>
    <row r="1601" spans="2:15" hidden="1" x14ac:dyDescent="0.3">
      <c r="B1601" t="s">
        <v>41</v>
      </c>
      <c r="C1601">
        <v>926</v>
      </c>
      <c r="D1601" t="s">
        <v>56</v>
      </c>
      <c r="E1601">
        <v>1207</v>
      </c>
      <c r="F1601" t="s">
        <v>64</v>
      </c>
      <c r="G1601">
        <v>201011</v>
      </c>
      <c r="H1601" t="s">
        <v>11</v>
      </c>
      <c r="I1601" t="s">
        <v>5747</v>
      </c>
      <c r="J1601" t="s">
        <v>9415</v>
      </c>
      <c r="K1601">
        <v>80570</v>
      </c>
      <c r="L1601">
        <v>44866</v>
      </c>
      <c r="M1601" t="s">
        <v>1626</v>
      </c>
      <c r="N1601">
        <v>80570</v>
      </c>
      <c r="O1601" t="e">
        <v>#N/A</v>
      </c>
    </row>
    <row r="1602" spans="2:15" hidden="1" x14ac:dyDescent="0.3">
      <c r="B1602" t="s">
        <v>8</v>
      </c>
      <c r="C1602">
        <v>928</v>
      </c>
      <c r="D1602" t="s">
        <v>9</v>
      </c>
      <c r="E1602">
        <v>1202</v>
      </c>
      <c r="F1602" t="s">
        <v>27</v>
      </c>
      <c r="G1602">
        <v>806</v>
      </c>
      <c r="H1602" t="s">
        <v>11</v>
      </c>
      <c r="I1602" t="s">
        <v>5749</v>
      </c>
      <c r="J1602" t="s">
        <v>9416</v>
      </c>
      <c r="K1602">
        <v>1460760</v>
      </c>
      <c r="L1602">
        <v>44866</v>
      </c>
      <c r="M1602" t="s">
        <v>1627</v>
      </c>
      <c r="N1602">
        <v>1460760</v>
      </c>
      <c r="O1602" t="e">
        <v>#N/A</v>
      </c>
    </row>
    <row r="1603" spans="2:15" hidden="1" x14ac:dyDescent="0.3">
      <c r="B1603" t="s">
        <v>22</v>
      </c>
      <c r="C1603">
        <v>809</v>
      </c>
      <c r="D1603" t="s">
        <v>679</v>
      </c>
      <c r="E1603">
        <v>980</v>
      </c>
      <c r="F1603" t="s">
        <v>680</v>
      </c>
      <c r="G1603">
        <v>200938</v>
      </c>
      <c r="H1603" t="s">
        <v>11</v>
      </c>
      <c r="I1603" t="s">
        <v>5751</v>
      </c>
      <c r="J1603" t="s">
        <v>9417</v>
      </c>
      <c r="K1603">
        <v>4195340</v>
      </c>
      <c r="L1603">
        <v>44866</v>
      </c>
      <c r="M1603" t="s">
        <v>1628</v>
      </c>
      <c r="N1603">
        <v>4195340</v>
      </c>
      <c r="O1603" t="e">
        <v>#N/A</v>
      </c>
    </row>
    <row r="1604" spans="2:15" hidden="1" x14ac:dyDescent="0.3">
      <c r="B1604" t="s">
        <v>8</v>
      </c>
      <c r="C1604">
        <v>928</v>
      </c>
      <c r="D1604" t="s">
        <v>9</v>
      </c>
      <c r="E1604">
        <v>1202</v>
      </c>
      <c r="F1604" t="s">
        <v>47</v>
      </c>
      <c r="G1604">
        <v>898</v>
      </c>
      <c r="H1604" t="s">
        <v>11</v>
      </c>
      <c r="I1604" t="s">
        <v>5753</v>
      </c>
      <c r="J1604" t="s">
        <v>9418</v>
      </c>
      <c r="K1604">
        <v>37420</v>
      </c>
      <c r="L1604">
        <v>44866</v>
      </c>
      <c r="M1604" t="s">
        <v>1629</v>
      </c>
      <c r="N1604">
        <v>37420</v>
      </c>
      <c r="O1604" t="e">
        <v>#N/A</v>
      </c>
    </row>
    <row r="1605" spans="2:15" hidden="1" x14ac:dyDescent="0.3">
      <c r="B1605" t="s">
        <v>8</v>
      </c>
      <c r="C1605">
        <v>928</v>
      </c>
      <c r="D1605" t="s">
        <v>9</v>
      </c>
      <c r="E1605">
        <v>1202</v>
      </c>
      <c r="F1605" t="s">
        <v>122</v>
      </c>
      <c r="G1605">
        <v>251</v>
      </c>
      <c r="H1605" t="s">
        <v>11</v>
      </c>
      <c r="I1605" t="s">
        <v>5754</v>
      </c>
      <c r="J1605" t="s">
        <v>9419</v>
      </c>
      <c r="K1605">
        <v>134710</v>
      </c>
      <c r="L1605">
        <v>44866</v>
      </c>
      <c r="M1605" t="s">
        <v>1630</v>
      </c>
      <c r="N1605">
        <v>134710</v>
      </c>
      <c r="O1605" t="e">
        <v>#N/A</v>
      </c>
    </row>
    <row r="1606" spans="2:15" hidden="1" x14ac:dyDescent="0.3">
      <c r="B1606" t="s">
        <v>8</v>
      </c>
      <c r="C1606">
        <v>928</v>
      </c>
      <c r="D1606" t="s">
        <v>9</v>
      </c>
      <c r="E1606">
        <v>1202</v>
      </c>
      <c r="F1606" t="s">
        <v>73</v>
      </c>
      <c r="G1606">
        <v>895</v>
      </c>
      <c r="H1606" t="s">
        <v>11</v>
      </c>
      <c r="I1606" t="s">
        <v>5755</v>
      </c>
      <c r="J1606" t="s">
        <v>9420</v>
      </c>
      <c r="K1606">
        <v>1545850</v>
      </c>
      <c r="L1606">
        <v>44866</v>
      </c>
      <c r="M1606" t="s">
        <v>1631</v>
      </c>
      <c r="N1606">
        <v>1545850</v>
      </c>
      <c r="O1606" t="e">
        <v>#N/A</v>
      </c>
    </row>
    <row r="1607" spans="2:15" hidden="1" x14ac:dyDescent="0.3">
      <c r="B1607" t="s">
        <v>8</v>
      </c>
      <c r="C1607">
        <v>928</v>
      </c>
      <c r="D1607" t="s">
        <v>9</v>
      </c>
      <c r="E1607">
        <v>1202</v>
      </c>
      <c r="F1607" t="s">
        <v>47</v>
      </c>
      <c r="G1607">
        <v>898</v>
      </c>
      <c r="H1607" t="s">
        <v>11</v>
      </c>
      <c r="I1607" t="s">
        <v>5756</v>
      </c>
      <c r="J1607" t="s">
        <v>9421</v>
      </c>
      <c r="K1607">
        <v>23460</v>
      </c>
      <c r="L1607">
        <v>44866</v>
      </c>
      <c r="M1607" t="s">
        <v>1632</v>
      </c>
      <c r="N1607">
        <v>25580</v>
      </c>
      <c r="O1607" t="e">
        <v>#N/A</v>
      </c>
    </row>
    <row r="1608" spans="2:15" hidden="1" x14ac:dyDescent="0.3">
      <c r="B1608" t="s">
        <v>8</v>
      </c>
      <c r="C1608">
        <v>928</v>
      </c>
      <c r="D1608" t="s">
        <v>167</v>
      </c>
      <c r="E1608">
        <v>935</v>
      </c>
      <c r="F1608" t="s">
        <v>168</v>
      </c>
      <c r="G1608">
        <v>2</v>
      </c>
      <c r="H1608" t="s">
        <v>11</v>
      </c>
      <c r="I1608" t="s">
        <v>5758</v>
      </c>
      <c r="J1608" t="s">
        <v>9422</v>
      </c>
      <c r="K1608">
        <v>108280</v>
      </c>
      <c r="L1608">
        <v>44866</v>
      </c>
      <c r="M1608" t="s">
        <v>1633</v>
      </c>
      <c r="N1608">
        <v>108280</v>
      </c>
      <c r="O1608" t="e">
        <v>#N/A</v>
      </c>
    </row>
    <row r="1609" spans="2:15" hidden="1" x14ac:dyDescent="0.3">
      <c r="B1609" t="s">
        <v>16</v>
      </c>
      <c r="C1609">
        <v>927</v>
      </c>
      <c r="D1609" t="s">
        <v>17</v>
      </c>
      <c r="E1609">
        <v>1200</v>
      </c>
      <c r="F1609" t="s">
        <v>18</v>
      </c>
      <c r="G1609">
        <v>201116</v>
      </c>
      <c r="H1609" t="s">
        <v>11</v>
      </c>
      <c r="I1609" t="s">
        <v>5762</v>
      </c>
      <c r="J1609" t="s">
        <v>9423</v>
      </c>
      <c r="K1609">
        <v>595770</v>
      </c>
      <c r="L1609">
        <v>44866</v>
      </c>
      <c r="M1609" t="s">
        <v>1634</v>
      </c>
      <c r="N1609">
        <v>595770</v>
      </c>
      <c r="O1609" t="e">
        <v>#N/A</v>
      </c>
    </row>
    <row r="1610" spans="2:15" hidden="1" x14ac:dyDescent="0.3">
      <c r="B1610" t="s">
        <v>8</v>
      </c>
      <c r="C1610">
        <v>928</v>
      </c>
      <c r="D1610" t="s">
        <v>13</v>
      </c>
      <c r="E1610">
        <v>1184</v>
      </c>
      <c r="F1610" t="s">
        <v>217</v>
      </c>
      <c r="G1610">
        <v>201027</v>
      </c>
      <c r="H1610" t="s">
        <v>11</v>
      </c>
      <c r="I1610" t="s">
        <v>5763</v>
      </c>
      <c r="J1610" t="s">
        <v>9424</v>
      </c>
      <c r="K1610">
        <v>8310</v>
      </c>
      <c r="L1610">
        <v>44866</v>
      </c>
      <c r="M1610" t="s">
        <v>1635</v>
      </c>
      <c r="N1610">
        <v>8310</v>
      </c>
      <c r="O1610" t="e">
        <v>#N/A</v>
      </c>
    </row>
    <row r="1611" spans="2:15" hidden="1" x14ac:dyDescent="0.3">
      <c r="B1611" t="s">
        <v>41</v>
      </c>
      <c r="C1611">
        <v>926</v>
      </c>
      <c r="D1611" t="s">
        <v>56</v>
      </c>
      <c r="E1611">
        <v>1207</v>
      </c>
      <c r="F1611" t="s">
        <v>57</v>
      </c>
      <c r="G1611">
        <v>200982</v>
      </c>
      <c r="H1611" t="s">
        <v>11</v>
      </c>
      <c r="I1611" t="s">
        <v>5768</v>
      </c>
      <c r="J1611" t="s">
        <v>9425</v>
      </c>
      <c r="K1611">
        <v>321470</v>
      </c>
      <c r="L1611">
        <v>44866</v>
      </c>
      <c r="M1611" t="s">
        <v>1636</v>
      </c>
      <c r="N1611">
        <v>321470</v>
      </c>
      <c r="O1611" t="e">
        <v>#N/A</v>
      </c>
    </row>
    <row r="1612" spans="2:15" hidden="1" x14ac:dyDescent="0.3">
      <c r="B1612" t="s">
        <v>8</v>
      </c>
      <c r="C1612">
        <v>928</v>
      </c>
      <c r="D1612" t="s">
        <v>13</v>
      </c>
      <c r="E1612">
        <v>1184</v>
      </c>
      <c r="F1612" t="s">
        <v>115</v>
      </c>
      <c r="G1612">
        <v>1548</v>
      </c>
      <c r="H1612" t="s">
        <v>11</v>
      </c>
      <c r="I1612" t="s">
        <v>5769</v>
      </c>
      <c r="J1612" t="s">
        <v>9426</v>
      </c>
      <c r="K1612">
        <v>14660</v>
      </c>
      <c r="L1612">
        <v>44866</v>
      </c>
      <c r="M1612" t="s">
        <v>1637</v>
      </c>
      <c r="N1612">
        <v>14660</v>
      </c>
      <c r="O1612" t="e">
        <v>#N/A</v>
      </c>
    </row>
    <row r="1613" spans="2:15" hidden="1" x14ac:dyDescent="0.3">
      <c r="B1613" t="s">
        <v>16</v>
      </c>
      <c r="C1613">
        <v>927</v>
      </c>
      <c r="D1613" t="s">
        <v>17</v>
      </c>
      <c r="E1613">
        <v>1200</v>
      </c>
      <c r="F1613" t="s">
        <v>137</v>
      </c>
      <c r="G1613">
        <v>1012</v>
      </c>
      <c r="H1613" t="s">
        <v>11</v>
      </c>
      <c r="I1613" t="s">
        <v>5771</v>
      </c>
      <c r="J1613" t="s">
        <v>9427</v>
      </c>
      <c r="K1613">
        <v>4730</v>
      </c>
      <c r="L1613">
        <v>44866</v>
      </c>
      <c r="M1613" t="s">
        <v>1638</v>
      </c>
      <c r="N1613">
        <v>4730</v>
      </c>
      <c r="O1613" t="e">
        <v>#N/A</v>
      </c>
    </row>
    <row r="1614" spans="2:15" hidden="1" x14ac:dyDescent="0.3">
      <c r="B1614" t="s">
        <v>8</v>
      </c>
      <c r="C1614">
        <v>928</v>
      </c>
      <c r="D1614" t="s">
        <v>9</v>
      </c>
      <c r="E1614">
        <v>1202</v>
      </c>
      <c r="F1614" t="s">
        <v>37</v>
      </c>
      <c r="G1614">
        <v>81</v>
      </c>
      <c r="H1614" t="s">
        <v>11</v>
      </c>
      <c r="I1614" t="s">
        <v>5772</v>
      </c>
      <c r="J1614" t="s">
        <v>9428</v>
      </c>
      <c r="K1614">
        <v>356230</v>
      </c>
      <c r="L1614">
        <v>44866</v>
      </c>
      <c r="M1614" t="s">
        <v>1639</v>
      </c>
      <c r="N1614">
        <v>356230</v>
      </c>
      <c r="O1614" t="e">
        <v>#N/A</v>
      </c>
    </row>
    <row r="1615" spans="2:15" x14ac:dyDescent="0.3">
      <c r="B1615" t="s">
        <v>16</v>
      </c>
      <c r="C1615">
        <v>927</v>
      </c>
      <c r="D1615" t="s">
        <v>17</v>
      </c>
      <c r="E1615">
        <v>1200</v>
      </c>
      <c r="F1615" t="s">
        <v>100</v>
      </c>
      <c r="G1615">
        <v>201038</v>
      </c>
      <c r="H1615" t="s">
        <v>11</v>
      </c>
      <c r="I1615" t="s">
        <v>9429</v>
      </c>
      <c r="J1615" t="s">
        <v>9430</v>
      </c>
      <c r="K1615">
        <v>1697</v>
      </c>
      <c r="L1615">
        <v>44866</v>
      </c>
      <c r="M1615" t="s">
        <v>1368</v>
      </c>
      <c r="N1615" t="e">
        <v>#N/A</v>
      </c>
      <c r="O1615" t="e">
        <v>#N/A</v>
      </c>
    </row>
    <row r="1616" spans="2:15" hidden="1" x14ac:dyDescent="0.3">
      <c r="B1616" t="s">
        <v>8</v>
      </c>
      <c r="C1616">
        <v>928</v>
      </c>
      <c r="D1616" t="s">
        <v>13</v>
      </c>
      <c r="E1616">
        <v>1184</v>
      </c>
      <c r="F1616" t="s">
        <v>217</v>
      </c>
      <c r="G1616">
        <v>201027</v>
      </c>
      <c r="H1616" t="s">
        <v>11</v>
      </c>
      <c r="I1616" t="s">
        <v>5776</v>
      </c>
      <c r="J1616" t="s">
        <v>9431</v>
      </c>
      <c r="K1616">
        <v>38790</v>
      </c>
      <c r="L1616">
        <v>44866</v>
      </c>
      <c r="M1616" t="s">
        <v>1640</v>
      </c>
      <c r="N1616">
        <v>38790</v>
      </c>
      <c r="O1616" t="e">
        <v>#N/A</v>
      </c>
    </row>
    <row r="1617" spans="2:15" hidden="1" x14ac:dyDescent="0.3">
      <c r="B1617" t="s">
        <v>16</v>
      </c>
      <c r="C1617">
        <v>927</v>
      </c>
      <c r="D1617" t="s">
        <v>17</v>
      </c>
      <c r="E1617">
        <v>1200</v>
      </c>
      <c r="F1617" t="s">
        <v>96</v>
      </c>
      <c r="G1617">
        <v>1271</v>
      </c>
      <c r="H1617" t="s">
        <v>11</v>
      </c>
      <c r="I1617" t="s">
        <v>5777</v>
      </c>
      <c r="J1617" t="s">
        <v>9432</v>
      </c>
      <c r="K1617">
        <v>1056500</v>
      </c>
      <c r="L1617">
        <v>44866</v>
      </c>
      <c r="M1617" t="s">
        <v>1641</v>
      </c>
      <c r="N1617">
        <v>1056500</v>
      </c>
      <c r="O1617" t="e">
        <v>#N/A</v>
      </c>
    </row>
    <row r="1618" spans="2:15" hidden="1" x14ac:dyDescent="0.3">
      <c r="B1618" t="s">
        <v>22</v>
      </c>
      <c r="C1618">
        <v>809</v>
      </c>
      <c r="D1618" t="s">
        <v>679</v>
      </c>
      <c r="E1618">
        <v>980</v>
      </c>
      <c r="F1618" t="s">
        <v>680</v>
      </c>
      <c r="G1618">
        <v>200938</v>
      </c>
      <c r="H1618" t="s">
        <v>11</v>
      </c>
      <c r="I1618" t="s">
        <v>5780</v>
      </c>
      <c r="J1618" t="s">
        <v>9433</v>
      </c>
      <c r="K1618">
        <v>20624160</v>
      </c>
      <c r="L1618">
        <v>44866</v>
      </c>
      <c r="M1618" t="s">
        <v>1642</v>
      </c>
      <c r="N1618">
        <v>20624160</v>
      </c>
      <c r="O1618" t="e">
        <v>#N/A</v>
      </c>
    </row>
    <row r="1619" spans="2:15" hidden="1" x14ac:dyDescent="0.3">
      <c r="B1619" t="s">
        <v>8</v>
      </c>
      <c r="C1619">
        <v>928</v>
      </c>
      <c r="D1619" t="s">
        <v>13</v>
      </c>
      <c r="E1619">
        <v>1184</v>
      </c>
      <c r="F1619" t="s">
        <v>51</v>
      </c>
      <c r="G1619">
        <v>1274</v>
      </c>
      <c r="H1619" t="s">
        <v>11</v>
      </c>
      <c r="I1619" t="s">
        <v>5781</v>
      </c>
      <c r="J1619" t="s">
        <v>9434</v>
      </c>
      <c r="K1619">
        <v>1540</v>
      </c>
      <c r="L1619">
        <v>44866</v>
      </c>
      <c r="M1619" t="s">
        <v>1643</v>
      </c>
      <c r="N1619">
        <v>1540</v>
      </c>
      <c r="O1619" t="e">
        <v>#N/A</v>
      </c>
    </row>
    <row r="1620" spans="2:15" hidden="1" x14ac:dyDescent="0.3">
      <c r="B1620" t="s">
        <v>8</v>
      </c>
      <c r="C1620">
        <v>928</v>
      </c>
      <c r="D1620" t="s">
        <v>9</v>
      </c>
      <c r="E1620">
        <v>1202</v>
      </c>
      <c r="F1620" t="s">
        <v>37</v>
      </c>
      <c r="G1620">
        <v>81</v>
      </c>
      <c r="H1620" t="s">
        <v>11</v>
      </c>
      <c r="I1620" t="s">
        <v>5782</v>
      </c>
      <c r="J1620" t="s">
        <v>9435</v>
      </c>
      <c r="K1620">
        <v>75440</v>
      </c>
      <c r="L1620">
        <v>44866</v>
      </c>
      <c r="M1620" t="s">
        <v>1644</v>
      </c>
      <c r="N1620">
        <v>75440</v>
      </c>
      <c r="O1620" t="e">
        <v>#N/A</v>
      </c>
    </row>
    <row r="1621" spans="2:15" hidden="1" x14ac:dyDescent="0.3">
      <c r="B1621" t="s">
        <v>16</v>
      </c>
      <c r="C1621">
        <v>927</v>
      </c>
      <c r="D1621" t="s">
        <v>17</v>
      </c>
      <c r="E1621">
        <v>1200</v>
      </c>
      <c r="F1621" t="s">
        <v>78</v>
      </c>
      <c r="G1621">
        <v>57</v>
      </c>
      <c r="H1621" t="s">
        <v>11</v>
      </c>
      <c r="I1621" t="s">
        <v>5784</v>
      </c>
      <c r="J1621" t="s">
        <v>9436</v>
      </c>
      <c r="K1621">
        <v>451980</v>
      </c>
      <c r="L1621">
        <v>44866</v>
      </c>
      <c r="M1621" t="s">
        <v>1645</v>
      </c>
      <c r="N1621">
        <v>451980</v>
      </c>
      <c r="O1621" t="e">
        <v>#N/A</v>
      </c>
    </row>
    <row r="1622" spans="2:15" hidden="1" x14ac:dyDescent="0.3">
      <c r="B1622" t="s">
        <v>41</v>
      </c>
      <c r="C1622">
        <v>926</v>
      </c>
      <c r="D1622" t="s">
        <v>56</v>
      </c>
      <c r="E1622">
        <v>1207</v>
      </c>
      <c r="F1622" t="s">
        <v>57</v>
      </c>
      <c r="G1622">
        <v>200982</v>
      </c>
      <c r="H1622" t="s">
        <v>11</v>
      </c>
      <c r="I1622" t="s">
        <v>5786</v>
      </c>
      <c r="J1622" t="s">
        <v>9437</v>
      </c>
      <c r="K1622">
        <v>3490</v>
      </c>
      <c r="L1622">
        <v>44866</v>
      </c>
      <c r="M1622" t="s">
        <v>1646</v>
      </c>
      <c r="N1622">
        <v>3490</v>
      </c>
      <c r="O1622" t="e">
        <v>#N/A</v>
      </c>
    </row>
    <row r="1623" spans="2:15" hidden="1" x14ac:dyDescent="0.3">
      <c r="B1623" t="s">
        <v>8</v>
      </c>
      <c r="C1623">
        <v>928</v>
      </c>
      <c r="D1623" t="s">
        <v>9</v>
      </c>
      <c r="E1623">
        <v>1202</v>
      </c>
      <c r="F1623" t="s">
        <v>27</v>
      </c>
      <c r="G1623">
        <v>806</v>
      </c>
      <c r="H1623" t="s">
        <v>11</v>
      </c>
      <c r="I1623" t="s">
        <v>5788</v>
      </c>
      <c r="J1623" t="s">
        <v>9438</v>
      </c>
      <c r="K1623">
        <v>335010</v>
      </c>
      <c r="L1623">
        <v>44866</v>
      </c>
      <c r="M1623" t="s">
        <v>1208</v>
      </c>
      <c r="N1623">
        <v>335010</v>
      </c>
      <c r="O1623" t="e">
        <v>#N/A</v>
      </c>
    </row>
    <row r="1624" spans="2:15" hidden="1" x14ac:dyDescent="0.3">
      <c r="B1624" t="s">
        <v>8</v>
      </c>
      <c r="C1624">
        <v>928</v>
      </c>
      <c r="D1624" t="s">
        <v>9</v>
      </c>
      <c r="E1624">
        <v>1202</v>
      </c>
      <c r="F1624" t="s">
        <v>37</v>
      </c>
      <c r="G1624">
        <v>81</v>
      </c>
      <c r="H1624" t="s">
        <v>11</v>
      </c>
      <c r="I1624" t="s">
        <v>5790</v>
      </c>
      <c r="J1624" t="s">
        <v>9439</v>
      </c>
      <c r="K1624">
        <v>19420</v>
      </c>
      <c r="L1624">
        <v>44866</v>
      </c>
      <c r="M1624" t="s">
        <v>1647</v>
      </c>
      <c r="N1624">
        <v>19420</v>
      </c>
      <c r="O1624" t="e">
        <v>#N/A</v>
      </c>
    </row>
    <row r="1625" spans="2:15" hidden="1" x14ac:dyDescent="0.3">
      <c r="B1625" t="s">
        <v>16</v>
      </c>
      <c r="C1625">
        <v>927</v>
      </c>
      <c r="D1625" t="s">
        <v>17</v>
      </c>
      <c r="E1625">
        <v>1200</v>
      </c>
      <c r="F1625" t="s">
        <v>244</v>
      </c>
      <c r="G1625">
        <v>817</v>
      </c>
      <c r="H1625" t="s">
        <v>11</v>
      </c>
      <c r="I1625" t="s">
        <v>5800</v>
      </c>
      <c r="J1625" t="s">
        <v>9440</v>
      </c>
      <c r="K1625">
        <v>298210</v>
      </c>
      <c r="L1625">
        <v>44866</v>
      </c>
      <c r="M1625" t="s">
        <v>25</v>
      </c>
      <c r="N1625">
        <v>298210</v>
      </c>
      <c r="O1625" t="e">
        <v>#N/A</v>
      </c>
    </row>
    <row r="1626" spans="2:15" hidden="1" x14ac:dyDescent="0.3">
      <c r="B1626" t="s">
        <v>16</v>
      </c>
      <c r="C1626">
        <v>927</v>
      </c>
      <c r="D1626" t="s">
        <v>17</v>
      </c>
      <c r="E1626">
        <v>1200</v>
      </c>
      <c r="F1626" t="s">
        <v>78</v>
      </c>
      <c r="G1626">
        <v>57</v>
      </c>
      <c r="H1626" t="s">
        <v>11</v>
      </c>
      <c r="I1626" t="s">
        <v>5801</v>
      </c>
      <c r="J1626" t="s">
        <v>9441</v>
      </c>
      <c r="K1626">
        <v>516840</v>
      </c>
      <c r="L1626">
        <v>44866</v>
      </c>
      <c r="M1626" t="s">
        <v>1648</v>
      </c>
      <c r="N1626">
        <v>529890</v>
      </c>
      <c r="O1626" t="e">
        <v>#N/A</v>
      </c>
    </row>
    <row r="1627" spans="2:15" hidden="1" x14ac:dyDescent="0.3">
      <c r="B1627" t="s">
        <v>16</v>
      </c>
      <c r="C1627">
        <v>927</v>
      </c>
      <c r="D1627" t="s">
        <v>17</v>
      </c>
      <c r="E1627">
        <v>1200</v>
      </c>
      <c r="F1627" t="s">
        <v>100</v>
      </c>
      <c r="G1627">
        <v>201038</v>
      </c>
      <c r="H1627" t="s">
        <v>11</v>
      </c>
      <c r="I1627" t="s">
        <v>5802</v>
      </c>
      <c r="J1627" t="s">
        <v>9442</v>
      </c>
      <c r="K1627">
        <v>45180</v>
      </c>
      <c r="L1627">
        <v>44866</v>
      </c>
      <c r="M1627" t="s">
        <v>1649</v>
      </c>
      <c r="N1627">
        <v>46420</v>
      </c>
      <c r="O1627" t="e">
        <v>#N/A</v>
      </c>
    </row>
    <row r="1628" spans="2:15" hidden="1" x14ac:dyDescent="0.3">
      <c r="B1628" t="s">
        <v>8</v>
      </c>
      <c r="C1628">
        <v>928</v>
      </c>
      <c r="D1628" t="s">
        <v>9</v>
      </c>
      <c r="E1628">
        <v>1202</v>
      </c>
      <c r="F1628" t="s">
        <v>37</v>
      </c>
      <c r="G1628">
        <v>81</v>
      </c>
      <c r="H1628" t="s">
        <v>11</v>
      </c>
      <c r="I1628" t="s">
        <v>5806</v>
      </c>
      <c r="J1628" t="s">
        <v>9443</v>
      </c>
      <c r="K1628">
        <v>691890</v>
      </c>
      <c r="L1628">
        <v>44866</v>
      </c>
      <c r="M1628" t="s">
        <v>1650</v>
      </c>
      <c r="N1628">
        <v>691890</v>
      </c>
      <c r="O1628" t="e">
        <v>#N/A</v>
      </c>
    </row>
    <row r="1629" spans="2:15" hidden="1" x14ac:dyDescent="0.3">
      <c r="B1629" t="s">
        <v>8</v>
      </c>
      <c r="C1629">
        <v>928</v>
      </c>
      <c r="D1629" t="s">
        <v>9</v>
      </c>
      <c r="E1629">
        <v>1202</v>
      </c>
      <c r="F1629" t="s">
        <v>45</v>
      </c>
      <c r="G1629">
        <v>26</v>
      </c>
      <c r="H1629" t="s">
        <v>11</v>
      </c>
      <c r="I1629" t="s">
        <v>5808</v>
      </c>
      <c r="J1629" t="s">
        <v>9444</v>
      </c>
      <c r="K1629">
        <v>1156130</v>
      </c>
      <c r="L1629">
        <v>44866</v>
      </c>
      <c r="M1629" t="s">
        <v>1651</v>
      </c>
      <c r="N1629">
        <v>1156130</v>
      </c>
      <c r="O1629" t="e">
        <v>#N/A</v>
      </c>
    </row>
    <row r="1630" spans="2:15" hidden="1" x14ac:dyDescent="0.3">
      <c r="B1630" t="s">
        <v>16</v>
      </c>
      <c r="C1630">
        <v>927</v>
      </c>
      <c r="D1630" t="s">
        <v>17</v>
      </c>
      <c r="E1630">
        <v>1200</v>
      </c>
      <c r="F1630" t="s">
        <v>93</v>
      </c>
      <c r="G1630">
        <v>930</v>
      </c>
      <c r="H1630" t="s">
        <v>11</v>
      </c>
      <c r="I1630" t="s">
        <v>5812</v>
      </c>
      <c r="J1630" t="s">
        <v>9445</v>
      </c>
      <c r="K1630">
        <v>1089380</v>
      </c>
      <c r="L1630">
        <v>44866</v>
      </c>
      <c r="M1630" t="s">
        <v>1652</v>
      </c>
      <c r="N1630">
        <v>1120140</v>
      </c>
      <c r="O1630" t="e">
        <v>#N/A</v>
      </c>
    </row>
    <row r="1631" spans="2:15" hidden="1" x14ac:dyDescent="0.3">
      <c r="B1631" t="s">
        <v>22</v>
      </c>
      <c r="C1631">
        <v>809</v>
      </c>
      <c r="D1631" t="s">
        <v>23</v>
      </c>
      <c r="E1631">
        <v>810</v>
      </c>
      <c r="F1631" t="s">
        <v>86</v>
      </c>
      <c r="G1631">
        <v>201021</v>
      </c>
      <c r="H1631" t="s">
        <v>11</v>
      </c>
      <c r="I1631" t="s">
        <v>5816</v>
      </c>
      <c r="J1631" t="s">
        <v>9446</v>
      </c>
      <c r="K1631">
        <v>1156500</v>
      </c>
      <c r="L1631">
        <v>44866</v>
      </c>
      <c r="M1631" t="s">
        <v>1653</v>
      </c>
      <c r="N1631">
        <v>1156500</v>
      </c>
      <c r="O1631" t="e">
        <v>#N/A</v>
      </c>
    </row>
    <row r="1632" spans="2:15" hidden="1" x14ac:dyDescent="0.3">
      <c r="B1632" t="s">
        <v>8</v>
      </c>
      <c r="C1632">
        <v>928</v>
      </c>
      <c r="D1632" t="s">
        <v>13</v>
      </c>
      <c r="E1632">
        <v>1184</v>
      </c>
      <c r="F1632" t="s">
        <v>59</v>
      </c>
      <c r="G1632">
        <v>9</v>
      </c>
      <c r="H1632" t="s">
        <v>11</v>
      </c>
      <c r="I1632" t="s">
        <v>5819</v>
      </c>
      <c r="J1632" t="s">
        <v>9447</v>
      </c>
      <c r="K1632">
        <v>28140</v>
      </c>
      <c r="L1632">
        <v>44866</v>
      </c>
      <c r="M1632" t="s">
        <v>1654</v>
      </c>
      <c r="N1632">
        <v>28140</v>
      </c>
      <c r="O1632" t="e">
        <v>#N/A</v>
      </c>
    </row>
    <row r="1633" spans="2:15" hidden="1" x14ac:dyDescent="0.3">
      <c r="B1633" t="s">
        <v>16</v>
      </c>
      <c r="C1633">
        <v>927</v>
      </c>
      <c r="D1633" t="s">
        <v>17</v>
      </c>
      <c r="E1633">
        <v>1200</v>
      </c>
      <c r="F1633" t="s">
        <v>100</v>
      </c>
      <c r="G1633">
        <v>201038</v>
      </c>
      <c r="H1633" t="s">
        <v>11</v>
      </c>
      <c r="I1633" t="s">
        <v>5820</v>
      </c>
      <c r="J1633" t="s">
        <v>9448</v>
      </c>
      <c r="K1633">
        <v>790580</v>
      </c>
      <c r="L1633">
        <v>44866</v>
      </c>
      <c r="M1633" t="s">
        <v>1655</v>
      </c>
      <c r="N1633">
        <v>790580</v>
      </c>
      <c r="O1633" t="e">
        <v>#N/A</v>
      </c>
    </row>
    <row r="1634" spans="2:15" hidden="1" x14ac:dyDescent="0.3">
      <c r="B1634" t="s">
        <v>41</v>
      </c>
      <c r="C1634">
        <v>926</v>
      </c>
      <c r="D1634" t="s">
        <v>56</v>
      </c>
      <c r="E1634">
        <v>1207</v>
      </c>
      <c r="F1634" t="s">
        <v>64</v>
      </c>
      <c r="G1634">
        <v>201011</v>
      </c>
      <c r="H1634" t="s">
        <v>11</v>
      </c>
      <c r="I1634" t="s">
        <v>5822</v>
      </c>
      <c r="J1634" t="s">
        <v>9449</v>
      </c>
      <c r="K1634">
        <v>105900</v>
      </c>
      <c r="L1634">
        <v>44866</v>
      </c>
      <c r="M1634" t="s">
        <v>1656</v>
      </c>
      <c r="N1634">
        <v>105900</v>
      </c>
      <c r="O1634" t="e">
        <v>#N/A</v>
      </c>
    </row>
    <row r="1635" spans="2:15" hidden="1" x14ac:dyDescent="0.3">
      <c r="B1635" t="s">
        <v>16</v>
      </c>
      <c r="C1635">
        <v>927</v>
      </c>
      <c r="D1635" t="s">
        <v>17</v>
      </c>
      <c r="E1635">
        <v>1200</v>
      </c>
      <c r="F1635" t="s">
        <v>100</v>
      </c>
      <c r="G1635">
        <v>201038</v>
      </c>
      <c r="H1635" t="s">
        <v>11</v>
      </c>
      <c r="I1635" t="s">
        <v>5824</v>
      </c>
      <c r="J1635" t="s">
        <v>9450</v>
      </c>
      <c r="K1635">
        <v>82920</v>
      </c>
      <c r="L1635">
        <v>44866</v>
      </c>
      <c r="M1635" t="s">
        <v>1657</v>
      </c>
      <c r="N1635">
        <v>82920</v>
      </c>
      <c r="O1635" t="e">
        <v>#N/A</v>
      </c>
    </row>
    <row r="1636" spans="2:15" hidden="1" x14ac:dyDescent="0.3">
      <c r="B1636" t="s">
        <v>8</v>
      </c>
      <c r="C1636">
        <v>928</v>
      </c>
      <c r="D1636" t="s">
        <v>9</v>
      </c>
      <c r="E1636">
        <v>1202</v>
      </c>
      <c r="F1636" t="s">
        <v>37</v>
      </c>
      <c r="G1636">
        <v>81</v>
      </c>
      <c r="H1636" t="s">
        <v>11</v>
      </c>
      <c r="I1636" t="s">
        <v>5825</v>
      </c>
      <c r="J1636" t="s">
        <v>9451</v>
      </c>
      <c r="K1636">
        <v>5870040</v>
      </c>
      <c r="L1636">
        <v>44866</v>
      </c>
      <c r="M1636" t="s">
        <v>1658</v>
      </c>
      <c r="N1636">
        <v>5870040</v>
      </c>
      <c r="O1636" t="e">
        <v>#N/A</v>
      </c>
    </row>
    <row r="1637" spans="2:15" hidden="1" x14ac:dyDescent="0.3">
      <c r="B1637" t="s">
        <v>41</v>
      </c>
      <c r="C1637">
        <v>926</v>
      </c>
      <c r="D1637" t="s">
        <v>56</v>
      </c>
      <c r="E1637">
        <v>1207</v>
      </c>
      <c r="F1637" t="s">
        <v>57</v>
      </c>
      <c r="G1637">
        <v>200982</v>
      </c>
      <c r="H1637" t="s">
        <v>11</v>
      </c>
      <c r="I1637" t="s">
        <v>5828</v>
      </c>
      <c r="J1637" t="s">
        <v>9452</v>
      </c>
      <c r="K1637">
        <v>456340</v>
      </c>
      <c r="L1637">
        <v>44866</v>
      </c>
      <c r="M1637" t="s">
        <v>1362</v>
      </c>
      <c r="N1637">
        <v>456340</v>
      </c>
      <c r="O1637" t="e">
        <v>#N/A</v>
      </c>
    </row>
    <row r="1638" spans="2:15" hidden="1" x14ac:dyDescent="0.3">
      <c r="B1638" t="s">
        <v>8</v>
      </c>
      <c r="C1638">
        <v>928</v>
      </c>
      <c r="D1638" t="s">
        <v>9</v>
      </c>
      <c r="E1638">
        <v>1202</v>
      </c>
      <c r="F1638" t="s">
        <v>27</v>
      </c>
      <c r="G1638">
        <v>806</v>
      </c>
      <c r="H1638" t="s">
        <v>11</v>
      </c>
      <c r="I1638" t="s">
        <v>5829</v>
      </c>
      <c r="J1638" t="s">
        <v>9453</v>
      </c>
      <c r="K1638">
        <v>1890</v>
      </c>
      <c r="L1638">
        <v>44866</v>
      </c>
      <c r="M1638" t="s">
        <v>1659</v>
      </c>
      <c r="N1638">
        <v>1890</v>
      </c>
      <c r="O1638" t="e">
        <v>#N/A</v>
      </c>
    </row>
    <row r="1639" spans="2:15" hidden="1" x14ac:dyDescent="0.3">
      <c r="B1639" t="s">
        <v>8</v>
      </c>
      <c r="C1639">
        <v>928</v>
      </c>
      <c r="D1639" t="s">
        <v>9</v>
      </c>
      <c r="E1639">
        <v>1202</v>
      </c>
      <c r="F1639" t="s">
        <v>75</v>
      </c>
      <c r="G1639">
        <v>50</v>
      </c>
      <c r="H1639" t="s">
        <v>11</v>
      </c>
      <c r="I1639" t="s">
        <v>9454</v>
      </c>
      <c r="J1639" t="s">
        <v>7060</v>
      </c>
      <c r="K1639">
        <v>705070</v>
      </c>
      <c r="L1639">
        <v>44866</v>
      </c>
      <c r="M1639" t="s">
        <v>1660</v>
      </c>
      <c r="N1639" t="e">
        <v>#N/A</v>
      </c>
      <c r="O1639" t="s">
        <v>7061</v>
      </c>
    </row>
    <row r="1640" spans="2:15" hidden="1" x14ac:dyDescent="0.3">
      <c r="B1640" t="s">
        <v>16</v>
      </c>
      <c r="C1640">
        <v>927</v>
      </c>
      <c r="D1640" t="s">
        <v>17</v>
      </c>
      <c r="E1640">
        <v>1200</v>
      </c>
      <c r="F1640" t="s">
        <v>78</v>
      </c>
      <c r="G1640">
        <v>57</v>
      </c>
      <c r="H1640" t="s">
        <v>11</v>
      </c>
      <c r="I1640" t="s">
        <v>5839</v>
      </c>
      <c r="J1640" t="s">
        <v>9455</v>
      </c>
      <c r="K1640">
        <v>737580</v>
      </c>
      <c r="L1640">
        <v>44866</v>
      </c>
      <c r="M1640" t="s">
        <v>1661</v>
      </c>
      <c r="N1640">
        <v>737580</v>
      </c>
      <c r="O1640" t="e">
        <v>#N/A</v>
      </c>
    </row>
    <row r="1641" spans="2:15" hidden="1" x14ac:dyDescent="0.3">
      <c r="B1641" t="s">
        <v>8</v>
      </c>
      <c r="C1641">
        <v>928</v>
      </c>
      <c r="D1641" t="s">
        <v>9</v>
      </c>
      <c r="E1641">
        <v>1202</v>
      </c>
      <c r="F1641" t="s">
        <v>45</v>
      </c>
      <c r="G1641">
        <v>26</v>
      </c>
      <c r="H1641" t="s">
        <v>11</v>
      </c>
      <c r="I1641" t="s">
        <v>5844</v>
      </c>
      <c r="J1641" t="s">
        <v>9456</v>
      </c>
      <c r="K1641">
        <v>75070</v>
      </c>
      <c r="L1641">
        <v>44866</v>
      </c>
      <c r="M1641" t="s">
        <v>1662</v>
      </c>
      <c r="N1641">
        <v>45590</v>
      </c>
      <c r="O1641" t="e">
        <v>#N/A</v>
      </c>
    </row>
    <row r="1642" spans="2:15" hidden="1" x14ac:dyDescent="0.3">
      <c r="B1642" t="s">
        <v>8</v>
      </c>
      <c r="C1642">
        <v>928</v>
      </c>
      <c r="D1642" t="s">
        <v>9</v>
      </c>
      <c r="E1642">
        <v>1202</v>
      </c>
      <c r="F1642" t="s">
        <v>477</v>
      </c>
      <c r="G1642">
        <v>201112</v>
      </c>
      <c r="H1642" t="s">
        <v>11</v>
      </c>
      <c r="I1642" t="s">
        <v>5847</v>
      </c>
      <c r="J1642" t="s">
        <v>9457</v>
      </c>
      <c r="K1642">
        <v>596580</v>
      </c>
      <c r="L1642">
        <v>44866</v>
      </c>
      <c r="M1642" t="s">
        <v>1663</v>
      </c>
      <c r="N1642">
        <v>596580</v>
      </c>
      <c r="O1642" t="e">
        <v>#N/A</v>
      </c>
    </row>
    <row r="1643" spans="2:15" hidden="1" x14ac:dyDescent="0.3">
      <c r="B1643" t="s">
        <v>16</v>
      </c>
      <c r="C1643">
        <v>927</v>
      </c>
      <c r="D1643" t="s">
        <v>17</v>
      </c>
      <c r="E1643">
        <v>1200</v>
      </c>
      <c r="F1643" t="s">
        <v>78</v>
      </c>
      <c r="G1643">
        <v>57</v>
      </c>
      <c r="H1643" t="s">
        <v>11</v>
      </c>
      <c r="I1643" t="s">
        <v>5848</v>
      </c>
      <c r="J1643" t="s">
        <v>9458</v>
      </c>
      <c r="K1643">
        <v>3493040</v>
      </c>
      <c r="L1643">
        <v>44866</v>
      </c>
      <c r="M1643" t="s">
        <v>1664</v>
      </c>
      <c r="N1643">
        <v>3493040</v>
      </c>
      <c r="O1643" t="e">
        <v>#N/A</v>
      </c>
    </row>
    <row r="1644" spans="2:15" hidden="1" x14ac:dyDescent="0.3">
      <c r="B1644" t="s">
        <v>8</v>
      </c>
      <c r="C1644">
        <v>928</v>
      </c>
      <c r="D1644" t="s">
        <v>9</v>
      </c>
      <c r="E1644">
        <v>1202</v>
      </c>
      <c r="F1644" t="s">
        <v>27</v>
      </c>
      <c r="G1644">
        <v>806</v>
      </c>
      <c r="H1644" t="s">
        <v>11</v>
      </c>
      <c r="I1644" t="s">
        <v>5850</v>
      </c>
      <c r="J1644" t="s">
        <v>9459</v>
      </c>
      <c r="K1644">
        <v>1749360</v>
      </c>
      <c r="L1644">
        <v>44866</v>
      </c>
      <c r="M1644" t="s">
        <v>1665</v>
      </c>
      <c r="N1644">
        <v>1749360</v>
      </c>
      <c r="O1644" t="e">
        <v>#N/A</v>
      </c>
    </row>
    <row r="1645" spans="2:15" hidden="1" x14ac:dyDescent="0.3">
      <c r="B1645" t="s">
        <v>16</v>
      </c>
      <c r="C1645">
        <v>927</v>
      </c>
      <c r="D1645" t="s">
        <v>17</v>
      </c>
      <c r="E1645">
        <v>1200</v>
      </c>
      <c r="F1645" t="s">
        <v>96</v>
      </c>
      <c r="G1645">
        <v>1271</v>
      </c>
      <c r="H1645" t="s">
        <v>11</v>
      </c>
      <c r="I1645" t="s">
        <v>5851</v>
      </c>
      <c r="J1645" t="s">
        <v>9460</v>
      </c>
      <c r="K1645">
        <v>15580</v>
      </c>
      <c r="L1645">
        <v>44866</v>
      </c>
      <c r="M1645" t="s">
        <v>1666</v>
      </c>
      <c r="N1645">
        <v>15580</v>
      </c>
      <c r="O1645" t="e">
        <v>#N/A</v>
      </c>
    </row>
    <row r="1646" spans="2:15" hidden="1" x14ac:dyDescent="0.3">
      <c r="B1646" t="s">
        <v>16</v>
      </c>
      <c r="C1646">
        <v>927</v>
      </c>
      <c r="D1646" t="s">
        <v>17</v>
      </c>
      <c r="E1646">
        <v>1200</v>
      </c>
      <c r="F1646" t="s">
        <v>290</v>
      </c>
      <c r="G1646">
        <v>556</v>
      </c>
      <c r="H1646" t="s">
        <v>11</v>
      </c>
      <c r="I1646" t="s">
        <v>5856</v>
      </c>
      <c r="J1646" t="s">
        <v>9461</v>
      </c>
      <c r="K1646">
        <v>18802290</v>
      </c>
      <c r="L1646">
        <v>44866</v>
      </c>
      <c r="M1646" t="s">
        <v>1667</v>
      </c>
      <c r="N1646">
        <v>18802290</v>
      </c>
      <c r="O1646" t="e">
        <v>#N/A</v>
      </c>
    </row>
    <row r="1647" spans="2:15" hidden="1" x14ac:dyDescent="0.3">
      <c r="B1647" t="s">
        <v>16</v>
      </c>
      <c r="C1647">
        <v>927</v>
      </c>
      <c r="D1647" t="s">
        <v>17</v>
      </c>
      <c r="E1647">
        <v>1200</v>
      </c>
      <c r="F1647" t="s">
        <v>229</v>
      </c>
      <c r="G1647">
        <v>560</v>
      </c>
      <c r="H1647" t="s">
        <v>11</v>
      </c>
      <c r="I1647" t="s">
        <v>5857</v>
      </c>
      <c r="J1647" t="s">
        <v>9462</v>
      </c>
      <c r="K1647">
        <v>30980</v>
      </c>
      <c r="L1647">
        <v>44866</v>
      </c>
      <c r="M1647" t="s">
        <v>1668</v>
      </c>
      <c r="N1647">
        <v>76350</v>
      </c>
      <c r="O1647" t="e">
        <v>#N/A</v>
      </c>
    </row>
    <row r="1648" spans="2:15" hidden="1" x14ac:dyDescent="0.3">
      <c r="B1648" t="s">
        <v>41</v>
      </c>
      <c r="C1648">
        <v>926</v>
      </c>
      <c r="D1648" t="s">
        <v>56</v>
      </c>
      <c r="E1648">
        <v>1207</v>
      </c>
      <c r="F1648" t="s">
        <v>62</v>
      </c>
      <c r="G1648">
        <v>201037</v>
      </c>
      <c r="H1648" t="s">
        <v>11</v>
      </c>
      <c r="I1648" t="s">
        <v>5858</v>
      </c>
      <c r="J1648" t="s">
        <v>9463</v>
      </c>
      <c r="K1648">
        <v>1410400</v>
      </c>
      <c r="L1648">
        <v>44866</v>
      </c>
      <c r="M1648" t="s">
        <v>1669</v>
      </c>
      <c r="N1648">
        <v>1410400</v>
      </c>
      <c r="O1648" t="e">
        <v>#N/A</v>
      </c>
    </row>
    <row r="1649" spans="2:15" hidden="1" x14ac:dyDescent="0.3">
      <c r="B1649" t="s">
        <v>8</v>
      </c>
      <c r="C1649">
        <v>928</v>
      </c>
      <c r="D1649" t="s">
        <v>223</v>
      </c>
      <c r="E1649">
        <v>966</v>
      </c>
      <c r="F1649" t="s">
        <v>986</v>
      </c>
      <c r="G1649">
        <v>201098</v>
      </c>
      <c r="H1649" t="s">
        <v>11</v>
      </c>
      <c r="I1649" t="s">
        <v>5861</v>
      </c>
      <c r="J1649" t="s">
        <v>9464</v>
      </c>
      <c r="K1649">
        <v>922610</v>
      </c>
      <c r="L1649">
        <v>44866</v>
      </c>
      <c r="M1649" t="s">
        <v>987</v>
      </c>
      <c r="N1649">
        <v>922610</v>
      </c>
      <c r="O1649" t="e">
        <v>#N/A</v>
      </c>
    </row>
    <row r="1650" spans="2:15" hidden="1" x14ac:dyDescent="0.3">
      <c r="B1650" t="s">
        <v>8</v>
      </c>
      <c r="C1650">
        <v>928</v>
      </c>
      <c r="D1650" t="s">
        <v>9</v>
      </c>
      <c r="E1650">
        <v>1202</v>
      </c>
      <c r="F1650" t="s">
        <v>122</v>
      </c>
      <c r="G1650">
        <v>251</v>
      </c>
      <c r="H1650" t="s">
        <v>11</v>
      </c>
      <c r="I1650" t="s">
        <v>5864</v>
      </c>
      <c r="J1650" t="s">
        <v>9465</v>
      </c>
      <c r="K1650">
        <v>1066790</v>
      </c>
      <c r="L1650">
        <v>44866</v>
      </c>
      <c r="M1650" t="s">
        <v>1670</v>
      </c>
      <c r="N1650">
        <v>1066790</v>
      </c>
      <c r="O1650" t="e">
        <v>#N/A</v>
      </c>
    </row>
    <row r="1651" spans="2:15" hidden="1" x14ac:dyDescent="0.3">
      <c r="B1651" t="s">
        <v>8</v>
      </c>
      <c r="C1651">
        <v>928</v>
      </c>
      <c r="D1651" t="s">
        <v>9</v>
      </c>
      <c r="E1651">
        <v>1202</v>
      </c>
      <c r="F1651" t="s">
        <v>27</v>
      </c>
      <c r="G1651">
        <v>806</v>
      </c>
      <c r="H1651" t="s">
        <v>11</v>
      </c>
      <c r="I1651" t="s">
        <v>5873</v>
      </c>
      <c r="J1651" t="s">
        <v>9466</v>
      </c>
      <c r="K1651">
        <v>462600</v>
      </c>
      <c r="L1651">
        <v>44866</v>
      </c>
      <c r="M1651" t="s">
        <v>1671</v>
      </c>
      <c r="N1651">
        <v>462600</v>
      </c>
      <c r="O1651" t="e">
        <v>#N/A</v>
      </c>
    </row>
    <row r="1652" spans="2:15" hidden="1" x14ac:dyDescent="0.3">
      <c r="B1652" t="s">
        <v>8</v>
      </c>
      <c r="C1652">
        <v>928</v>
      </c>
      <c r="D1652" t="s">
        <v>9</v>
      </c>
      <c r="E1652">
        <v>1202</v>
      </c>
      <c r="F1652" t="s">
        <v>37</v>
      </c>
      <c r="G1652">
        <v>81</v>
      </c>
      <c r="H1652" t="s">
        <v>11</v>
      </c>
      <c r="I1652" t="s">
        <v>5876</v>
      </c>
      <c r="J1652" t="s">
        <v>9467</v>
      </c>
      <c r="K1652">
        <v>5040</v>
      </c>
      <c r="L1652">
        <v>44866</v>
      </c>
      <c r="M1652" t="s">
        <v>1672</v>
      </c>
      <c r="N1652">
        <v>5040</v>
      </c>
      <c r="O1652" t="e">
        <v>#N/A</v>
      </c>
    </row>
    <row r="1653" spans="2:15" hidden="1" x14ac:dyDescent="0.3">
      <c r="B1653" t="s">
        <v>41</v>
      </c>
      <c r="C1653">
        <v>926</v>
      </c>
      <c r="D1653" t="s">
        <v>56</v>
      </c>
      <c r="E1653">
        <v>1207</v>
      </c>
      <c r="F1653" t="s">
        <v>57</v>
      </c>
      <c r="G1653">
        <v>200982</v>
      </c>
      <c r="H1653" t="s">
        <v>11</v>
      </c>
      <c r="I1653" t="s">
        <v>5879</v>
      </c>
      <c r="J1653" t="s">
        <v>9468</v>
      </c>
      <c r="K1653">
        <v>62280</v>
      </c>
      <c r="L1653">
        <v>44866</v>
      </c>
      <c r="M1653" t="s">
        <v>1673</v>
      </c>
      <c r="N1653">
        <v>62280</v>
      </c>
      <c r="O1653" t="e">
        <v>#N/A</v>
      </c>
    </row>
    <row r="1654" spans="2:15" hidden="1" x14ac:dyDescent="0.3">
      <c r="B1654" t="s">
        <v>22</v>
      </c>
      <c r="C1654">
        <v>809</v>
      </c>
      <c r="D1654" t="s">
        <v>23</v>
      </c>
      <c r="E1654">
        <v>810</v>
      </c>
      <c r="F1654" t="s">
        <v>106</v>
      </c>
      <c r="G1654">
        <v>1349</v>
      </c>
      <c r="H1654" t="s">
        <v>11</v>
      </c>
      <c r="I1654" t="s">
        <v>5881</v>
      </c>
      <c r="J1654" t="s">
        <v>9469</v>
      </c>
      <c r="K1654">
        <v>266870</v>
      </c>
      <c r="L1654">
        <v>44866</v>
      </c>
      <c r="M1654" t="s">
        <v>1674</v>
      </c>
      <c r="N1654">
        <v>266870</v>
      </c>
      <c r="O1654" t="e">
        <v>#N/A</v>
      </c>
    </row>
    <row r="1655" spans="2:15" hidden="1" x14ac:dyDescent="0.3">
      <c r="B1655" t="s">
        <v>8</v>
      </c>
      <c r="C1655">
        <v>928</v>
      </c>
      <c r="D1655" t="s">
        <v>13</v>
      </c>
      <c r="E1655">
        <v>1184</v>
      </c>
      <c r="F1655" t="s">
        <v>59</v>
      </c>
      <c r="G1655">
        <v>9</v>
      </c>
      <c r="H1655" t="s">
        <v>11</v>
      </c>
      <c r="I1655" t="s">
        <v>5885</v>
      </c>
      <c r="J1655" t="s">
        <v>9470</v>
      </c>
      <c r="K1655">
        <v>22040</v>
      </c>
      <c r="L1655">
        <v>44866</v>
      </c>
      <c r="M1655" t="s">
        <v>1675</v>
      </c>
      <c r="N1655">
        <v>22040</v>
      </c>
      <c r="O1655" t="e">
        <v>#N/A</v>
      </c>
    </row>
    <row r="1656" spans="2:15" hidden="1" x14ac:dyDescent="0.3">
      <c r="B1656" t="s">
        <v>8</v>
      </c>
      <c r="C1656">
        <v>928</v>
      </c>
      <c r="D1656" t="s">
        <v>9</v>
      </c>
      <c r="E1656">
        <v>1202</v>
      </c>
      <c r="F1656" t="s">
        <v>27</v>
      </c>
      <c r="G1656">
        <v>806</v>
      </c>
      <c r="H1656" t="s">
        <v>11</v>
      </c>
      <c r="I1656" t="s">
        <v>5888</v>
      </c>
      <c r="J1656" t="s">
        <v>9471</v>
      </c>
      <c r="K1656">
        <v>950900</v>
      </c>
      <c r="L1656">
        <v>44866</v>
      </c>
      <c r="M1656" t="s">
        <v>1676</v>
      </c>
      <c r="N1656">
        <v>950900</v>
      </c>
      <c r="O1656" t="e">
        <v>#N/A</v>
      </c>
    </row>
    <row r="1657" spans="2:15" hidden="1" x14ac:dyDescent="0.3">
      <c r="B1657" t="s">
        <v>16</v>
      </c>
      <c r="C1657">
        <v>927</v>
      </c>
      <c r="D1657" t="s">
        <v>17</v>
      </c>
      <c r="E1657">
        <v>1200</v>
      </c>
      <c r="F1657" t="s">
        <v>66</v>
      </c>
      <c r="G1657">
        <v>33</v>
      </c>
      <c r="H1657" t="s">
        <v>11</v>
      </c>
      <c r="I1657" t="s">
        <v>5889</v>
      </c>
      <c r="J1657" t="s">
        <v>9472</v>
      </c>
      <c r="K1657">
        <v>7830</v>
      </c>
      <c r="L1657">
        <v>44866</v>
      </c>
      <c r="M1657" t="s">
        <v>1677</v>
      </c>
      <c r="N1657">
        <v>7830</v>
      </c>
      <c r="O1657" t="e">
        <v>#N/A</v>
      </c>
    </row>
    <row r="1658" spans="2:15" hidden="1" x14ac:dyDescent="0.3">
      <c r="B1658" t="s">
        <v>8</v>
      </c>
      <c r="C1658">
        <v>928</v>
      </c>
      <c r="D1658" t="s">
        <v>9</v>
      </c>
      <c r="E1658">
        <v>1202</v>
      </c>
      <c r="F1658" t="s">
        <v>45</v>
      </c>
      <c r="G1658">
        <v>26</v>
      </c>
      <c r="H1658" t="s">
        <v>11</v>
      </c>
      <c r="I1658" t="s">
        <v>5892</v>
      </c>
      <c r="J1658" t="s">
        <v>9473</v>
      </c>
      <c r="K1658">
        <v>245170</v>
      </c>
      <c r="L1658">
        <v>44866</v>
      </c>
      <c r="M1658" t="s">
        <v>1678</v>
      </c>
      <c r="N1658">
        <v>245170</v>
      </c>
      <c r="O1658" t="e">
        <v>#N/A</v>
      </c>
    </row>
    <row r="1659" spans="2:15" hidden="1" x14ac:dyDescent="0.3">
      <c r="B1659" t="s">
        <v>16</v>
      </c>
      <c r="C1659">
        <v>927</v>
      </c>
      <c r="D1659" t="s">
        <v>17</v>
      </c>
      <c r="E1659">
        <v>1200</v>
      </c>
      <c r="F1659" t="s">
        <v>137</v>
      </c>
      <c r="G1659">
        <v>1012</v>
      </c>
      <c r="H1659" t="s">
        <v>11</v>
      </c>
      <c r="I1659" t="s">
        <v>5893</v>
      </c>
      <c r="J1659" t="s">
        <v>9474</v>
      </c>
      <c r="K1659">
        <v>372790</v>
      </c>
      <c r="L1659">
        <v>44866</v>
      </c>
      <c r="M1659" t="s">
        <v>1679</v>
      </c>
      <c r="N1659">
        <v>372790</v>
      </c>
      <c r="O1659" t="e">
        <v>#N/A</v>
      </c>
    </row>
    <row r="1660" spans="2:15" hidden="1" x14ac:dyDescent="0.3">
      <c r="B1660" t="s">
        <v>8</v>
      </c>
      <c r="C1660">
        <v>928</v>
      </c>
      <c r="D1660" t="s">
        <v>9</v>
      </c>
      <c r="E1660">
        <v>1202</v>
      </c>
      <c r="F1660" t="s">
        <v>73</v>
      </c>
      <c r="G1660">
        <v>895</v>
      </c>
      <c r="H1660" t="s">
        <v>11</v>
      </c>
      <c r="I1660" t="s">
        <v>5894</v>
      </c>
      <c r="J1660" t="s">
        <v>9475</v>
      </c>
      <c r="K1660">
        <v>42250</v>
      </c>
      <c r="L1660">
        <v>44866</v>
      </c>
      <c r="M1660" t="s">
        <v>1680</v>
      </c>
      <c r="N1660">
        <v>42350</v>
      </c>
      <c r="O1660" t="e">
        <v>#N/A</v>
      </c>
    </row>
    <row r="1661" spans="2:15" hidden="1" x14ac:dyDescent="0.3">
      <c r="B1661" t="s">
        <v>8</v>
      </c>
      <c r="C1661">
        <v>928</v>
      </c>
      <c r="D1661" t="s">
        <v>9</v>
      </c>
      <c r="E1661">
        <v>1202</v>
      </c>
      <c r="F1661" t="s">
        <v>27</v>
      </c>
      <c r="G1661">
        <v>806</v>
      </c>
      <c r="H1661" t="s">
        <v>11</v>
      </c>
      <c r="I1661" t="s">
        <v>5897</v>
      </c>
      <c r="J1661" t="s">
        <v>9476</v>
      </c>
      <c r="K1661">
        <v>28890</v>
      </c>
      <c r="L1661">
        <v>44866</v>
      </c>
      <c r="M1661" t="s">
        <v>1681</v>
      </c>
      <c r="N1661">
        <v>28890</v>
      </c>
      <c r="O1661" t="e">
        <v>#N/A</v>
      </c>
    </row>
    <row r="1662" spans="2:15" hidden="1" x14ac:dyDescent="0.3">
      <c r="B1662" t="s">
        <v>8</v>
      </c>
      <c r="C1662">
        <v>928</v>
      </c>
      <c r="D1662" t="s">
        <v>9</v>
      </c>
      <c r="E1662">
        <v>1202</v>
      </c>
      <c r="F1662" t="s">
        <v>27</v>
      </c>
      <c r="G1662">
        <v>806</v>
      </c>
      <c r="H1662" t="s">
        <v>11</v>
      </c>
      <c r="I1662" t="s">
        <v>5901</v>
      </c>
      <c r="J1662" t="s">
        <v>9477</v>
      </c>
      <c r="K1662">
        <v>54430</v>
      </c>
      <c r="L1662">
        <v>44866</v>
      </c>
      <c r="M1662" t="s">
        <v>1682</v>
      </c>
      <c r="N1662">
        <v>54430</v>
      </c>
      <c r="O1662" t="e">
        <v>#N/A</v>
      </c>
    </row>
    <row r="1663" spans="2:15" hidden="1" x14ac:dyDescent="0.3">
      <c r="B1663" t="s">
        <v>8</v>
      </c>
      <c r="C1663">
        <v>928</v>
      </c>
      <c r="D1663" t="s">
        <v>9</v>
      </c>
      <c r="E1663">
        <v>1202</v>
      </c>
      <c r="F1663" t="s">
        <v>27</v>
      </c>
      <c r="G1663">
        <v>806</v>
      </c>
      <c r="H1663" t="s">
        <v>11</v>
      </c>
      <c r="I1663" t="s">
        <v>5902</v>
      </c>
      <c r="J1663" t="s">
        <v>9478</v>
      </c>
      <c r="K1663">
        <v>11930</v>
      </c>
      <c r="L1663">
        <v>44866</v>
      </c>
      <c r="M1663" t="s">
        <v>1683</v>
      </c>
      <c r="N1663">
        <v>11930</v>
      </c>
      <c r="O1663" t="e">
        <v>#N/A</v>
      </c>
    </row>
    <row r="1664" spans="2:15" hidden="1" x14ac:dyDescent="0.3">
      <c r="B1664" t="s">
        <v>8</v>
      </c>
      <c r="C1664">
        <v>928</v>
      </c>
      <c r="D1664" t="s">
        <v>13</v>
      </c>
      <c r="E1664">
        <v>1184</v>
      </c>
      <c r="F1664" t="s">
        <v>14</v>
      </c>
      <c r="G1664">
        <v>914</v>
      </c>
      <c r="H1664" t="s">
        <v>11</v>
      </c>
      <c r="I1664" t="s">
        <v>5903</v>
      </c>
      <c r="J1664" t="s">
        <v>9479</v>
      </c>
      <c r="K1664">
        <v>571200</v>
      </c>
      <c r="L1664">
        <v>44866</v>
      </c>
      <c r="M1664" t="s">
        <v>323</v>
      </c>
      <c r="N1664">
        <v>571200</v>
      </c>
      <c r="O1664" t="e">
        <v>#N/A</v>
      </c>
    </row>
    <row r="1665" spans="2:15" hidden="1" x14ac:dyDescent="0.3">
      <c r="B1665" t="s">
        <v>8</v>
      </c>
      <c r="C1665">
        <v>928</v>
      </c>
      <c r="D1665" t="s">
        <v>13</v>
      </c>
      <c r="E1665">
        <v>1184</v>
      </c>
      <c r="F1665" t="s">
        <v>102</v>
      </c>
      <c r="G1665">
        <v>917</v>
      </c>
      <c r="H1665" t="s">
        <v>11</v>
      </c>
      <c r="I1665" t="s">
        <v>5906</v>
      </c>
      <c r="J1665" t="s">
        <v>9480</v>
      </c>
      <c r="K1665">
        <v>2390</v>
      </c>
      <c r="L1665">
        <v>44866</v>
      </c>
      <c r="M1665" t="s">
        <v>1684</v>
      </c>
      <c r="N1665">
        <v>2390</v>
      </c>
      <c r="O1665" t="e">
        <v>#N/A</v>
      </c>
    </row>
    <row r="1666" spans="2:15" hidden="1" x14ac:dyDescent="0.3">
      <c r="B1666" t="s">
        <v>8</v>
      </c>
      <c r="C1666">
        <v>928</v>
      </c>
      <c r="D1666" t="s">
        <v>13</v>
      </c>
      <c r="E1666">
        <v>1184</v>
      </c>
      <c r="F1666" t="s">
        <v>115</v>
      </c>
      <c r="G1666">
        <v>1548</v>
      </c>
      <c r="H1666" t="s">
        <v>11</v>
      </c>
      <c r="I1666" t="s">
        <v>5914</v>
      </c>
      <c r="J1666" t="s">
        <v>9481</v>
      </c>
      <c r="K1666">
        <v>1225780</v>
      </c>
      <c r="L1666">
        <v>44866</v>
      </c>
      <c r="M1666" t="s">
        <v>1685</v>
      </c>
      <c r="N1666">
        <v>1225780</v>
      </c>
      <c r="O1666" t="e">
        <v>#N/A</v>
      </c>
    </row>
    <row r="1667" spans="2:15" hidden="1" x14ac:dyDescent="0.3">
      <c r="B1667" t="s">
        <v>8</v>
      </c>
      <c r="C1667">
        <v>928</v>
      </c>
      <c r="D1667" t="s">
        <v>9</v>
      </c>
      <c r="E1667">
        <v>1202</v>
      </c>
      <c r="F1667" t="s">
        <v>35</v>
      </c>
      <c r="G1667">
        <v>51</v>
      </c>
      <c r="H1667" t="s">
        <v>11</v>
      </c>
      <c r="I1667" t="s">
        <v>5917</v>
      </c>
      <c r="J1667" t="s">
        <v>9482</v>
      </c>
      <c r="K1667">
        <v>980</v>
      </c>
      <c r="L1667">
        <v>44866</v>
      </c>
      <c r="M1667" t="s">
        <v>1686</v>
      </c>
      <c r="N1667">
        <v>980</v>
      </c>
      <c r="O1667" t="e">
        <v>#N/A</v>
      </c>
    </row>
    <row r="1668" spans="2:15" hidden="1" x14ac:dyDescent="0.3">
      <c r="B1668" t="s">
        <v>8</v>
      </c>
      <c r="C1668">
        <v>928</v>
      </c>
      <c r="D1668" t="s">
        <v>9</v>
      </c>
      <c r="E1668">
        <v>1202</v>
      </c>
      <c r="F1668" t="s">
        <v>220</v>
      </c>
      <c r="G1668">
        <v>1211</v>
      </c>
      <c r="H1668" t="s">
        <v>11</v>
      </c>
      <c r="I1668" t="s">
        <v>5918</v>
      </c>
      <c r="J1668" t="s">
        <v>1687</v>
      </c>
      <c r="K1668">
        <v>942040</v>
      </c>
      <c r="L1668">
        <v>44866</v>
      </c>
      <c r="M1668" t="s">
        <v>1687</v>
      </c>
      <c r="N1668">
        <v>942040</v>
      </c>
      <c r="O1668" t="e">
        <v>#N/A</v>
      </c>
    </row>
    <row r="1669" spans="2:15" hidden="1" x14ac:dyDescent="0.3">
      <c r="B1669" t="s">
        <v>8</v>
      </c>
      <c r="C1669">
        <v>928</v>
      </c>
      <c r="D1669" t="s">
        <v>13</v>
      </c>
      <c r="E1669">
        <v>1184</v>
      </c>
      <c r="F1669" t="s">
        <v>59</v>
      </c>
      <c r="G1669">
        <v>9</v>
      </c>
      <c r="H1669" t="s">
        <v>11</v>
      </c>
      <c r="I1669" t="s">
        <v>5923</v>
      </c>
      <c r="J1669" t="s">
        <v>9483</v>
      </c>
      <c r="K1669">
        <v>12660</v>
      </c>
      <c r="L1669">
        <v>44866</v>
      </c>
      <c r="M1669" t="s">
        <v>1688</v>
      </c>
      <c r="N1669">
        <v>12660</v>
      </c>
      <c r="O1669" t="e">
        <v>#N/A</v>
      </c>
    </row>
    <row r="1670" spans="2:15" hidden="1" x14ac:dyDescent="0.3">
      <c r="B1670" t="s">
        <v>41</v>
      </c>
      <c r="C1670">
        <v>926</v>
      </c>
      <c r="D1670" t="s">
        <v>56</v>
      </c>
      <c r="E1670">
        <v>1207</v>
      </c>
      <c r="F1670" t="s">
        <v>253</v>
      </c>
      <c r="G1670">
        <v>1328</v>
      </c>
      <c r="H1670" t="s">
        <v>11</v>
      </c>
      <c r="I1670" t="s">
        <v>5925</v>
      </c>
      <c r="J1670" t="s">
        <v>9484</v>
      </c>
      <c r="K1670">
        <v>3820830</v>
      </c>
      <c r="L1670">
        <v>44866</v>
      </c>
      <c r="M1670" t="s">
        <v>1689</v>
      </c>
      <c r="N1670">
        <v>3904300</v>
      </c>
      <c r="O1670" t="e">
        <v>#N/A</v>
      </c>
    </row>
    <row r="1671" spans="2:15" hidden="1" x14ac:dyDescent="0.3">
      <c r="B1671" t="s">
        <v>8</v>
      </c>
      <c r="C1671">
        <v>928</v>
      </c>
      <c r="D1671" t="s">
        <v>9</v>
      </c>
      <c r="E1671">
        <v>1202</v>
      </c>
      <c r="F1671" t="s">
        <v>27</v>
      </c>
      <c r="G1671">
        <v>806</v>
      </c>
      <c r="H1671" t="s">
        <v>11</v>
      </c>
      <c r="I1671" t="s">
        <v>5926</v>
      </c>
      <c r="J1671" t="s">
        <v>9485</v>
      </c>
      <c r="K1671">
        <v>518770</v>
      </c>
      <c r="L1671">
        <v>44866</v>
      </c>
      <c r="M1671" t="s">
        <v>1690</v>
      </c>
      <c r="N1671">
        <v>518770</v>
      </c>
      <c r="O1671" t="e">
        <v>#N/A</v>
      </c>
    </row>
    <row r="1672" spans="2:15" hidden="1" x14ac:dyDescent="0.3">
      <c r="B1672" t="s">
        <v>8</v>
      </c>
      <c r="C1672">
        <v>928</v>
      </c>
      <c r="D1672" t="s">
        <v>9</v>
      </c>
      <c r="E1672">
        <v>1202</v>
      </c>
      <c r="F1672" t="s">
        <v>75</v>
      </c>
      <c r="G1672">
        <v>50</v>
      </c>
      <c r="H1672" t="s">
        <v>11</v>
      </c>
      <c r="I1672" t="s">
        <v>5927</v>
      </c>
      <c r="J1672" t="s">
        <v>9486</v>
      </c>
      <c r="K1672">
        <v>1294370</v>
      </c>
      <c r="L1672">
        <v>44866</v>
      </c>
      <c r="M1672" t="s">
        <v>1691</v>
      </c>
      <c r="N1672">
        <v>1294370</v>
      </c>
      <c r="O1672" t="e">
        <v>#N/A</v>
      </c>
    </row>
    <row r="1673" spans="2:15" hidden="1" x14ac:dyDescent="0.3">
      <c r="B1673" t="s">
        <v>16</v>
      </c>
      <c r="C1673">
        <v>927</v>
      </c>
      <c r="D1673" t="s">
        <v>17</v>
      </c>
      <c r="E1673">
        <v>1200</v>
      </c>
      <c r="F1673" t="s">
        <v>137</v>
      </c>
      <c r="G1673">
        <v>1012</v>
      </c>
      <c r="H1673" t="s">
        <v>11</v>
      </c>
      <c r="I1673" t="s">
        <v>5928</v>
      </c>
      <c r="J1673" t="s">
        <v>9487</v>
      </c>
      <c r="K1673">
        <v>129470</v>
      </c>
      <c r="L1673">
        <v>44866</v>
      </c>
      <c r="M1673" t="s">
        <v>1692</v>
      </c>
      <c r="N1673">
        <v>129470</v>
      </c>
      <c r="O1673" t="e">
        <v>#N/A</v>
      </c>
    </row>
    <row r="1674" spans="2:15" hidden="1" x14ac:dyDescent="0.3">
      <c r="B1674" t="s">
        <v>8</v>
      </c>
      <c r="C1674">
        <v>928</v>
      </c>
      <c r="D1674" t="s">
        <v>13</v>
      </c>
      <c r="E1674">
        <v>1184</v>
      </c>
      <c r="F1674" t="s">
        <v>115</v>
      </c>
      <c r="G1674">
        <v>1548</v>
      </c>
      <c r="H1674" t="s">
        <v>11</v>
      </c>
      <c r="I1674" t="s">
        <v>5929</v>
      </c>
      <c r="J1674" t="s">
        <v>9488</v>
      </c>
      <c r="K1674">
        <v>8300</v>
      </c>
      <c r="L1674">
        <v>44866</v>
      </c>
      <c r="M1674" t="s">
        <v>1693</v>
      </c>
      <c r="N1674">
        <v>8300</v>
      </c>
      <c r="O1674" t="e">
        <v>#N/A</v>
      </c>
    </row>
    <row r="1675" spans="2:15" hidden="1" x14ac:dyDescent="0.3">
      <c r="B1675" t="s">
        <v>8</v>
      </c>
      <c r="C1675">
        <v>928</v>
      </c>
      <c r="D1675" t="s">
        <v>13</v>
      </c>
      <c r="E1675">
        <v>1184</v>
      </c>
      <c r="F1675" t="s">
        <v>59</v>
      </c>
      <c r="G1675">
        <v>9</v>
      </c>
      <c r="H1675" t="s">
        <v>11</v>
      </c>
      <c r="I1675" t="s">
        <v>5930</v>
      </c>
      <c r="J1675" t="s">
        <v>9489</v>
      </c>
      <c r="K1675">
        <v>4450</v>
      </c>
      <c r="L1675">
        <v>44866</v>
      </c>
      <c r="M1675" t="s">
        <v>1694</v>
      </c>
      <c r="N1675">
        <v>4450</v>
      </c>
      <c r="O1675" t="e">
        <v>#N/A</v>
      </c>
    </row>
    <row r="1676" spans="2:15" hidden="1" x14ac:dyDescent="0.3">
      <c r="B1676" t="s">
        <v>8</v>
      </c>
      <c r="C1676">
        <v>928</v>
      </c>
      <c r="D1676" t="s">
        <v>9</v>
      </c>
      <c r="E1676">
        <v>1202</v>
      </c>
      <c r="F1676" t="s">
        <v>391</v>
      </c>
      <c r="G1676">
        <v>1216</v>
      </c>
      <c r="H1676" t="s">
        <v>11</v>
      </c>
      <c r="I1676" t="s">
        <v>5931</v>
      </c>
      <c r="J1676" t="s">
        <v>9490</v>
      </c>
      <c r="K1676">
        <v>265730</v>
      </c>
      <c r="L1676">
        <v>44866</v>
      </c>
      <c r="M1676" t="s">
        <v>1695</v>
      </c>
      <c r="N1676">
        <v>266700</v>
      </c>
      <c r="O1676" t="e">
        <v>#N/A</v>
      </c>
    </row>
    <row r="1677" spans="2:15" hidden="1" x14ac:dyDescent="0.3">
      <c r="B1677" t="s">
        <v>41</v>
      </c>
      <c r="C1677">
        <v>926</v>
      </c>
      <c r="D1677" t="s">
        <v>56</v>
      </c>
      <c r="E1677">
        <v>1207</v>
      </c>
      <c r="F1677" t="s">
        <v>253</v>
      </c>
      <c r="G1677">
        <v>1328</v>
      </c>
      <c r="H1677" t="s">
        <v>11</v>
      </c>
      <c r="I1677" t="s">
        <v>5933</v>
      </c>
      <c r="J1677" t="s">
        <v>9491</v>
      </c>
      <c r="K1677">
        <v>7344000</v>
      </c>
      <c r="L1677">
        <v>44866</v>
      </c>
      <c r="M1677" t="s">
        <v>1696</v>
      </c>
      <c r="N1677">
        <v>7344000</v>
      </c>
      <c r="O1677" t="e">
        <v>#N/A</v>
      </c>
    </row>
    <row r="1678" spans="2:15" hidden="1" x14ac:dyDescent="0.3">
      <c r="B1678" t="s">
        <v>8</v>
      </c>
      <c r="C1678">
        <v>928</v>
      </c>
      <c r="D1678" t="s">
        <v>9</v>
      </c>
      <c r="E1678">
        <v>1202</v>
      </c>
      <c r="F1678" t="s">
        <v>37</v>
      </c>
      <c r="G1678">
        <v>81</v>
      </c>
      <c r="H1678" t="s">
        <v>11</v>
      </c>
      <c r="I1678" t="s">
        <v>5935</v>
      </c>
      <c r="J1678" t="s">
        <v>9492</v>
      </c>
      <c r="K1678">
        <v>1528480</v>
      </c>
      <c r="L1678">
        <v>44866</v>
      </c>
      <c r="M1678" t="s">
        <v>1697</v>
      </c>
      <c r="N1678">
        <v>1528480</v>
      </c>
      <c r="O1678" t="e">
        <v>#N/A</v>
      </c>
    </row>
    <row r="1679" spans="2:15" hidden="1" x14ac:dyDescent="0.3">
      <c r="B1679" t="s">
        <v>16</v>
      </c>
      <c r="C1679">
        <v>927</v>
      </c>
      <c r="D1679" t="s">
        <v>17</v>
      </c>
      <c r="E1679">
        <v>1200</v>
      </c>
      <c r="F1679" t="s">
        <v>78</v>
      </c>
      <c r="G1679">
        <v>57</v>
      </c>
      <c r="H1679" t="s">
        <v>11</v>
      </c>
      <c r="I1679" t="s">
        <v>5936</v>
      </c>
      <c r="J1679" t="s">
        <v>9493</v>
      </c>
      <c r="K1679">
        <v>135380</v>
      </c>
      <c r="L1679">
        <v>44866</v>
      </c>
      <c r="M1679" t="s">
        <v>1698</v>
      </c>
      <c r="N1679">
        <v>135380</v>
      </c>
      <c r="O1679" t="e">
        <v>#N/A</v>
      </c>
    </row>
    <row r="1680" spans="2:15" hidden="1" x14ac:dyDescent="0.3">
      <c r="B1680" t="s">
        <v>22</v>
      </c>
      <c r="C1680">
        <v>809</v>
      </c>
      <c r="D1680" t="s">
        <v>23</v>
      </c>
      <c r="E1680">
        <v>810</v>
      </c>
      <c r="F1680" t="s">
        <v>236</v>
      </c>
      <c r="G1680">
        <v>201052</v>
      </c>
      <c r="H1680" t="s">
        <v>11</v>
      </c>
      <c r="I1680" t="s">
        <v>5945</v>
      </c>
      <c r="J1680" t="s">
        <v>9494</v>
      </c>
      <c r="K1680">
        <v>97770</v>
      </c>
      <c r="L1680">
        <v>44866</v>
      </c>
      <c r="M1680" t="s">
        <v>1699</v>
      </c>
      <c r="N1680">
        <v>97770</v>
      </c>
      <c r="O1680" t="e">
        <v>#N/A</v>
      </c>
    </row>
    <row r="1681" spans="2:15" hidden="1" x14ac:dyDescent="0.3">
      <c r="B1681" t="s">
        <v>8</v>
      </c>
      <c r="C1681">
        <v>928</v>
      </c>
      <c r="D1681" t="s">
        <v>9</v>
      </c>
      <c r="E1681">
        <v>1202</v>
      </c>
      <c r="F1681" t="s">
        <v>45</v>
      </c>
      <c r="G1681">
        <v>26</v>
      </c>
      <c r="H1681" t="s">
        <v>11</v>
      </c>
      <c r="I1681" t="s">
        <v>5951</v>
      </c>
      <c r="J1681" t="s">
        <v>9495</v>
      </c>
      <c r="K1681">
        <v>1741750</v>
      </c>
      <c r="L1681">
        <v>44866</v>
      </c>
      <c r="M1681" t="s">
        <v>1700</v>
      </c>
      <c r="N1681">
        <v>1741750</v>
      </c>
      <c r="O1681" t="e">
        <v>#N/A</v>
      </c>
    </row>
    <row r="1682" spans="2:15" hidden="1" x14ac:dyDescent="0.3">
      <c r="B1682" t="s">
        <v>8</v>
      </c>
      <c r="C1682">
        <v>928</v>
      </c>
      <c r="D1682" t="s">
        <v>9</v>
      </c>
      <c r="E1682">
        <v>1202</v>
      </c>
      <c r="F1682" t="s">
        <v>27</v>
      </c>
      <c r="G1682">
        <v>806</v>
      </c>
      <c r="H1682" t="s">
        <v>11</v>
      </c>
      <c r="I1682" t="s">
        <v>5954</v>
      </c>
      <c r="J1682" t="s">
        <v>9496</v>
      </c>
      <c r="K1682">
        <v>222700</v>
      </c>
      <c r="L1682">
        <v>44866</v>
      </c>
      <c r="M1682" t="s">
        <v>1701</v>
      </c>
      <c r="N1682">
        <v>222700</v>
      </c>
      <c r="O1682" t="e">
        <v>#N/A</v>
      </c>
    </row>
    <row r="1683" spans="2:15" hidden="1" x14ac:dyDescent="0.3">
      <c r="B1683" t="s">
        <v>41</v>
      </c>
      <c r="C1683">
        <v>926</v>
      </c>
      <c r="D1683" t="s">
        <v>56</v>
      </c>
      <c r="E1683">
        <v>1207</v>
      </c>
      <c r="F1683" t="s">
        <v>57</v>
      </c>
      <c r="G1683">
        <v>200982</v>
      </c>
      <c r="H1683" t="s">
        <v>11</v>
      </c>
      <c r="I1683" t="s">
        <v>5955</v>
      </c>
      <c r="J1683" t="s">
        <v>9497</v>
      </c>
      <c r="K1683">
        <v>147030</v>
      </c>
      <c r="L1683">
        <v>44866</v>
      </c>
      <c r="M1683" t="s">
        <v>1702</v>
      </c>
      <c r="N1683">
        <v>443320</v>
      </c>
      <c r="O1683" t="e">
        <v>#N/A</v>
      </c>
    </row>
    <row r="1684" spans="2:15" hidden="1" x14ac:dyDescent="0.3">
      <c r="B1684" t="s">
        <v>16</v>
      </c>
      <c r="C1684">
        <v>927</v>
      </c>
      <c r="D1684" t="s">
        <v>17</v>
      </c>
      <c r="E1684">
        <v>1200</v>
      </c>
      <c r="F1684" t="s">
        <v>29</v>
      </c>
      <c r="G1684">
        <v>1496</v>
      </c>
      <c r="H1684" t="s">
        <v>11</v>
      </c>
      <c r="I1684" t="s">
        <v>5959</v>
      </c>
      <c r="J1684" t="s">
        <v>9498</v>
      </c>
      <c r="K1684">
        <v>1095116</v>
      </c>
      <c r="L1684">
        <v>44866</v>
      </c>
      <c r="M1684" t="s">
        <v>1703</v>
      </c>
      <c r="N1684">
        <v>1048450</v>
      </c>
      <c r="O1684" t="e">
        <v>#N/A</v>
      </c>
    </row>
    <row r="1685" spans="2:15" hidden="1" x14ac:dyDescent="0.3">
      <c r="B1685" t="s">
        <v>8</v>
      </c>
      <c r="C1685">
        <v>928</v>
      </c>
      <c r="D1685" t="s">
        <v>9</v>
      </c>
      <c r="E1685">
        <v>1202</v>
      </c>
      <c r="F1685" t="s">
        <v>39</v>
      </c>
      <c r="G1685">
        <v>25</v>
      </c>
      <c r="H1685" t="s">
        <v>11</v>
      </c>
      <c r="I1685" t="s">
        <v>5960</v>
      </c>
      <c r="J1685" t="s">
        <v>9499</v>
      </c>
      <c r="K1685">
        <v>1187150</v>
      </c>
      <c r="L1685">
        <v>44866</v>
      </c>
      <c r="M1685" t="s">
        <v>1704</v>
      </c>
      <c r="N1685">
        <v>1187150</v>
      </c>
      <c r="O1685" t="e">
        <v>#N/A</v>
      </c>
    </row>
    <row r="1686" spans="2:15" hidden="1" x14ac:dyDescent="0.3">
      <c r="B1686" t="s">
        <v>8</v>
      </c>
      <c r="C1686">
        <v>928</v>
      </c>
      <c r="D1686" t="s">
        <v>13</v>
      </c>
      <c r="E1686">
        <v>1184</v>
      </c>
      <c r="F1686" t="s">
        <v>102</v>
      </c>
      <c r="G1686">
        <v>917</v>
      </c>
      <c r="H1686" t="s">
        <v>11</v>
      </c>
      <c r="I1686" t="s">
        <v>5966</v>
      </c>
      <c r="J1686" t="s">
        <v>9500</v>
      </c>
      <c r="K1686">
        <v>31569290</v>
      </c>
      <c r="L1686">
        <v>44866</v>
      </c>
      <c r="M1686" t="s">
        <v>1705</v>
      </c>
      <c r="N1686">
        <v>31460290</v>
      </c>
      <c r="O1686" t="e">
        <v>#N/A</v>
      </c>
    </row>
    <row r="1687" spans="2:15" hidden="1" x14ac:dyDescent="0.3">
      <c r="B1687" t="s">
        <v>16</v>
      </c>
      <c r="C1687">
        <v>927</v>
      </c>
      <c r="D1687" t="s">
        <v>17</v>
      </c>
      <c r="E1687">
        <v>1200</v>
      </c>
      <c r="F1687" t="s">
        <v>137</v>
      </c>
      <c r="G1687">
        <v>1012</v>
      </c>
      <c r="H1687" t="s">
        <v>11</v>
      </c>
      <c r="I1687" t="s">
        <v>5967</v>
      </c>
      <c r="J1687" t="s">
        <v>9501</v>
      </c>
      <c r="K1687">
        <v>238680</v>
      </c>
      <c r="L1687">
        <v>44866</v>
      </c>
      <c r="M1687" t="s">
        <v>1706</v>
      </c>
      <c r="N1687">
        <v>238680</v>
      </c>
      <c r="O1687" t="e">
        <v>#N/A</v>
      </c>
    </row>
    <row r="1688" spans="2:15" hidden="1" x14ac:dyDescent="0.3">
      <c r="B1688" t="s">
        <v>41</v>
      </c>
      <c r="C1688">
        <v>926</v>
      </c>
      <c r="D1688" t="s">
        <v>56</v>
      </c>
      <c r="E1688">
        <v>1207</v>
      </c>
      <c r="F1688" t="s">
        <v>62</v>
      </c>
      <c r="G1688">
        <v>201037</v>
      </c>
      <c r="H1688" t="s">
        <v>11</v>
      </c>
      <c r="I1688" t="s">
        <v>5968</v>
      </c>
      <c r="J1688" t="s">
        <v>9502</v>
      </c>
      <c r="K1688">
        <v>55510</v>
      </c>
      <c r="L1688">
        <v>44866</v>
      </c>
      <c r="M1688" t="s">
        <v>1213</v>
      </c>
      <c r="N1688">
        <v>55510</v>
      </c>
      <c r="O1688" t="e">
        <v>#N/A</v>
      </c>
    </row>
    <row r="1689" spans="2:15" hidden="1" x14ac:dyDescent="0.3">
      <c r="B1689" t="s">
        <v>16</v>
      </c>
      <c r="C1689">
        <v>927</v>
      </c>
      <c r="D1689" t="s">
        <v>17</v>
      </c>
      <c r="E1689">
        <v>1200</v>
      </c>
      <c r="F1689" t="s">
        <v>18</v>
      </c>
      <c r="G1689">
        <v>201116</v>
      </c>
      <c r="H1689" t="s">
        <v>11</v>
      </c>
      <c r="I1689" t="s">
        <v>5970</v>
      </c>
      <c r="J1689" t="s">
        <v>9503</v>
      </c>
      <c r="K1689">
        <v>393420</v>
      </c>
      <c r="L1689">
        <v>44866</v>
      </c>
      <c r="M1689" t="s">
        <v>1707</v>
      </c>
      <c r="N1689">
        <v>393420</v>
      </c>
      <c r="O1689" t="e">
        <v>#N/A</v>
      </c>
    </row>
    <row r="1690" spans="2:15" hidden="1" x14ac:dyDescent="0.3">
      <c r="B1690" t="s">
        <v>8</v>
      </c>
      <c r="C1690">
        <v>928</v>
      </c>
      <c r="D1690" t="s">
        <v>13</v>
      </c>
      <c r="E1690">
        <v>1184</v>
      </c>
      <c r="F1690" t="s">
        <v>374</v>
      </c>
      <c r="G1690">
        <v>201022</v>
      </c>
      <c r="H1690" t="s">
        <v>11</v>
      </c>
      <c r="I1690" t="s">
        <v>5975</v>
      </c>
      <c r="J1690" t="s">
        <v>9504</v>
      </c>
      <c r="K1690">
        <v>1400</v>
      </c>
      <c r="L1690">
        <v>44866</v>
      </c>
      <c r="M1690" t="s">
        <v>1708</v>
      </c>
      <c r="N1690">
        <v>1400</v>
      </c>
      <c r="O1690" t="e">
        <v>#N/A</v>
      </c>
    </row>
    <row r="1691" spans="2:15" hidden="1" x14ac:dyDescent="0.3">
      <c r="B1691" t="s">
        <v>176</v>
      </c>
      <c r="C1691">
        <v>1204</v>
      </c>
      <c r="D1691" t="s">
        <v>177</v>
      </c>
      <c r="E1691">
        <v>1205</v>
      </c>
      <c r="F1691" t="s">
        <v>178</v>
      </c>
      <c r="G1691">
        <v>201073</v>
      </c>
      <c r="H1691" t="s">
        <v>11</v>
      </c>
      <c r="I1691" t="s">
        <v>5983</v>
      </c>
      <c r="J1691" t="s">
        <v>9505</v>
      </c>
      <c r="K1691">
        <v>120950</v>
      </c>
      <c r="L1691">
        <v>44866</v>
      </c>
      <c r="M1691" t="s">
        <v>1709</v>
      </c>
      <c r="N1691">
        <v>120950</v>
      </c>
      <c r="O1691" t="e">
        <v>#N/A</v>
      </c>
    </row>
    <row r="1692" spans="2:15" hidden="1" x14ac:dyDescent="0.3">
      <c r="B1692" t="s">
        <v>8</v>
      </c>
      <c r="C1692">
        <v>928</v>
      </c>
      <c r="D1692" t="s">
        <v>167</v>
      </c>
      <c r="E1692">
        <v>935</v>
      </c>
      <c r="F1692" t="s">
        <v>168</v>
      </c>
      <c r="G1692">
        <v>2</v>
      </c>
      <c r="H1692" t="s">
        <v>11</v>
      </c>
      <c r="I1692" t="s">
        <v>5987</v>
      </c>
      <c r="J1692" t="s">
        <v>9506</v>
      </c>
      <c r="K1692">
        <v>15561810</v>
      </c>
      <c r="L1692">
        <v>44866</v>
      </c>
      <c r="M1692" t="s">
        <v>671</v>
      </c>
      <c r="N1692">
        <v>15561810</v>
      </c>
      <c r="O1692" t="e">
        <v>#N/A</v>
      </c>
    </row>
    <row r="1693" spans="2:15" hidden="1" x14ac:dyDescent="0.3">
      <c r="B1693" t="s">
        <v>8</v>
      </c>
      <c r="C1693">
        <v>928</v>
      </c>
      <c r="D1693" t="s">
        <v>167</v>
      </c>
      <c r="E1693">
        <v>935</v>
      </c>
      <c r="F1693" t="s">
        <v>168</v>
      </c>
      <c r="G1693">
        <v>2</v>
      </c>
      <c r="H1693" t="s">
        <v>11</v>
      </c>
      <c r="I1693" t="s">
        <v>5988</v>
      </c>
      <c r="J1693" t="s">
        <v>9507</v>
      </c>
      <c r="K1693">
        <v>76803040</v>
      </c>
      <c r="L1693">
        <v>44866</v>
      </c>
      <c r="M1693" t="s">
        <v>671</v>
      </c>
      <c r="N1693">
        <v>76803040</v>
      </c>
      <c r="O1693" t="e">
        <v>#N/A</v>
      </c>
    </row>
    <row r="1694" spans="2:15" hidden="1" x14ac:dyDescent="0.3">
      <c r="B1694" t="s">
        <v>8</v>
      </c>
      <c r="C1694">
        <v>928</v>
      </c>
      <c r="D1694" t="s">
        <v>167</v>
      </c>
      <c r="E1694">
        <v>935</v>
      </c>
      <c r="F1694" t="s">
        <v>168</v>
      </c>
      <c r="G1694">
        <v>2</v>
      </c>
      <c r="H1694" t="s">
        <v>11</v>
      </c>
      <c r="I1694" t="s">
        <v>5989</v>
      </c>
      <c r="J1694" t="s">
        <v>9508</v>
      </c>
      <c r="K1694">
        <v>19482350</v>
      </c>
      <c r="L1694">
        <v>44866</v>
      </c>
      <c r="M1694" t="s">
        <v>671</v>
      </c>
      <c r="N1694">
        <v>19482350</v>
      </c>
      <c r="O1694" t="e">
        <v>#N/A</v>
      </c>
    </row>
    <row r="1695" spans="2:15" hidden="1" x14ac:dyDescent="0.3">
      <c r="B1695" t="s">
        <v>8</v>
      </c>
      <c r="C1695">
        <v>928</v>
      </c>
      <c r="D1695" t="s">
        <v>13</v>
      </c>
      <c r="E1695">
        <v>1184</v>
      </c>
      <c r="F1695" t="s">
        <v>102</v>
      </c>
      <c r="G1695">
        <v>917</v>
      </c>
      <c r="H1695" t="s">
        <v>11</v>
      </c>
      <c r="I1695" t="s">
        <v>5990</v>
      </c>
      <c r="J1695" t="s">
        <v>9509</v>
      </c>
      <c r="K1695">
        <v>298230</v>
      </c>
      <c r="L1695">
        <v>44866</v>
      </c>
      <c r="M1695" t="s">
        <v>1710</v>
      </c>
      <c r="N1695">
        <v>298230</v>
      </c>
      <c r="O1695" t="e">
        <v>#N/A</v>
      </c>
    </row>
    <row r="1696" spans="2:15" hidden="1" x14ac:dyDescent="0.3">
      <c r="B1696" t="s">
        <v>8</v>
      </c>
      <c r="C1696">
        <v>928</v>
      </c>
      <c r="D1696" t="s">
        <v>13</v>
      </c>
      <c r="E1696">
        <v>1184</v>
      </c>
      <c r="F1696" t="s">
        <v>102</v>
      </c>
      <c r="G1696">
        <v>917</v>
      </c>
      <c r="H1696" t="s">
        <v>11</v>
      </c>
      <c r="I1696" t="s">
        <v>5992</v>
      </c>
      <c r="J1696" t="s">
        <v>9510</v>
      </c>
      <c r="K1696">
        <v>48410</v>
      </c>
      <c r="L1696">
        <v>44866</v>
      </c>
      <c r="M1696" t="s">
        <v>1711</v>
      </c>
      <c r="N1696">
        <v>48410</v>
      </c>
      <c r="O1696" t="e">
        <v>#N/A</v>
      </c>
    </row>
    <row r="1697" spans="2:15" hidden="1" x14ac:dyDescent="0.3">
      <c r="B1697" t="s">
        <v>8</v>
      </c>
      <c r="C1697">
        <v>928</v>
      </c>
      <c r="D1697" t="s">
        <v>13</v>
      </c>
      <c r="E1697">
        <v>1184</v>
      </c>
      <c r="F1697" t="s">
        <v>102</v>
      </c>
      <c r="G1697">
        <v>917</v>
      </c>
      <c r="H1697" t="s">
        <v>11</v>
      </c>
      <c r="I1697" t="s">
        <v>5993</v>
      </c>
      <c r="J1697" t="s">
        <v>9511</v>
      </c>
      <c r="K1697">
        <v>172820</v>
      </c>
      <c r="L1697">
        <v>44866</v>
      </c>
      <c r="M1697" t="s">
        <v>1712</v>
      </c>
      <c r="N1697">
        <v>172820</v>
      </c>
      <c r="O1697" t="e">
        <v>#N/A</v>
      </c>
    </row>
    <row r="1698" spans="2:15" hidden="1" x14ac:dyDescent="0.3">
      <c r="B1698" t="s">
        <v>8</v>
      </c>
      <c r="C1698">
        <v>928</v>
      </c>
      <c r="D1698" t="s">
        <v>9</v>
      </c>
      <c r="E1698">
        <v>1202</v>
      </c>
      <c r="F1698" t="s">
        <v>47</v>
      </c>
      <c r="G1698">
        <v>898</v>
      </c>
      <c r="H1698" t="s">
        <v>11</v>
      </c>
      <c r="I1698" t="s">
        <v>5994</v>
      </c>
      <c r="J1698" t="s">
        <v>9512</v>
      </c>
      <c r="K1698">
        <v>1400</v>
      </c>
      <c r="L1698">
        <v>44866</v>
      </c>
      <c r="M1698" t="s">
        <v>1713</v>
      </c>
      <c r="N1698">
        <v>1400</v>
      </c>
      <c r="O1698" t="e">
        <v>#N/A</v>
      </c>
    </row>
    <row r="1699" spans="2:15" hidden="1" x14ac:dyDescent="0.3">
      <c r="B1699" t="s">
        <v>8</v>
      </c>
      <c r="C1699">
        <v>928</v>
      </c>
      <c r="D1699" t="s">
        <v>9</v>
      </c>
      <c r="E1699">
        <v>1202</v>
      </c>
      <c r="F1699" t="s">
        <v>122</v>
      </c>
      <c r="G1699">
        <v>251</v>
      </c>
      <c r="H1699" t="s">
        <v>11</v>
      </c>
      <c r="I1699" t="s">
        <v>5995</v>
      </c>
      <c r="J1699" t="s">
        <v>9513</v>
      </c>
      <c r="K1699">
        <v>59777</v>
      </c>
      <c r="L1699">
        <v>44866</v>
      </c>
      <c r="M1699" t="s">
        <v>1714</v>
      </c>
      <c r="N1699">
        <v>59822</v>
      </c>
      <c r="O1699" t="e">
        <v>#N/A</v>
      </c>
    </row>
    <row r="1700" spans="2:15" hidden="1" x14ac:dyDescent="0.3">
      <c r="B1700" t="s">
        <v>16</v>
      </c>
      <c r="C1700">
        <v>927</v>
      </c>
      <c r="D1700" t="s">
        <v>17</v>
      </c>
      <c r="E1700">
        <v>1200</v>
      </c>
      <c r="F1700" t="s">
        <v>66</v>
      </c>
      <c r="G1700">
        <v>33</v>
      </c>
      <c r="H1700" t="s">
        <v>11</v>
      </c>
      <c r="I1700" t="s">
        <v>5996</v>
      </c>
      <c r="J1700" t="s">
        <v>9514</v>
      </c>
      <c r="K1700">
        <v>128660</v>
      </c>
      <c r="L1700">
        <v>44866</v>
      </c>
      <c r="M1700" t="s">
        <v>1715</v>
      </c>
      <c r="N1700">
        <v>128660</v>
      </c>
      <c r="O1700" t="e">
        <v>#N/A</v>
      </c>
    </row>
    <row r="1701" spans="2:15" hidden="1" x14ac:dyDescent="0.3">
      <c r="B1701" t="s">
        <v>41</v>
      </c>
      <c r="C1701">
        <v>926</v>
      </c>
      <c r="D1701" t="s">
        <v>56</v>
      </c>
      <c r="E1701">
        <v>1207</v>
      </c>
      <c r="F1701" t="s">
        <v>253</v>
      </c>
      <c r="G1701">
        <v>1328</v>
      </c>
      <c r="H1701" t="s">
        <v>11</v>
      </c>
      <c r="I1701" t="s">
        <v>5998</v>
      </c>
      <c r="J1701" t="s">
        <v>9515</v>
      </c>
      <c r="K1701">
        <v>334760</v>
      </c>
      <c r="L1701">
        <v>44866</v>
      </c>
      <c r="M1701" t="s">
        <v>1716</v>
      </c>
      <c r="N1701">
        <v>334760</v>
      </c>
      <c r="O1701" t="e">
        <v>#N/A</v>
      </c>
    </row>
    <row r="1702" spans="2:15" hidden="1" x14ac:dyDescent="0.3">
      <c r="B1702" t="s">
        <v>8</v>
      </c>
      <c r="C1702">
        <v>928</v>
      </c>
      <c r="D1702" t="s">
        <v>9</v>
      </c>
      <c r="E1702">
        <v>1202</v>
      </c>
      <c r="F1702" t="s">
        <v>33</v>
      </c>
      <c r="G1702">
        <v>933</v>
      </c>
      <c r="H1702" t="s">
        <v>11</v>
      </c>
      <c r="I1702" t="s">
        <v>6000</v>
      </c>
      <c r="J1702" t="s">
        <v>9516</v>
      </c>
      <c r="K1702">
        <v>201580</v>
      </c>
      <c r="L1702">
        <v>44866</v>
      </c>
      <c r="M1702" t="s">
        <v>1717</v>
      </c>
      <c r="N1702">
        <v>201580</v>
      </c>
      <c r="O1702" t="e">
        <v>#N/A</v>
      </c>
    </row>
    <row r="1703" spans="2:15" hidden="1" x14ac:dyDescent="0.3">
      <c r="B1703" t="s">
        <v>16</v>
      </c>
      <c r="C1703">
        <v>927</v>
      </c>
      <c r="D1703" t="s">
        <v>17</v>
      </c>
      <c r="E1703">
        <v>1200</v>
      </c>
      <c r="F1703" t="s">
        <v>446</v>
      </c>
      <c r="G1703">
        <v>566</v>
      </c>
      <c r="H1703" t="s">
        <v>11</v>
      </c>
      <c r="I1703" t="s">
        <v>6001</v>
      </c>
      <c r="J1703" t="s">
        <v>9517</v>
      </c>
      <c r="K1703">
        <v>9691860</v>
      </c>
      <c r="L1703">
        <v>44866</v>
      </c>
      <c r="M1703" t="s">
        <v>1718</v>
      </c>
      <c r="N1703">
        <v>9691860</v>
      </c>
      <c r="O1703" t="e">
        <v>#N/A</v>
      </c>
    </row>
    <row r="1704" spans="2:15" hidden="1" x14ac:dyDescent="0.3">
      <c r="B1704" t="s">
        <v>8</v>
      </c>
      <c r="C1704">
        <v>928</v>
      </c>
      <c r="D1704" t="s">
        <v>9</v>
      </c>
      <c r="E1704">
        <v>1202</v>
      </c>
      <c r="F1704" t="s">
        <v>35</v>
      </c>
      <c r="G1704">
        <v>51</v>
      </c>
      <c r="H1704" t="s">
        <v>11</v>
      </c>
      <c r="I1704" t="s">
        <v>6002</v>
      </c>
      <c r="J1704" t="s">
        <v>9518</v>
      </c>
      <c r="K1704">
        <v>6980</v>
      </c>
      <c r="L1704">
        <v>44866</v>
      </c>
      <c r="M1704" t="s">
        <v>1719</v>
      </c>
      <c r="N1704">
        <v>6980</v>
      </c>
      <c r="O1704" t="e">
        <v>#N/A</v>
      </c>
    </row>
    <row r="1705" spans="2:15" hidden="1" x14ac:dyDescent="0.3">
      <c r="B1705" t="s">
        <v>41</v>
      </c>
      <c r="C1705">
        <v>926</v>
      </c>
      <c r="D1705" t="s">
        <v>56</v>
      </c>
      <c r="E1705">
        <v>1207</v>
      </c>
      <c r="F1705" t="s">
        <v>62</v>
      </c>
      <c r="G1705">
        <v>201037</v>
      </c>
      <c r="H1705" t="s">
        <v>11</v>
      </c>
      <c r="I1705" t="s">
        <v>6003</v>
      </c>
      <c r="J1705" t="s">
        <v>9519</v>
      </c>
      <c r="K1705">
        <v>294940</v>
      </c>
      <c r="L1705">
        <v>44866</v>
      </c>
      <c r="M1705" t="s">
        <v>1720</v>
      </c>
      <c r="N1705">
        <v>294940</v>
      </c>
      <c r="O1705" t="e">
        <v>#N/A</v>
      </c>
    </row>
    <row r="1706" spans="2:15" hidden="1" x14ac:dyDescent="0.3">
      <c r="B1706" t="s">
        <v>8</v>
      </c>
      <c r="C1706">
        <v>928</v>
      </c>
      <c r="D1706" t="s">
        <v>9</v>
      </c>
      <c r="E1706">
        <v>1202</v>
      </c>
      <c r="F1706" t="s">
        <v>31</v>
      </c>
      <c r="G1706">
        <v>1040</v>
      </c>
      <c r="H1706" t="s">
        <v>11</v>
      </c>
      <c r="I1706" t="s">
        <v>6004</v>
      </c>
      <c r="J1706" t="s">
        <v>9520</v>
      </c>
      <c r="K1706">
        <v>1184940</v>
      </c>
      <c r="L1706">
        <v>44866</v>
      </c>
      <c r="M1706" t="s">
        <v>1721</v>
      </c>
      <c r="N1706">
        <v>1184940</v>
      </c>
      <c r="O1706" t="e">
        <v>#N/A</v>
      </c>
    </row>
    <row r="1707" spans="2:15" hidden="1" x14ac:dyDescent="0.3">
      <c r="B1707" t="s">
        <v>8</v>
      </c>
      <c r="C1707">
        <v>928</v>
      </c>
      <c r="D1707" t="s">
        <v>9</v>
      </c>
      <c r="E1707">
        <v>1202</v>
      </c>
      <c r="F1707" t="s">
        <v>31</v>
      </c>
      <c r="G1707">
        <v>1040</v>
      </c>
      <c r="H1707" t="s">
        <v>11</v>
      </c>
      <c r="I1707" t="s">
        <v>6009</v>
      </c>
      <c r="J1707" t="s">
        <v>9521</v>
      </c>
      <c r="K1707">
        <v>909090</v>
      </c>
      <c r="L1707">
        <v>44866</v>
      </c>
      <c r="M1707" t="s">
        <v>1722</v>
      </c>
      <c r="N1707">
        <v>909090</v>
      </c>
      <c r="O1707" t="e">
        <v>#N/A</v>
      </c>
    </row>
    <row r="1708" spans="2:15" hidden="1" x14ac:dyDescent="0.3">
      <c r="B1708" t="s">
        <v>8</v>
      </c>
      <c r="C1708">
        <v>928</v>
      </c>
      <c r="D1708" t="s">
        <v>13</v>
      </c>
      <c r="E1708">
        <v>1184</v>
      </c>
      <c r="F1708" t="s">
        <v>59</v>
      </c>
      <c r="G1708">
        <v>9</v>
      </c>
      <c r="H1708" t="s">
        <v>11</v>
      </c>
      <c r="I1708" t="s">
        <v>6010</v>
      </c>
      <c r="J1708" t="s">
        <v>9522</v>
      </c>
      <c r="K1708">
        <v>97370</v>
      </c>
      <c r="L1708">
        <v>44866</v>
      </c>
      <c r="M1708" t="s">
        <v>1723</v>
      </c>
      <c r="N1708">
        <v>97370</v>
      </c>
      <c r="O1708" t="e">
        <v>#N/A</v>
      </c>
    </row>
    <row r="1709" spans="2:15" hidden="1" x14ac:dyDescent="0.3">
      <c r="B1709" t="s">
        <v>41</v>
      </c>
      <c r="C1709">
        <v>926</v>
      </c>
      <c r="D1709" t="s">
        <v>56</v>
      </c>
      <c r="E1709">
        <v>1207</v>
      </c>
      <c r="F1709" t="s">
        <v>57</v>
      </c>
      <c r="G1709">
        <v>200982</v>
      </c>
      <c r="H1709" t="s">
        <v>11</v>
      </c>
      <c r="I1709" t="s">
        <v>6015</v>
      </c>
      <c r="J1709" t="s">
        <v>9523</v>
      </c>
      <c r="K1709">
        <v>300540</v>
      </c>
      <c r="L1709">
        <v>44866</v>
      </c>
      <c r="M1709" t="s">
        <v>1724</v>
      </c>
      <c r="N1709">
        <v>300540</v>
      </c>
      <c r="O1709" t="e">
        <v>#N/A</v>
      </c>
    </row>
    <row r="1710" spans="2:15" hidden="1" x14ac:dyDescent="0.3">
      <c r="B1710" t="s">
        <v>16</v>
      </c>
      <c r="C1710">
        <v>927</v>
      </c>
      <c r="D1710" t="s">
        <v>17</v>
      </c>
      <c r="E1710">
        <v>1200</v>
      </c>
      <c r="F1710" t="s">
        <v>100</v>
      </c>
      <c r="G1710">
        <v>201038</v>
      </c>
      <c r="H1710" t="s">
        <v>11</v>
      </c>
      <c r="I1710" t="s">
        <v>6016</v>
      </c>
      <c r="J1710" t="s">
        <v>9524</v>
      </c>
      <c r="K1710">
        <v>414280</v>
      </c>
      <c r="L1710">
        <v>44866</v>
      </c>
      <c r="M1710" t="s">
        <v>1725</v>
      </c>
      <c r="N1710">
        <v>417280</v>
      </c>
      <c r="O1710" t="e">
        <v>#N/A</v>
      </c>
    </row>
    <row r="1711" spans="2:15" hidden="1" x14ac:dyDescent="0.3">
      <c r="B1711" t="s">
        <v>8</v>
      </c>
      <c r="C1711">
        <v>928</v>
      </c>
      <c r="D1711" t="s">
        <v>9</v>
      </c>
      <c r="E1711">
        <v>1202</v>
      </c>
      <c r="F1711" t="s">
        <v>110</v>
      </c>
      <c r="G1711">
        <v>929</v>
      </c>
      <c r="H1711" t="s">
        <v>11</v>
      </c>
      <c r="I1711" t="s">
        <v>6020</v>
      </c>
      <c r="J1711" t="s">
        <v>9525</v>
      </c>
      <c r="K1711">
        <v>231420</v>
      </c>
      <c r="L1711">
        <v>44866</v>
      </c>
      <c r="M1711" t="s">
        <v>1726</v>
      </c>
      <c r="N1711">
        <v>231420</v>
      </c>
      <c r="O1711" t="e">
        <v>#N/A</v>
      </c>
    </row>
    <row r="1712" spans="2:15" hidden="1" x14ac:dyDescent="0.3">
      <c r="B1712" t="s">
        <v>41</v>
      </c>
      <c r="C1712">
        <v>926</v>
      </c>
      <c r="D1712" t="s">
        <v>56</v>
      </c>
      <c r="E1712">
        <v>1207</v>
      </c>
      <c r="F1712" t="s">
        <v>253</v>
      </c>
      <c r="G1712">
        <v>1328</v>
      </c>
      <c r="H1712" t="s">
        <v>11</v>
      </c>
      <c r="I1712" t="s">
        <v>6022</v>
      </c>
      <c r="J1712" t="s">
        <v>9526</v>
      </c>
      <c r="K1712">
        <v>8649460</v>
      </c>
      <c r="L1712">
        <v>44866</v>
      </c>
      <c r="M1712" t="s">
        <v>1727</v>
      </c>
      <c r="N1712">
        <v>7893250</v>
      </c>
      <c r="O1712" t="e">
        <v>#N/A</v>
      </c>
    </row>
    <row r="1713" spans="2:15" hidden="1" x14ac:dyDescent="0.3">
      <c r="B1713" t="s">
        <v>22</v>
      </c>
      <c r="C1713">
        <v>809</v>
      </c>
      <c r="D1713" t="s">
        <v>23</v>
      </c>
      <c r="E1713">
        <v>810</v>
      </c>
      <c r="F1713" t="s">
        <v>24</v>
      </c>
      <c r="G1713">
        <v>201032</v>
      </c>
      <c r="H1713" t="s">
        <v>11</v>
      </c>
      <c r="I1713" t="s">
        <v>6023</v>
      </c>
      <c r="J1713" t="s">
        <v>9527</v>
      </c>
      <c r="K1713">
        <v>140</v>
      </c>
      <c r="L1713">
        <v>44866</v>
      </c>
      <c r="M1713" t="s">
        <v>1728</v>
      </c>
      <c r="N1713">
        <v>140</v>
      </c>
      <c r="O1713" t="e">
        <v>#N/A</v>
      </c>
    </row>
    <row r="1714" spans="2:15" hidden="1" x14ac:dyDescent="0.3">
      <c r="B1714" t="s">
        <v>16</v>
      </c>
      <c r="C1714">
        <v>927</v>
      </c>
      <c r="D1714" t="s">
        <v>17</v>
      </c>
      <c r="E1714">
        <v>1200</v>
      </c>
      <c r="F1714" t="s">
        <v>229</v>
      </c>
      <c r="G1714">
        <v>560</v>
      </c>
      <c r="H1714" t="s">
        <v>11</v>
      </c>
      <c r="I1714" t="s">
        <v>6024</v>
      </c>
      <c r="J1714" t="s">
        <v>9528</v>
      </c>
      <c r="K1714">
        <v>144070</v>
      </c>
      <c r="L1714">
        <v>44866</v>
      </c>
      <c r="M1714" t="s">
        <v>1729</v>
      </c>
      <c r="N1714">
        <v>144070</v>
      </c>
      <c r="O1714" t="e">
        <v>#N/A</v>
      </c>
    </row>
    <row r="1715" spans="2:15" hidden="1" x14ac:dyDescent="0.3">
      <c r="B1715" t="s">
        <v>41</v>
      </c>
      <c r="C1715">
        <v>926</v>
      </c>
      <c r="D1715" t="s">
        <v>56</v>
      </c>
      <c r="E1715">
        <v>1207</v>
      </c>
      <c r="F1715" t="s">
        <v>64</v>
      </c>
      <c r="G1715">
        <v>201011</v>
      </c>
      <c r="H1715" t="s">
        <v>11</v>
      </c>
      <c r="I1715" t="s">
        <v>6025</v>
      </c>
      <c r="J1715" t="s">
        <v>9529</v>
      </c>
      <c r="K1715">
        <v>266490</v>
      </c>
      <c r="L1715">
        <v>44866</v>
      </c>
      <c r="M1715" t="s">
        <v>1730</v>
      </c>
      <c r="N1715">
        <v>266490</v>
      </c>
      <c r="O1715" t="e">
        <v>#N/A</v>
      </c>
    </row>
    <row r="1716" spans="2:15" hidden="1" x14ac:dyDescent="0.3">
      <c r="B1716" t="s">
        <v>8</v>
      </c>
      <c r="C1716">
        <v>928</v>
      </c>
      <c r="D1716" t="s">
        <v>9</v>
      </c>
      <c r="E1716">
        <v>1202</v>
      </c>
      <c r="F1716" t="s">
        <v>122</v>
      </c>
      <c r="G1716">
        <v>251</v>
      </c>
      <c r="H1716" t="s">
        <v>11</v>
      </c>
      <c r="I1716" t="s">
        <v>6026</v>
      </c>
      <c r="J1716" t="s">
        <v>9530</v>
      </c>
      <c r="K1716">
        <v>2421670</v>
      </c>
      <c r="L1716">
        <v>44866</v>
      </c>
      <c r="M1716" t="s">
        <v>1731</v>
      </c>
      <c r="N1716">
        <v>1947540</v>
      </c>
      <c r="O1716" t="e">
        <v>#N/A</v>
      </c>
    </row>
    <row r="1717" spans="2:15" hidden="1" x14ac:dyDescent="0.3">
      <c r="B1717" t="s">
        <v>16</v>
      </c>
      <c r="C1717">
        <v>927</v>
      </c>
      <c r="D1717" t="s">
        <v>17</v>
      </c>
      <c r="E1717">
        <v>1200</v>
      </c>
      <c r="F1717" t="s">
        <v>371</v>
      </c>
      <c r="G1717">
        <v>551</v>
      </c>
      <c r="H1717" t="s">
        <v>11</v>
      </c>
      <c r="I1717" t="s">
        <v>6027</v>
      </c>
      <c r="J1717" t="s">
        <v>9531</v>
      </c>
      <c r="K1717">
        <v>8440850</v>
      </c>
      <c r="L1717">
        <v>44866</v>
      </c>
      <c r="M1717" t="s">
        <v>1732</v>
      </c>
      <c r="N1717">
        <v>8440850</v>
      </c>
      <c r="O1717" t="e">
        <v>#N/A</v>
      </c>
    </row>
    <row r="1718" spans="2:15" hidden="1" x14ac:dyDescent="0.3">
      <c r="B1718" t="s">
        <v>8</v>
      </c>
      <c r="C1718">
        <v>928</v>
      </c>
      <c r="D1718" t="s">
        <v>9</v>
      </c>
      <c r="E1718">
        <v>1202</v>
      </c>
      <c r="F1718" t="s">
        <v>45</v>
      </c>
      <c r="G1718">
        <v>26</v>
      </c>
      <c r="H1718" t="s">
        <v>11</v>
      </c>
      <c r="I1718" t="s">
        <v>6030</v>
      </c>
      <c r="J1718" t="s">
        <v>9532</v>
      </c>
      <c r="K1718">
        <v>404260</v>
      </c>
      <c r="L1718">
        <v>44866</v>
      </c>
      <c r="M1718" t="s">
        <v>1733</v>
      </c>
      <c r="N1718">
        <v>404260</v>
      </c>
      <c r="O1718" t="e">
        <v>#N/A</v>
      </c>
    </row>
    <row r="1719" spans="2:15" hidden="1" x14ac:dyDescent="0.3">
      <c r="B1719" t="s">
        <v>16</v>
      </c>
      <c r="C1719">
        <v>927</v>
      </c>
      <c r="D1719" t="s">
        <v>17</v>
      </c>
      <c r="E1719">
        <v>1200</v>
      </c>
      <c r="F1719" t="s">
        <v>371</v>
      </c>
      <c r="G1719">
        <v>551</v>
      </c>
      <c r="H1719" t="s">
        <v>11</v>
      </c>
      <c r="I1719" t="s">
        <v>6031</v>
      </c>
      <c r="J1719" t="s">
        <v>9533</v>
      </c>
      <c r="K1719">
        <v>20570</v>
      </c>
      <c r="L1719">
        <v>44866</v>
      </c>
      <c r="M1719" t="s">
        <v>1734</v>
      </c>
      <c r="N1719">
        <v>20570</v>
      </c>
      <c r="O1719" t="e">
        <v>#N/A</v>
      </c>
    </row>
    <row r="1720" spans="2:15" hidden="1" x14ac:dyDescent="0.3">
      <c r="B1720" t="s">
        <v>8</v>
      </c>
      <c r="C1720">
        <v>928</v>
      </c>
      <c r="D1720" t="s">
        <v>13</v>
      </c>
      <c r="E1720">
        <v>1184</v>
      </c>
      <c r="F1720" t="s">
        <v>59</v>
      </c>
      <c r="G1720">
        <v>9</v>
      </c>
      <c r="H1720" t="s">
        <v>11</v>
      </c>
      <c r="I1720" t="s">
        <v>6032</v>
      </c>
      <c r="J1720" t="s">
        <v>9534</v>
      </c>
      <c r="K1720">
        <v>1280</v>
      </c>
      <c r="L1720">
        <v>44866</v>
      </c>
      <c r="M1720" t="s">
        <v>1735</v>
      </c>
      <c r="N1720">
        <v>1280</v>
      </c>
      <c r="O1720" t="e">
        <v>#N/A</v>
      </c>
    </row>
    <row r="1721" spans="2:15" hidden="1" x14ac:dyDescent="0.3">
      <c r="B1721" t="s">
        <v>8</v>
      </c>
      <c r="C1721">
        <v>928</v>
      </c>
      <c r="D1721" t="s">
        <v>13</v>
      </c>
      <c r="E1721">
        <v>1184</v>
      </c>
      <c r="F1721" t="s">
        <v>59</v>
      </c>
      <c r="G1721">
        <v>9</v>
      </c>
      <c r="H1721" t="s">
        <v>11</v>
      </c>
      <c r="I1721" t="s">
        <v>6037</v>
      </c>
      <c r="J1721" t="s">
        <v>9535</v>
      </c>
      <c r="K1721">
        <v>11510</v>
      </c>
      <c r="L1721">
        <v>44866</v>
      </c>
      <c r="M1721" t="s">
        <v>1736</v>
      </c>
      <c r="N1721">
        <v>11510</v>
      </c>
      <c r="O1721" t="e">
        <v>#N/A</v>
      </c>
    </row>
    <row r="1722" spans="2:15" hidden="1" x14ac:dyDescent="0.3">
      <c r="B1722" t="s">
        <v>8</v>
      </c>
      <c r="C1722">
        <v>928</v>
      </c>
      <c r="D1722" t="s">
        <v>9</v>
      </c>
      <c r="E1722">
        <v>1202</v>
      </c>
      <c r="F1722" t="s">
        <v>142</v>
      </c>
      <c r="G1722">
        <v>652</v>
      </c>
      <c r="H1722" t="s">
        <v>11</v>
      </c>
      <c r="I1722" t="s">
        <v>6038</v>
      </c>
      <c r="J1722" t="s">
        <v>9536</v>
      </c>
      <c r="K1722">
        <v>108540</v>
      </c>
      <c r="L1722">
        <v>44866</v>
      </c>
      <c r="M1722" t="s">
        <v>1737</v>
      </c>
      <c r="N1722">
        <v>108540</v>
      </c>
      <c r="O1722" t="e">
        <v>#N/A</v>
      </c>
    </row>
    <row r="1723" spans="2:15" hidden="1" x14ac:dyDescent="0.3">
      <c r="B1723" t="s">
        <v>41</v>
      </c>
      <c r="C1723">
        <v>926</v>
      </c>
      <c r="D1723" t="s">
        <v>56</v>
      </c>
      <c r="E1723">
        <v>1207</v>
      </c>
      <c r="F1723" t="s">
        <v>64</v>
      </c>
      <c r="G1723">
        <v>201011</v>
      </c>
      <c r="H1723" t="s">
        <v>11</v>
      </c>
      <c r="I1723" t="s">
        <v>6039</v>
      </c>
      <c r="J1723" t="s">
        <v>9537</v>
      </c>
      <c r="K1723">
        <v>48720</v>
      </c>
      <c r="L1723">
        <v>44866</v>
      </c>
      <c r="M1723" t="s">
        <v>1738</v>
      </c>
      <c r="N1723">
        <v>48720</v>
      </c>
      <c r="O1723" t="e">
        <v>#N/A</v>
      </c>
    </row>
    <row r="1724" spans="2:15" hidden="1" x14ac:dyDescent="0.3">
      <c r="B1724" t="s">
        <v>8</v>
      </c>
      <c r="C1724">
        <v>928</v>
      </c>
      <c r="D1724" t="s">
        <v>9</v>
      </c>
      <c r="E1724">
        <v>1202</v>
      </c>
      <c r="F1724" t="s">
        <v>75</v>
      </c>
      <c r="G1724">
        <v>50</v>
      </c>
      <c r="H1724" t="s">
        <v>11</v>
      </c>
      <c r="I1724" t="s">
        <v>6042</v>
      </c>
      <c r="J1724" t="s">
        <v>9538</v>
      </c>
      <c r="K1724">
        <v>384460</v>
      </c>
      <c r="L1724">
        <v>44866</v>
      </c>
      <c r="M1724" t="s">
        <v>1739</v>
      </c>
      <c r="N1724">
        <v>384460</v>
      </c>
      <c r="O1724" t="e">
        <v>#N/A</v>
      </c>
    </row>
    <row r="1725" spans="2:15" hidden="1" x14ac:dyDescent="0.3">
      <c r="B1725" t="s">
        <v>41</v>
      </c>
      <c r="C1725">
        <v>926</v>
      </c>
      <c r="D1725" t="s">
        <v>56</v>
      </c>
      <c r="E1725">
        <v>1207</v>
      </c>
      <c r="F1725" t="s">
        <v>57</v>
      </c>
      <c r="G1725">
        <v>200982</v>
      </c>
      <c r="H1725" t="s">
        <v>11</v>
      </c>
      <c r="I1725" t="s">
        <v>6046</v>
      </c>
      <c r="J1725" t="s">
        <v>9539</v>
      </c>
      <c r="K1725">
        <v>246150</v>
      </c>
      <c r="L1725">
        <v>44866</v>
      </c>
      <c r="M1725" t="s">
        <v>1740</v>
      </c>
      <c r="N1725">
        <v>246150</v>
      </c>
      <c r="O1725" t="e">
        <v>#N/A</v>
      </c>
    </row>
    <row r="1726" spans="2:15" hidden="1" x14ac:dyDescent="0.3">
      <c r="B1726" t="s">
        <v>41</v>
      </c>
      <c r="C1726">
        <v>926</v>
      </c>
      <c r="D1726" t="s">
        <v>56</v>
      </c>
      <c r="E1726">
        <v>1207</v>
      </c>
      <c r="F1726" t="s">
        <v>253</v>
      </c>
      <c r="G1726">
        <v>1328</v>
      </c>
      <c r="H1726" t="s">
        <v>11</v>
      </c>
      <c r="I1726" t="s">
        <v>6049</v>
      </c>
      <c r="J1726" t="s">
        <v>9540</v>
      </c>
      <c r="K1726">
        <v>1004240</v>
      </c>
      <c r="L1726">
        <v>44866</v>
      </c>
      <c r="M1726" t="s">
        <v>1741</v>
      </c>
      <c r="N1726">
        <v>1004240</v>
      </c>
      <c r="O1726" t="e">
        <v>#N/A</v>
      </c>
    </row>
    <row r="1727" spans="2:15" hidden="1" x14ac:dyDescent="0.3">
      <c r="B1727" t="s">
        <v>8</v>
      </c>
      <c r="C1727">
        <v>928</v>
      </c>
      <c r="D1727" t="s">
        <v>13</v>
      </c>
      <c r="E1727">
        <v>1184</v>
      </c>
      <c r="F1727" t="s">
        <v>102</v>
      </c>
      <c r="G1727">
        <v>917</v>
      </c>
      <c r="H1727" t="s">
        <v>11</v>
      </c>
      <c r="I1727" t="s">
        <v>6051</v>
      </c>
      <c r="J1727" t="s">
        <v>9541</v>
      </c>
      <c r="K1727">
        <v>3350310</v>
      </c>
      <c r="L1727">
        <v>44866</v>
      </c>
      <c r="M1727" t="s">
        <v>1742</v>
      </c>
      <c r="N1727">
        <v>3358290</v>
      </c>
      <c r="O1727" t="e">
        <v>#N/A</v>
      </c>
    </row>
    <row r="1728" spans="2:15" hidden="1" x14ac:dyDescent="0.3">
      <c r="B1728" t="s">
        <v>16</v>
      </c>
      <c r="C1728">
        <v>927</v>
      </c>
      <c r="D1728" t="s">
        <v>17</v>
      </c>
      <c r="E1728">
        <v>1200</v>
      </c>
      <c r="F1728" t="s">
        <v>66</v>
      </c>
      <c r="G1728">
        <v>33</v>
      </c>
      <c r="H1728" t="s">
        <v>11</v>
      </c>
      <c r="I1728" t="s">
        <v>6052</v>
      </c>
      <c r="J1728" t="s">
        <v>9542</v>
      </c>
      <c r="K1728">
        <v>14589820</v>
      </c>
      <c r="L1728">
        <v>44866</v>
      </c>
      <c r="M1728" t="s">
        <v>1743</v>
      </c>
      <c r="N1728">
        <v>14589820</v>
      </c>
      <c r="O1728" t="e">
        <v>#N/A</v>
      </c>
    </row>
    <row r="1729" spans="2:15" hidden="1" x14ac:dyDescent="0.3">
      <c r="B1729" t="s">
        <v>8</v>
      </c>
      <c r="C1729">
        <v>928</v>
      </c>
      <c r="D1729" t="s">
        <v>167</v>
      </c>
      <c r="E1729">
        <v>935</v>
      </c>
      <c r="F1729" t="s">
        <v>168</v>
      </c>
      <c r="G1729">
        <v>2</v>
      </c>
      <c r="H1729" t="s">
        <v>11</v>
      </c>
      <c r="I1729" t="s">
        <v>6053</v>
      </c>
      <c r="J1729" t="s">
        <v>9543</v>
      </c>
      <c r="K1729">
        <v>61947560</v>
      </c>
      <c r="L1729">
        <v>44866</v>
      </c>
      <c r="M1729" t="s">
        <v>671</v>
      </c>
      <c r="N1729">
        <v>61947560</v>
      </c>
      <c r="O1729" t="e">
        <v>#N/A</v>
      </c>
    </row>
    <row r="1730" spans="2:15" hidden="1" x14ac:dyDescent="0.3">
      <c r="B1730" t="s">
        <v>8</v>
      </c>
      <c r="C1730">
        <v>928</v>
      </c>
      <c r="D1730" t="s">
        <v>167</v>
      </c>
      <c r="E1730">
        <v>935</v>
      </c>
      <c r="F1730" t="s">
        <v>168</v>
      </c>
      <c r="G1730">
        <v>2</v>
      </c>
      <c r="H1730" t="s">
        <v>11</v>
      </c>
      <c r="I1730" t="s">
        <v>6054</v>
      </c>
      <c r="J1730" t="s">
        <v>9544</v>
      </c>
      <c r="K1730">
        <v>27130760</v>
      </c>
      <c r="L1730">
        <v>44866</v>
      </c>
      <c r="M1730" t="s">
        <v>671</v>
      </c>
      <c r="N1730">
        <v>27130760</v>
      </c>
      <c r="O1730" t="e">
        <v>#N/A</v>
      </c>
    </row>
    <row r="1731" spans="2:15" hidden="1" x14ac:dyDescent="0.3">
      <c r="B1731" t="s">
        <v>8</v>
      </c>
      <c r="C1731">
        <v>928</v>
      </c>
      <c r="D1731" t="s">
        <v>167</v>
      </c>
      <c r="E1731">
        <v>935</v>
      </c>
      <c r="F1731" t="s">
        <v>168</v>
      </c>
      <c r="G1731">
        <v>2</v>
      </c>
      <c r="H1731" t="s">
        <v>11</v>
      </c>
      <c r="I1731" t="s">
        <v>6055</v>
      </c>
      <c r="J1731" t="s">
        <v>9545</v>
      </c>
      <c r="K1731">
        <v>56114050</v>
      </c>
      <c r="L1731">
        <v>44866</v>
      </c>
      <c r="M1731" t="s">
        <v>671</v>
      </c>
      <c r="N1731">
        <v>56114050</v>
      </c>
      <c r="O1731" t="e">
        <v>#N/A</v>
      </c>
    </row>
    <row r="1732" spans="2:15" hidden="1" x14ac:dyDescent="0.3">
      <c r="B1732" t="s">
        <v>8</v>
      </c>
      <c r="C1732">
        <v>928</v>
      </c>
      <c r="D1732" t="s">
        <v>13</v>
      </c>
      <c r="E1732">
        <v>1184</v>
      </c>
      <c r="F1732" t="s">
        <v>59</v>
      </c>
      <c r="G1732">
        <v>9</v>
      </c>
      <c r="H1732" t="s">
        <v>11</v>
      </c>
      <c r="I1732" t="s">
        <v>6057</v>
      </c>
      <c r="J1732" t="s">
        <v>9546</v>
      </c>
      <c r="K1732">
        <v>6400</v>
      </c>
      <c r="L1732">
        <v>44866</v>
      </c>
      <c r="M1732" t="s">
        <v>1744</v>
      </c>
      <c r="N1732">
        <v>6400</v>
      </c>
      <c r="O1732" t="e">
        <v>#N/A</v>
      </c>
    </row>
    <row r="1733" spans="2:15" hidden="1" x14ac:dyDescent="0.3">
      <c r="B1733" t="s">
        <v>8</v>
      </c>
      <c r="C1733">
        <v>928</v>
      </c>
      <c r="D1733" t="s">
        <v>9</v>
      </c>
      <c r="E1733">
        <v>1202</v>
      </c>
      <c r="F1733" t="s">
        <v>37</v>
      </c>
      <c r="G1733">
        <v>81</v>
      </c>
      <c r="H1733" t="s">
        <v>11</v>
      </c>
      <c r="I1733" t="s">
        <v>6058</v>
      </c>
      <c r="J1733" t="s">
        <v>9547</v>
      </c>
      <c r="K1733">
        <v>1260</v>
      </c>
      <c r="L1733">
        <v>44866</v>
      </c>
      <c r="M1733" t="s">
        <v>1745</v>
      </c>
      <c r="N1733">
        <v>1260</v>
      </c>
      <c r="O1733" t="e">
        <v>#N/A</v>
      </c>
    </row>
    <row r="1734" spans="2:15" hidden="1" x14ac:dyDescent="0.3">
      <c r="B1734" t="s">
        <v>8</v>
      </c>
      <c r="C1734">
        <v>928</v>
      </c>
      <c r="D1734" t="s">
        <v>9</v>
      </c>
      <c r="E1734">
        <v>1202</v>
      </c>
      <c r="F1734" t="s">
        <v>20</v>
      </c>
      <c r="G1734">
        <v>938</v>
      </c>
      <c r="H1734" t="s">
        <v>11</v>
      </c>
      <c r="I1734" t="s">
        <v>6062</v>
      </c>
      <c r="J1734" t="s">
        <v>9548</v>
      </c>
      <c r="K1734">
        <v>361640</v>
      </c>
      <c r="L1734">
        <v>44866</v>
      </c>
      <c r="M1734" t="s">
        <v>1746</v>
      </c>
      <c r="N1734">
        <v>361640</v>
      </c>
      <c r="O1734" t="e">
        <v>#N/A</v>
      </c>
    </row>
    <row r="1735" spans="2:15" hidden="1" x14ac:dyDescent="0.3">
      <c r="B1735" t="s">
        <v>8</v>
      </c>
      <c r="C1735">
        <v>928</v>
      </c>
      <c r="D1735" t="s">
        <v>167</v>
      </c>
      <c r="E1735">
        <v>935</v>
      </c>
      <c r="F1735" t="s">
        <v>168</v>
      </c>
      <c r="G1735">
        <v>2</v>
      </c>
      <c r="H1735" t="s">
        <v>11</v>
      </c>
      <c r="I1735" t="s">
        <v>6063</v>
      </c>
      <c r="J1735" t="s">
        <v>9549</v>
      </c>
      <c r="K1735">
        <v>12517970</v>
      </c>
      <c r="L1735">
        <v>44866</v>
      </c>
      <c r="M1735" t="s">
        <v>671</v>
      </c>
      <c r="N1735">
        <v>12517970</v>
      </c>
      <c r="O1735" t="e">
        <v>#N/A</v>
      </c>
    </row>
    <row r="1736" spans="2:15" hidden="1" x14ac:dyDescent="0.3">
      <c r="B1736" t="s">
        <v>8</v>
      </c>
      <c r="C1736">
        <v>928</v>
      </c>
      <c r="D1736" t="s">
        <v>13</v>
      </c>
      <c r="E1736">
        <v>1184</v>
      </c>
      <c r="F1736" t="s">
        <v>59</v>
      </c>
      <c r="G1736">
        <v>9</v>
      </c>
      <c r="H1736" t="s">
        <v>11</v>
      </c>
      <c r="I1736" t="s">
        <v>6068</v>
      </c>
      <c r="J1736" t="s">
        <v>9550</v>
      </c>
      <c r="K1736">
        <v>20580</v>
      </c>
      <c r="L1736">
        <v>44866</v>
      </c>
      <c r="M1736" t="s">
        <v>1747</v>
      </c>
      <c r="N1736">
        <v>20580</v>
      </c>
      <c r="O1736" t="e">
        <v>#N/A</v>
      </c>
    </row>
    <row r="1737" spans="2:15" hidden="1" x14ac:dyDescent="0.3">
      <c r="B1737" t="s">
        <v>8</v>
      </c>
      <c r="C1737">
        <v>928</v>
      </c>
      <c r="D1737" t="s">
        <v>9</v>
      </c>
      <c r="E1737">
        <v>1202</v>
      </c>
      <c r="F1737" t="s">
        <v>20</v>
      </c>
      <c r="G1737">
        <v>938</v>
      </c>
      <c r="H1737" t="s">
        <v>11</v>
      </c>
      <c r="I1737" t="s">
        <v>6069</v>
      </c>
      <c r="J1737" t="s">
        <v>9551</v>
      </c>
      <c r="K1737">
        <v>109230</v>
      </c>
      <c r="L1737">
        <v>44866</v>
      </c>
      <c r="M1737" t="s">
        <v>1748</v>
      </c>
      <c r="N1737">
        <v>109230</v>
      </c>
      <c r="O1737" t="e">
        <v>#N/A</v>
      </c>
    </row>
    <row r="1738" spans="2:15" hidden="1" x14ac:dyDescent="0.3">
      <c r="B1738" t="s">
        <v>16</v>
      </c>
      <c r="C1738">
        <v>927</v>
      </c>
      <c r="D1738" t="s">
        <v>17</v>
      </c>
      <c r="E1738">
        <v>1200</v>
      </c>
      <c r="F1738" t="s">
        <v>78</v>
      </c>
      <c r="G1738">
        <v>57</v>
      </c>
      <c r="H1738" t="s">
        <v>11</v>
      </c>
      <c r="I1738" t="s">
        <v>6070</v>
      </c>
      <c r="J1738" t="s">
        <v>9552</v>
      </c>
      <c r="K1738">
        <v>4750940</v>
      </c>
      <c r="L1738">
        <v>44866</v>
      </c>
      <c r="M1738" t="s">
        <v>1749</v>
      </c>
      <c r="N1738">
        <v>4750940</v>
      </c>
      <c r="O1738" t="e">
        <v>#N/A</v>
      </c>
    </row>
    <row r="1739" spans="2:15" hidden="1" x14ac:dyDescent="0.3">
      <c r="B1739" t="s">
        <v>8</v>
      </c>
      <c r="C1739">
        <v>928</v>
      </c>
      <c r="D1739" t="s">
        <v>9</v>
      </c>
      <c r="E1739">
        <v>1202</v>
      </c>
      <c r="F1739" t="s">
        <v>33</v>
      </c>
      <c r="G1739">
        <v>933</v>
      </c>
      <c r="H1739" t="s">
        <v>11</v>
      </c>
      <c r="I1739" t="s">
        <v>6077</v>
      </c>
      <c r="J1739" t="s">
        <v>9553</v>
      </c>
      <c r="K1739">
        <v>675380</v>
      </c>
      <c r="L1739">
        <v>44866</v>
      </c>
      <c r="M1739" t="s">
        <v>1750</v>
      </c>
      <c r="N1739">
        <v>299180</v>
      </c>
      <c r="O1739" t="e">
        <v>#N/A</v>
      </c>
    </row>
    <row r="1740" spans="2:15" hidden="1" x14ac:dyDescent="0.3">
      <c r="B1740" t="s">
        <v>16</v>
      </c>
      <c r="C1740">
        <v>927</v>
      </c>
      <c r="D1740" t="s">
        <v>17</v>
      </c>
      <c r="E1740">
        <v>1200</v>
      </c>
      <c r="F1740" t="s">
        <v>66</v>
      </c>
      <c r="G1740">
        <v>33</v>
      </c>
      <c r="H1740" t="s">
        <v>11</v>
      </c>
      <c r="I1740" t="s">
        <v>6078</v>
      </c>
      <c r="J1740" t="s">
        <v>9554</v>
      </c>
      <c r="K1740">
        <v>101380</v>
      </c>
      <c r="L1740">
        <v>44866</v>
      </c>
      <c r="M1740" t="s">
        <v>1751</v>
      </c>
      <c r="N1740">
        <v>101380</v>
      </c>
      <c r="O1740" t="e">
        <v>#N/A</v>
      </c>
    </row>
    <row r="1741" spans="2:15" hidden="1" x14ac:dyDescent="0.3">
      <c r="B1741" t="s">
        <v>8</v>
      </c>
      <c r="C1741">
        <v>928</v>
      </c>
      <c r="D1741" t="s">
        <v>9</v>
      </c>
      <c r="E1741">
        <v>1202</v>
      </c>
      <c r="F1741" t="s">
        <v>20</v>
      </c>
      <c r="G1741">
        <v>938</v>
      </c>
      <c r="H1741" t="s">
        <v>11</v>
      </c>
      <c r="I1741" t="s">
        <v>6079</v>
      </c>
      <c r="J1741" t="s">
        <v>9555</v>
      </c>
      <c r="K1741">
        <v>415610</v>
      </c>
      <c r="L1741">
        <v>44866</v>
      </c>
      <c r="M1741" t="s">
        <v>1752</v>
      </c>
      <c r="N1741">
        <v>415610</v>
      </c>
      <c r="O1741" t="e">
        <v>#N/A</v>
      </c>
    </row>
    <row r="1742" spans="2:15" hidden="1" x14ac:dyDescent="0.3">
      <c r="B1742" t="s">
        <v>8</v>
      </c>
      <c r="C1742">
        <v>928</v>
      </c>
      <c r="D1742" t="s">
        <v>13</v>
      </c>
      <c r="E1742">
        <v>1184</v>
      </c>
      <c r="F1742" t="s">
        <v>102</v>
      </c>
      <c r="G1742">
        <v>917</v>
      </c>
      <c r="H1742" t="s">
        <v>11</v>
      </c>
      <c r="I1742" t="s">
        <v>6081</v>
      </c>
      <c r="J1742" t="s">
        <v>9556</v>
      </c>
      <c r="K1742">
        <v>721790</v>
      </c>
      <c r="L1742">
        <v>44866</v>
      </c>
      <c r="M1742" t="s">
        <v>1753</v>
      </c>
      <c r="N1742">
        <v>721790</v>
      </c>
      <c r="O1742" t="e">
        <v>#N/A</v>
      </c>
    </row>
    <row r="1743" spans="2:15" hidden="1" x14ac:dyDescent="0.3">
      <c r="B1743" t="s">
        <v>16</v>
      </c>
      <c r="C1743">
        <v>927</v>
      </c>
      <c r="D1743" t="s">
        <v>17</v>
      </c>
      <c r="E1743">
        <v>1200</v>
      </c>
      <c r="F1743" t="s">
        <v>446</v>
      </c>
      <c r="G1743">
        <v>566</v>
      </c>
      <c r="H1743" t="s">
        <v>11</v>
      </c>
      <c r="I1743" t="s">
        <v>6083</v>
      </c>
      <c r="J1743" t="s">
        <v>9557</v>
      </c>
      <c r="K1743">
        <v>364580</v>
      </c>
      <c r="L1743">
        <v>44866</v>
      </c>
      <c r="M1743" t="s">
        <v>1754</v>
      </c>
      <c r="N1743">
        <v>364580</v>
      </c>
      <c r="O1743" t="e">
        <v>#N/A</v>
      </c>
    </row>
    <row r="1744" spans="2:15" hidden="1" x14ac:dyDescent="0.3">
      <c r="B1744" t="s">
        <v>8</v>
      </c>
      <c r="C1744">
        <v>928</v>
      </c>
      <c r="D1744" t="s">
        <v>9</v>
      </c>
      <c r="E1744">
        <v>1202</v>
      </c>
      <c r="F1744" t="s">
        <v>39</v>
      </c>
      <c r="G1744">
        <v>25</v>
      </c>
      <c r="H1744" t="s">
        <v>11</v>
      </c>
      <c r="I1744" t="s">
        <v>6085</v>
      </c>
      <c r="J1744" t="s">
        <v>9558</v>
      </c>
      <c r="K1744">
        <v>518250</v>
      </c>
      <c r="L1744">
        <v>44866</v>
      </c>
      <c r="M1744" t="s">
        <v>1755</v>
      </c>
      <c r="N1744">
        <v>518250</v>
      </c>
      <c r="O1744" t="e">
        <v>#N/A</v>
      </c>
    </row>
    <row r="1745" spans="2:15" hidden="1" x14ac:dyDescent="0.3">
      <c r="B1745" t="s">
        <v>16</v>
      </c>
      <c r="C1745">
        <v>927</v>
      </c>
      <c r="D1745" t="s">
        <v>17</v>
      </c>
      <c r="E1745">
        <v>1200</v>
      </c>
      <c r="F1745" t="s">
        <v>100</v>
      </c>
      <c r="G1745">
        <v>201038</v>
      </c>
      <c r="H1745" t="s">
        <v>11</v>
      </c>
      <c r="I1745" t="s">
        <v>6086</v>
      </c>
      <c r="J1745" t="s">
        <v>9559</v>
      </c>
      <c r="K1745">
        <v>37390</v>
      </c>
      <c r="L1745">
        <v>44866</v>
      </c>
      <c r="M1745" t="s">
        <v>1756</v>
      </c>
      <c r="N1745">
        <v>37390</v>
      </c>
      <c r="O1745" t="e">
        <v>#N/A</v>
      </c>
    </row>
    <row r="1746" spans="2:15" hidden="1" x14ac:dyDescent="0.3">
      <c r="B1746" t="s">
        <v>8</v>
      </c>
      <c r="C1746">
        <v>928</v>
      </c>
      <c r="D1746" t="s">
        <v>9</v>
      </c>
      <c r="E1746">
        <v>1202</v>
      </c>
      <c r="F1746" t="s">
        <v>27</v>
      </c>
      <c r="G1746">
        <v>806</v>
      </c>
      <c r="H1746" t="s">
        <v>11</v>
      </c>
      <c r="I1746" t="s">
        <v>6096</v>
      </c>
      <c r="J1746" t="s">
        <v>9560</v>
      </c>
      <c r="K1746">
        <v>130330</v>
      </c>
      <c r="L1746">
        <v>44866</v>
      </c>
      <c r="M1746" t="s">
        <v>1757</v>
      </c>
      <c r="N1746">
        <v>130330</v>
      </c>
      <c r="O1746" t="e">
        <v>#N/A</v>
      </c>
    </row>
    <row r="1747" spans="2:15" hidden="1" x14ac:dyDescent="0.3">
      <c r="B1747" t="s">
        <v>8</v>
      </c>
      <c r="C1747">
        <v>928</v>
      </c>
      <c r="D1747" t="s">
        <v>9</v>
      </c>
      <c r="E1747">
        <v>1202</v>
      </c>
      <c r="F1747" t="s">
        <v>10</v>
      </c>
      <c r="G1747">
        <v>939</v>
      </c>
      <c r="H1747" t="s">
        <v>11</v>
      </c>
      <c r="I1747" t="s">
        <v>6100</v>
      </c>
      <c r="J1747" t="s">
        <v>9561</v>
      </c>
      <c r="K1747">
        <v>32400</v>
      </c>
      <c r="L1747">
        <v>44866</v>
      </c>
      <c r="M1747" t="s">
        <v>1515</v>
      </c>
      <c r="N1747">
        <v>32400</v>
      </c>
      <c r="O1747" t="e">
        <v>#N/A</v>
      </c>
    </row>
    <row r="1748" spans="2:15" hidden="1" x14ac:dyDescent="0.3">
      <c r="B1748" t="s">
        <v>8</v>
      </c>
      <c r="C1748">
        <v>928</v>
      </c>
      <c r="D1748" t="s">
        <v>13</v>
      </c>
      <c r="E1748">
        <v>1184</v>
      </c>
      <c r="F1748" t="s">
        <v>51</v>
      </c>
      <c r="G1748">
        <v>1274</v>
      </c>
      <c r="H1748" t="s">
        <v>11</v>
      </c>
      <c r="I1748" t="s">
        <v>6103</v>
      </c>
      <c r="J1748" t="s">
        <v>9562</v>
      </c>
      <c r="K1748">
        <v>27581</v>
      </c>
      <c r="L1748">
        <v>44866</v>
      </c>
      <c r="M1748" t="s">
        <v>1758</v>
      </c>
      <c r="N1748">
        <v>27623</v>
      </c>
      <c r="O1748" t="e">
        <v>#N/A</v>
      </c>
    </row>
    <row r="1749" spans="2:15" hidden="1" x14ac:dyDescent="0.3">
      <c r="B1749" t="s">
        <v>16</v>
      </c>
      <c r="C1749">
        <v>927</v>
      </c>
      <c r="D1749" t="s">
        <v>17</v>
      </c>
      <c r="E1749">
        <v>1200</v>
      </c>
      <c r="F1749" t="s">
        <v>78</v>
      </c>
      <c r="G1749">
        <v>57</v>
      </c>
      <c r="H1749" t="s">
        <v>11</v>
      </c>
      <c r="I1749" t="s">
        <v>6111</v>
      </c>
      <c r="J1749" t="s">
        <v>9563</v>
      </c>
      <c r="K1749">
        <v>832490</v>
      </c>
      <c r="L1749">
        <v>44866</v>
      </c>
      <c r="M1749" t="s">
        <v>1759</v>
      </c>
      <c r="N1749">
        <v>832490</v>
      </c>
      <c r="O1749" t="e">
        <v>#N/A</v>
      </c>
    </row>
    <row r="1750" spans="2:15" hidden="1" x14ac:dyDescent="0.3">
      <c r="B1750" t="s">
        <v>41</v>
      </c>
      <c r="C1750">
        <v>926</v>
      </c>
      <c r="D1750" t="s">
        <v>56</v>
      </c>
      <c r="E1750">
        <v>1207</v>
      </c>
      <c r="F1750" t="s">
        <v>62</v>
      </c>
      <c r="G1750">
        <v>201037</v>
      </c>
      <c r="H1750" t="s">
        <v>11</v>
      </c>
      <c r="I1750" t="s">
        <v>6114</v>
      </c>
      <c r="J1750" t="s">
        <v>9564</v>
      </c>
      <c r="K1750">
        <v>2020410</v>
      </c>
      <c r="L1750">
        <v>44866</v>
      </c>
      <c r="M1750" t="s">
        <v>1760</v>
      </c>
      <c r="N1750">
        <v>2020410</v>
      </c>
      <c r="O1750" t="e">
        <v>#N/A</v>
      </c>
    </row>
    <row r="1751" spans="2:15" hidden="1" x14ac:dyDescent="0.3">
      <c r="B1751" t="s">
        <v>16</v>
      </c>
      <c r="C1751">
        <v>927</v>
      </c>
      <c r="D1751" t="s">
        <v>17</v>
      </c>
      <c r="E1751">
        <v>1200</v>
      </c>
      <c r="F1751" t="s">
        <v>78</v>
      </c>
      <c r="G1751">
        <v>57</v>
      </c>
      <c r="H1751" t="s">
        <v>11</v>
      </c>
      <c r="I1751" t="s">
        <v>6118</v>
      </c>
      <c r="J1751" t="s">
        <v>9565</v>
      </c>
      <c r="K1751">
        <v>11761160</v>
      </c>
      <c r="L1751">
        <v>44866</v>
      </c>
      <c r="M1751" t="s">
        <v>1761</v>
      </c>
      <c r="N1751">
        <v>10765520</v>
      </c>
      <c r="O1751" t="e">
        <v>#N/A</v>
      </c>
    </row>
    <row r="1752" spans="2:15" hidden="1" x14ac:dyDescent="0.3">
      <c r="B1752" t="s">
        <v>41</v>
      </c>
      <c r="C1752">
        <v>926</v>
      </c>
      <c r="D1752" t="s">
        <v>42</v>
      </c>
      <c r="E1752">
        <v>964</v>
      </c>
      <c r="F1752" t="s">
        <v>43</v>
      </c>
      <c r="G1752">
        <v>200998</v>
      </c>
      <c r="H1752" t="s">
        <v>11</v>
      </c>
      <c r="I1752" t="s">
        <v>6122</v>
      </c>
      <c r="J1752" t="s">
        <v>9566</v>
      </c>
      <c r="K1752">
        <v>60</v>
      </c>
      <c r="L1752">
        <v>44866</v>
      </c>
      <c r="M1752" t="s">
        <v>1762</v>
      </c>
      <c r="N1752">
        <v>60</v>
      </c>
      <c r="O1752" t="e">
        <v>#N/A</v>
      </c>
    </row>
    <row r="1753" spans="2:15" hidden="1" x14ac:dyDescent="0.3">
      <c r="B1753" t="s">
        <v>8</v>
      </c>
      <c r="C1753">
        <v>928</v>
      </c>
      <c r="D1753" t="s">
        <v>13</v>
      </c>
      <c r="E1753">
        <v>1184</v>
      </c>
      <c r="F1753" t="s">
        <v>59</v>
      </c>
      <c r="G1753">
        <v>9</v>
      </c>
      <c r="H1753" t="s">
        <v>11</v>
      </c>
      <c r="I1753" t="s">
        <v>6123</v>
      </c>
      <c r="J1753" t="s">
        <v>9567</v>
      </c>
      <c r="K1753">
        <v>49210</v>
      </c>
      <c r="L1753">
        <v>44866</v>
      </c>
      <c r="M1753" t="s">
        <v>1763</v>
      </c>
      <c r="N1753">
        <v>49210</v>
      </c>
      <c r="O1753" t="e">
        <v>#N/A</v>
      </c>
    </row>
    <row r="1754" spans="2:15" hidden="1" x14ac:dyDescent="0.3">
      <c r="B1754" t="s">
        <v>41</v>
      </c>
      <c r="C1754">
        <v>926</v>
      </c>
      <c r="D1754" t="s">
        <v>56</v>
      </c>
      <c r="E1754">
        <v>1207</v>
      </c>
      <c r="F1754" t="s">
        <v>64</v>
      </c>
      <c r="G1754">
        <v>201011</v>
      </c>
      <c r="H1754" t="s">
        <v>11</v>
      </c>
      <c r="I1754" t="s">
        <v>6125</v>
      </c>
      <c r="J1754" t="s">
        <v>9568</v>
      </c>
      <c r="K1754">
        <v>32460</v>
      </c>
      <c r="L1754">
        <v>44866</v>
      </c>
      <c r="M1754" t="s">
        <v>1764</v>
      </c>
      <c r="N1754">
        <v>32460</v>
      </c>
      <c r="O1754" t="e">
        <v>#N/A</v>
      </c>
    </row>
    <row r="1755" spans="2:15" hidden="1" x14ac:dyDescent="0.3">
      <c r="B1755" t="s">
        <v>41</v>
      </c>
      <c r="C1755">
        <v>926</v>
      </c>
      <c r="D1755" t="s">
        <v>42</v>
      </c>
      <c r="E1755">
        <v>964</v>
      </c>
      <c r="F1755" t="s">
        <v>43</v>
      </c>
      <c r="G1755">
        <v>200998</v>
      </c>
      <c r="H1755" t="s">
        <v>11</v>
      </c>
      <c r="I1755" t="s">
        <v>6126</v>
      </c>
      <c r="J1755" t="s">
        <v>9569</v>
      </c>
      <c r="K1755">
        <v>4500</v>
      </c>
      <c r="L1755">
        <v>44866</v>
      </c>
      <c r="M1755" t="s">
        <v>1765</v>
      </c>
      <c r="N1755">
        <v>4500</v>
      </c>
      <c r="O1755" t="e">
        <v>#N/A</v>
      </c>
    </row>
    <row r="1756" spans="2:15" hidden="1" x14ac:dyDescent="0.3">
      <c r="B1756" t="s">
        <v>8</v>
      </c>
      <c r="C1756">
        <v>928</v>
      </c>
      <c r="D1756" t="s">
        <v>223</v>
      </c>
      <c r="E1756">
        <v>966</v>
      </c>
      <c r="F1756" t="s">
        <v>224</v>
      </c>
      <c r="G1756">
        <v>201008</v>
      </c>
      <c r="H1756" t="s">
        <v>11</v>
      </c>
      <c r="I1756" t="s">
        <v>6129</v>
      </c>
      <c r="J1756" t="s">
        <v>9570</v>
      </c>
      <c r="K1756">
        <v>644720</v>
      </c>
      <c r="L1756">
        <v>44866</v>
      </c>
      <c r="M1756" t="s">
        <v>631</v>
      </c>
      <c r="N1756">
        <v>644720</v>
      </c>
      <c r="O1756" t="e">
        <v>#N/A</v>
      </c>
    </row>
    <row r="1757" spans="2:15" hidden="1" x14ac:dyDescent="0.3">
      <c r="B1757" t="s">
        <v>8</v>
      </c>
      <c r="C1757">
        <v>928</v>
      </c>
      <c r="D1757" t="s">
        <v>223</v>
      </c>
      <c r="E1757">
        <v>966</v>
      </c>
      <c r="F1757" t="s">
        <v>224</v>
      </c>
      <c r="G1757">
        <v>201008</v>
      </c>
      <c r="H1757" t="s">
        <v>11</v>
      </c>
      <c r="I1757" t="s">
        <v>6130</v>
      </c>
      <c r="J1757" t="s">
        <v>9571</v>
      </c>
      <c r="K1757">
        <v>291440</v>
      </c>
      <c r="L1757">
        <v>44866</v>
      </c>
      <c r="M1757" t="s">
        <v>631</v>
      </c>
      <c r="N1757">
        <v>291440</v>
      </c>
      <c r="O1757" t="e">
        <v>#N/A</v>
      </c>
    </row>
    <row r="1758" spans="2:15" hidden="1" x14ac:dyDescent="0.3">
      <c r="B1758" t="s">
        <v>8</v>
      </c>
      <c r="C1758">
        <v>928</v>
      </c>
      <c r="D1758" t="s">
        <v>223</v>
      </c>
      <c r="E1758">
        <v>966</v>
      </c>
      <c r="F1758" t="s">
        <v>224</v>
      </c>
      <c r="G1758">
        <v>201008</v>
      </c>
      <c r="H1758" t="s">
        <v>11</v>
      </c>
      <c r="I1758" t="s">
        <v>6131</v>
      </c>
      <c r="J1758" t="s">
        <v>9572</v>
      </c>
      <c r="K1758">
        <v>12777810</v>
      </c>
      <c r="L1758">
        <v>44866</v>
      </c>
      <c r="M1758" t="s">
        <v>225</v>
      </c>
      <c r="N1758">
        <v>12777810</v>
      </c>
      <c r="O1758" t="e">
        <v>#N/A</v>
      </c>
    </row>
    <row r="1759" spans="2:15" hidden="1" x14ac:dyDescent="0.3">
      <c r="B1759" t="s">
        <v>8</v>
      </c>
      <c r="C1759">
        <v>928</v>
      </c>
      <c r="D1759" t="s">
        <v>223</v>
      </c>
      <c r="E1759">
        <v>966</v>
      </c>
      <c r="F1759" t="s">
        <v>224</v>
      </c>
      <c r="G1759">
        <v>201008</v>
      </c>
      <c r="H1759" t="s">
        <v>11</v>
      </c>
      <c r="I1759" t="s">
        <v>6132</v>
      </c>
      <c r="J1759" t="s">
        <v>9573</v>
      </c>
      <c r="K1759">
        <v>503420</v>
      </c>
      <c r="L1759">
        <v>44866</v>
      </c>
      <c r="M1759" t="s">
        <v>631</v>
      </c>
      <c r="N1759">
        <v>503420</v>
      </c>
      <c r="O1759" t="e">
        <v>#N/A</v>
      </c>
    </row>
    <row r="1760" spans="2:15" hidden="1" x14ac:dyDescent="0.3">
      <c r="B1760" t="s">
        <v>8</v>
      </c>
      <c r="C1760">
        <v>928</v>
      </c>
      <c r="D1760" t="s">
        <v>223</v>
      </c>
      <c r="E1760">
        <v>966</v>
      </c>
      <c r="F1760" t="s">
        <v>224</v>
      </c>
      <c r="G1760">
        <v>201008</v>
      </c>
      <c r="H1760" t="s">
        <v>11</v>
      </c>
      <c r="I1760" t="s">
        <v>6133</v>
      </c>
      <c r="J1760" t="s">
        <v>9574</v>
      </c>
      <c r="K1760">
        <v>805990</v>
      </c>
      <c r="L1760">
        <v>44866</v>
      </c>
      <c r="M1760" t="s">
        <v>631</v>
      </c>
      <c r="N1760">
        <v>805990</v>
      </c>
      <c r="O1760" t="e">
        <v>#N/A</v>
      </c>
    </row>
    <row r="1761" spans="2:15" hidden="1" x14ac:dyDescent="0.3">
      <c r="B1761" t="s">
        <v>41</v>
      </c>
      <c r="C1761">
        <v>926</v>
      </c>
      <c r="D1761" t="s">
        <v>56</v>
      </c>
      <c r="E1761">
        <v>1207</v>
      </c>
      <c r="F1761" t="s">
        <v>57</v>
      </c>
      <c r="G1761">
        <v>200982</v>
      </c>
      <c r="H1761" t="s">
        <v>11</v>
      </c>
      <c r="I1761" t="s">
        <v>6134</v>
      </c>
      <c r="J1761" t="s">
        <v>9575</v>
      </c>
      <c r="K1761">
        <v>158050</v>
      </c>
      <c r="L1761">
        <v>44866</v>
      </c>
      <c r="M1761" t="s">
        <v>1766</v>
      </c>
      <c r="N1761">
        <v>158050</v>
      </c>
      <c r="O1761" t="e">
        <v>#N/A</v>
      </c>
    </row>
    <row r="1762" spans="2:15" hidden="1" x14ac:dyDescent="0.3">
      <c r="B1762" t="s">
        <v>8</v>
      </c>
      <c r="C1762">
        <v>928</v>
      </c>
      <c r="D1762" t="s">
        <v>9</v>
      </c>
      <c r="E1762">
        <v>1202</v>
      </c>
      <c r="F1762" t="s">
        <v>27</v>
      </c>
      <c r="G1762">
        <v>806</v>
      </c>
      <c r="H1762" t="s">
        <v>11</v>
      </c>
      <c r="I1762" t="s">
        <v>6135</v>
      </c>
      <c r="J1762" t="s">
        <v>9576</v>
      </c>
      <c r="K1762">
        <v>613950</v>
      </c>
      <c r="L1762">
        <v>44866</v>
      </c>
      <c r="M1762" t="s">
        <v>1767</v>
      </c>
      <c r="N1762">
        <v>613950</v>
      </c>
      <c r="O1762" t="e">
        <v>#N/A</v>
      </c>
    </row>
    <row r="1763" spans="2:15" hidden="1" x14ac:dyDescent="0.3">
      <c r="B1763" t="s">
        <v>41</v>
      </c>
      <c r="C1763">
        <v>926</v>
      </c>
      <c r="D1763" t="s">
        <v>56</v>
      </c>
      <c r="E1763">
        <v>1207</v>
      </c>
      <c r="F1763" t="s">
        <v>57</v>
      </c>
      <c r="G1763">
        <v>200982</v>
      </c>
      <c r="H1763" t="s">
        <v>11</v>
      </c>
      <c r="I1763" t="s">
        <v>6136</v>
      </c>
      <c r="J1763" t="s">
        <v>9577</v>
      </c>
      <c r="K1763">
        <v>103610</v>
      </c>
      <c r="L1763">
        <v>44866</v>
      </c>
      <c r="M1763" t="s">
        <v>1768</v>
      </c>
      <c r="N1763">
        <v>103610</v>
      </c>
      <c r="O1763" t="e">
        <v>#N/A</v>
      </c>
    </row>
    <row r="1764" spans="2:15" hidden="1" x14ac:dyDescent="0.3">
      <c r="B1764" t="s">
        <v>16</v>
      </c>
      <c r="C1764">
        <v>927</v>
      </c>
      <c r="D1764" t="s">
        <v>17</v>
      </c>
      <c r="E1764">
        <v>1200</v>
      </c>
      <c r="F1764" t="s">
        <v>93</v>
      </c>
      <c r="G1764">
        <v>930</v>
      </c>
      <c r="H1764" t="s">
        <v>11</v>
      </c>
      <c r="I1764" t="s">
        <v>6137</v>
      </c>
      <c r="J1764" t="s">
        <v>9578</v>
      </c>
      <c r="K1764">
        <v>2599450</v>
      </c>
      <c r="L1764">
        <v>44866</v>
      </c>
      <c r="M1764" t="s">
        <v>1769</v>
      </c>
      <c r="N1764">
        <v>2599450</v>
      </c>
      <c r="O1764" t="e">
        <v>#N/A</v>
      </c>
    </row>
    <row r="1765" spans="2:15" hidden="1" x14ac:dyDescent="0.3">
      <c r="B1765" t="s">
        <v>41</v>
      </c>
      <c r="C1765">
        <v>926</v>
      </c>
      <c r="D1765" t="s">
        <v>56</v>
      </c>
      <c r="E1765">
        <v>1207</v>
      </c>
      <c r="F1765" t="s">
        <v>57</v>
      </c>
      <c r="G1765">
        <v>200982</v>
      </c>
      <c r="H1765" t="s">
        <v>11</v>
      </c>
      <c r="I1765" t="s">
        <v>6143</v>
      </c>
      <c r="J1765" t="s">
        <v>9579</v>
      </c>
      <c r="K1765">
        <v>58850</v>
      </c>
      <c r="L1765">
        <v>44866</v>
      </c>
      <c r="M1765" t="s">
        <v>1770</v>
      </c>
      <c r="N1765">
        <v>58850</v>
      </c>
      <c r="O1765" t="e">
        <v>#N/A</v>
      </c>
    </row>
    <row r="1766" spans="2:15" hidden="1" x14ac:dyDescent="0.3">
      <c r="B1766" t="s">
        <v>16</v>
      </c>
      <c r="C1766">
        <v>927</v>
      </c>
      <c r="D1766" t="s">
        <v>17</v>
      </c>
      <c r="E1766">
        <v>1200</v>
      </c>
      <c r="F1766" t="s">
        <v>371</v>
      </c>
      <c r="G1766">
        <v>551</v>
      </c>
      <c r="H1766" t="s">
        <v>11</v>
      </c>
      <c r="I1766" t="s">
        <v>6144</v>
      </c>
      <c r="J1766" t="s">
        <v>9580</v>
      </c>
      <c r="K1766">
        <v>817080</v>
      </c>
      <c r="L1766">
        <v>44866</v>
      </c>
      <c r="M1766" t="s">
        <v>1771</v>
      </c>
      <c r="N1766">
        <v>817080</v>
      </c>
      <c r="O1766" t="e">
        <v>#N/A</v>
      </c>
    </row>
    <row r="1767" spans="2:15" hidden="1" x14ac:dyDescent="0.3">
      <c r="B1767" t="s">
        <v>16</v>
      </c>
      <c r="C1767">
        <v>927</v>
      </c>
      <c r="D1767" t="s">
        <v>17</v>
      </c>
      <c r="E1767">
        <v>1200</v>
      </c>
      <c r="F1767" t="s">
        <v>93</v>
      </c>
      <c r="G1767">
        <v>930</v>
      </c>
      <c r="H1767" t="s">
        <v>11</v>
      </c>
      <c r="I1767" t="s">
        <v>6145</v>
      </c>
      <c r="J1767" t="s">
        <v>9581</v>
      </c>
      <c r="K1767">
        <v>1358480</v>
      </c>
      <c r="L1767">
        <v>44866</v>
      </c>
      <c r="M1767" t="s">
        <v>1772</v>
      </c>
      <c r="N1767">
        <v>1358480</v>
      </c>
      <c r="O1767" t="e">
        <v>#N/A</v>
      </c>
    </row>
    <row r="1768" spans="2:15" hidden="1" x14ac:dyDescent="0.3">
      <c r="B1768" t="s">
        <v>41</v>
      </c>
      <c r="C1768">
        <v>926</v>
      </c>
      <c r="D1768" t="s">
        <v>56</v>
      </c>
      <c r="E1768">
        <v>1207</v>
      </c>
      <c r="F1768" t="s">
        <v>57</v>
      </c>
      <c r="G1768">
        <v>200982</v>
      </c>
      <c r="H1768" t="s">
        <v>11</v>
      </c>
      <c r="I1768" t="s">
        <v>6146</v>
      </c>
      <c r="J1768" t="s">
        <v>9582</v>
      </c>
      <c r="K1768">
        <v>160850</v>
      </c>
      <c r="L1768">
        <v>44866</v>
      </c>
      <c r="M1768" t="s">
        <v>1773</v>
      </c>
      <c r="N1768">
        <v>160850</v>
      </c>
      <c r="O1768" t="e">
        <v>#N/A</v>
      </c>
    </row>
    <row r="1769" spans="2:15" hidden="1" x14ac:dyDescent="0.3">
      <c r="B1769" t="s">
        <v>41</v>
      </c>
      <c r="C1769">
        <v>926</v>
      </c>
      <c r="D1769" t="s">
        <v>56</v>
      </c>
      <c r="E1769">
        <v>1207</v>
      </c>
      <c r="F1769" t="s">
        <v>57</v>
      </c>
      <c r="G1769">
        <v>200982</v>
      </c>
      <c r="H1769" t="s">
        <v>11</v>
      </c>
      <c r="I1769" t="s">
        <v>6147</v>
      </c>
      <c r="J1769" t="s">
        <v>9583</v>
      </c>
      <c r="K1769">
        <v>395880</v>
      </c>
      <c r="L1769">
        <v>44866</v>
      </c>
      <c r="M1769" t="s">
        <v>1774</v>
      </c>
      <c r="N1769">
        <v>395880</v>
      </c>
      <c r="O1769" t="e">
        <v>#N/A</v>
      </c>
    </row>
    <row r="1770" spans="2:15" hidden="1" x14ac:dyDescent="0.3">
      <c r="B1770" t="s">
        <v>8</v>
      </c>
      <c r="C1770">
        <v>928</v>
      </c>
      <c r="D1770" t="s">
        <v>13</v>
      </c>
      <c r="E1770">
        <v>1184</v>
      </c>
      <c r="F1770" t="s">
        <v>59</v>
      </c>
      <c r="G1770">
        <v>9</v>
      </c>
      <c r="H1770" t="s">
        <v>11</v>
      </c>
      <c r="I1770" t="s">
        <v>6148</v>
      </c>
      <c r="J1770" t="s">
        <v>9584</v>
      </c>
      <c r="K1770">
        <v>11200</v>
      </c>
      <c r="L1770">
        <v>44866</v>
      </c>
      <c r="M1770" t="s">
        <v>1775</v>
      </c>
      <c r="N1770">
        <v>11200</v>
      </c>
      <c r="O1770" t="e">
        <v>#N/A</v>
      </c>
    </row>
    <row r="1771" spans="2:15" hidden="1" x14ac:dyDescent="0.3">
      <c r="B1771" t="s">
        <v>8</v>
      </c>
      <c r="C1771">
        <v>928</v>
      </c>
      <c r="D1771" t="s">
        <v>9</v>
      </c>
      <c r="E1771">
        <v>1202</v>
      </c>
      <c r="F1771" t="s">
        <v>27</v>
      </c>
      <c r="G1771">
        <v>806</v>
      </c>
      <c r="H1771" t="s">
        <v>11</v>
      </c>
      <c r="I1771" t="s">
        <v>6152</v>
      </c>
      <c r="J1771" t="s">
        <v>9585</v>
      </c>
      <c r="K1771">
        <v>223960</v>
      </c>
      <c r="L1771">
        <v>44866</v>
      </c>
      <c r="M1771" t="s">
        <v>1776</v>
      </c>
      <c r="N1771">
        <v>223960</v>
      </c>
      <c r="O1771" t="e">
        <v>#N/A</v>
      </c>
    </row>
    <row r="1772" spans="2:15" hidden="1" x14ac:dyDescent="0.3">
      <c r="B1772" t="s">
        <v>16</v>
      </c>
      <c r="C1772">
        <v>927</v>
      </c>
      <c r="D1772" t="s">
        <v>17</v>
      </c>
      <c r="E1772">
        <v>1200</v>
      </c>
      <c r="F1772" t="s">
        <v>53</v>
      </c>
      <c r="G1772">
        <v>201080</v>
      </c>
      <c r="H1772" t="s">
        <v>11</v>
      </c>
      <c r="I1772" t="s">
        <v>6155</v>
      </c>
      <c r="J1772" t="s">
        <v>9586</v>
      </c>
      <c r="K1772">
        <v>209670</v>
      </c>
      <c r="L1772">
        <v>44866</v>
      </c>
      <c r="M1772" t="s">
        <v>1777</v>
      </c>
      <c r="N1772">
        <v>213470</v>
      </c>
      <c r="O1772" t="e">
        <v>#N/A</v>
      </c>
    </row>
    <row r="1773" spans="2:15" hidden="1" x14ac:dyDescent="0.3">
      <c r="B1773" t="s">
        <v>8</v>
      </c>
      <c r="C1773">
        <v>928</v>
      </c>
      <c r="D1773" t="s">
        <v>9</v>
      </c>
      <c r="E1773">
        <v>1202</v>
      </c>
      <c r="F1773" t="s">
        <v>39</v>
      </c>
      <c r="G1773">
        <v>25</v>
      </c>
      <c r="H1773" t="s">
        <v>11</v>
      </c>
      <c r="I1773" t="s">
        <v>6157</v>
      </c>
      <c r="J1773" t="s">
        <v>9587</v>
      </c>
      <c r="K1773">
        <v>123490</v>
      </c>
      <c r="L1773">
        <v>44866</v>
      </c>
      <c r="M1773" t="s">
        <v>1778</v>
      </c>
      <c r="N1773">
        <v>123490</v>
      </c>
      <c r="O1773" t="e">
        <v>#N/A</v>
      </c>
    </row>
    <row r="1774" spans="2:15" hidden="1" x14ac:dyDescent="0.3">
      <c r="B1774" t="s">
        <v>8</v>
      </c>
      <c r="C1774">
        <v>928</v>
      </c>
      <c r="D1774" t="s">
        <v>9</v>
      </c>
      <c r="E1774">
        <v>1202</v>
      </c>
      <c r="F1774" t="s">
        <v>45</v>
      </c>
      <c r="G1774">
        <v>26</v>
      </c>
      <c r="H1774" t="s">
        <v>11</v>
      </c>
      <c r="I1774" t="s">
        <v>6159</v>
      </c>
      <c r="J1774" t="s">
        <v>9588</v>
      </c>
      <c r="K1774">
        <v>235240</v>
      </c>
      <c r="L1774">
        <v>44866</v>
      </c>
      <c r="M1774" t="s">
        <v>1779</v>
      </c>
      <c r="N1774">
        <v>235240</v>
      </c>
      <c r="O1774" t="e">
        <v>#N/A</v>
      </c>
    </row>
    <row r="1775" spans="2:15" hidden="1" x14ac:dyDescent="0.3">
      <c r="B1775" t="s">
        <v>8</v>
      </c>
      <c r="C1775">
        <v>928</v>
      </c>
      <c r="D1775" t="s">
        <v>9</v>
      </c>
      <c r="E1775">
        <v>1202</v>
      </c>
      <c r="F1775" t="s">
        <v>27</v>
      </c>
      <c r="G1775">
        <v>806</v>
      </c>
      <c r="H1775" t="s">
        <v>11</v>
      </c>
      <c r="I1775" t="s">
        <v>6160</v>
      </c>
      <c r="J1775" t="s">
        <v>9589</v>
      </c>
      <c r="K1775">
        <v>44570</v>
      </c>
      <c r="L1775">
        <v>44866</v>
      </c>
      <c r="M1775" t="s">
        <v>1780</v>
      </c>
      <c r="N1775">
        <v>44570</v>
      </c>
      <c r="O1775" t="e">
        <v>#N/A</v>
      </c>
    </row>
    <row r="1776" spans="2:15" hidden="1" x14ac:dyDescent="0.3">
      <c r="B1776" t="s">
        <v>8</v>
      </c>
      <c r="C1776">
        <v>928</v>
      </c>
      <c r="D1776" t="s">
        <v>13</v>
      </c>
      <c r="E1776">
        <v>1184</v>
      </c>
      <c r="F1776" t="s">
        <v>51</v>
      </c>
      <c r="G1776">
        <v>1274</v>
      </c>
      <c r="H1776" t="s">
        <v>11</v>
      </c>
      <c r="I1776" t="s">
        <v>6161</v>
      </c>
      <c r="J1776" t="s">
        <v>9590</v>
      </c>
      <c r="K1776">
        <v>16940</v>
      </c>
      <c r="L1776">
        <v>44866</v>
      </c>
      <c r="M1776" t="s">
        <v>1781</v>
      </c>
      <c r="N1776">
        <v>16940</v>
      </c>
      <c r="O1776" t="e">
        <v>#N/A</v>
      </c>
    </row>
    <row r="1777" spans="2:15" hidden="1" x14ac:dyDescent="0.3">
      <c r="B1777" t="s">
        <v>16</v>
      </c>
      <c r="C1777">
        <v>927</v>
      </c>
      <c r="D1777" t="s">
        <v>17</v>
      </c>
      <c r="E1777">
        <v>1200</v>
      </c>
      <c r="F1777" t="s">
        <v>244</v>
      </c>
      <c r="G1777">
        <v>817</v>
      </c>
      <c r="H1777" t="s">
        <v>11</v>
      </c>
      <c r="I1777" t="s">
        <v>6166</v>
      </c>
      <c r="J1777" t="s">
        <v>9591</v>
      </c>
      <c r="K1777">
        <v>432220</v>
      </c>
      <c r="L1777">
        <v>44866</v>
      </c>
      <c r="M1777" t="s">
        <v>1782</v>
      </c>
      <c r="N1777">
        <v>432220</v>
      </c>
      <c r="O1777" t="e">
        <v>#N/A</v>
      </c>
    </row>
    <row r="1778" spans="2:15" hidden="1" x14ac:dyDescent="0.3">
      <c r="B1778" t="s">
        <v>8</v>
      </c>
      <c r="C1778">
        <v>928</v>
      </c>
      <c r="D1778" t="s">
        <v>13</v>
      </c>
      <c r="E1778">
        <v>1184</v>
      </c>
      <c r="F1778" t="s">
        <v>217</v>
      </c>
      <c r="G1778">
        <v>201027</v>
      </c>
      <c r="H1778" t="s">
        <v>11</v>
      </c>
      <c r="I1778" t="s">
        <v>6167</v>
      </c>
      <c r="J1778" t="s">
        <v>9592</v>
      </c>
      <c r="K1778">
        <v>580</v>
      </c>
      <c r="L1778">
        <v>44866</v>
      </c>
      <c r="M1778" t="s">
        <v>1783</v>
      </c>
      <c r="N1778">
        <v>580</v>
      </c>
      <c r="O1778" t="e">
        <v>#N/A</v>
      </c>
    </row>
    <row r="1779" spans="2:15" hidden="1" x14ac:dyDescent="0.3">
      <c r="B1779" t="s">
        <v>41</v>
      </c>
      <c r="C1779">
        <v>926</v>
      </c>
      <c r="D1779" t="s">
        <v>56</v>
      </c>
      <c r="E1779">
        <v>1207</v>
      </c>
      <c r="F1779" t="s">
        <v>57</v>
      </c>
      <c r="G1779">
        <v>200982</v>
      </c>
      <c r="H1779" t="s">
        <v>11</v>
      </c>
      <c r="I1779" t="s">
        <v>6169</v>
      </c>
      <c r="J1779" t="s">
        <v>6900</v>
      </c>
      <c r="K1779">
        <v>39642</v>
      </c>
      <c r="L1779">
        <v>44866</v>
      </c>
      <c r="M1779" t="s">
        <v>1784</v>
      </c>
      <c r="N1779">
        <v>39658</v>
      </c>
      <c r="O1779" t="s">
        <v>9593</v>
      </c>
    </row>
    <row r="1780" spans="2:15" hidden="1" x14ac:dyDescent="0.3">
      <c r="B1780" t="s">
        <v>8</v>
      </c>
      <c r="C1780">
        <v>928</v>
      </c>
      <c r="D1780" t="s">
        <v>13</v>
      </c>
      <c r="E1780">
        <v>1184</v>
      </c>
      <c r="F1780" t="s">
        <v>102</v>
      </c>
      <c r="G1780">
        <v>917</v>
      </c>
      <c r="H1780" t="s">
        <v>11</v>
      </c>
      <c r="I1780" t="s">
        <v>6175</v>
      </c>
      <c r="J1780" t="s">
        <v>9594</v>
      </c>
      <c r="K1780">
        <v>541050</v>
      </c>
      <c r="L1780">
        <v>44866</v>
      </c>
      <c r="M1780" t="s">
        <v>1785</v>
      </c>
      <c r="N1780">
        <v>541050</v>
      </c>
      <c r="O1780" t="e">
        <v>#N/A</v>
      </c>
    </row>
    <row r="1781" spans="2:15" hidden="1" x14ac:dyDescent="0.3">
      <c r="B1781" t="s">
        <v>41</v>
      </c>
      <c r="C1781">
        <v>926</v>
      </c>
      <c r="D1781" t="s">
        <v>42</v>
      </c>
      <c r="E1781">
        <v>964</v>
      </c>
      <c r="F1781" t="s">
        <v>43</v>
      </c>
      <c r="G1781">
        <v>200998</v>
      </c>
      <c r="H1781" t="s">
        <v>11</v>
      </c>
      <c r="I1781" t="s">
        <v>6176</v>
      </c>
      <c r="J1781" t="s">
        <v>9595</v>
      </c>
      <c r="K1781">
        <v>210</v>
      </c>
      <c r="L1781">
        <v>44866</v>
      </c>
      <c r="M1781" t="s">
        <v>1786</v>
      </c>
      <c r="N1781">
        <v>210</v>
      </c>
      <c r="O1781" t="e">
        <v>#N/A</v>
      </c>
    </row>
    <row r="1782" spans="2:15" hidden="1" x14ac:dyDescent="0.3">
      <c r="B1782" t="s">
        <v>8</v>
      </c>
      <c r="C1782">
        <v>928</v>
      </c>
      <c r="D1782" t="s">
        <v>9</v>
      </c>
      <c r="E1782">
        <v>1202</v>
      </c>
      <c r="F1782" t="s">
        <v>39</v>
      </c>
      <c r="G1782">
        <v>25</v>
      </c>
      <c r="H1782" t="s">
        <v>11</v>
      </c>
      <c r="I1782" t="s">
        <v>6180</v>
      </c>
      <c r="J1782" t="s">
        <v>9596</v>
      </c>
      <c r="K1782">
        <v>1210</v>
      </c>
      <c r="L1782">
        <v>44866</v>
      </c>
      <c r="M1782" t="s">
        <v>1787</v>
      </c>
      <c r="N1782">
        <v>1210</v>
      </c>
      <c r="O1782" t="e">
        <v>#N/A</v>
      </c>
    </row>
    <row r="1783" spans="2:15" hidden="1" x14ac:dyDescent="0.3">
      <c r="B1783" t="s">
        <v>8</v>
      </c>
      <c r="C1783">
        <v>928</v>
      </c>
      <c r="D1783" t="s">
        <v>13</v>
      </c>
      <c r="E1783">
        <v>1184</v>
      </c>
      <c r="F1783" t="s">
        <v>217</v>
      </c>
      <c r="G1783">
        <v>201027</v>
      </c>
      <c r="H1783" t="s">
        <v>11</v>
      </c>
      <c r="I1783" t="s">
        <v>6183</v>
      </c>
      <c r="J1783" t="s">
        <v>9597</v>
      </c>
      <c r="K1783">
        <v>840</v>
      </c>
      <c r="L1783">
        <v>44866</v>
      </c>
      <c r="M1783" t="s">
        <v>1788</v>
      </c>
      <c r="N1783">
        <v>840</v>
      </c>
      <c r="O1783" t="e">
        <v>#N/A</v>
      </c>
    </row>
    <row r="1784" spans="2:15" hidden="1" x14ac:dyDescent="0.3">
      <c r="B1784" t="s">
        <v>41</v>
      </c>
      <c r="C1784">
        <v>926</v>
      </c>
      <c r="D1784" t="s">
        <v>42</v>
      </c>
      <c r="E1784">
        <v>964</v>
      </c>
      <c r="F1784" t="s">
        <v>43</v>
      </c>
      <c r="G1784">
        <v>200998</v>
      </c>
      <c r="H1784" t="s">
        <v>11</v>
      </c>
      <c r="I1784" t="s">
        <v>6184</v>
      </c>
      <c r="J1784" t="s">
        <v>9598</v>
      </c>
      <c r="K1784">
        <v>350</v>
      </c>
      <c r="L1784">
        <v>44866</v>
      </c>
      <c r="M1784" t="s">
        <v>1789</v>
      </c>
      <c r="N1784">
        <v>350</v>
      </c>
      <c r="O1784" t="e">
        <v>#N/A</v>
      </c>
    </row>
    <row r="1785" spans="2:15" hidden="1" x14ac:dyDescent="0.3">
      <c r="B1785" t="s">
        <v>8</v>
      </c>
      <c r="C1785">
        <v>928</v>
      </c>
      <c r="D1785" t="s">
        <v>13</v>
      </c>
      <c r="E1785">
        <v>1184</v>
      </c>
      <c r="F1785" t="s">
        <v>115</v>
      </c>
      <c r="G1785">
        <v>1548</v>
      </c>
      <c r="H1785" t="s">
        <v>11</v>
      </c>
      <c r="I1785" t="s">
        <v>6186</v>
      </c>
      <c r="J1785" t="s">
        <v>9599</v>
      </c>
      <c r="K1785">
        <v>1501972</v>
      </c>
      <c r="L1785">
        <v>44866</v>
      </c>
      <c r="M1785" t="s">
        <v>1790</v>
      </c>
      <c r="N1785">
        <v>1587530</v>
      </c>
      <c r="O1785" t="e">
        <v>#N/A</v>
      </c>
    </row>
    <row r="1786" spans="2:15" hidden="1" x14ac:dyDescent="0.3">
      <c r="B1786" t="s">
        <v>8</v>
      </c>
      <c r="C1786">
        <v>928</v>
      </c>
      <c r="D1786" t="s">
        <v>9</v>
      </c>
      <c r="E1786">
        <v>1202</v>
      </c>
      <c r="F1786" t="s">
        <v>27</v>
      </c>
      <c r="G1786">
        <v>806</v>
      </c>
      <c r="H1786" t="s">
        <v>11</v>
      </c>
      <c r="I1786" t="s">
        <v>6187</v>
      </c>
      <c r="J1786" t="s">
        <v>9600</v>
      </c>
      <c r="K1786">
        <v>676720</v>
      </c>
      <c r="L1786">
        <v>44866</v>
      </c>
      <c r="M1786" t="s">
        <v>1791</v>
      </c>
      <c r="N1786">
        <v>676720</v>
      </c>
      <c r="O1786" t="e">
        <v>#N/A</v>
      </c>
    </row>
    <row r="1787" spans="2:15" hidden="1" x14ac:dyDescent="0.3">
      <c r="B1787" t="s">
        <v>8</v>
      </c>
      <c r="C1787">
        <v>928</v>
      </c>
      <c r="D1787" t="s">
        <v>9</v>
      </c>
      <c r="E1787">
        <v>1202</v>
      </c>
      <c r="F1787" t="s">
        <v>33</v>
      </c>
      <c r="G1787">
        <v>933</v>
      </c>
      <c r="H1787" t="s">
        <v>11</v>
      </c>
      <c r="I1787" t="s">
        <v>6189</v>
      </c>
      <c r="J1787" t="s">
        <v>9601</v>
      </c>
      <c r="K1787">
        <v>261060</v>
      </c>
      <c r="L1787">
        <v>44866</v>
      </c>
      <c r="M1787" t="s">
        <v>1792</v>
      </c>
      <c r="N1787">
        <v>261060</v>
      </c>
      <c r="O1787" t="e">
        <v>#N/A</v>
      </c>
    </row>
    <row r="1788" spans="2:15" hidden="1" x14ac:dyDescent="0.3">
      <c r="B1788" t="s">
        <v>16</v>
      </c>
      <c r="C1788">
        <v>927</v>
      </c>
      <c r="D1788" t="s">
        <v>17</v>
      </c>
      <c r="E1788">
        <v>1200</v>
      </c>
      <c r="F1788" t="s">
        <v>437</v>
      </c>
      <c r="G1788">
        <v>201118</v>
      </c>
      <c r="H1788" t="s">
        <v>11</v>
      </c>
      <c r="I1788" t="s">
        <v>6190</v>
      </c>
      <c r="J1788" t="s">
        <v>9602</v>
      </c>
      <c r="K1788">
        <v>1254950</v>
      </c>
      <c r="L1788">
        <v>44866</v>
      </c>
      <c r="M1788" t="s">
        <v>1793</v>
      </c>
      <c r="N1788">
        <v>1254950</v>
      </c>
      <c r="O1788" t="e">
        <v>#N/A</v>
      </c>
    </row>
    <row r="1789" spans="2:15" hidden="1" x14ac:dyDescent="0.3">
      <c r="B1789" t="s">
        <v>41</v>
      </c>
      <c r="C1789">
        <v>926</v>
      </c>
      <c r="D1789" t="s">
        <v>56</v>
      </c>
      <c r="E1789">
        <v>1207</v>
      </c>
      <c r="F1789" t="s">
        <v>64</v>
      </c>
      <c r="G1789">
        <v>201011</v>
      </c>
      <c r="H1789" t="s">
        <v>11</v>
      </c>
      <c r="I1789" t="s">
        <v>6191</v>
      </c>
      <c r="J1789" t="s">
        <v>9603</v>
      </c>
      <c r="K1789">
        <v>23990</v>
      </c>
      <c r="L1789">
        <v>44866</v>
      </c>
      <c r="M1789" t="s">
        <v>1794</v>
      </c>
      <c r="N1789">
        <v>23990</v>
      </c>
      <c r="O1789" t="e">
        <v>#N/A</v>
      </c>
    </row>
    <row r="1790" spans="2:15" hidden="1" x14ac:dyDescent="0.3">
      <c r="B1790" t="s">
        <v>16</v>
      </c>
      <c r="C1790">
        <v>927</v>
      </c>
      <c r="D1790" t="s">
        <v>17</v>
      </c>
      <c r="E1790">
        <v>1200</v>
      </c>
      <c r="F1790" t="s">
        <v>66</v>
      </c>
      <c r="G1790">
        <v>33</v>
      </c>
      <c r="H1790" t="s">
        <v>11</v>
      </c>
      <c r="I1790" t="s">
        <v>6201</v>
      </c>
      <c r="J1790" t="s">
        <v>9604</v>
      </c>
      <c r="K1790">
        <v>300</v>
      </c>
      <c r="L1790">
        <v>44866</v>
      </c>
      <c r="M1790" t="s">
        <v>1795</v>
      </c>
      <c r="N1790">
        <v>300</v>
      </c>
      <c r="O1790" t="e">
        <v>#N/A</v>
      </c>
    </row>
    <row r="1791" spans="2:15" hidden="1" x14ac:dyDescent="0.3">
      <c r="B1791" t="s">
        <v>8</v>
      </c>
      <c r="C1791">
        <v>928</v>
      </c>
      <c r="D1791" t="s">
        <v>13</v>
      </c>
      <c r="E1791">
        <v>1184</v>
      </c>
      <c r="F1791" t="s">
        <v>51</v>
      </c>
      <c r="G1791">
        <v>1274</v>
      </c>
      <c r="H1791" t="s">
        <v>11</v>
      </c>
      <c r="I1791" t="s">
        <v>6206</v>
      </c>
      <c r="J1791" t="s">
        <v>9605</v>
      </c>
      <c r="K1791">
        <v>350</v>
      </c>
      <c r="L1791">
        <v>44866</v>
      </c>
      <c r="M1791" t="s">
        <v>1796</v>
      </c>
      <c r="N1791">
        <v>350</v>
      </c>
      <c r="O1791" t="e">
        <v>#N/A</v>
      </c>
    </row>
    <row r="1792" spans="2:15" hidden="1" x14ac:dyDescent="0.3">
      <c r="B1792" t="s">
        <v>16</v>
      </c>
      <c r="C1792">
        <v>927</v>
      </c>
      <c r="D1792" t="s">
        <v>17</v>
      </c>
      <c r="E1792">
        <v>1200</v>
      </c>
      <c r="F1792" t="s">
        <v>244</v>
      </c>
      <c r="G1792">
        <v>817</v>
      </c>
      <c r="H1792" t="s">
        <v>11</v>
      </c>
      <c r="I1792" t="s">
        <v>6211</v>
      </c>
      <c r="J1792" t="s">
        <v>9606</v>
      </c>
      <c r="K1792">
        <v>27710</v>
      </c>
      <c r="L1792">
        <v>44866</v>
      </c>
      <c r="M1792" t="s">
        <v>1797</v>
      </c>
      <c r="N1792">
        <v>27710</v>
      </c>
      <c r="O1792" t="e">
        <v>#N/A</v>
      </c>
    </row>
    <row r="1793" spans="2:15" hidden="1" x14ac:dyDescent="0.3">
      <c r="B1793" t="s">
        <v>8</v>
      </c>
      <c r="C1793">
        <v>928</v>
      </c>
      <c r="D1793" t="s">
        <v>9</v>
      </c>
      <c r="E1793">
        <v>1202</v>
      </c>
      <c r="F1793" t="s">
        <v>20</v>
      </c>
      <c r="G1793">
        <v>938</v>
      </c>
      <c r="H1793" t="s">
        <v>11</v>
      </c>
      <c r="I1793" t="s">
        <v>6214</v>
      </c>
      <c r="J1793" t="s">
        <v>9607</v>
      </c>
      <c r="K1793">
        <v>451460</v>
      </c>
      <c r="L1793">
        <v>44866</v>
      </c>
      <c r="M1793" t="s">
        <v>140</v>
      </c>
      <c r="N1793">
        <v>451460</v>
      </c>
      <c r="O1793" t="e">
        <v>#N/A</v>
      </c>
    </row>
    <row r="1794" spans="2:15" hidden="1" x14ac:dyDescent="0.3">
      <c r="B1794" t="s">
        <v>8</v>
      </c>
      <c r="C1794">
        <v>928</v>
      </c>
      <c r="D1794" t="s">
        <v>9</v>
      </c>
      <c r="E1794">
        <v>1202</v>
      </c>
      <c r="F1794" t="s">
        <v>20</v>
      </c>
      <c r="G1794">
        <v>938</v>
      </c>
      <c r="H1794" t="s">
        <v>11</v>
      </c>
      <c r="I1794" t="s">
        <v>6217</v>
      </c>
      <c r="J1794" t="s">
        <v>9608</v>
      </c>
      <c r="K1794">
        <v>1238810</v>
      </c>
      <c r="L1794">
        <v>44866</v>
      </c>
      <c r="M1794" t="s">
        <v>1798</v>
      </c>
      <c r="N1794">
        <v>1240900</v>
      </c>
      <c r="O1794" t="e">
        <v>#N/A</v>
      </c>
    </row>
    <row r="1795" spans="2:15" hidden="1" x14ac:dyDescent="0.3">
      <c r="B1795" t="s">
        <v>8</v>
      </c>
      <c r="C1795">
        <v>928</v>
      </c>
      <c r="D1795" t="s">
        <v>13</v>
      </c>
      <c r="E1795">
        <v>1184</v>
      </c>
      <c r="F1795" t="s">
        <v>102</v>
      </c>
      <c r="G1795">
        <v>917</v>
      </c>
      <c r="H1795" t="s">
        <v>11</v>
      </c>
      <c r="I1795" t="s">
        <v>6218</v>
      </c>
      <c r="J1795" t="s">
        <v>9609</v>
      </c>
      <c r="K1795">
        <v>45860</v>
      </c>
      <c r="L1795">
        <v>44866</v>
      </c>
      <c r="M1795" t="s">
        <v>1799</v>
      </c>
      <c r="N1795">
        <v>45860</v>
      </c>
      <c r="O1795" t="e">
        <v>#N/A</v>
      </c>
    </row>
    <row r="1796" spans="2:15" hidden="1" x14ac:dyDescent="0.3">
      <c r="B1796" t="s">
        <v>41</v>
      </c>
      <c r="C1796">
        <v>926</v>
      </c>
      <c r="D1796" t="s">
        <v>56</v>
      </c>
      <c r="E1796">
        <v>1207</v>
      </c>
      <c r="F1796" t="s">
        <v>57</v>
      </c>
      <c r="G1796">
        <v>200982</v>
      </c>
      <c r="H1796" t="s">
        <v>11</v>
      </c>
      <c r="I1796" t="s">
        <v>6219</v>
      </c>
      <c r="J1796" t="s">
        <v>9610</v>
      </c>
      <c r="K1796">
        <v>9500</v>
      </c>
      <c r="L1796">
        <v>44866</v>
      </c>
      <c r="M1796" t="s">
        <v>1800</v>
      </c>
      <c r="N1796">
        <v>9500</v>
      </c>
      <c r="O1796" t="e">
        <v>#N/A</v>
      </c>
    </row>
    <row r="1797" spans="2:15" hidden="1" x14ac:dyDescent="0.3">
      <c r="B1797" t="s">
        <v>8</v>
      </c>
      <c r="C1797">
        <v>928</v>
      </c>
      <c r="D1797" t="s">
        <v>9</v>
      </c>
      <c r="E1797">
        <v>1202</v>
      </c>
      <c r="F1797" t="s">
        <v>10</v>
      </c>
      <c r="G1797">
        <v>939</v>
      </c>
      <c r="H1797" t="s">
        <v>11</v>
      </c>
      <c r="I1797" t="s">
        <v>6220</v>
      </c>
      <c r="J1797" t="s">
        <v>9611</v>
      </c>
      <c r="K1797">
        <v>5600</v>
      </c>
      <c r="L1797">
        <v>44866</v>
      </c>
      <c r="M1797" t="s">
        <v>1801</v>
      </c>
      <c r="N1797">
        <v>5600</v>
      </c>
      <c r="O1797" t="e">
        <v>#N/A</v>
      </c>
    </row>
    <row r="1798" spans="2:15" hidden="1" x14ac:dyDescent="0.3">
      <c r="B1798" t="s">
        <v>8</v>
      </c>
      <c r="C1798">
        <v>928</v>
      </c>
      <c r="D1798" t="s">
        <v>9</v>
      </c>
      <c r="E1798">
        <v>1202</v>
      </c>
      <c r="F1798" t="s">
        <v>75</v>
      </c>
      <c r="G1798">
        <v>50</v>
      </c>
      <c r="H1798" t="s">
        <v>11</v>
      </c>
      <c r="I1798" t="s">
        <v>6221</v>
      </c>
      <c r="J1798" t="s">
        <v>9612</v>
      </c>
      <c r="K1798">
        <v>1344400</v>
      </c>
      <c r="L1798">
        <v>44866</v>
      </c>
      <c r="M1798" t="s">
        <v>1802</v>
      </c>
      <c r="N1798">
        <v>1344400</v>
      </c>
      <c r="O1798" t="e">
        <v>#N/A</v>
      </c>
    </row>
    <row r="1799" spans="2:15" x14ac:dyDescent="0.3">
      <c r="B1799" t="s">
        <v>8</v>
      </c>
      <c r="C1799">
        <v>928</v>
      </c>
      <c r="D1799" t="s">
        <v>13</v>
      </c>
      <c r="E1799">
        <v>1184</v>
      </c>
      <c r="F1799" t="s">
        <v>14</v>
      </c>
      <c r="G1799">
        <v>914</v>
      </c>
      <c r="H1799" t="s">
        <v>11</v>
      </c>
      <c r="I1799" t="s">
        <v>9613</v>
      </c>
      <c r="J1799" t="s">
        <v>9614</v>
      </c>
      <c r="K1799">
        <v>49280</v>
      </c>
      <c r="L1799">
        <v>44866</v>
      </c>
      <c r="M1799" t="s">
        <v>1803</v>
      </c>
      <c r="N1799" t="e">
        <v>#N/A</v>
      </c>
      <c r="O1799" t="e">
        <v>#N/A</v>
      </c>
    </row>
    <row r="1800" spans="2:15" hidden="1" x14ac:dyDescent="0.3">
      <c r="B1800" t="s">
        <v>8</v>
      </c>
      <c r="C1800">
        <v>928</v>
      </c>
      <c r="D1800" t="s">
        <v>9</v>
      </c>
      <c r="E1800">
        <v>1202</v>
      </c>
      <c r="F1800" t="s">
        <v>10</v>
      </c>
      <c r="G1800">
        <v>939</v>
      </c>
      <c r="H1800" t="s">
        <v>11</v>
      </c>
      <c r="I1800" t="s">
        <v>6223</v>
      </c>
      <c r="J1800" t="s">
        <v>9615</v>
      </c>
      <c r="K1800">
        <v>3939490</v>
      </c>
      <c r="L1800">
        <v>44866</v>
      </c>
      <c r="M1800" t="s">
        <v>1804</v>
      </c>
      <c r="N1800">
        <v>3939490</v>
      </c>
      <c r="O1800" t="e">
        <v>#N/A</v>
      </c>
    </row>
    <row r="1801" spans="2:15" hidden="1" x14ac:dyDescent="0.3">
      <c r="B1801" t="s">
        <v>41</v>
      </c>
      <c r="C1801">
        <v>926</v>
      </c>
      <c r="D1801" t="s">
        <v>56</v>
      </c>
      <c r="E1801">
        <v>1207</v>
      </c>
      <c r="F1801" t="s">
        <v>57</v>
      </c>
      <c r="G1801">
        <v>200982</v>
      </c>
      <c r="H1801" t="s">
        <v>11</v>
      </c>
      <c r="I1801" t="s">
        <v>6224</v>
      </c>
      <c r="J1801" t="s">
        <v>7127</v>
      </c>
      <c r="K1801">
        <v>921320</v>
      </c>
      <c r="L1801">
        <v>44866</v>
      </c>
      <c r="M1801" t="s">
        <v>1805</v>
      </c>
      <c r="N1801">
        <v>921320</v>
      </c>
      <c r="O1801" t="s">
        <v>7128</v>
      </c>
    </row>
    <row r="1802" spans="2:15" hidden="1" x14ac:dyDescent="0.3">
      <c r="B1802" t="s">
        <v>8</v>
      </c>
      <c r="C1802">
        <v>928</v>
      </c>
      <c r="D1802" t="s">
        <v>13</v>
      </c>
      <c r="E1802">
        <v>1184</v>
      </c>
      <c r="F1802" t="s">
        <v>115</v>
      </c>
      <c r="G1802">
        <v>1548</v>
      </c>
      <c r="H1802" t="s">
        <v>11</v>
      </c>
      <c r="I1802" t="s">
        <v>6227</v>
      </c>
      <c r="J1802" t="s">
        <v>9616</v>
      </c>
      <c r="K1802">
        <v>382170</v>
      </c>
      <c r="L1802">
        <v>44866</v>
      </c>
      <c r="M1802" t="s">
        <v>1806</v>
      </c>
      <c r="N1802">
        <v>382170</v>
      </c>
      <c r="O1802" t="e">
        <v>#N/A</v>
      </c>
    </row>
    <row r="1803" spans="2:15" hidden="1" x14ac:dyDescent="0.3">
      <c r="B1803" t="s">
        <v>8</v>
      </c>
      <c r="C1803">
        <v>928</v>
      </c>
      <c r="D1803" t="s">
        <v>9</v>
      </c>
      <c r="E1803">
        <v>1202</v>
      </c>
      <c r="F1803" t="s">
        <v>37</v>
      </c>
      <c r="G1803">
        <v>81</v>
      </c>
      <c r="H1803" t="s">
        <v>11</v>
      </c>
      <c r="I1803" t="s">
        <v>6229</v>
      </c>
      <c r="J1803" t="s">
        <v>9617</v>
      </c>
      <c r="K1803">
        <v>49980</v>
      </c>
      <c r="L1803">
        <v>44866</v>
      </c>
      <c r="M1803" t="s">
        <v>1807</v>
      </c>
      <c r="N1803">
        <v>49980</v>
      </c>
      <c r="O1803" t="e">
        <v>#N/A</v>
      </c>
    </row>
    <row r="1804" spans="2:15" hidden="1" x14ac:dyDescent="0.3">
      <c r="B1804" t="s">
        <v>8</v>
      </c>
      <c r="C1804">
        <v>928</v>
      </c>
      <c r="D1804" t="s">
        <v>9</v>
      </c>
      <c r="E1804">
        <v>1202</v>
      </c>
      <c r="F1804" t="s">
        <v>35</v>
      </c>
      <c r="G1804">
        <v>51</v>
      </c>
      <c r="H1804" t="s">
        <v>11</v>
      </c>
      <c r="I1804" t="s">
        <v>6232</v>
      </c>
      <c r="J1804" t="s">
        <v>9618</v>
      </c>
      <c r="K1804">
        <v>112360</v>
      </c>
      <c r="L1804">
        <v>44866</v>
      </c>
      <c r="M1804" t="s">
        <v>1808</v>
      </c>
      <c r="N1804">
        <v>112360</v>
      </c>
      <c r="O1804" t="e">
        <v>#N/A</v>
      </c>
    </row>
    <row r="1805" spans="2:15" hidden="1" x14ac:dyDescent="0.3">
      <c r="B1805" t="s">
        <v>8</v>
      </c>
      <c r="C1805">
        <v>928</v>
      </c>
      <c r="D1805" t="s">
        <v>9</v>
      </c>
      <c r="E1805">
        <v>1202</v>
      </c>
      <c r="F1805" t="s">
        <v>75</v>
      </c>
      <c r="G1805">
        <v>50</v>
      </c>
      <c r="H1805" t="s">
        <v>11</v>
      </c>
      <c r="I1805" t="s">
        <v>6239</v>
      </c>
      <c r="J1805" t="s">
        <v>9619</v>
      </c>
      <c r="K1805">
        <v>620940</v>
      </c>
      <c r="L1805">
        <v>44866</v>
      </c>
      <c r="M1805" t="s">
        <v>418</v>
      </c>
      <c r="N1805">
        <v>620940</v>
      </c>
      <c r="O1805" t="e">
        <v>#N/A</v>
      </c>
    </row>
    <row r="1806" spans="2:15" hidden="1" x14ac:dyDescent="0.3">
      <c r="B1806" t="s">
        <v>16</v>
      </c>
      <c r="C1806">
        <v>927</v>
      </c>
      <c r="D1806" t="s">
        <v>17</v>
      </c>
      <c r="E1806">
        <v>1200</v>
      </c>
      <c r="F1806" t="s">
        <v>244</v>
      </c>
      <c r="G1806">
        <v>817</v>
      </c>
      <c r="H1806" t="s">
        <v>11</v>
      </c>
      <c r="I1806" t="s">
        <v>6240</v>
      </c>
      <c r="J1806" t="s">
        <v>9620</v>
      </c>
      <c r="K1806">
        <v>559300</v>
      </c>
      <c r="L1806">
        <v>44866</v>
      </c>
      <c r="M1806" t="s">
        <v>1809</v>
      </c>
      <c r="N1806">
        <v>559300</v>
      </c>
      <c r="O1806" t="e">
        <v>#N/A</v>
      </c>
    </row>
    <row r="1807" spans="2:15" hidden="1" x14ac:dyDescent="0.3">
      <c r="B1807" t="s">
        <v>8</v>
      </c>
      <c r="C1807">
        <v>928</v>
      </c>
      <c r="D1807" t="s">
        <v>9</v>
      </c>
      <c r="E1807">
        <v>1202</v>
      </c>
      <c r="F1807" t="s">
        <v>27</v>
      </c>
      <c r="G1807">
        <v>806</v>
      </c>
      <c r="H1807" t="s">
        <v>11</v>
      </c>
      <c r="I1807" t="s">
        <v>6241</v>
      </c>
      <c r="J1807" t="s">
        <v>9621</v>
      </c>
      <c r="K1807">
        <v>110231</v>
      </c>
      <c r="L1807">
        <v>44866</v>
      </c>
      <c r="M1807" t="s">
        <v>1810</v>
      </c>
      <c r="N1807">
        <v>110276</v>
      </c>
      <c r="O1807" t="e">
        <v>#N/A</v>
      </c>
    </row>
    <row r="1808" spans="2:15" hidden="1" x14ac:dyDescent="0.3">
      <c r="B1808" t="s">
        <v>8</v>
      </c>
      <c r="C1808">
        <v>928</v>
      </c>
      <c r="D1808" t="s">
        <v>9</v>
      </c>
      <c r="E1808">
        <v>1202</v>
      </c>
      <c r="F1808" t="s">
        <v>47</v>
      </c>
      <c r="G1808">
        <v>898</v>
      </c>
      <c r="H1808" t="s">
        <v>11</v>
      </c>
      <c r="I1808" t="s">
        <v>6242</v>
      </c>
      <c r="J1808" t="s">
        <v>9622</v>
      </c>
      <c r="K1808">
        <v>1192420</v>
      </c>
      <c r="L1808">
        <v>44866</v>
      </c>
      <c r="M1808" t="s">
        <v>1811</v>
      </c>
      <c r="N1808">
        <v>692430</v>
      </c>
      <c r="O1808" t="e">
        <v>#N/A</v>
      </c>
    </row>
    <row r="1809" spans="2:15" hidden="1" x14ac:dyDescent="0.3">
      <c r="B1809" t="s">
        <v>8</v>
      </c>
      <c r="C1809">
        <v>928</v>
      </c>
      <c r="D1809" t="s">
        <v>9</v>
      </c>
      <c r="E1809">
        <v>1202</v>
      </c>
      <c r="F1809" t="s">
        <v>47</v>
      </c>
      <c r="G1809">
        <v>898</v>
      </c>
      <c r="H1809" t="s">
        <v>11</v>
      </c>
      <c r="I1809" t="s">
        <v>6243</v>
      </c>
      <c r="J1809" t="s">
        <v>9623</v>
      </c>
      <c r="K1809">
        <v>318340</v>
      </c>
      <c r="L1809">
        <v>44866</v>
      </c>
      <c r="M1809" t="s">
        <v>1811</v>
      </c>
      <c r="N1809">
        <v>318340</v>
      </c>
      <c r="O1809" t="e">
        <v>#N/A</v>
      </c>
    </row>
    <row r="1810" spans="2:15" hidden="1" x14ac:dyDescent="0.3">
      <c r="B1810" t="s">
        <v>41</v>
      </c>
      <c r="C1810">
        <v>926</v>
      </c>
      <c r="D1810" t="s">
        <v>56</v>
      </c>
      <c r="E1810">
        <v>1207</v>
      </c>
      <c r="F1810" t="s">
        <v>64</v>
      </c>
      <c r="G1810">
        <v>201011</v>
      </c>
      <c r="H1810" t="s">
        <v>11</v>
      </c>
      <c r="I1810" t="s">
        <v>6246</v>
      </c>
      <c r="J1810" t="s">
        <v>9624</v>
      </c>
      <c r="K1810">
        <v>770</v>
      </c>
      <c r="L1810">
        <v>44866</v>
      </c>
      <c r="M1810" t="s">
        <v>1812</v>
      </c>
      <c r="N1810">
        <v>770</v>
      </c>
      <c r="O1810" t="e">
        <v>#N/A</v>
      </c>
    </row>
    <row r="1811" spans="2:15" hidden="1" x14ac:dyDescent="0.3">
      <c r="B1811" t="s">
        <v>16</v>
      </c>
      <c r="C1811">
        <v>927</v>
      </c>
      <c r="D1811" t="s">
        <v>17</v>
      </c>
      <c r="E1811">
        <v>1200</v>
      </c>
      <c r="F1811" t="s">
        <v>66</v>
      </c>
      <c r="G1811">
        <v>33</v>
      </c>
      <c r="H1811" t="s">
        <v>11</v>
      </c>
      <c r="I1811" t="s">
        <v>6247</v>
      </c>
      <c r="J1811" t="s">
        <v>9625</v>
      </c>
      <c r="K1811">
        <v>7710</v>
      </c>
      <c r="L1811">
        <v>44866</v>
      </c>
      <c r="M1811" t="s">
        <v>1813</v>
      </c>
      <c r="N1811">
        <v>7710</v>
      </c>
      <c r="O1811" t="e">
        <v>#N/A</v>
      </c>
    </row>
    <row r="1812" spans="2:15" hidden="1" x14ac:dyDescent="0.3">
      <c r="B1812" t="s">
        <v>16</v>
      </c>
      <c r="C1812">
        <v>927</v>
      </c>
      <c r="D1812" t="s">
        <v>17</v>
      </c>
      <c r="E1812">
        <v>1200</v>
      </c>
      <c r="F1812" t="s">
        <v>93</v>
      </c>
      <c r="G1812">
        <v>930</v>
      </c>
      <c r="H1812" t="s">
        <v>11</v>
      </c>
      <c r="I1812" t="s">
        <v>6248</v>
      </c>
      <c r="J1812" t="s">
        <v>9626</v>
      </c>
      <c r="K1812">
        <v>3527080</v>
      </c>
      <c r="L1812">
        <v>44866</v>
      </c>
      <c r="M1812" t="s">
        <v>1814</v>
      </c>
      <c r="N1812">
        <v>3527080</v>
      </c>
      <c r="O1812" t="e">
        <v>#N/A</v>
      </c>
    </row>
    <row r="1813" spans="2:15" hidden="1" x14ac:dyDescent="0.3">
      <c r="B1813" t="s">
        <v>16</v>
      </c>
      <c r="C1813">
        <v>927</v>
      </c>
      <c r="D1813" t="s">
        <v>17</v>
      </c>
      <c r="E1813">
        <v>1200</v>
      </c>
      <c r="F1813" t="s">
        <v>93</v>
      </c>
      <c r="G1813">
        <v>930</v>
      </c>
      <c r="H1813" t="s">
        <v>11</v>
      </c>
      <c r="I1813" t="s">
        <v>6249</v>
      </c>
      <c r="J1813" t="s">
        <v>9627</v>
      </c>
      <c r="K1813">
        <v>29330</v>
      </c>
      <c r="L1813">
        <v>44866</v>
      </c>
      <c r="M1813" t="s">
        <v>1815</v>
      </c>
      <c r="N1813">
        <v>29330</v>
      </c>
      <c r="O1813" t="e">
        <v>#N/A</v>
      </c>
    </row>
    <row r="1814" spans="2:15" hidden="1" x14ac:dyDescent="0.3">
      <c r="B1814" t="s">
        <v>8</v>
      </c>
      <c r="C1814">
        <v>928</v>
      </c>
      <c r="D1814" t="s">
        <v>9</v>
      </c>
      <c r="E1814">
        <v>1202</v>
      </c>
      <c r="F1814" t="s">
        <v>122</v>
      </c>
      <c r="G1814">
        <v>251</v>
      </c>
      <c r="H1814" t="s">
        <v>11</v>
      </c>
      <c r="I1814" t="s">
        <v>6250</v>
      </c>
      <c r="J1814" t="s">
        <v>9628</v>
      </c>
      <c r="K1814">
        <v>110890</v>
      </c>
      <c r="L1814">
        <v>44866</v>
      </c>
      <c r="M1814" t="s">
        <v>1816</v>
      </c>
      <c r="N1814">
        <v>110890</v>
      </c>
      <c r="O1814" t="e">
        <v>#N/A</v>
      </c>
    </row>
    <row r="1815" spans="2:15" hidden="1" x14ac:dyDescent="0.3">
      <c r="B1815" t="s">
        <v>41</v>
      </c>
      <c r="C1815">
        <v>926</v>
      </c>
      <c r="D1815" t="s">
        <v>56</v>
      </c>
      <c r="E1815">
        <v>1207</v>
      </c>
      <c r="F1815" t="s">
        <v>91</v>
      </c>
      <c r="G1815">
        <v>201104</v>
      </c>
      <c r="H1815" t="s">
        <v>11</v>
      </c>
      <c r="I1815" t="s">
        <v>6252</v>
      </c>
      <c r="J1815" t="s">
        <v>9629</v>
      </c>
      <c r="K1815">
        <v>430070</v>
      </c>
      <c r="L1815">
        <v>44866</v>
      </c>
      <c r="M1815" t="s">
        <v>1051</v>
      </c>
      <c r="N1815">
        <v>430070</v>
      </c>
      <c r="O1815" t="e">
        <v>#N/A</v>
      </c>
    </row>
    <row r="1816" spans="2:15" hidden="1" x14ac:dyDescent="0.3">
      <c r="B1816" t="s">
        <v>8</v>
      </c>
      <c r="C1816">
        <v>928</v>
      </c>
      <c r="D1816" t="s">
        <v>13</v>
      </c>
      <c r="E1816">
        <v>1184</v>
      </c>
      <c r="F1816" t="s">
        <v>102</v>
      </c>
      <c r="G1816">
        <v>917</v>
      </c>
      <c r="H1816" t="s">
        <v>11</v>
      </c>
      <c r="I1816" t="s">
        <v>6253</v>
      </c>
      <c r="J1816" t="s">
        <v>9630</v>
      </c>
      <c r="K1816">
        <v>4612140</v>
      </c>
      <c r="L1816">
        <v>44866</v>
      </c>
      <c r="M1816" t="s">
        <v>1817</v>
      </c>
      <c r="N1816">
        <v>4612140</v>
      </c>
      <c r="O1816" t="e">
        <v>#N/A</v>
      </c>
    </row>
    <row r="1817" spans="2:15" hidden="1" x14ac:dyDescent="0.3">
      <c r="B1817" t="s">
        <v>8</v>
      </c>
      <c r="C1817">
        <v>928</v>
      </c>
      <c r="D1817" t="s">
        <v>9</v>
      </c>
      <c r="E1817">
        <v>1202</v>
      </c>
      <c r="F1817" t="s">
        <v>27</v>
      </c>
      <c r="G1817">
        <v>806</v>
      </c>
      <c r="H1817" t="s">
        <v>11</v>
      </c>
      <c r="I1817" t="s">
        <v>6254</v>
      </c>
      <c r="J1817" t="s">
        <v>9631</v>
      </c>
      <c r="K1817">
        <v>2350</v>
      </c>
      <c r="L1817">
        <v>44866</v>
      </c>
      <c r="M1817" t="s">
        <v>1818</v>
      </c>
      <c r="N1817">
        <v>2350</v>
      </c>
      <c r="O1817" t="e">
        <v>#N/A</v>
      </c>
    </row>
    <row r="1818" spans="2:15" hidden="1" x14ac:dyDescent="0.3">
      <c r="B1818" t="s">
        <v>8</v>
      </c>
      <c r="C1818">
        <v>928</v>
      </c>
      <c r="D1818" t="s">
        <v>13</v>
      </c>
      <c r="E1818">
        <v>1184</v>
      </c>
      <c r="F1818" t="s">
        <v>59</v>
      </c>
      <c r="G1818">
        <v>9</v>
      </c>
      <c r="H1818" t="s">
        <v>11</v>
      </c>
      <c r="I1818" t="s">
        <v>6257</v>
      </c>
      <c r="J1818" t="s">
        <v>9632</v>
      </c>
      <c r="K1818">
        <v>42550</v>
      </c>
      <c r="L1818">
        <v>44866</v>
      </c>
      <c r="M1818" t="s">
        <v>1819</v>
      </c>
      <c r="N1818">
        <v>42550</v>
      </c>
      <c r="O1818" t="e">
        <v>#N/A</v>
      </c>
    </row>
    <row r="1819" spans="2:15" x14ac:dyDescent="0.3">
      <c r="B1819" t="s">
        <v>16</v>
      </c>
      <c r="C1819">
        <v>927</v>
      </c>
      <c r="D1819" t="s">
        <v>17</v>
      </c>
      <c r="E1819">
        <v>1200</v>
      </c>
      <c r="F1819" t="s">
        <v>78</v>
      </c>
      <c r="G1819">
        <v>57</v>
      </c>
      <c r="H1819" t="s">
        <v>11</v>
      </c>
      <c r="I1819" t="s">
        <v>9633</v>
      </c>
      <c r="J1819" t="s">
        <v>9634</v>
      </c>
      <c r="K1819">
        <v>55000</v>
      </c>
      <c r="L1819">
        <v>44866</v>
      </c>
      <c r="M1819" t="s">
        <v>1820</v>
      </c>
      <c r="N1819" t="e">
        <v>#N/A</v>
      </c>
      <c r="O1819" t="e">
        <v>#N/A</v>
      </c>
    </row>
    <row r="1820" spans="2:15" hidden="1" x14ac:dyDescent="0.3">
      <c r="B1820" t="s">
        <v>41</v>
      </c>
      <c r="C1820">
        <v>926</v>
      </c>
      <c r="D1820" t="s">
        <v>56</v>
      </c>
      <c r="E1820">
        <v>1207</v>
      </c>
      <c r="F1820" t="s">
        <v>57</v>
      </c>
      <c r="G1820">
        <v>200982</v>
      </c>
      <c r="H1820" t="s">
        <v>11</v>
      </c>
      <c r="I1820" t="s">
        <v>6258</v>
      </c>
      <c r="J1820" t="s">
        <v>9635</v>
      </c>
      <c r="K1820">
        <v>11040</v>
      </c>
      <c r="L1820">
        <v>44866</v>
      </c>
      <c r="M1820" t="s">
        <v>1821</v>
      </c>
      <c r="N1820">
        <v>11040</v>
      </c>
      <c r="O1820" t="e">
        <v>#N/A</v>
      </c>
    </row>
    <row r="1821" spans="2:15" hidden="1" x14ac:dyDescent="0.3">
      <c r="B1821" t="s">
        <v>8</v>
      </c>
      <c r="C1821">
        <v>928</v>
      </c>
      <c r="D1821" t="s">
        <v>13</v>
      </c>
      <c r="E1821">
        <v>1184</v>
      </c>
      <c r="F1821" t="s">
        <v>102</v>
      </c>
      <c r="G1821">
        <v>917</v>
      </c>
      <c r="H1821" t="s">
        <v>11</v>
      </c>
      <c r="I1821" t="s">
        <v>6261</v>
      </c>
      <c r="J1821" t="s">
        <v>9636</v>
      </c>
      <c r="K1821">
        <v>611010</v>
      </c>
      <c r="L1821">
        <v>44866</v>
      </c>
      <c r="M1821" t="s">
        <v>1822</v>
      </c>
      <c r="N1821">
        <v>611010</v>
      </c>
      <c r="O1821" t="e">
        <v>#N/A</v>
      </c>
    </row>
    <row r="1822" spans="2:15" hidden="1" x14ac:dyDescent="0.3">
      <c r="B1822" t="s">
        <v>16</v>
      </c>
      <c r="C1822">
        <v>927</v>
      </c>
      <c r="D1822" t="s">
        <v>17</v>
      </c>
      <c r="E1822">
        <v>1200</v>
      </c>
      <c r="F1822" t="s">
        <v>93</v>
      </c>
      <c r="G1822">
        <v>930</v>
      </c>
      <c r="H1822" t="s">
        <v>11</v>
      </c>
      <c r="I1822" t="s">
        <v>6265</v>
      </c>
      <c r="J1822" t="s">
        <v>9637</v>
      </c>
      <c r="K1822">
        <v>97250</v>
      </c>
      <c r="L1822">
        <v>44866</v>
      </c>
      <c r="M1822" t="s">
        <v>1823</v>
      </c>
      <c r="N1822">
        <v>97250</v>
      </c>
      <c r="O1822" t="e">
        <v>#N/A</v>
      </c>
    </row>
    <row r="1823" spans="2:15" hidden="1" x14ac:dyDescent="0.3">
      <c r="B1823" t="s">
        <v>8</v>
      </c>
      <c r="C1823">
        <v>928</v>
      </c>
      <c r="D1823" t="s">
        <v>167</v>
      </c>
      <c r="E1823">
        <v>935</v>
      </c>
      <c r="F1823" t="s">
        <v>168</v>
      </c>
      <c r="G1823">
        <v>2</v>
      </c>
      <c r="H1823" t="s">
        <v>1824</v>
      </c>
      <c r="I1823" t="s">
        <v>6436</v>
      </c>
      <c r="J1823" t="s">
        <v>9638</v>
      </c>
      <c r="K1823">
        <v>123400</v>
      </c>
      <c r="L1823">
        <v>44866</v>
      </c>
      <c r="M1823" t="s">
        <v>1633</v>
      </c>
      <c r="N1823">
        <v>123400</v>
      </c>
      <c r="O1823" t="e">
        <v>#N/A</v>
      </c>
    </row>
    <row r="1824" spans="2:15" x14ac:dyDescent="0.3">
      <c r="B1824" t="s">
        <v>8</v>
      </c>
      <c r="C1824">
        <v>928</v>
      </c>
      <c r="D1824" t="s">
        <v>9</v>
      </c>
      <c r="E1824">
        <v>1202</v>
      </c>
      <c r="F1824" t="s">
        <v>39</v>
      </c>
      <c r="G1824">
        <v>25</v>
      </c>
      <c r="H1824" t="s">
        <v>1824</v>
      </c>
      <c r="I1824" t="s">
        <v>9639</v>
      </c>
      <c r="J1824" t="s">
        <v>9640</v>
      </c>
      <c r="K1824">
        <v>7050</v>
      </c>
      <c r="L1824">
        <v>44866</v>
      </c>
      <c r="M1824" t="s">
        <v>563</v>
      </c>
      <c r="N1824" t="e">
        <v>#N/A</v>
      </c>
      <c r="O1824" t="e">
        <v>#N/A</v>
      </c>
    </row>
    <row r="1825" spans="2:15" hidden="1" x14ac:dyDescent="0.3">
      <c r="B1825" t="s">
        <v>8</v>
      </c>
      <c r="C1825">
        <v>928</v>
      </c>
      <c r="D1825" t="s">
        <v>167</v>
      </c>
      <c r="E1825">
        <v>935</v>
      </c>
      <c r="F1825" t="s">
        <v>168</v>
      </c>
      <c r="G1825">
        <v>2</v>
      </c>
      <c r="H1825" t="s">
        <v>1824</v>
      </c>
      <c r="I1825" t="s">
        <v>6439</v>
      </c>
      <c r="J1825" t="s">
        <v>9641</v>
      </c>
      <c r="K1825">
        <v>1503670</v>
      </c>
      <c r="L1825">
        <v>44866</v>
      </c>
      <c r="M1825" t="s">
        <v>671</v>
      </c>
      <c r="N1825">
        <v>1503670</v>
      </c>
      <c r="O1825" t="e">
        <v>#N/A</v>
      </c>
    </row>
    <row r="1826" spans="2:15" hidden="1" x14ac:dyDescent="0.3">
      <c r="B1826" t="s">
        <v>8</v>
      </c>
      <c r="C1826">
        <v>928</v>
      </c>
      <c r="D1826" t="s">
        <v>13</v>
      </c>
      <c r="E1826">
        <v>1184</v>
      </c>
      <c r="F1826" t="s">
        <v>14</v>
      </c>
      <c r="G1826">
        <v>914</v>
      </c>
      <c r="H1826" t="s">
        <v>1824</v>
      </c>
      <c r="I1826" t="s">
        <v>6440</v>
      </c>
      <c r="J1826" t="s">
        <v>9642</v>
      </c>
      <c r="K1826">
        <v>183720</v>
      </c>
      <c r="L1826">
        <v>44866</v>
      </c>
      <c r="M1826" t="s">
        <v>1825</v>
      </c>
      <c r="N1826">
        <v>183720</v>
      </c>
      <c r="O1826" t="e">
        <v>#N/A</v>
      </c>
    </row>
    <row r="1827" spans="2:15" hidden="1" x14ac:dyDescent="0.3">
      <c r="B1827" t="s">
        <v>8</v>
      </c>
      <c r="C1827">
        <v>928</v>
      </c>
      <c r="D1827" t="s">
        <v>13</v>
      </c>
      <c r="E1827">
        <v>1184</v>
      </c>
      <c r="F1827" t="s">
        <v>51</v>
      </c>
      <c r="G1827">
        <v>1274</v>
      </c>
      <c r="H1827" t="s">
        <v>1824</v>
      </c>
      <c r="I1827" t="s">
        <v>6441</v>
      </c>
      <c r="J1827" t="s">
        <v>9643</v>
      </c>
      <c r="K1827">
        <v>107430</v>
      </c>
      <c r="L1827">
        <v>44866</v>
      </c>
      <c r="M1827" t="s">
        <v>1826</v>
      </c>
      <c r="N1827">
        <v>107430</v>
      </c>
      <c r="O1827" t="e">
        <v>#N/A</v>
      </c>
    </row>
    <row r="1828" spans="2:15" x14ac:dyDescent="0.3">
      <c r="B1828" t="s">
        <v>8</v>
      </c>
      <c r="C1828">
        <v>928</v>
      </c>
      <c r="D1828" t="s">
        <v>9</v>
      </c>
      <c r="E1828">
        <v>1202</v>
      </c>
      <c r="F1828" t="s">
        <v>10</v>
      </c>
      <c r="G1828">
        <v>939</v>
      </c>
      <c r="H1828" t="s">
        <v>1824</v>
      </c>
      <c r="I1828" t="s">
        <v>9644</v>
      </c>
      <c r="J1828" t="s">
        <v>9645</v>
      </c>
      <c r="K1828">
        <v>46230</v>
      </c>
      <c r="L1828">
        <v>44866</v>
      </c>
      <c r="M1828" t="s">
        <v>1158</v>
      </c>
      <c r="N1828" t="e">
        <v>#N/A</v>
      </c>
      <c r="O1828" t="e">
        <v>#N/A</v>
      </c>
    </row>
    <row r="1829" spans="2:15" hidden="1" x14ac:dyDescent="0.3">
      <c r="B1829" t="s">
        <v>8</v>
      </c>
      <c r="C1829">
        <v>928</v>
      </c>
      <c r="D1829" t="s">
        <v>9</v>
      </c>
      <c r="E1829">
        <v>1202</v>
      </c>
      <c r="F1829" t="s">
        <v>37</v>
      </c>
      <c r="G1829">
        <v>81</v>
      </c>
      <c r="H1829" t="s">
        <v>1824</v>
      </c>
      <c r="I1829" t="s">
        <v>6445</v>
      </c>
      <c r="J1829" t="s">
        <v>9646</v>
      </c>
      <c r="K1829">
        <v>201250</v>
      </c>
      <c r="L1829">
        <v>44866</v>
      </c>
      <c r="M1829" t="s">
        <v>782</v>
      </c>
      <c r="N1829">
        <v>201250</v>
      </c>
      <c r="O1829" t="e">
        <v>#N/A</v>
      </c>
    </row>
    <row r="1830" spans="2:15" hidden="1" x14ac:dyDescent="0.3">
      <c r="B1830" t="s">
        <v>8</v>
      </c>
      <c r="C1830">
        <v>928</v>
      </c>
      <c r="D1830" t="s">
        <v>9</v>
      </c>
      <c r="E1830">
        <v>1202</v>
      </c>
      <c r="F1830" t="s">
        <v>45</v>
      </c>
      <c r="G1830">
        <v>26</v>
      </c>
      <c r="H1830" t="s">
        <v>1824</v>
      </c>
      <c r="I1830" t="s">
        <v>6447</v>
      </c>
      <c r="J1830" t="s">
        <v>9647</v>
      </c>
      <c r="K1830">
        <v>17223460</v>
      </c>
      <c r="L1830">
        <v>44866</v>
      </c>
      <c r="M1830" t="s">
        <v>1083</v>
      </c>
      <c r="N1830">
        <v>17223460</v>
      </c>
      <c r="O1830" t="e">
        <v>#N/A</v>
      </c>
    </row>
    <row r="1831" spans="2:15" hidden="1" x14ac:dyDescent="0.3">
      <c r="B1831" t="s">
        <v>8</v>
      </c>
      <c r="C1831">
        <v>928</v>
      </c>
      <c r="D1831" t="s">
        <v>9</v>
      </c>
      <c r="E1831">
        <v>1202</v>
      </c>
      <c r="F1831" t="s">
        <v>45</v>
      </c>
      <c r="G1831">
        <v>26</v>
      </c>
      <c r="H1831" t="s">
        <v>1824</v>
      </c>
      <c r="I1831" t="s">
        <v>6448</v>
      </c>
      <c r="J1831" t="s">
        <v>9648</v>
      </c>
      <c r="K1831">
        <v>1253680</v>
      </c>
      <c r="L1831">
        <v>44866</v>
      </c>
      <c r="M1831" t="s">
        <v>1608</v>
      </c>
      <c r="N1831">
        <v>1253680</v>
      </c>
      <c r="O1831" t="e">
        <v>#N/A</v>
      </c>
    </row>
    <row r="1832" spans="2:15" x14ac:dyDescent="0.3">
      <c r="B1832" t="s">
        <v>8</v>
      </c>
      <c r="C1832">
        <v>928</v>
      </c>
      <c r="D1832" t="s">
        <v>13</v>
      </c>
      <c r="E1832">
        <v>1184</v>
      </c>
      <c r="F1832" t="s">
        <v>118</v>
      </c>
      <c r="G1832">
        <v>201004</v>
      </c>
      <c r="H1832" t="s">
        <v>1824</v>
      </c>
      <c r="I1832" t="s">
        <v>9649</v>
      </c>
      <c r="J1832" t="s">
        <v>9650</v>
      </c>
      <c r="K1832">
        <v>22050</v>
      </c>
      <c r="L1832">
        <v>44866</v>
      </c>
      <c r="M1832" t="s">
        <v>551</v>
      </c>
      <c r="N1832" t="e">
        <v>#N/A</v>
      </c>
      <c r="O1832" t="e">
        <v>#N/A</v>
      </c>
    </row>
    <row r="1833" spans="2:15" hidden="1" x14ac:dyDescent="0.3">
      <c r="B1833" t="s">
        <v>41</v>
      </c>
      <c r="C1833">
        <v>926</v>
      </c>
      <c r="D1833" t="s">
        <v>56</v>
      </c>
      <c r="E1833">
        <v>1207</v>
      </c>
      <c r="F1833" t="s">
        <v>64</v>
      </c>
      <c r="G1833">
        <v>201011</v>
      </c>
      <c r="H1833" t="s">
        <v>1824</v>
      </c>
      <c r="I1833" t="s">
        <v>6449</v>
      </c>
      <c r="J1833" t="s">
        <v>9651</v>
      </c>
      <c r="K1833">
        <v>147770</v>
      </c>
      <c r="L1833">
        <v>44866</v>
      </c>
      <c r="M1833" t="s">
        <v>1656</v>
      </c>
      <c r="N1833">
        <v>147770</v>
      </c>
      <c r="O1833" t="e">
        <v>#N/A</v>
      </c>
    </row>
    <row r="1834" spans="2:15" x14ac:dyDescent="0.3">
      <c r="B1834" t="s">
        <v>16</v>
      </c>
      <c r="C1834">
        <v>927</v>
      </c>
      <c r="D1834" t="s">
        <v>17</v>
      </c>
      <c r="E1834">
        <v>1200</v>
      </c>
      <c r="F1834" t="s">
        <v>93</v>
      </c>
      <c r="G1834">
        <v>930</v>
      </c>
      <c r="H1834" t="s">
        <v>1824</v>
      </c>
      <c r="I1834" t="s">
        <v>9652</v>
      </c>
      <c r="J1834" t="s">
        <v>9653</v>
      </c>
      <c r="K1834">
        <v>1435420</v>
      </c>
      <c r="L1834">
        <v>44866</v>
      </c>
      <c r="M1834" t="s">
        <v>1295</v>
      </c>
      <c r="N1834" t="e">
        <v>#N/A</v>
      </c>
      <c r="O1834" t="e">
        <v>#N/A</v>
      </c>
    </row>
    <row r="1835" spans="2:15" hidden="1" x14ac:dyDescent="0.3">
      <c r="B1835" t="s">
        <v>8</v>
      </c>
      <c r="C1835">
        <v>928</v>
      </c>
      <c r="D1835" t="s">
        <v>13</v>
      </c>
      <c r="E1835">
        <v>1184</v>
      </c>
      <c r="F1835" t="s">
        <v>51</v>
      </c>
      <c r="G1835">
        <v>1274</v>
      </c>
      <c r="H1835" t="s">
        <v>1824</v>
      </c>
      <c r="I1835" t="s">
        <v>6450</v>
      </c>
      <c r="J1835" t="s">
        <v>9654</v>
      </c>
      <c r="K1835">
        <v>9940</v>
      </c>
      <c r="L1835">
        <v>44866</v>
      </c>
      <c r="M1835" t="s">
        <v>320</v>
      </c>
      <c r="N1835">
        <v>9940</v>
      </c>
      <c r="O1835" t="e">
        <v>#N/A</v>
      </c>
    </row>
    <row r="1836" spans="2:15" hidden="1" x14ac:dyDescent="0.3">
      <c r="B1836" t="s">
        <v>8</v>
      </c>
      <c r="C1836">
        <v>928</v>
      </c>
      <c r="D1836" t="s">
        <v>13</v>
      </c>
      <c r="E1836">
        <v>1184</v>
      </c>
      <c r="F1836" t="s">
        <v>217</v>
      </c>
      <c r="G1836">
        <v>201027</v>
      </c>
      <c r="H1836" t="s">
        <v>1824</v>
      </c>
      <c r="I1836" t="s">
        <v>6451</v>
      </c>
      <c r="J1836" t="s">
        <v>9655</v>
      </c>
      <c r="K1836">
        <v>12220</v>
      </c>
      <c r="L1836">
        <v>44866</v>
      </c>
      <c r="M1836" t="s">
        <v>1827</v>
      </c>
      <c r="N1836">
        <v>12220</v>
      </c>
      <c r="O1836" t="e">
        <v>#N/A</v>
      </c>
    </row>
    <row r="1837" spans="2:15" x14ac:dyDescent="0.3">
      <c r="B1837" t="s">
        <v>8</v>
      </c>
      <c r="C1837">
        <v>928</v>
      </c>
      <c r="D1837" t="s">
        <v>13</v>
      </c>
      <c r="E1837">
        <v>1184</v>
      </c>
      <c r="F1837" t="s">
        <v>118</v>
      </c>
      <c r="G1837">
        <v>201004</v>
      </c>
      <c r="H1837" t="s">
        <v>1824</v>
      </c>
      <c r="I1837" t="s">
        <v>9656</v>
      </c>
      <c r="J1837" t="s">
        <v>9657</v>
      </c>
      <c r="K1837">
        <v>271720</v>
      </c>
      <c r="L1837">
        <v>44866</v>
      </c>
      <c r="M1837" t="s">
        <v>1147</v>
      </c>
      <c r="N1837" t="e">
        <v>#N/A</v>
      </c>
      <c r="O1837" t="e">
        <v>#N/A</v>
      </c>
    </row>
    <row r="1838" spans="2:15" x14ac:dyDescent="0.3">
      <c r="B1838" t="s">
        <v>41</v>
      </c>
      <c r="C1838">
        <v>926</v>
      </c>
      <c r="D1838" t="s">
        <v>42</v>
      </c>
      <c r="E1838">
        <v>964</v>
      </c>
      <c r="F1838" t="s">
        <v>704</v>
      </c>
      <c r="G1838">
        <v>1616</v>
      </c>
      <c r="H1838" t="s">
        <v>1824</v>
      </c>
      <c r="I1838" t="s">
        <v>9658</v>
      </c>
      <c r="J1838" t="s">
        <v>9659</v>
      </c>
      <c r="K1838">
        <v>1567800</v>
      </c>
      <c r="L1838">
        <v>44866</v>
      </c>
      <c r="M1838" t="s">
        <v>1828</v>
      </c>
      <c r="N1838" t="e">
        <v>#N/A</v>
      </c>
      <c r="O1838" t="e">
        <v>#N/A</v>
      </c>
    </row>
    <row r="1839" spans="2:15" x14ac:dyDescent="0.3">
      <c r="B1839" t="s">
        <v>41</v>
      </c>
      <c r="C1839">
        <v>926</v>
      </c>
      <c r="D1839" t="s">
        <v>42</v>
      </c>
      <c r="E1839">
        <v>964</v>
      </c>
      <c r="F1839" t="s">
        <v>704</v>
      </c>
      <c r="G1839">
        <v>1616</v>
      </c>
      <c r="H1839" t="s">
        <v>1824</v>
      </c>
      <c r="I1839" t="s">
        <v>9660</v>
      </c>
      <c r="J1839" t="s">
        <v>9661</v>
      </c>
      <c r="K1839">
        <v>309440</v>
      </c>
      <c r="L1839">
        <v>44866</v>
      </c>
      <c r="M1839" t="s">
        <v>1829</v>
      </c>
      <c r="N1839" t="e">
        <v>#N/A</v>
      </c>
      <c r="O1839" t="e">
        <v>#N/A</v>
      </c>
    </row>
    <row r="1840" spans="2:15" x14ac:dyDescent="0.3">
      <c r="B1840" t="s">
        <v>8</v>
      </c>
      <c r="C1840">
        <v>928</v>
      </c>
      <c r="D1840" t="s">
        <v>13</v>
      </c>
      <c r="E1840">
        <v>1184</v>
      </c>
      <c r="F1840" t="s">
        <v>118</v>
      </c>
      <c r="G1840">
        <v>201004</v>
      </c>
      <c r="H1840" t="s">
        <v>1824</v>
      </c>
      <c r="I1840" t="s">
        <v>9662</v>
      </c>
      <c r="J1840" t="s">
        <v>9663</v>
      </c>
      <c r="K1840">
        <v>2670</v>
      </c>
      <c r="L1840">
        <v>44866</v>
      </c>
      <c r="M1840" t="s">
        <v>1830</v>
      </c>
      <c r="N1840" t="e">
        <v>#N/A</v>
      </c>
      <c r="O1840" t="e">
        <v>#N/A</v>
      </c>
    </row>
    <row r="1841" spans="2:15" hidden="1" x14ac:dyDescent="0.3">
      <c r="B1841" t="s">
        <v>8</v>
      </c>
      <c r="C1841">
        <v>928</v>
      </c>
      <c r="D1841" t="s">
        <v>9</v>
      </c>
      <c r="E1841">
        <v>1202</v>
      </c>
      <c r="F1841" t="s">
        <v>27</v>
      </c>
      <c r="G1841">
        <v>806</v>
      </c>
      <c r="H1841" t="s">
        <v>1824</v>
      </c>
      <c r="I1841" t="s">
        <v>6456</v>
      </c>
      <c r="J1841" t="s">
        <v>9664</v>
      </c>
      <c r="K1841">
        <v>4220</v>
      </c>
      <c r="L1841">
        <v>44866</v>
      </c>
      <c r="M1841" t="s">
        <v>203</v>
      </c>
      <c r="N1841">
        <v>4220</v>
      </c>
      <c r="O1841" t="e">
        <v>#N/A</v>
      </c>
    </row>
    <row r="1842" spans="2:15" hidden="1" x14ac:dyDescent="0.3">
      <c r="B1842" t="s">
        <v>41</v>
      </c>
      <c r="C1842">
        <v>926</v>
      </c>
      <c r="D1842" t="s">
        <v>56</v>
      </c>
      <c r="E1842">
        <v>1207</v>
      </c>
      <c r="F1842" t="s">
        <v>464</v>
      </c>
      <c r="G1842">
        <v>201071</v>
      </c>
      <c r="H1842" t="s">
        <v>1824</v>
      </c>
      <c r="I1842" t="s">
        <v>6459</v>
      </c>
      <c r="J1842" t="s">
        <v>9665</v>
      </c>
      <c r="K1842">
        <v>177550</v>
      </c>
      <c r="L1842">
        <v>44866</v>
      </c>
      <c r="M1842" t="s">
        <v>1513</v>
      </c>
      <c r="N1842">
        <v>177550</v>
      </c>
      <c r="O1842" t="e">
        <v>#N/A</v>
      </c>
    </row>
    <row r="1843" spans="2:15" hidden="1" x14ac:dyDescent="0.3">
      <c r="B1843" t="s">
        <v>41</v>
      </c>
      <c r="C1843">
        <v>926</v>
      </c>
      <c r="D1843" t="s">
        <v>56</v>
      </c>
      <c r="E1843">
        <v>1207</v>
      </c>
      <c r="F1843" t="s">
        <v>253</v>
      </c>
      <c r="G1843">
        <v>1328</v>
      </c>
      <c r="H1843" t="s">
        <v>1824</v>
      </c>
      <c r="I1843" t="s">
        <v>6461</v>
      </c>
      <c r="J1843" t="s">
        <v>9666</v>
      </c>
      <c r="K1843">
        <v>37480</v>
      </c>
      <c r="L1843">
        <v>44866</v>
      </c>
      <c r="M1843" t="s">
        <v>564</v>
      </c>
      <c r="N1843">
        <v>37480</v>
      </c>
      <c r="O1843" t="e">
        <v>#N/A</v>
      </c>
    </row>
    <row r="1844" spans="2:15" hidden="1" x14ac:dyDescent="0.3">
      <c r="B1844" t="s">
        <v>8</v>
      </c>
      <c r="C1844">
        <v>928</v>
      </c>
      <c r="D1844" t="s">
        <v>167</v>
      </c>
      <c r="E1844">
        <v>935</v>
      </c>
      <c r="F1844" t="s">
        <v>168</v>
      </c>
      <c r="G1844">
        <v>2</v>
      </c>
      <c r="H1844" t="s">
        <v>1824</v>
      </c>
      <c r="I1844" t="s">
        <v>6462</v>
      </c>
      <c r="J1844" t="s">
        <v>9667</v>
      </c>
      <c r="K1844">
        <v>94190</v>
      </c>
      <c r="L1844">
        <v>44866</v>
      </c>
      <c r="M1844" t="s">
        <v>1104</v>
      </c>
      <c r="N1844">
        <v>94190</v>
      </c>
      <c r="O1844" t="e">
        <v>#N/A</v>
      </c>
    </row>
    <row r="1845" spans="2:15" hidden="1" x14ac:dyDescent="0.3">
      <c r="B1845" t="s">
        <v>41</v>
      </c>
      <c r="C1845">
        <v>926</v>
      </c>
      <c r="D1845" t="s">
        <v>56</v>
      </c>
      <c r="E1845">
        <v>1207</v>
      </c>
      <c r="F1845" t="s">
        <v>253</v>
      </c>
      <c r="G1845">
        <v>1328</v>
      </c>
      <c r="H1845" t="s">
        <v>1824</v>
      </c>
      <c r="I1845" t="s">
        <v>6463</v>
      </c>
      <c r="J1845" t="s">
        <v>9668</v>
      </c>
      <c r="K1845">
        <v>517880</v>
      </c>
      <c r="L1845">
        <v>44866</v>
      </c>
      <c r="M1845" t="s">
        <v>266</v>
      </c>
      <c r="N1845">
        <v>517880</v>
      </c>
      <c r="O1845" t="e">
        <v>#N/A</v>
      </c>
    </row>
    <row r="1846" spans="2:15" x14ac:dyDescent="0.3">
      <c r="B1846" t="s">
        <v>8</v>
      </c>
      <c r="C1846">
        <v>928</v>
      </c>
      <c r="D1846" t="s">
        <v>13</v>
      </c>
      <c r="E1846">
        <v>1184</v>
      </c>
      <c r="F1846" t="s">
        <v>115</v>
      </c>
      <c r="G1846">
        <v>1548</v>
      </c>
      <c r="H1846" t="s">
        <v>1824</v>
      </c>
      <c r="I1846" t="s">
        <v>9669</v>
      </c>
      <c r="J1846" t="s">
        <v>9670</v>
      </c>
      <c r="K1846">
        <v>38440</v>
      </c>
      <c r="L1846">
        <v>44866</v>
      </c>
      <c r="M1846" t="s">
        <v>1685</v>
      </c>
      <c r="N1846" t="e">
        <v>#N/A</v>
      </c>
      <c r="O1846" t="e">
        <v>#N/A</v>
      </c>
    </row>
    <row r="1847" spans="2:15" hidden="1" x14ac:dyDescent="0.3">
      <c r="B1847" t="s">
        <v>8</v>
      </c>
      <c r="C1847">
        <v>928</v>
      </c>
      <c r="D1847" t="s">
        <v>13</v>
      </c>
      <c r="E1847">
        <v>1184</v>
      </c>
      <c r="F1847" t="s">
        <v>127</v>
      </c>
      <c r="G1847">
        <v>201029</v>
      </c>
      <c r="H1847" t="s">
        <v>1824</v>
      </c>
      <c r="I1847" t="s">
        <v>6466</v>
      </c>
      <c r="J1847" t="s">
        <v>9671</v>
      </c>
      <c r="K1847">
        <v>31960</v>
      </c>
      <c r="L1847">
        <v>44866</v>
      </c>
      <c r="M1847" t="s">
        <v>449</v>
      </c>
      <c r="N1847">
        <v>31960</v>
      </c>
      <c r="O1847" t="e">
        <v>#N/A</v>
      </c>
    </row>
    <row r="1848" spans="2:15" x14ac:dyDescent="0.3">
      <c r="B1848" t="s">
        <v>8</v>
      </c>
      <c r="C1848">
        <v>928</v>
      </c>
      <c r="D1848" t="s">
        <v>9</v>
      </c>
      <c r="E1848">
        <v>1202</v>
      </c>
      <c r="F1848" t="s">
        <v>10</v>
      </c>
      <c r="G1848">
        <v>939</v>
      </c>
      <c r="H1848" t="s">
        <v>1824</v>
      </c>
      <c r="I1848" t="s">
        <v>9672</v>
      </c>
      <c r="J1848" t="s">
        <v>9673</v>
      </c>
      <c r="K1848">
        <v>211280</v>
      </c>
      <c r="L1848">
        <v>44866</v>
      </c>
      <c r="M1848" t="s">
        <v>1804</v>
      </c>
      <c r="N1848" t="e">
        <v>#N/A</v>
      </c>
      <c r="O1848" t="e">
        <v>#N/A</v>
      </c>
    </row>
    <row r="1849" spans="2:15" hidden="1" x14ac:dyDescent="0.3">
      <c r="B1849" t="s">
        <v>41</v>
      </c>
      <c r="C1849">
        <v>926</v>
      </c>
      <c r="D1849" t="s">
        <v>56</v>
      </c>
      <c r="E1849">
        <v>1207</v>
      </c>
      <c r="F1849" t="s">
        <v>57</v>
      </c>
      <c r="G1849">
        <v>200982</v>
      </c>
      <c r="H1849" t="s">
        <v>1824</v>
      </c>
      <c r="I1849" t="s">
        <v>6471</v>
      </c>
      <c r="J1849" t="s">
        <v>9674</v>
      </c>
      <c r="K1849">
        <v>184360</v>
      </c>
      <c r="L1849">
        <v>44866</v>
      </c>
      <c r="M1849" t="s">
        <v>1233</v>
      </c>
      <c r="N1849">
        <v>184360</v>
      </c>
      <c r="O1849" t="e">
        <v>#N/A</v>
      </c>
    </row>
    <row r="1850" spans="2:15" hidden="1" x14ac:dyDescent="0.3">
      <c r="B1850" t="s">
        <v>8</v>
      </c>
      <c r="C1850">
        <v>928</v>
      </c>
      <c r="D1850" t="s">
        <v>9</v>
      </c>
      <c r="E1850">
        <v>1202</v>
      </c>
      <c r="F1850" t="s">
        <v>45</v>
      </c>
      <c r="G1850">
        <v>26</v>
      </c>
      <c r="H1850" t="s">
        <v>1824</v>
      </c>
      <c r="I1850" t="s">
        <v>6472</v>
      </c>
      <c r="J1850" t="s">
        <v>9675</v>
      </c>
      <c r="K1850">
        <v>335710</v>
      </c>
      <c r="L1850">
        <v>44866</v>
      </c>
      <c r="M1850" t="s">
        <v>1014</v>
      </c>
      <c r="N1850">
        <v>335710</v>
      </c>
      <c r="O1850" t="e">
        <v>#N/A</v>
      </c>
    </row>
    <row r="1851" spans="2:15" hidden="1" x14ac:dyDescent="0.3">
      <c r="B1851" t="s">
        <v>8</v>
      </c>
      <c r="C1851">
        <v>928</v>
      </c>
      <c r="D1851" t="s">
        <v>9</v>
      </c>
      <c r="E1851">
        <v>1202</v>
      </c>
      <c r="F1851" t="s">
        <v>47</v>
      </c>
      <c r="G1851">
        <v>898</v>
      </c>
      <c r="H1851" t="s">
        <v>1824</v>
      </c>
      <c r="I1851" t="s">
        <v>6474</v>
      </c>
      <c r="J1851" t="s">
        <v>9676</v>
      </c>
      <c r="K1851">
        <v>389960</v>
      </c>
      <c r="L1851">
        <v>44866</v>
      </c>
      <c r="M1851" t="s">
        <v>1831</v>
      </c>
      <c r="N1851">
        <v>389960</v>
      </c>
      <c r="O1851" t="e">
        <v>#N/A</v>
      </c>
    </row>
    <row r="1852" spans="2:15" x14ac:dyDescent="0.3">
      <c r="B1852" t="s">
        <v>8</v>
      </c>
      <c r="C1852">
        <v>928</v>
      </c>
      <c r="D1852" t="s">
        <v>9</v>
      </c>
      <c r="E1852">
        <v>1202</v>
      </c>
      <c r="F1852" t="s">
        <v>122</v>
      </c>
      <c r="G1852">
        <v>251</v>
      </c>
      <c r="H1852" t="s">
        <v>1824</v>
      </c>
      <c r="I1852" t="s">
        <v>9677</v>
      </c>
      <c r="J1852" t="s">
        <v>9678</v>
      </c>
      <c r="K1852">
        <v>155300</v>
      </c>
      <c r="L1852">
        <v>44866</v>
      </c>
      <c r="M1852" t="s">
        <v>319</v>
      </c>
      <c r="N1852" t="e">
        <v>#N/A</v>
      </c>
      <c r="O1852" t="e">
        <v>#N/A</v>
      </c>
    </row>
    <row r="1853" spans="2:15" hidden="1" x14ac:dyDescent="0.3">
      <c r="B1853" t="s">
        <v>8</v>
      </c>
      <c r="C1853">
        <v>928</v>
      </c>
      <c r="D1853" t="s">
        <v>9</v>
      </c>
      <c r="E1853">
        <v>1202</v>
      </c>
      <c r="F1853" t="s">
        <v>45</v>
      </c>
      <c r="G1853">
        <v>26</v>
      </c>
      <c r="H1853" t="s">
        <v>1824</v>
      </c>
      <c r="I1853" t="s">
        <v>6476</v>
      </c>
      <c r="J1853" t="s">
        <v>9679</v>
      </c>
      <c r="K1853">
        <v>4830</v>
      </c>
      <c r="L1853">
        <v>44866</v>
      </c>
      <c r="M1853" t="s">
        <v>573</v>
      </c>
      <c r="N1853">
        <v>4830</v>
      </c>
      <c r="O1853" t="e">
        <v>#N/A</v>
      </c>
    </row>
    <row r="1854" spans="2:15" hidden="1" x14ac:dyDescent="0.3">
      <c r="B1854" t="s">
        <v>41</v>
      </c>
      <c r="C1854">
        <v>926</v>
      </c>
      <c r="D1854" t="s">
        <v>56</v>
      </c>
      <c r="E1854">
        <v>1207</v>
      </c>
      <c r="F1854" t="s">
        <v>57</v>
      </c>
      <c r="G1854">
        <v>200982</v>
      </c>
      <c r="H1854" t="s">
        <v>1824</v>
      </c>
      <c r="I1854" t="s">
        <v>6477</v>
      </c>
      <c r="J1854" t="s">
        <v>9680</v>
      </c>
      <c r="K1854">
        <v>9380</v>
      </c>
      <c r="L1854">
        <v>44866</v>
      </c>
      <c r="M1854" t="s">
        <v>307</v>
      </c>
      <c r="N1854">
        <v>9380</v>
      </c>
      <c r="O1854" t="e">
        <v>#N/A</v>
      </c>
    </row>
    <row r="1855" spans="2:15" hidden="1" x14ac:dyDescent="0.3">
      <c r="B1855" t="s">
        <v>8</v>
      </c>
      <c r="C1855">
        <v>928</v>
      </c>
      <c r="D1855" t="s">
        <v>13</v>
      </c>
      <c r="E1855">
        <v>1184</v>
      </c>
      <c r="F1855" t="s">
        <v>51</v>
      </c>
      <c r="G1855">
        <v>1274</v>
      </c>
      <c r="H1855" t="s">
        <v>1824</v>
      </c>
      <c r="I1855" t="s">
        <v>6478</v>
      </c>
      <c r="J1855" t="s">
        <v>9681</v>
      </c>
      <c r="K1855">
        <v>5230</v>
      </c>
      <c r="L1855">
        <v>44866</v>
      </c>
      <c r="M1855" t="s">
        <v>1246</v>
      </c>
      <c r="N1855">
        <v>5230</v>
      </c>
      <c r="O1855" t="e">
        <v>#N/A</v>
      </c>
    </row>
    <row r="1856" spans="2:15" hidden="1" x14ac:dyDescent="0.3">
      <c r="B1856" t="s">
        <v>16</v>
      </c>
      <c r="C1856">
        <v>927</v>
      </c>
      <c r="D1856" t="s">
        <v>17</v>
      </c>
      <c r="E1856">
        <v>1200</v>
      </c>
      <c r="F1856" t="s">
        <v>78</v>
      </c>
      <c r="G1856">
        <v>57</v>
      </c>
      <c r="H1856" t="s">
        <v>1824</v>
      </c>
      <c r="I1856" t="s">
        <v>6479</v>
      </c>
      <c r="J1856" t="s">
        <v>9682</v>
      </c>
      <c r="K1856">
        <v>362010</v>
      </c>
      <c r="L1856">
        <v>44866</v>
      </c>
      <c r="M1856" t="s">
        <v>361</v>
      </c>
      <c r="N1856">
        <v>362010</v>
      </c>
      <c r="O1856" t="e">
        <v>#N/A</v>
      </c>
    </row>
    <row r="1857" spans="2:15" hidden="1" x14ac:dyDescent="0.3">
      <c r="B1857" t="s">
        <v>8</v>
      </c>
      <c r="C1857">
        <v>928</v>
      </c>
      <c r="D1857" t="s">
        <v>13</v>
      </c>
      <c r="E1857">
        <v>1184</v>
      </c>
      <c r="F1857" t="s">
        <v>51</v>
      </c>
      <c r="G1857">
        <v>1274</v>
      </c>
      <c r="H1857" t="s">
        <v>1824</v>
      </c>
      <c r="I1857" t="s">
        <v>6480</v>
      </c>
      <c r="J1857" t="s">
        <v>9683</v>
      </c>
      <c r="K1857">
        <v>1910</v>
      </c>
      <c r="L1857">
        <v>44866</v>
      </c>
      <c r="M1857" t="s">
        <v>1537</v>
      </c>
      <c r="N1857">
        <v>1910</v>
      </c>
      <c r="O1857" t="e">
        <v>#N/A</v>
      </c>
    </row>
    <row r="1858" spans="2:15" hidden="1" x14ac:dyDescent="0.3">
      <c r="B1858" t="s">
        <v>8</v>
      </c>
      <c r="C1858">
        <v>928</v>
      </c>
      <c r="D1858" t="s">
        <v>9</v>
      </c>
      <c r="E1858">
        <v>1202</v>
      </c>
      <c r="F1858" t="s">
        <v>47</v>
      </c>
      <c r="G1858">
        <v>898</v>
      </c>
      <c r="H1858" t="s">
        <v>1824</v>
      </c>
      <c r="I1858" t="s">
        <v>6481</v>
      </c>
      <c r="J1858" t="s">
        <v>9684</v>
      </c>
      <c r="K1858">
        <v>72730</v>
      </c>
      <c r="L1858">
        <v>44866</v>
      </c>
      <c r="M1858" t="s">
        <v>866</v>
      </c>
      <c r="N1858">
        <v>72730</v>
      </c>
      <c r="O1858" t="e">
        <v>#N/A</v>
      </c>
    </row>
    <row r="1859" spans="2:15" x14ac:dyDescent="0.3">
      <c r="B1859" t="s">
        <v>8</v>
      </c>
      <c r="C1859">
        <v>928</v>
      </c>
      <c r="D1859" t="s">
        <v>13</v>
      </c>
      <c r="E1859">
        <v>1184</v>
      </c>
      <c r="F1859" t="s">
        <v>115</v>
      </c>
      <c r="G1859">
        <v>1548</v>
      </c>
      <c r="H1859" t="s">
        <v>1824</v>
      </c>
      <c r="I1859" t="s">
        <v>9685</v>
      </c>
      <c r="J1859" t="s">
        <v>9686</v>
      </c>
      <c r="K1859">
        <v>5080</v>
      </c>
      <c r="L1859">
        <v>44866</v>
      </c>
      <c r="M1859" t="s">
        <v>1832</v>
      </c>
      <c r="N1859" t="e">
        <v>#N/A</v>
      </c>
      <c r="O1859" t="e">
        <v>#N/A</v>
      </c>
    </row>
    <row r="1860" spans="2:15" x14ac:dyDescent="0.3">
      <c r="B1860" t="s">
        <v>8</v>
      </c>
      <c r="C1860">
        <v>928</v>
      </c>
      <c r="D1860" t="s">
        <v>13</v>
      </c>
      <c r="E1860">
        <v>1184</v>
      </c>
      <c r="F1860" t="s">
        <v>118</v>
      </c>
      <c r="G1860">
        <v>201004</v>
      </c>
      <c r="H1860" t="s">
        <v>1824</v>
      </c>
      <c r="I1860" t="s">
        <v>9687</v>
      </c>
      <c r="J1860" t="s">
        <v>9688</v>
      </c>
      <c r="K1860">
        <v>46290</v>
      </c>
      <c r="L1860">
        <v>44866</v>
      </c>
      <c r="M1860" t="s">
        <v>1833</v>
      </c>
      <c r="N1860" t="e">
        <v>#N/A</v>
      </c>
      <c r="O1860" t="e">
        <v>#N/A</v>
      </c>
    </row>
    <row r="1861" spans="2:15" x14ac:dyDescent="0.3">
      <c r="B1861" t="s">
        <v>8</v>
      </c>
      <c r="C1861">
        <v>928</v>
      </c>
      <c r="D1861" t="s">
        <v>13</v>
      </c>
      <c r="E1861">
        <v>1184</v>
      </c>
      <c r="F1861" t="s">
        <v>115</v>
      </c>
      <c r="G1861">
        <v>1548</v>
      </c>
      <c r="H1861" t="s">
        <v>1824</v>
      </c>
      <c r="I1861" t="s">
        <v>9689</v>
      </c>
      <c r="J1861" t="s">
        <v>9690</v>
      </c>
      <c r="K1861">
        <v>91180</v>
      </c>
      <c r="L1861">
        <v>44866</v>
      </c>
      <c r="M1861" t="s">
        <v>1560</v>
      </c>
      <c r="N1861" t="e">
        <v>#N/A</v>
      </c>
      <c r="O1861" t="e">
        <v>#N/A</v>
      </c>
    </row>
    <row r="1862" spans="2:15" x14ac:dyDescent="0.3">
      <c r="B1862" t="s">
        <v>41</v>
      </c>
      <c r="C1862">
        <v>926</v>
      </c>
      <c r="D1862" t="s">
        <v>56</v>
      </c>
      <c r="E1862">
        <v>1207</v>
      </c>
      <c r="F1862" t="s">
        <v>57</v>
      </c>
      <c r="G1862">
        <v>200982</v>
      </c>
      <c r="H1862" t="s">
        <v>1824</v>
      </c>
      <c r="I1862" t="s">
        <v>9691</v>
      </c>
      <c r="J1862" t="s">
        <v>9692</v>
      </c>
      <c r="K1862">
        <v>40650</v>
      </c>
      <c r="L1862">
        <v>44866</v>
      </c>
      <c r="M1862" t="s">
        <v>1834</v>
      </c>
      <c r="N1862" t="e">
        <v>#N/A</v>
      </c>
      <c r="O1862" t="e">
        <v>#N/A</v>
      </c>
    </row>
    <row r="1863" spans="2:15" x14ac:dyDescent="0.3">
      <c r="B1863" t="s">
        <v>41</v>
      </c>
      <c r="C1863">
        <v>926</v>
      </c>
      <c r="D1863" t="s">
        <v>56</v>
      </c>
      <c r="E1863">
        <v>1207</v>
      </c>
      <c r="F1863" t="s">
        <v>64</v>
      </c>
      <c r="G1863">
        <v>201011</v>
      </c>
      <c r="H1863" t="s">
        <v>1824</v>
      </c>
      <c r="I1863" t="s">
        <v>9693</v>
      </c>
      <c r="J1863" t="s">
        <v>9694</v>
      </c>
      <c r="K1863">
        <v>272090</v>
      </c>
      <c r="L1863">
        <v>44866</v>
      </c>
      <c r="M1863" t="s">
        <v>1835</v>
      </c>
      <c r="N1863" t="e">
        <v>#N/A</v>
      </c>
      <c r="O1863" t="e">
        <v>#N/A</v>
      </c>
    </row>
    <row r="1864" spans="2:15" x14ac:dyDescent="0.3">
      <c r="B1864" t="s">
        <v>41</v>
      </c>
      <c r="C1864">
        <v>926</v>
      </c>
      <c r="D1864" t="s">
        <v>56</v>
      </c>
      <c r="E1864">
        <v>1207</v>
      </c>
      <c r="F1864" t="s">
        <v>57</v>
      </c>
      <c r="G1864">
        <v>200982</v>
      </c>
      <c r="H1864" t="s">
        <v>1824</v>
      </c>
      <c r="I1864" t="s">
        <v>9695</v>
      </c>
      <c r="J1864" t="s">
        <v>9696</v>
      </c>
      <c r="K1864">
        <v>62770</v>
      </c>
      <c r="L1864">
        <v>44866</v>
      </c>
      <c r="M1864" t="s">
        <v>1836</v>
      </c>
      <c r="N1864" t="e">
        <v>#N/A</v>
      </c>
      <c r="O1864" t="e">
        <v>#N/A</v>
      </c>
    </row>
    <row r="1865" spans="2:15" x14ac:dyDescent="0.3">
      <c r="B1865" t="s">
        <v>8</v>
      </c>
      <c r="C1865">
        <v>928</v>
      </c>
      <c r="D1865" t="s">
        <v>13</v>
      </c>
      <c r="E1865">
        <v>1184</v>
      </c>
      <c r="F1865" t="s">
        <v>115</v>
      </c>
      <c r="G1865">
        <v>1548</v>
      </c>
      <c r="H1865" t="s">
        <v>1824</v>
      </c>
      <c r="I1865" t="s">
        <v>9697</v>
      </c>
      <c r="J1865" t="s">
        <v>9698</v>
      </c>
      <c r="K1865">
        <v>30690</v>
      </c>
      <c r="L1865">
        <v>44866</v>
      </c>
      <c r="M1865" t="s">
        <v>1164</v>
      </c>
      <c r="N1865" t="e">
        <v>#N/A</v>
      </c>
      <c r="O1865" t="e">
        <v>#N/A</v>
      </c>
    </row>
    <row r="1866" spans="2:15" x14ac:dyDescent="0.3">
      <c r="B1866" t="s">
        <v>8</v>
      </c>
      <c r="C1866">
        <v>928</v>
      </c>
      <c r="D1866" t="s">
        <v>13</v>
      </c>
      <c r="E1866">
        <v>1184</v>
      </c>
      <c r="F1866" t="s">
        <v>115</v>
      </c>
      <c r="G1866">
        <v>1548</v>
      </c>
      <c r="H1866" t="s">
        <v>1824</v>
      </c>
      <c r="I1866" t="s">
        <v>9699</v>
      </c>
      <c r="J1866" t="s">
        <v>9700</v>
      </c>
      <c r="K1866">
        <v>253580</v>
      </c>
      <c r="L1866">
        <v>44866</v>
      </c>
      <c r="M1866" t="s">
        <v>1413</v>
      </c>
      <c r="N1866" t="e">
        <v>#N/A</v>
      </c>
      <c r="O1866" t="e">
        <v>#N/A</v>
      </c>
    </row>
    <row r="1867" spans="2:15" x14ac:dyDescent="0.3">
      <c r="B1867" t="s">
        <v>41</v>
      </c>
      <c r="C1867">
        <v>926</v>
      </c>
      <c r="D1867" t="s">
        <v>42</v>
      </c>
      <c r="E1867">
        <v>964</v>
      </c>
      <c r="F1867" t="s">
        <v>43</v>
      </c>
      <c r="G1867">
        <v>200998</v>
      </c>
      <c r="H1867" t="s">
        <v>1824</v>
      </c>
      <c r="I1867" t="s">
        <v>9701</v>
      </c>
      <c r="J1867" t="s">
        <v>9702</v>
      </c>
      <c r="K1867">
        <v>29460</v>
      </c>
      <c r="L1867">
        <v>44866</v>
      </c>
      <c r="M1867" t="s">
        <v>1837</v>
      </c>
      <c r="N1867" t="e">
        <v>#N/A</v>
      </c>
      <c r="O1867" t="e">
        <v>#N/A</v>
      </c>
    </row>
    <row r="1868" spans="2:15" hidden="1" x14ac:dyDescent="0.3">
      <c r="B1868" t="s">
        <v>16</v>
      </c>
      <c r="C1868">
        <v>927</v>
      </c>
      <c r="D1868" t="s">
        <v>17</v>
      </c>
      <c r="E1868">
        <v>1200</v>
      </c>
      <c r="F1868" t="s">
        <v>66</v>
      </c>
      <c r="G1868">
        <v>33</v>
      </c>
      <c r="H1868" t="s">
        <v>1824</v>
      </c>
      <c r="I1868" t="s">
        <v>6485</v>
      </c>
      <c r="J1868" t="s">
        <v>9703</v>
      </c>
      <c r="K1868">
        <v>31820</v>
      </c>
      <c r="L1868">
        <v>44866</v>
      </c>
      <c r="M1868" t="s">
        <v>953</v>
      </c>
      <c r="N1868">
        <v>31820</v>
      </c>
      <c r="O1868" t="e">
        <v>#N/A</v>
      </c>
    </row>
    <row r="1869" spans="2:15" hidden="1" x14ac:dyDescent="0.3">
      <c r="B1869" t="s">
        <v>8</v>
      </c>
      <c r="C1869">
        <v>928</v>
      </c>
      <c r="D1869" t="s">
        <v>9</v>
      </c>
      <c r="E1869">
        <v>1202</v>
      </c>
      <c r="F1869" t="s">
        <v>47</v>
      </c>
      <c r="G1869">
        <v>898</v>
      </c>
      <c r="H1869" t="s">
        <v>1824</v>
      </c>
      <c r="I1869" t="s">
        <v>6486</v>
      </c>
      <c r="J1869" t="s">
        <v>9704</v>
      </c>
      <c r="K1869">
        <v>562850</v>
      </c>
      <c r="L1869">
        <v>44866</v>
      </c>
      <c r="M1869" t="s">
        <v>1009</v>
      </c>
      <c r="N1869">
        <v>562850</v>
      </c>
      <c r="O1869" t="e">
        <v>#N/A</v>
      </c>
    </row>
    <row r="1870" spans="2:15" hidden="1" x14ac:dyDescent="0.3">
      <c r="B1870" t="s">
        <v>41</v>
      </c>
      <c r="C1870">
        <v>926</v>
      </c>
      <c r="D1870" t="s">
        <v>42</v>
      </c>
      <c r="E1870">
        <v>964</v>
      </c>
      <c r="F1870" t="s">
        <v>43</v>
      </c>
      <c r="G1870">
        <v>200998</v>
      </c>
      <c r="H1870" t="s">
        <v>1824</v>
      </c>
      <c r="I1870" t="s">
        <v>6487</v>
      </c>
      <c r="J1870" t="s">
        <v>9705</v>
      </c>
      <c r="K1870">
        <v>70</v>
      </c>
      <c r="L1870">
        <v>44866</v>
      </c>
      <c r="M1870" t="s">
        <v>1838</v>
      </c>
      <c r="N1870">
        <v>70</v>
      </c>
      <c r="O1870" t="e">
        <v>#N/A</v>
      </c>
    </row>
    <row r="1871" spans="2:15" hidden="1" x14ac:dyDescent="0.3">
      <c r="B1871" t="s">
        <v>8</v>
      </c>
      <c r="C1871">
        <v>928</v>
      </c>
      <c r="D1871" t="s">
        <v>9</v>
      </c>
      <c r="E1871">
        <v>1202</v>
      </c>
      <c r="F1871" t="s">
        <v>47</v>
      </c>
      <c r="G1871">
        <v>898</v>
      </c>
      <c r="H1871" t="s">
        <v>1824</v>
      </c>
      <c r="I1871" t="s">
        <v>6488</v>
      </c>
      <c r="J1871" t="s">
        <v>9706</v>
      </c>
      <c r="K1871">
        <v>251280</v>
      </c>
      <c r="L1871">
        <v>44866</v>
      </c>
      <c r="M1871" t="s">
        <v>196</v>
      </c>
      <c r="N1871">
        <v>251280</v>
      </c>
      <c r="O1871" t="e">
        <v>#N/A</v>
      </c>
    </row>
    <row r="1872" spans="2:15" x14ac:dyDescent="0.3">
      <c r="B1872" t="s">
        <v>8</v>
      </c>
      <c r="C1872">
        <v>928</v>
      </c>
      <c r="D1872" t="s">
        <v>13</v>
      </c>
      <c r="E1872">
        <v>1184</v>
      </c>
      <c r="F1872" t="s">
        <v>118</v>
      </c>
      <c r="G1872">
        <v>201004</v>
      </c>
      <c r="H1872" t="s">
        <v>1824</v>
      </c>
      <c r="I1872" t="s">
        <v>9707</v>
      </c>
      <c r="J1872" t="s">
        <v>9708</v>
      </c>
      <c r="K1872">
        <v>43530</v>
      </c>
      <c r="L1872">
        <v>44866</v>
      </c>
      <c r="M1872" t="s">
        <v>1839</v>
      </c>
      <c r="N1872" t="e">
        <v>#N/A</v>
      </c>
      <c r="O1872" t="e">
        <v>#N/A</v>
      </c>
    </row>
    <row r="1873" spans="2:15" hidden="1" x14ac:dyDescent="0.3">
      <c r="B1873" t="s">
        <v>8</v>
      </c>
      <c r="C1873">
        <v>928</v>
      </c>
      <c r="D1873" t="s">
        <v>13</v>
      </c>
      <c r="E1873">
        <v>1184</v>
      </c>
      <c r="F1873" t="s">
        <v>217</v>
      </c>
      <c r="G1873">
        <v>201027</v>
      </c>
      <c r="H1873" t="s">
        <v>1824</v>
      </c>
      <c r="I1873" t="s">
        <v>6489</v>
      </c>
      <c r="J1873" t="s">
        <v>9709</v>
      </c>
      <c r="K1873">
        <v>9980</v>
      </c>
      <c r="L1873">
        <v>44866</v>
      </c>
      <c r="M1873" t="s">
        <v>1840</v>
      </c>
      <c r="N1873">
        <v>9980</v>
      </c>
      <c r="O1873" t="e">
        <v>#N/A</v>
      </c>
    </row>
    <row r="1874" spans="2:15" hidden="1" x14ac:dyDescent="0.3">
      <c r="B1874" t="s">
        <v>16</v>
      </c>
      <c r="C1874">
        <v>927</v>
      </c>
      <c r="D1874" t="s">
        <v>17</v>
      </c>
      <c r="E1874">
        <v>1200</v>
      </c>
      <c r="F1874" t="s">
        <v>446</v>
      </c>
      <c r="G1874">
        <v>566</v>
      </c>
      <c r="H1874" t="s">
        <v>1824</v>
      </c>
      <c r="I1874" t="s">
        <v>6490</v>
      </c>
      <c r="J1874" t="s">
        <v>9710</v>
      </c>
      <c r="K1874">
        <v>24380</v>
      </c>
      <c r="L1874">
        <v>44866</v>
      </c>
      <c r="M1874" t="s">
        <v>1718</v>
      </c>
      <c r="N1874">
        <v>24380</v>
      </c>
      <c r="O1874" t="e">
        <v>#N/A</v>
      </c>
    </row>
    <row r="1875" spans="2:15" x14ac:dyDescent="0.3">
      <c r="B1875" t="s">
        <v>8</v>
      </c>
      <c r="C1875">
        <v>928</v>
      </c>
      <c r="D1875" t="s">
        <v>13</v>
      </c>
      <c r="E1875">
        <v>1184</v>
      </c>
      <c r="F1875" t="s">
        <v>118</v>
      </c>
      <c r="G1875">
        <v>201004</v>
      </c>
      <c r="H1875" t="s">
        <v>1824</v>
      </c>
      <c r="I1875" t="s">
        <v>9711</v>
      </c>
      <c r="J1875" t="s">
        <v>9712</v>
      </c>
      <c r="K1875">
        <v>90480</v>
      </c>
      <c r="L1875">
        <v>44866</v>
      </c>
      <c r="M1875" t="s">
        <v>478</v>
      </c>
      <c r="N1875" t="e">
        <v>#N/A</v>
      </c>
      <c r="O1875" t="e">
        <v>#N/A</v>
      </c>
    </row>
    <row r="1876" spans="2:15" hidden="1" x14ac:dyDescent="0.3">
      <c r="B1876" t="s">
        <v>8</v>
      </c>
      <c r="C1876">
        <v>928</v>
      </c>
      <c r="D1876" t="s">
        <v>9</v>
      </c>
      <c r="E1876">
        <v>1202</v>
      </c>
      <c r="F1876" t="s">
        <v>45</v>
      </c>
      <c r="G1876">
        <v>26</v>
      </c>
      <c r="H1876" t="s">
        <v>1824</v>
      </c>
      <c r="I1876" t="s">
        <v>6493</v>
      </c>
      <c r="J1876" t="s">
        <v>9713</v>
      </c>
      <c r="K1876">
        <v>28230</v>
      </c>
      <c r="L1876">
        <v>44866</v>
      </c>
      <c r="M1876" t="s">
        <v>1024</v>
      </c>
      <c r="N1876">
        <v>28230</v>
      </c>
      <c r="O1876" t="e">
        <v>#N/A</v>
      </c>
    </row>
    <row r="1877" spans="2:15" hidden="1" x14ac:dyDescent="0.3">
      <c r="B1877" t="s">
        <v>8</v>
      </c>
      <c r="C1877">
        <v>928</v>
      </c>
      <c r="D1877" t="s">
        <v>9</v>
      </c>
      <c r="E1877">
        <v>1202</v>
      </c>
      <c r="F1877" t="s">
        <v>47</v>
      </c>
      <c r="G1877">
        <v>898</v>
      </c>
      <c r="H1877" t="s">
        <v>1824</v>
      </c>
      <c r="I1877" t="s">
        <v>6494</v>
      </c>
      <c r="J1877" t="s">
        <v>9714</v>
      </c>
      <c r="K1877">
        <v>2450850</v>
      </c>
      <c r="L1877">
        <v>44866</v>
      </c>
      <c r="M1877" t="s">
        <v>945</v>
      </c>
      <c r="N1877">
        <v>2450850</v>
      </c>
      <c r="O1877" t="e">
        <v>#N/A</v>
      </c>
    </row>
    <row r="1878" spans="2:15" hidden="1" x14ac:dyDescent="0.3">
      <c r="B1878" t="s">
        <v>8</v>
      </c>
      <c r="C1878">
        <v>928</v>
      </c>
      <c r="D1878" t="s">
        <v>13</v>
      </c>
      <c r="E1878">
        <v>1184</v>
      </c>
      <c r="F1878" t="s">
        <v>102</v>
      </c>
      <c r="G1878">
        <v>917</v>
      </c>
      <c r="H1878" t="s">
        <v>1824</v>
      </c>
      <c r="I1878" t="s">
        <v>6495</v>
      </c>
      <c r="J1878" t="s">
        <v>9715</v>
      </c>
      <c r="K1878">
        <v>16570</v>
      </c>
      <c r="L1878">
        <v>44866</v>
      </c>
      <c r="M1878" t="s">
        <v>1841</v>
      </c>
      <c r="N1878">
        <v>16570</v>
      </c>
      <c r="O1878" t="e">
        <v>#N/A</v>
      </c>
    </row>
    <row r="1879" spans="2:15" x14ac:dyDescent="0.3">
      <c r="B1879" t="s">
        <v>8</v>
      </c>
      <c r="C1879">
        <v>928</v>
      </c>
      <c r="D1879" t="s">
        <v>9</v>
      </c>
      <c r="E1879">
        <v>1202</v>
      </c>
      <c r="F1879" t="s">
        <v>39</v>
      </c>
      <c r="G1879">
        <v>25</v>
      </c>
      <c r="H1879" t="s">
        <v>1824</v>
      </c>
      <c r="I1879" t="s">
        <v>9716</v>
      </c>
      <c r="J1879" t="s">
        <v>9717</v>
      </c>
      <c r="K1879">
        <v>3920</v>
      </c>
      <c r="L1879">
        <v>44866</v>
      </c>
      <c r="M1879" t="s">
        <v>1310</v>
      </c>
      <c r="N1879" t="e">
        <v>#N/A</v>
      </c>
      <c r="O1879" t="e">
        <v>#N/A</v>
      </c>
    </row>
    <row r="1880" spans="2:15" hidden="1" x14ac:dyDescent="0.3">
      <c r="B1880" t="s">
        <v>41</v>
      </c>
      <c r="C1880">
        <v>926</v>
      </c>
      <c r="D1880" t="s">
        <v>56</v>
      </c>
      <c r="E1880">
        <v>1207</v>
      </c>
      <c r="F1880" t="s">
        <v>57</v>
      </c>
      <c r="G1880">
        <v>200982</v>
      </c>
      <c r="H1880" t="s">
        <v>1824</v>
      </c>
      <c r="I1880" t="s">
        <v>6498</v>
      </c>
      <c r="J1880" t="s">
        <v>9718</v>
      </c>
      <c r="K1880">
        <v>180680</v>
      </c>
      <c r="L1880">
        <v>44866</v>
      </c>
      <c r="M1880" t="s">
        <v>995</v>
      </c>
      <c r="N1880">
        <v>180680</v>
      </c>
      <c r="O1880" t="e">
        <v>#N/A</v>
      </c>
    </row>
    <row r="1881" spans="2:15" hidden="1" x14ac:dyDescent="0.3">
      <c r="B1881" t="s">
        <v>41</v>
      </c>
      <c r="C1881">
        <v>926</v>
      </c>
      <c r="D1881" t="s">
        <v>56</v>
      </c>
      <c r="E1881">
        <v>1207</v>
      </c>
      <c r="F1881" t="s">
        <v>57</v>
      </c>
      <c r="G1881">
        <v>200982</v>
      </c>
      <c r="H1881" t="s">
        <v>1824</v>
      </c>
      <c r="I1881" t="s">
        <v>6499</v>
      </c>
      <c r="J1881" t="s">
        <v>9719</v>
      </c>
      <c r="K1881">
        <v>45050</v>
      </c>
      <c r="L1881">
        <v>44866</v>
      </c>
      <c r="M1881" t="s">
        <v>1359</v>
      </c>
      <c r="N1881">
        <v>45050</v>
      </c>
      <c r="O1881" t="e">
        <v>#N/A</v>
      </c>
    </row>
    <row r="1882" spans="2:15" hidden="1" x14ac:dyDescent="0.3">
      <c r="B1882" t="s">
        <v>8</v>
      </c>
      <c r="C1882">
        <v>928</v>
      </c>
      <c r="D1882" t="s">
        <v>13</v>
      </c>
      <c r="E1882">
        <v>1184</v>
      </c>
      <c r="F1882" t="s">
        <v>51</v>
      </c>
      <c r="G1882">
        <v>1274</v>
      </c>
      <c r="H1882" t="s">
        <v>1824</v>
      </c>
      <c r="I1882" t="s">
        <v>6500</v>
      </c>
      <c r="J1882" t="s">
        <v>9720</v>
      </c>
      <c r="K1882">
        <v>6130</v>
      </c>
      <c r="L1882">
        <v>44866</v>
      </c>
      <c r="M1882" t="s">
        <v>1212</v>
      </c>
      <c r="N1882">
        <v>6130</v>
      </c>
      <c r="O1882" t="e">
        <v>#N/A</v>
      </c>
    </row>
    <row r="1883" spans="2:15" hidden="1" x14ac:dyDescent="0.3">
      <c r="B1883" t="s">
        <v>8</v>
      </c>
      <c r="C1883">
        <v>928</v>
      </c>
      <c r="D1883" t="s">
        <v>13</v>
      </c>
      <c r="E1883">
        <v>1184</v>
      </c>
      <c r="F1883" t="s">
        <v>335</v>
      </c>
      <c r="G1883">
        <v>201090</v>
      </c>
      <c r="H1883" t="s">
        <v>1824</v>
      </c>
      <c r="I1883" t="s">
        <v>6501</v>
      </c>
      <c r="J1883" t="s">
        <v>9721</v>
      </c>
      <c r="K1883">
        <v>14100</v>
      </c>
      <c r="L1883">
        <v>44866</v>
      </c>
      <c r="M1883" t="s">
        <v>716</v>
      </c>
      <c r="N1883">
        <v>14100</v>
      </c>
      <c r="O1883" t="e">
        <v>#N/A</v>
      </c>
    </row>
    <row r="1884" spans="2:15" hidden="1" x14ac:dyDescent="0.3">
      <c r="B1884" t="s">
        <v>16</v>
      </c>
      <c r="C1884">
        <v>927</v>
      </c>
      <c r="D1884" t="s">
        <v>17</v>
      </c>
      <c r="E1884">
        <v>1200</v>
      </c>
      <c r="F1884" t="s">
        <v>66</v>
      </c>
      <c r="G1884">
        <v>33</v>
      </c>
      <c r="H1884" t="s">
        <v>1824</v>
      </c>
      <c r="I1884" t="s">
        <v>6502</v>
      </c>
      <c r="J1884" t="s">
        <v>9722</v>
      </c>
      <c r="K1884">
        <v>5660</v>
      </c>
      <c r="L1884">
        <v>44866</v>
      </c>
      <c r="M1884" t="s">
        <v>388</v>
      </c>
      <c r="N1884">
        <v>5660</v>
      </c>
      <c r="O1884" t="e">
        <v>#N/A</v>
      </c>
    </row>
    <row r="1885" spans="2:15" hidden="1" x14ac:dyDescent="0.3">
      <c r="B1885" t="s">
        <v>41</v>
      </c>
      <c r="C1885">
        <v>926</v>
      </c>
      <c r="D1885" t="s">
        <v>56</v>
      </c>
      <c r="E1885">
        <v>1207</v>
      </c>
      <c r="F1885" t="s">
        <v>57</v>
      </c>
      <c r="G1885">
        <v>200982</v>
      </c>
      <c r="H1885" t="s">
        <v>1824</v>
      </c>
      <c r="I1885" t="s">
        <v>6504</v>
      </c>
      <c r="J1885" t="s">
        <v>9723</v>
      </c>
      <c r="K1885">
        <v>8040</v>
      </c>
      <c r="L1885">
        <v>44866</v>
      </c>
      <c r="M1885" t="s">
        <v>1842</v>
      </c>
      <c r="N1885">
        <v>8040</v>
      </c>
      <c r="O1885" t="e">
        <v>#N/A</v>
      </c>
    </row>
    <row r="1886" spans="2:15" hidden="1" x14ac:dyDescent="0.3">
      <c r="B1886" t="s">
        <v>8</v>
      </c>
      <c r="C1886">
        <v>928</v>
      </c>
      <c r="D1886" t="s">
        <v>13</v>
      </c>
      <c r="E1886">
        <v>1184</v>
      </c>
      <c r="F1886" t="s">
        <v>102</v>
      </c>
      <c r="G1886">
        <v>917</v>
      </c>
      <c r="H1886" t="s">
        <v>1824</v>
      </c>
      <c r="I1886" t="s">
        <v>6505</v>
      </c>
      <c r="J1886" t="s">
        <v>9724</v>
      </c>
      <c r="K1886">
        <v>90330</v>
      </c>
      <c r="L1886">
        <v>44866</v>
      </c>
      <c r="M1886" t="s">
        <v>1077</v>
      </c>
      <c r="N1886">
        <v>90330</v>
      </c>
      <c r="O1886" t="e">
        <v>#N/A</v>
      </c>
    </row>
    <row r="1887" spans="2:15" hidden="1" x14ac:dyDescent="0.3">
      <c r="B1887" t="s">
        <v>41</v>
      </c>
      <c r="C1887">
        <v>926</v>
      </c>
      <c r="D1887" t="s">
        <v>56</v>
      </c>
      <c r="E1887">
        <v>1207</v>
      </c>
      <c r="F1887" t="s">
        <v>253</v>
      </c>
      <c r="G1887">
        <v>1328</v>
      </c>
      <c r="H1887" t="s">
        <v>1824</v>
      </c>
      <c r="I1887" t="s">
        <v>6506</v>
      </c>
      <c r="J1887" t="s">
        <v>9725</v>
      </c>
      <c r="K1887">
        <v>1045090</v>
      </c>
      <c r="L1887">
        <v>44866</v>
      </c>
      <c r="M1887" t="s">
        <v>1696</v>
      </c>
      <c r="N1887">
        <v>1045090</v>
      </c>
      <c r="O1887" t="e">
        <v>#N/A</v>
      </c>
    </row>
    <row r="1888" spans="2:15" hidden="1" x14ac:dyDescent="0.3">
      <c r="B1888" t="s">
        <v>8</v>
      </c>
      <c r="C1888">
        <v>928</v>
      </c>
      <c r="D1888" t="s">
        <v>13</v>
      </c>
      <c r="E1888">
        <v>1184</v>
      </c>
      <c r="F1888" t="s">
        <v>51</v>
      </c>
      <c r="G1888">
        <v>1274</v>
      </c>
      <c r="H1888" t="s">
        <v>1824</v>
      </c>
      <c r="I1888" t="s">
        <v>6507</v>
      </c>
      <c r="J1888" t="s">
        <v>9726</v>
      </c>
      <c r="K1888">
        <v>7290</v>
      </c>
      <c r="L1888">
        <v>44866</v>
      </c>
      <c r="M1888" t="s">
        <v>1843</v>
      </c>
      <c r="N1888">
        <v>7290</v>
      </c>
      <c r="O1888" t="e">
        <v>#N/A</v>
      </c>
    </row>
    <row r="1889" spans="2:15" hidden="1" x14ac:dyDescent="0.3">
      <c r="B1889" t="s">
        <v>8</v>
      </c>
      <c r="C1889">
        <v>928</v>
      </c>
      <c r="D1889" t="s">
        <v>13</v>
      </c>
      <c r="E1889">
        <v>1184</v>
      </c>
      <c r="F1889" t="s">
        <v>335</v>
      </c>
      <c r="G1889">
        <v>201090</v>
      </c>
      <c r="H1889" t="s">
        <v>1824</v>
      </c>
      <c r="I1889" t="s">
        <v>6508</v>
      </c>
      <c r="J1889" t="s">
        <v>9727</v>
      </c>
      <c r="K1889">
        <v>9710</v>
      </c>
      <c r="L1889">
        <v>44866</v>
      </c>
      <c r="M1889" t="s">
        <v>1844</v>
      </c>
      <c r="N1889">
        <v>9710</v>
      </c>
      <c r="O1889" t="e">
        <v>#N/A</v>
      </c>
    </row>
    <row r="1890" spans="2:15" hidden="1" x14ac:dyDescent="0.3">
      <c r="B1890" t="s">
        <v>41</v>
      </c>
      <c r="C1890">
        <v>926</v>
      </c>
      <c r="D1890" t="s">
        <v>56</v>
      </c>
      <c r="E1890">
        <v>1207</v>
      </c>
      <c r="F1890" t="s">
        <v>253</v>
      </c>
      <c r="G1890">
        <v>1328</v>
      </c>
      <c r="H1890" t="s">
        <v>1824</v>
      </c>
      <c r="I1890" t="s">
        <v>6509</v>
      </c>
      <c r="J1890" t="s">
        <v>9728</v>
      </c>
      <c r="K1890">
        <v>333920</v>
      </c>
      <c r="L1890">
        <v>44866</v>
      </c>
      <c r="M1890" t="s">
        <v>1727</v>
      </c>
      <c r="N1890">
        <v>333920</v>
      </c>
      <c r="O1890" t="e">
        <v>#N/A</v>
      </c>
    </row>
    <row r="1891" spans="2:15" hidden="1" x14ac:dyDescent="0.3">
      <c r="B1891" t="s">
        <v>8</v>
      </c>
      <c r="C1891">
        <v>928</v>
      </c>
      <c r="D1891" t="s">
        <v>9</v>
      </c>
      <c r="E1891">
        <v>1202</v>
      </c>
      <c r="F1891" t="s">
        <v>31</v>
      </c>
      <c r="G1891">
        <v>1040</v>
      </c>
      <c r="H1891" t="s">
        <v>1824</v>
      </c>
      <c r="I1891" t="s">
        <v>6510</v>
      </c>
      <c r="J1891" t="s">
        <v>9729</v>
      </c>
      <c r="K1891">
        <v>190970</v>
      </c>
      <c r="L1891">
        <v>44866</v>
      </c>
      <c r="M1891" t="s">
        <v>967</v>
      </c>
      <c r="N1891">
        <v>190970</v>
      </c>
      <c r="O1891" t="e">
        <v>#N/A</v>
      </c>
    </row>
    <row r="1892" spans="2:15" x14ac:dyDescent="0.3">
      <c r="B1892" t="s">
        <v>41</v>
      </c>
      <c r="C1892">
        <v>926</v>
      </c>
      <c r="D1892" t="s">
        <v>42</v>
      </c>
      <c r="E1892">
        <v>964</v>
      </c>
      <c r="F1892" t="s">
        <v>43</v>
      </c>
      <c r="G1892">
        <v>200998</v>
      </c>
      <c r="H1892" t="s">
        <v>1824</v>
      </c>
      <c r="I1892" t="s">
        <v>9730</v>
      </c>
      <c r="J1892" t="s">
        <v>9731</v>
      </c>
      <c r="K1892">
        <v>2100</v>
      </c>
      <c r="L1892">
        <v>44866</v>
      </c>
      <c r="M1892" t="s">
        <v>1845</v>
      </c>
      <c r="N1892" t="e">
        <v>#N/A</v>
      </c>
      <c r="O1892" t="e">
        <v>#N/A</v>
      </c>
    </row>
    <row r="1893" spans="2:15" hidden="1" x14ac:dyDescent="0.3">
      <c r="B1893" t="s">
        <v>8</v>
      </c>
      <c r="C1893">
        <v>928</v>
      </c>
      <c r="D1893" t="s">
        <v>13</v>
      </c>
      <c r="E1893">
        <v>1184</v>
      </c>
      <c r="F1893" t="s">
        <v>102</v>
      </c>
      <c r="G1893">
        <v>917</v>
      </c>
      <c r="H1893" t="s">
        <v>1824</v>
      </c>
      <c r="I1893" t="s">
        <v>6511</v>
      </c>
      <c r="J1893" t="s">
        <v>9732</v>
      </c>
      <c r="K1893">
        <v>212440</v>
      </c>
      <c r="L1893">
        <v>44866</v>
      </c>
      <c r="M1893" t="s">
        <v>820</v>
      </c>
      <c r="N1893">
        <v>212440</v>
      </c>
      <c r="O1893" t="e">
        <v>#N/A</v>
      </c>
    </row>
    <row r="1894" spans="2:15" hidden="1" x14ac:dyDescent="0.3">
      <c r="B1894" t="s">
        <v>16</v>
      </c>
      <c r="C1894">
        <v>927</v>
      </c>
      <c r="D1894" t="s">
        <v>17</v>
      </c>
      <c r="E1894">
        <v>1200</v>
      </c>
      <c r="F1894" t="s">
        <v>66</v>
      </c>
      <c r="G1894">
        <v>33</v>
      </c>
      <c r="H1894" t="s">
        <v>1824</v>
      </c>
      <c r="I1894" t="s">
        <v>6512</v>
      </c>
      <c r="J1894" t="s">
        <v>9733</v>
      </c>
      <c r="K1894">
        <v>592350</v>
      </c>
      <c r="L1894">
        <v>44866</v>
      </c>
      <c r="M1894" t="s">
        <v>521</v>
      </c>
      <c r="N1894">
        <v>592350</v>
      </c>
      <c r="O1894" t="e">
        <v>#N/A</v>
      </c>
    </row>
    <row r="1895" spans="2:15" hidden="1" x14ac:dyDescent="0.3">
      <c r="B1895" t="s">
        <v>16</v>
      </c>
      <c r="C1895">
        <v>927</v>
      </c>
      <c r="D1895" t="s">
        <v>17</v>
      </c>
      <c r="E1895">
        <v>1200</v>
      </c>
      <c r="F1895" t="s">
        <v>66</v>
      </c>
      <c r="G1895">
        <v>33</v>
      </c>
      <c r="H1895" t="s">
        <v>1824</v>
      </c>
      <c r="I1895" t="s">
        <v>6513</v>
      </c>
      <c r="J1895" t="s">
        <v>9734</v>
      </c>
      <c r="K1895">
        <v>86960</v>
      </c>
      <c r="L1895">
        <v>44866</v>
      </c>
      <c r="M1895" t="s">
        <v>970</v>
      </c>
      <c r="N1895">
        <v>86960</v>
      </c>
      <c r="O1895" t="e">
        <v>#N/A</v>
      </c>
    </row>
    <row r="1896" spans="2:15" x14ac:dyDescent="0.3">
      <c r="B1896" t="s">
        <v>8</v>
      </c>
      <c r="C1896">
        <v>928</v>
      </c>
      <c r="D1896" t="s">
        <v>13</v>
      </c>
      <c r="E1896">
        <v>1184</v>
      </c>
      <c r="F1896" t="s">
        <v>115</v>
      </c>
      <c r="G1896">
        <v>1548</v>
      </c>
      <c r="H1896" t="s">
        <v>1824</v>
      </c>
      <c r="I1896" t="s">
        <v>9735</v>
      </c>
      <c r="J1896" t="s">
        <v>9736</v>
      </c>
      <c r="K1896">
        <v>8320</v>
      </c>
      <c r="L1896">
        <v>44866</v>
      </c>
      <c r="M1896" t="s">
        <v>871</v>
      </c>
      <c r="N1896" t="e">
        <v>#N/A</v>
      </c>
      <c r="O1896" t="e">
        <v>#N/A</v>
      </c>
    </row>
    <row r="1897" spans="2:15" x14ac:dyDescent="0.3">
      <c r="B1897" t="s">
        <v>8</v>
      </c>
      <c r="C1897">
        <v>928</v>
      </c>
      <c r="D1897" t="s">
        <v>13</v>
      </c>
      <c r="E1897">
        <v>1184</v>
      </c>
      <c r="F1897" t="s">
        <v>115</v>
      </c>
      <c r="G1897">
        <v>1548</v>
      </c>
      <c r="H1897" t="s">
        <v>1824</v>
      </c>
      <c r="I1897" t="s">
        <v>9737</v>
      </c>
      <c r="J1897" t="s">
        <v>9738</v>
      </c>
      <c r="K1897">
        <v>180</v>
      </c>
      <c r="L1897">
        <v>44866</v>
      </c>
      <c r="M1897" t="s">
        <v>1846</v>
      </c>
      <c r="N1897" t="e">
        <v>#N/A</v>
      </c>
      <c r="O1897" t="e">
        <v>#N/A</v>
      </c>
    </row>
    <row r="1898" spans="2:15" x14ac:dyDescent="0.3">
      <c r="B1898" t="s">
        <v>41</v>
      </c>
      <c r="C1898">
        <v>926</v>
      </c>
      <c r="D1898" t="s">
        <v>56</v>
      </c>
      <c r="E1898">
        <v>1207</v>
      </c>
      <c r="F1898" t="s">
        <v>64</v>
      </c>
      <c r="G1898">
        <v>201011</v>
      </c>
      <c r="H1898" t="s">
        <v>1824</v>
      </c>
      <c r="I1898" t="s">
        <v>9739</v>
      </c>
      <c r="J1898" t="s">
        <v>9740</v>
      </c>
      <c r="K1898">
        <v>6300</v>
      </c>
      <c r="L1898">
        <v>44866</v>
      </c>
      <c r="M1898" t="s">
        <v>1374</v>
      </c>
      <c r="N1898" t="e">
        <v>#N/A</v>
      </c>
      <c r="O1898" t="e">
        <v>#N/A</v>
      </c>
    </row>
    <row r="1899" spans="2:15" hidden="1" x14ac:dyDescent="0.3">
      <c r="B1899" t="s">
        <v>8</v>
      </c>
      <c r="C1899">
        <v>928</v>
      </c>
      <c r="D1899" t="s">
        <v>13</v>
      </c>
      <c r="E1899">
        <v>1184</v>
      </c>
      <c r="F1899" t="s">
        <v>51</v>
      </c>
      <c r="G1899">
        <v>1274</v>
      </c>
      <c r="H1899" t="s">
        <v>1824</v>
      </c>
      <c r="I1899" t="s">
        <v>6518</v>
      </c>
      <c r="J1899" t="s">
        <v>9741</v>
      </c>
      <c r="K1899">
        <v>42880</v>
      </c>
      <c r="L1899">
        <v>44866</v>
      </c>
      <c r="M1899" t="s">
        <v>1847</v>
      </c>
      <c r="N1899">
        <v>42880</v>
      </c>
      <c r="O1899" t="e">
        <v>#N/A</v>
      </c>
    </row>
    <row r="1900" spans="2:15" hidden="1" x14ac:dyDescent="0.3">
      <c r="B1900" t="s">
        <v>16</v>
      </c>
      <c r="C1900">
        <v>927</v>
      </c>
      <c r="D1900" t="s">
        <v>17</v>
      </c>
      <c r="E1900">
        <v>1200</v>
      </c>
      <c r="F1900" t="s">
        <v>66</v>
      </c>
      <c r="G1900">
        <v>33</v>
      </c>
      <c r="H1900" t="s">
        <v>1824</v>
      </c>
      <c r="I1900" t="s">
        <v>6519</v>
      </c>
      <c r="J1900" t="s">
        <v>9742</v>
      </c>
      <c r="K1900">
        <v>24320</v>
      </c>
      <c r="L1900">
        <v>44866</v>
      </c>
      <c r="M1900" t="s">
        <v>1848</v>
      </c>
      <c r="N1900">
        <v>24320</v>
      </c>
      <c r="O1900" t="e">
        <v>#N/A</v>
      </c>
    </row>
    <row r="1901" spans="2:15" hidden="1" x14ac:dyDescent="0.3">
      <c r="B1901" t="s">
        <v>41</v>
      </c>
      <c r="C1901">
        <v>926</v>
      </c>
      <c r="D1901" t="s">
        <v>56</v>
      </c>
      <c r="E1901">
        <v>1207</v>
      </c>
      <c r="F1901" t="s">
        <v>64</v>
      </c>
      <c r="G1901">
        <v>201011</v>
      </c>
      <c r="H1901" t="s">
        <v>1824</v>
      </c>
      <c r="I1901" t="s">
        <v>6520</v>
      </c>
      <c r="J1901" t="s">
        <v>7024</v>
      </c>
      <c r="K1901">
        <v>21010</v>
      </c>
      <c r="L1901">
        <v>44866</v>
      </c>
      <c r="M1901" t="s">
        <v>1738</v>
      </c>
      <c r="N1901">
        <v>21010</v>
      </c>
      <c r="O1901" t="s">
        <v>9743</v>
      </c>
    </row>
    <row r="1902" spans="2:15" x14ac:dyDescent="0.3">
      <c r="B1902" t="s">
        <v>8</v>
      </c>
      <c r="C1902">
        <v>928</v>
      </c>
      <c r="D1902" t="s">
        <v>9</v>
      </c>
      <c r="E1902">
        <v>1202</v>
      </c>
      <c r="F1902" t="s">
        <v>10</v>
      </c>
      <c r="G1902">
        <v>939</v>
      </c>
      <c r="H1902" t="s">
        <v>1824</v>
      </c>
      <c r="I1902" t="s">
        <v>9744</v>
      </c>
      <c r="J1902" t="s">
        <v>9745</v>
      </c>
      <c r="K1902">
        <v>203620</v>
      </c>
      <c r="L1902">
        <v>44866</v>
      </c>
      <c r="M1902" t="s">
        <v>731</v>
      </c>
      <c r="N1902" t="e">
        <v>#N/A</v>
      </c>
      <c r="O1902" t="e">
        <v>#N/A</v>
      </c>
    </row>
    <row r="1903" spans="2:15" hidden="1" x14ac:dyDescent="0.3">
      <c r="B1903" t="s">
        <v>16</v>
      </c>
      <c r="C1903">
        <v>927</v>
      </c>
      <c r="D1903" t="s">
        <v>17</v>
      </c>
      <c r="E1903">
        <v>1200</v>
      </c>
      <c r="F1903" t="s">
        <v>66</v>
      </c>
      <c r="G1903">
        <v>33</v>
      </c>
      <c r="H1903" t="s">
        <v>1824</v>
      </c>
      <c r="I1903" t="s">
        <v>6522</v>
      </c>
      <c r="J1903" t="s">
        <v>9746</v>
      </c>
      <c r="K1903">
        <v>22430</v>
      </c>
      <c r="L1903">
        <v>44866</v>
      </c>
      <c r="M1903" t="s">
        <v>501</v>
      </c>
      <c r="N1903">
        <v>22430</v>
      </c>
      <c r="O1903" t="e">
        <v>#N/A</v>
      </c>
    </row>
    <row r="1904" spans="2:15" hidden="1" x14ac:dyDescent="0.3">
      <c r="B1904" t="s">
        <v>8</v>
      </c>
      <c r="C1904">
        <v>928</v>
      </c>
      <c r="D1904" t="s">
        <v>9</v>
      </c>
      <c r="E1904">
        <v>1202</v>
      </c>
      <c r="F1904" t="s">
        <v>73</v>
      </c>
      <c r="G1904">
        <v>895</v>
      </c>
      <c r="H1904" t="s">
        <v>1824</v>
      </c>
      <c r="I1904" t="s">
        <v>6523</v>
      </c>
      <c r="J1904" t="s">
        <v>9747</v>
      </c>
      <c r="K1904">
        <v>277390</v>
      </c>
      <c r="L1904">
        <v>44866</v>
      </c>
      <c r="M1904" t="s">
        <v>1631</v>
      </c>
      <c r="N1904">
        <v>277390</v>
      </c>
      <c r="O1904" t="e">
        <v>#N/A</v>
      </c>
    </row>
    <row r="1905" spans="2:15" hidden="1" x14ac:dyDescent="0.3">
      <c r="B1905" t="s">
        <v>8</v>
      </c>
      <c r="C1905">
        <v>928</v>
      </c>
      <c r="D1905" t="s">
        <v>223</v>
      </c>
      <c r="E1905">
        <v>966</v>
      </c>
      <c r="F1905" t="s">
        <v>224</v>
      </c>
      <c r="G1905">
        <v>201008</v>
      </c>
      <c r="H1905" t="s">
        <v>1824</v>
      </c>
      <c r="I1905" t="s">
        <v>6524</v>
      </c>
      <c r="J1905" t="s">
        <v>9748</v>
      </c>
      <c r="K1905">
        <v>69400</v>
      </c>
      <c r="L1905">
        <v>44866</v>
      </c>
      <c r="M1905" t="s">
        <v>572</v>
      </c>
      <c r="N1905">
        <v>69400</v>
      </c>
      <c r="O1905" t="e">
        <v>#N/A</v>
      </c>
    </row>
    <row r="1906" spans="2:15" hidden="1" x14ac:dyDescent="0.3">
      <c r="B1906" t="s">
        <v>8</v>
      </c>
      <c r="C1906">
        <v>928</v>
      </c>
      <c r="D1906" t="s">
        <v>13</v>
      </c>
      <c r="E1906">
        <v>1184</v>
      </c>
      <c r="F1906" t="s">
        <v>335</v>
      </c>
      <c r="G1906">
        <v>201090</v>
      </c>
      <c r="H1906" t="s">
        <v>1824</v>
      </c>
      <c r="I1906" t="s">
        <v>6525</v>
      </c>
      <c r="J1906" t="s">
        <v>9749</v>
      </c>
      <c r="K1906">
        <v>119660</v>
      </c>
      <c r="L1906">
        <v>44866</v>
      </c>
      <c r="M1906" t="s">
        <v>1508</v>
      </c>
      <c r="N1906">
        <v>119660</v>
      </c>
      <c r="O1906" t="e">
        <v>#N/A</v>
      </c>
    </row>
    <row r="1907" spans="2:15" hidden="1" x14ac:dyDescent="0.3">
      <c r="B1907" t="s">
        <v>176</v>
      </c>
      <c r="C1907">
        <v>1204</v>
      </c>
      <c r="D1907" t="s">
        <v>177</v>
      </c>
      <c r="E1907">
        <v>1205</v>
      </c>
      <c r="F1907" t="s">
        <v>178</v>
      </c>
      <c r="G1907">
        <v>201073</v>
      </c>
      <c r="H1907" t="s">
        <v>1824</v>
      </c>
      <c r="I1907" t="s">
        <v>6527</v>
      </c>
      <c r="J1907" t="s">
        <v>9750</v>
      </c>
      <c r="K1907">
        <v>44410</v>
      </c>
      <c r="L1907">
        <v>44866</v>
      </c>
      <c r="M1907" t="s">
        <v>777</v>
      </c>
      <c r="N1907">
        <v>44410</v>
      </c>
      <c r="O1907" t="e">
        <v>#N/A</v>
      </c>
    </row>
    <row r="1908" spans="2:15" hidden="1" x14ac:dyDescent="0.3">
      <c r="B1908" t="s">
        <v>8</v>
      </c>
      <c r="C1908">
        <v>928</v>
      </c>
      <c r="D1908" t="s">
        <v>13</v>
      </c>
      <c r="E1908">
        <v>1184</v>
      </c>
      <c r="F1908" t="s">
        <v>127</v>
      </c>
      <c r="G1908">
        <v>201029</v>
      </c>
      <c r="H1908" t="s">
        <v>1824</v>
      </c>
      <c r="I1908" t="s">
        <v>6528</v>
      </c>
      <c r="J1908" t="s">
        <v>9751</v>
      </c>
      <c r="K1908">
        <v>23670</v>
      </c>
      <c r="L1908">
        <v>44866</v>
      </c>
      <c r="M1908" t="s">
        <v>449</v>
      </c>
      <c r="N1908">
        <v>23670</v>
      </c>
      <c r="O1908" t="e">
        <v>#N/A</v>
      </c>
    </row>
    <row r="1909" spans="2:15" hidden="1" x14ac:dyDescent="0.3">
      <c r="B1909" t="s">
        <v>8</v>
      </c>
      <c r="C1909">
        <v>928</v>
      </c>
      <c r="D1909" t="s">
        <v>13</v>
      </c>
      <c r="E1909">
        <v>1184</v>
      </c>
      <c r="F1909" t="s">
        <v>127</v>
      </c>
      <c r="G1909">
        <v>201029</v>
      </c>
      <c r="H1909" t="s">
        <v>1824</v>
      </c>
      <c r="I1909" t="s">
        <v>6529</v>
      </c>
      <c r="J1909" t="s">
        <v>9752</v>
      </c>
      <c r="K1909">
        <v>5370</v>
      </c>
      <c r="L1909">
        <v>44866</v>
      </c>
      <c r="M1909" t="s">
        <v>449</v>
      </c>
      <c r="N1909">
        <v>5370</v>
      </c>
      <c r="O1909" t="e">
        <v>#N/A</v>
      </c>
    </row>
    <row r="1910" spans="2:15" hidden="1" x14ac:dyDescent="0.3">
      <c r="B1910" t="s">
        <v>8</v>
      </c>
      <c r="C1910">
        <v>928</v>
      </c>
      <c r="D1910" t="s">
        <v>13</v>
      </c>
      <c r="E1910">
        <v>1184</v>
      </c>
      <c r="F1910" t="s">
        <v>217</v>
      </c>
      <c r="G1910">
        <v>201027</v>
      </c>
      <c r="H1910" t="s">
        <v>1824</v>
      </c>
      <c r="I1910" t="s">
        <v>6530</v>
      </c>
      <c r="J1910" t="s">
        <v>9753</v>
      </c>
      <c r="K1910">
        <v>4700</v>
      </c>
      <c r="L1910">
        <v>44866</v>
      </c>
      <c r="M1910" t="s">
        <v>1592</v>
      </c>
      <c r="N1910">
        <v>4700</v>
      </c>
      <c r="O1910" t="e">
        <v>#N/A</v>
      </c>
    </row>
    <row r="1911" spans="2:15" hidden="1" x14ac:dyDescent="0.3">
      <c r="B1911" t="s">
        <v>16</v>
      </c>
      <c r="C1911">
        <v>927</v>
      </c>
      <c r="D1911" t="s">
        <v>17</v>
      </c>
      <c r="E1911">
        <v>1200</v>
      </c>
      <c r="F1911" t="s">
        <v>66</v>
      </c>
      <c r="G1911">
        <v>33</v>
      </c>
      <c r="H1911" t="s">
        <v>1824</v>
      </c>
      <c r="I1911" t="s">
        <v>6531</v>
      </c>
      <c r="J1911" t="s">
        <v>9754</v>
      </c>
      <c r="K1911">
        <v>1090</v>
      </c>
      <c r="L1911">
        <v>44866</v>
      </c>
      <c r="M1911" t="s">
        <v>1677</v>
      </c>
      <c r="N1911">
        <v>1090</v>
      </c>
      <c r="O1911" t="e">
        <v>#N/A</v>
      </c>
    </row>
    <row r="1912" spans="2:15" hidden="1" x14ac:dyDescent="0.3">
      <c r="B1912" t="s">
        <v>8</v>
      </c>
      <c r="C1912">
        <v>928</v>
      </c>
      <c r="D1912" t="s">
        <v>9</v>
      </c>
      <c r="E1912">
        <v>1202</v>
      </c>
      <c r="F1912" t="s">
        <v>20</v>
      </c>
      <c r="G1912">
        <v>938</v>
      </c>
      <c r="H1912" t="s">
        <v>1824</v>
      </c>
      <c r="I1912" t="s">
        <v>6534</v>
      </c>
      <c r="J1912" t="s">
        <v>9755</v>
      </c>
      <c r="K1912">
        <v>274400</v>
      </c>
      <c r="L1912">
        <v>44866</v>
      </c>
      <c r="M1912" t="s">
        <v>1039</v>
      </c>
      <c r="N1912">
        <v>274400</v>
      </c>
      <c r="O1912" t="e">
        <v>#N/A</v>
      </c>
    </row>
    <row r="1913" spans="2:15" hidden="1" x14ac:dyDescent="0.3">
      <c r="B1913" t="s">
        <v>8</v>
      </c>
      <c r="C1913">
        <v>928</v>
      </c>
      <c r="D1913" t="s">
        <v>9</v>
      </c>
      <c r="E1913">
        <v>1202</v>
      </c>
      <c r="F1913" t="s">
        <v>20</v>
      </c>
      <c r="G1913">
        <v>938</v>
      </c>
      <c r="H1913" t="s">
        <v>1824</v>
      </c>
      <c r="I1913" t="s">
        <v>6535</v>
      </c>
      <c r="J1913" t="s">
        <v>9756</v>
      </c>
      <c r="K1913">
        <v>42320</v>
      </c>
      <c r="L1913">
        <v>44866</v>
      </c>
      <c r="M1913" t="s">
        <v>393</v>
      </c>
      <c r="N1913">
        <v>42320</v>
      </c>
      <c r="O1913" t="e">
        <v>#N/A</v>
      </c>
    </row>
    <row r="1914" spans="2:15" hidden="1" x14ac:dyDescent="0.3">
      <c r="B1914" t="s">
        <v>8</v>
      </c>
      <c r="C1914">
        <v>928</v>
      </c>
      <c r="D1914" t="s">
        <v>13</v>
      </c>
      <c r="E1914">
        <v>1184</v>
      </c>
      <c r="F1914" t="s">
        <v>102</v>
      </c>
      <c r="G1914">
        <v>917</v>
      </c>
      <c r="H1914" t="s">
        <v>1824</v>
      </c>
      <c r="I1914" t="s">
        <v>6536</v>
      </c>
      <c r="J1914" t="s">
        <v>9757</v>
      </c>
      <c r="K1914">
        <v>371560</v>
      </c>
      <c r="L1914">
        <v>44866</v>
      </c>
      <c r="M1914" t="s">
        <v>377</v>
      </c>
      <c r="N1914">
        <v>371560</v>
      </c>
      <c r="O1914" t="e">
        <v>#N/A</v>
      </c>
    </row>
    <row r="1915" spans="2:15" hidden="1" x14ac:dyDescent="0.3">
      <c r="B1915" t="s">
        <v>8</v>
      </c>
      <c r="C1915">
        <v>928</v>
      </c>
      <c r="D1915" t="s">
        <v>13</v>
      </c>
      <c r="E1915">
        <v>1184</v>
      </c>
      <c r="F1915" t="s">
        <v>102</v>
      </c>
      <c r="G1915">
        <v>917</v>
      </c>
      <c r="H1915" t="s">
        <v>1824</v>
      </c>
      <c r="I1915" t="s">
        <v>6537</v>
      </c>
      <c r="J1915" t="s">
        <v>9758</v>
      </c>
      <c r="K1915">
        <v>59360</v>
      </c>
      <c r="L1915">
        <v>44866</v>
      </c>
      <c r="M1915" t="s">
        <v>807</v>
      </c>
      <c r="N1915">
        <v>59360</v>
      </c>
      <c r="O1915" t="e">
        <v>#N/A</v>
      </c>
    </row>
    <row r="1916" spans="2:15" x14ac:dyDescent="0.3">
      <c r="B1916" t="s">
        <v>8</v>
      </c>
      <c r="C1916">
        <v>928</v>
      </c>
      <c r="D1916" t="s">
        <v>13</v>
      </c>
      <c r="E1916">
        <v>1184</v>
      </c>
      <c r="F1916" t="s">
        <v>102</v>
      </c>
      <c r="G1916">
        <v>917</v>
      </c>
      <c r="H1916" t="s">
        <v>1824</v>
      </c>
      <c r="I1916" t="s">
        <v>9759</v>
      </c>
      <c r="J1916" t="s">
        <v>9760</v>
      </c>
      <c r="K1916">
        <v>66290</v>
      </c>
      <c r="L1916">
        <v>44866</v>
      </c>
      <c r="M1916" t="s">
        <v>1849</v>
      </c>
      <c r="N1916" t="e">
        <v>#N/A</v>
      </c>
      <c r="O1916" t="e">
        <v>#N/A</v>
      </c>
    </row>
    <row r="1917" spans="2:15" hidden="1" x14ac:dyDescent="0.3">
      <c r="B1917" t="s">
        <v>8</v>
      </c>
      <c r="C1917">
        <v>928</v>
      </c>
      <c r="D1917" t="s">
        <v>13</v>
      </c>
      <c r="E1917">
        <v>1184</v>
      </c>
      <c r="F1917" t="s">
        <v>102</v>
      </c>
      <c r="G1917">
        <v>917</v>
      </c>
      <c r="H1917" t="s">
        <v>1824</v>
      </c>
      <c r="I1917" t="s">
        <v>6538</v>
      </c>
      <c r="J1917" t="s">
        <v>9761</v>
      </c>
      <c r="K1917">
        <v>280840</v>
      </c>
      <c r="L1917">
        <v>44866</v>
      </c>
      <c r="M1917" t="s">
        <v>808</v>
      </c>
      <c r="N1917">
        <v>280840</v>
      </c>
      <c r="O1917" t="e">
        <v>#N/A</v>
      </c>
    </row>
    <row r="1918" spans="2:15" x14ac:dyDescent="0.3">
      <c r="B1918" t="s">
        <v>8</v>
      </c>
      <c r="C1918">
        <v>928</v>
      </c>
      <c r="D1918" t="s">
        <v>13</v>
      </c>
      <c r="E1918">
        <v>1184</v>
      </c>
      <c r="F1918" t="s">
        <v>102</v>
      </c>
      <c r="G1918">
        <v>917</v>
      </c>
      <c r="H1918" t="s">
        <v>1824</v>
      </c>
      <c r="I1918" t="s">
        <v>9762</v>
      </c>
      <c r="J1918" t="s">
        <v>9763</v>
      </c>
      <c r="K1918">
        <v>17800</v>
      </c>
      <c r="L1918">
        <v>44866</v>
      </c>
      <c r="M1918" t="s">
        <v>1850</v>
      </c>
      <c r="N1918" t="e">
        <v>#N/A</v>
      </c>
      <c r="O1918" t="e">
        <v>#N/A</v>
      </c>
    </row>
    <row r="1919" spans="2:15" hidden="1" x14ac:dyDescent="0.3">
      <c r="B1919" t="s">
        <v>41</v>
      </c>
      <c r="C1919">
        <v>926</v>
      </c>
      <c r="D1919" t="s">
        <v>56</v>
      </c>
      <c r="E1919">
        <v>1207</v>
      </c>
      <c r="F1919" t="s">
        <v>253</v>
      </c>
      <c r="G1919">
        <v>1328</v>
      </c>
      <c r="H1919" t="s">
        <v>1824</v>
      </c>
      <c r="I1919" t="s">
        <v>6539</v>
      </c>
      <c r="J1919" t="s">
        <v>9764</v>
      </c>
      <c r="K1919">
        <v>14030</v>
      </c>
      <c r="L1919">
        <v>44866</v>
      </c>
      <c r="M1919" t="s">
        <v>1389</v>
      </c>
      <c r="N1919">
        <v>14030</v>
      </c>
      <c r="O1919" t="e">
        <v>#N/A</v>
      </c>
    </row>
    <row r="1920" spans="2:15" hidden="1" x14ac:dyDescent="0.3">
      <c r="B1920" t="s">
        <v>41</v>
      </c>
      <c r="C1920">
        <v>926</v>
      </c>
      <c r="D1920" t="s">
        <v>56</v>
      </c>
      <c r="E1920">
        <v>1207</v>
      </c>
      <c r="F1920" t="s">
        <v>253</v>
      </c>
      <c r="G1920">
        <v>1328</v>
      </c>
      <c r="H1920" t="s">
        <v>1824</v>
      </c>
      <c r="I1920" t="s">
        <v>6540</v>
      </c>
      <c r="J1920" t="s">
        <v>9765</v>
      </c>
      <c r="K1920">
        <v>5850</v>
      </c>
      <c r="L1920">
        <v>44866</v>
      </c>
      <c r="M1920" t="s">
        <v>861</v>
      </c>
      <c r="N1920">
        <v>5850</v>
      </c>
      <c r="O1920" t="e">
        <v>#N/A</v>
      </c>
    </row>
    <row r="1921" spans="2:15" hidden="1" x14ac:dyDescent="0.3">
      <c r="B1921" t="s">
        <v>8</v>
      </c>
      <c r="C1921">
        <v>928</v>
      </c>
      <c r="D1921" t="s">
        <v>13</v>
      </c>
      <c r="E1921">
        <v>1184</v>
      </c>
      <c r="F1921" t="s">
        <v>14</v>
      </c>
      <c r="G1921">
        <v>914</v>
      </c>
      <c r="H1921" t="s">
        <v>1824</v>
      </c>
      <c r="I1921" t="s">
        <v>6542</v>
      </c>
      <c r="J1921" t="s">
        <v>9766</v>
      </c>
      <c r="K1921">
        <v>207390</v>
      </c>
      <c r="L1921">
        <v>44866</v>
      </c>
      <c r="M1921" t="s">
        <v>569</v>
      </c>
      <c r="N1921">
        <v>207390</v>
      </c>
      <c r="O1921" t="e">
        <v>#N/A</v>
      </c>
    </row>
    <row r="1922" spans="2:15" hidden="1" x14ac:dyDescent="0.3">
      <c r="B1922" t="s">
        <v>8</v>
      </c>
      <c r="C1922">
        <v>928</v>
      </c>
      <c r="D1922" t="s">
        <v>13</v>
      </c>
      <c r="E1922">
        <v>1184</v>
      </c>
      <c r="F1922" t="s">
        <v>51</v>
      </c>
      <c r="G1922">
        <v>1274</v>
      </c>
      <c r="H1922" t="s">
        <v>1824</v>
      </c>
      <c r="I1922" t="s">
        <v>6543</v>
      </c>
      <c r="J1922" t="s">
        <v>9767</v>
      </c>
      <c r="K1922">
        <v>219150</v>
      </c>
      <c r="L1922">
        <v>44866</v>
      </c>
      <c r="M1922" t="s">
        <v>658</v>
      </c>
      <c r="N1922">
        <v>219150</v>
      </c>
      <c r="O1922" t="e">
        <v>#N/A</v>
      </c>
    </row>
    <row r="1923" spans="2:15" hidden="1" x14ac:dyDescent="0.3">
      <c r="B1923" t="s">
        <v>8</v>
      </c>
      <c r="C1923">
        <v>928</v>
      </c>
      <c r="D1923" t="s">
        <v>13</v>
      </c>
      <c r="E1923">
        <v>1184</v>
      </c>
      <c r="F1923" t="s">
        <v>51</v>
      </c>
      <c r="G1923">
        <v>1274</v>
      </c>
      <c r="H1923" t="s">
        <v>1824</v>
      </c>
      <c r="I1923" t="s">
        <v>6544</v>
      </c>
      <c r="J1923" t="s">
        <v>9768</v>
      </c>
      <c r="K1923">
        <v>440</v>
      </c>
      <c r="L1923">
        <v>44866</v>
      </c>
      <c r="M1923" t="s">
        <v>1851</v>
      </c>
      <c r="N1923">
        <v>440</v>
      </c>
      <c r="O1923" t="e">
        <v>#N/A</v>
      </c>
    </row>
    <row r="1924" spans="2:15" hidden="1" x14ac:dyDescent="0.3">
      <c r="B1924" t="s">
        <v>8</v>
      </c>
      <c r="C1924">
        <v>928</v>
      </c>
      <c r="D1924" t="s">
        <v>13</v>
      </c>
      <c r="E1924">
        <v>1184</v>
      </c>
      <c r="F1924" t="s">
        <v>335</v>
      </c>
      <c r="G1924">
        <v>201090</v>
      </c>
      <c r="H1924" t="s">
        <v>1824</v>
      </c>
      <c r="I1924" t="s">
        <v>6545</v>
      </c>
      <c r="J1924" t="s">
        <v>9769</v>
      </c>
      <c r="K1924">
        <v>22930</v>
      </c>
      <c r="L1924">
        <v>44866</v>
      </c>
      <c r="M1924" t="s">
        <v>474</v>
      </c>
      <c r="N1924">
        <v>22930</v>
      </c>
      <c r="O1924" t="e">
        <v>#N/A</v>
      </c>
    </row>
    <row r="1925" spans="2:15" hidden="1" x14ac:dyDescent="0.3">
      <c r="B1925" t="s">
        <v>8</v>
      </c>
      <c r="C1925">
        <v>928</v>
      </c>
      <c r="D1925" t="s">
        <v>13</v>
      </c>
      <c r="E1925">
        <v>1184</v>
      </c>
      <c r="F1925" t="s">
        <v>51</v>
      </c>
      <c r="G1925">
        <v>1274</v>
      </c>
      <c r="H1925" t="s">
        <v>1824</v>
      </c>
      <c r="I1925" t="s">
        <v>6547</v>
      </c>
      <c r="J1925" t="s">
        <v>9770</v>
      </c>
      <c r="K1925">
        <v>630</v>
      </c>
      <c r="L1925">
        <v>44866</v>
      </c>
      <c r="M1925" t="s">
        <v>247</v>
      </c>
      <c r="N1925">
        <v>630</v>
      </c>
      <c r="O1925" t="e">
        <v>#N/A</v>
      </c>
    </row>
    <row r="1926" spans="2:15" hidden="1" x14ac:dyDescent="0.3">
      <c r="B1926" t="s">
        <v>8</v>
      </c>
      <c r="C1926">
        <v>928</v>
      </c>
      <c r="D1926" t="s">
        <v>13</v>
      </c>
      <c r="E1926">
        <v>1184</v>
      </c>
      <c r="F1926" t="s">
        <v>51</v>
      </c>
      <c r="G1926">
        <v>1274</v>
      </c>
      <c r="H1926" t="s">
        <v>1824</v>
      </c>
      <c r="I1926" t="s">
        <v>6549</v>
      </c>
      <c r="J1926" t="s">
        <v>9771</v>
      </c>
      <c r="K1926">
        <v>15490</v>
      </c>
      <c r="L1926">
        <v>44866</v>
      </c>
      <c r="M1926" t="s">
        <v>1852</v>
      </c>
      <c r="N1926">
        <v>15490</v>
      </c>
      <c r="O1926" t="e">
        <v>#N/A</v>
      </c>
    </row>
    <row r="1927" spans="2:15" x14ac:dyDescent="0.3">
      <c r="B1927" t="s">
        <v>8</v>
      </c>
      <c r="C1927">
        <v>928</v>
      </c>
      <c r="D1927" t="s">
        <v>9</v>
      </c>
      <c r="E1927">
        <v>1202</v>
      </c>
      <c r="F1927" t="s">
        <v>10</v>
      </c>
      <c r="G1927">
        <v>939</v>
      </c>
      <c r="H1927" t="s">
        <v>1824</v>
      </c>
      <c r="I1927" t="s">
        <v>9772</v>
      </c>
      <c r="J1927" t="s">
        <v>9773</v>
      </c>
      <c r="K1927">
        <v>34190</v>
      </c>
      <c r="L1927">
        <v>44866</v>
      </c>
      <c r="M1927" t="s">
        <v>134</v>
      </c>
      <c r="N1927" t="e">
        <v>#N/A</v>
      </c>
      <c r="O1927" t="e">
        <v>#N/A</v>
      </c>
    </row>
    <row r="1928" spans="2:15" x14ac:dyDescent="0.3">
      <c r="B1928" t="s">
        <v>8</v>
      </c>
      <c r="C1928">
        <v>928</v>
      </c>
      <c r="D1928" t="s">
        <v>9</v>
      </c>
      <c r="E1928">
        <v>1202</v>
      </c>
      <c r="F1928" t="s">
        <v>39</v>
      </c>
      <c r="G1928">
        <v>25</v>
      </c>
      <c r="H1928" t="s">
        <v>1824</v>
      </c>
      <c r="I1928" t="s">
        <v>9774</v>
      </c>
      <c r="J1928" t="s">
        <v>9775</v>
      </c>
      <c r="K1928">
        <v>29800</v>
      </c>
      <c r="L1928">
        <v>44866</v>
      </c>
      <c r="M1928" t="s">
        <v>773</v>
      </c>
      <c r="N1928" t="e">
        <v>#N/A</v>
      </c>
      <c r="O1928" t="e">
        <v>#N/A</v>
      </c>
    </row>
    <row r="1929" spans="2:15" x14ac:dyDescent="0.3">
      <c r="B1929" t="s">
        <v>8</v>
      </c>
      <c r="C1929">
        <v>928</v>
      </c>
      <c r="D1929" t="s">
        <v>9</v>
      </c>
      <c r="E1929">
        <v>1202</v>
      </c>
      <c r="F1929" t="s">
        <v>39</v>
      </c>
      <c r="G1929">
        <v>25</v>
      </c>
      <c r="H1929" t="s">
        <v>1824</v>
      </c>
      <c r="I1929" t="s">
        <v>9776</v>
      </c>
      <c r="J1929" t="s">
        <v>9777</v>
      </c>
      <c r="K1929">
        <v>18530</v>
      </c>
      <c r="L1929">
        <v>44866</v>
      </c>
      <c r="M1929" t="s">
        <v>790</v>
      </c>
      <c r="N1929" t="e">
        <v>#N/A</v>
      </c>
      <c r="O1929" t="e">
        <v>#N/A</v>
      </c>
    </row>
    <row r="1930" spans="2:15" x14ac:dyDescent="0.3">
      <c r="B1930" t="s">
        <v>41</v>
      </c>
      <c r="C1930">
        <v>926</v>
      </c>
      <c r="D1930" t="s">
        <v>56</v>
      </c>
      <c r="E1930">
        <v>1207</v>
      </c>
      <c r="F1930" t="s">
        <v>57</v>
      </c>
      <c r="G1930">
        <v>200982</v>
      </c>
      <c r="H1930" t="s">
        <v>1824</v>
      </c>
      <c r="I1930" t="s">
        <v>9778</v>
      </c>
      <c r="J1930" t="s">
        <v>9779</v>
      </c>
      <c r="K1930">
        <v>35720</v>
      </c>
      <c r="L1930">
        <v>44866</v>
      </c>
      <c r="M1930" t="s">
        <v>1853</v>
      </c>
      <c r="N1930" t="e">
        <v>#N/A</v>
      </c>
      <c r="O1930" t="e">
        <v>#N/A</v>
      </c>
    </row>
    <row r="1931" spans="2:15" hidden="1" x14ac:dyDescent="0.3">
      <c r="B1931" t="s">
        <v>8</v>
      </c>
      <c r="C1931">
        <v>928</v>
      </c>
      <c r="D1931" t="s">
        <v>223</v>
      </c>
      <c r="E1931">
        <v>966</v>
      </c>
      <c r="F1931" t="s">
        <v>224</v>
      </c>
      <c r="G1931">
        <v>201008</v>
      </c>
      <c r="H1931" t="s">
        <v>1824</v>
      </c>
      <c r="I1931" t="s">
        <v>6551</v>
      </c>
      <c r="J1931" t="s">
        <v>9780</v>
      </c>
      <c r="K1931">
        <v>3940</v>
      </c>
      <c r="L1931">
        <v>44866</v>
      </c>
      <c r="M1931" t="s">
        <v>1223</v>
      </c>
      <c r="N1931">
        <v>3940</v>
      </c>
      <c r="O1931" t="e">
        <v>#N/A</v>
      </c>
    </row>
    <row r="1932" spans="2:15" x14ac:dyDescent="0.3">
      <c r="B1932" t="s">
        <v>176</v>
      </c>
      <c r="C1932">
        <v>1204</v>
      </c>
      <c r="D1932" t="s">
        <v>177</v>
      </c>
      <c r="E1932">
        <v>1205</v>
      </c>
      <c r="F1932" t="s">
        <v>178</v>
      </c>
      <c r="G1932">
        <v>201073</v>
      </c>
      <c r="H1932" t="s">
        <v>1824</v>
      </c>
      <c r="I1932" t="s">
        <v>9781</v>
      </c>
      <c r="J1932" t="s">
        <v>9782</v>
      </c>
      <c r="K1932">
        <v>304530</v>
      </c>
      <c r="L1932">
        <v>44866</v>
      </c>
      <c r="M1932" t="s">
        <v>511</v>
      </c>
      <c r="N1932" t="e">
        <v>#N/A</v>
      </c>
      <c r="O1932" t="e">
        <v>#N/A</v>
      </c>
    </row>
    <row r="1933" spans="2:15" hidden="1" x14ac:dyDescent="0.3">
      <c r="B1933" t="s">
        <v>41</v>
      </c>
      <c r="C1933">
        <v>926</v>
      </c>
      <c r="D1933" t="s">
        <v>56</v>
      </c>
      <c r="E1933">
        <v>1207</v>
      </c>
      <c r="F1933" t="s">
        <v>57</v>
      </c>
      <c r="G1933">
        <v>200982</v>
      </c>
      <c r="H1933" t="s">
        <v>1824</v>
      </c>
      <c r="I1933" t="s">
        <v>6555</v>
      </c>
      <c r="J1933" t="s">
        <v>9783</v>
      </c>
      <c r="K1933">
        <v>138810</v>
      </c>
      <c r="L1933">
        <v>44866</v>
      </c>
      <c r="M1933" t="s">
        <v>1137</v>
      </c>
      <c r="N1933">
        <v>138810</v>
      </c>
      <c r="O1933" t="e">
        <v>#N/A</v>
      </c>
    </row>
    <row r="1934" spans="2:15" x14ac:dyDescent="0.3">
      <c r="B1934" t="s">
        <v>41</v>
      </c>
      <c r="C1934">
        <v>926</v>
      </c>
      <c r="D1934" t="s">
        <v>56</v>
      </c>
      <c r="E1934">
        <v>1207</v>
      </c>
      <c r="F1934" t="s">
        <v>64</v>
      </c>
      <c r="G1934">
        <v>201011</v>
      </c>
      <c r="H1934" t="s">
        <v>1824</v>
      </c>
      <c r="I1934" t="s">
        <v>9784</v>
      </c>
      <c r="J1934" t="s">
        <v>9785</v>
      </c>
      <c r="K1934">
        <v>154450</v>
      </c>
      <c r="L1934">
        <v>44866</v>
      </c>
      <c r="M1934" t="s">
        <v>1854</v>
      </c>
      <c r="N1934" t="e">
        <v>#N/A</v>
      </c>
      <c r="O1934" t="e">
        <v>#N/A</v>
      </c>
    </row>
    <row r="1935" spans="2:15" hidden="1" x14ac:dyDescent="0.3">
      <c r="B1935" t="s">
        <v>8</v>
      </c>
      <c r="C1935">
        <v>928</v>
      </c>
      <c r="D1935" t="s">
        <v>13</v>
      </c>
      <c r="E1935">
        <v>1184</v>
      </c>
      <c r="F1935" t="s">
        <v>217</v>
      </c>
      <c r="G1935">
        <v>201027</v>
      </c>
      <c r="H1935" t="s">
        <v>1824</v>
      </c>
      <c r="I1935" t="s">
        <v>6559</v>
      </c>
      <c r="J1935" t="s">
        <v>9786</v>
      </c>
      <c r="K1935">
        <v>2790</v>
      </c>
      <c r="L1935">
        <v>44866</v>
      </c>
      <c r="M1935" t="s">
        <v>1855</v>
      </c>
      <c r="N1935">
        <v>2790</v>
      </c>
      <c r="O1935" t="e">
        <v>#N/A</v>
      </c>
    </row>
    <row r="1936" spans="2:15" x14ac:dyDescent="0.3">
      <c r="B1936" t="s">
        <v>16</v>
      </c>
      <c r="C1936">
        <v>927</v>
      </c>
      <c r="D1936" t="s">
        <v>17</v>
      </c>
      <c r="E1936">
        <v>1200</v>
      </c>
      <c r="F1936" t="s">
        <v>96</v>
      </c>
      <c r="G1936">
        <v>1271</v>
      </c>
      <c r="H1936" t="s">
        <v>1824</v>
      </c>
      <c r="I1936" t="s">
        <v>9787</v>
      </c>
      <c r="J1936" t="s">
        <v>9788</v>
      </c>
      <c r="K1936">
        <v>49630</v>
      </c>
      <c r="L1936">
        <v>44866</v>
      </c>
      <c r="M1936" t="s">
        <v>776</v>
      </c>
      <c r="N1936" t="e">
        <v>#N/A</v>
      </c>
      <c r="O1936" t="e">
        <v>#N/A</v>
      </c>
    </row>
    <row r="1937" spans="2:15" x14ac:dyDescent="0.3">
      <c r="B1937" t="s">
        <v>8</v>
      </c>
      <c r="C1937">
        <v>928</v>
      </c>
      <c r="D1937" t="s">
        <v>13</v>
      </c>
      <c r="E1937">
        <v>1184</v>
      </c>
      <c r="F1937" t="s">
        <v>118</v>
      </c>
      <c r="G1937">
        <v>201004</v>
      </c>
      <c r="H1937" t="s">
        <v>1824</v>
      </c>
      <c r="I1937" t="s">
        <v>9789</v>
      </c>
      <c r="J1937" t="s">
        <v>9790</v>
      </c>
      <c r="K1937">
        <v>99090</v>
      </c>
      <c r="L1937">
        <v>44866</v>
      </c>
      <c r="M1937" t="s">
        <v>1176</v>
      </c>
      <c r="N1937" t="e">
        <v>#N/A</v>
      </c>
      <c r="O1937" t="e">
        <v>#N/A</v>
      </c>
    </row>
    <row r="1938" spans="2:15" hidden="1" x14ac:dyDescent="0.3">
      <c r="B1938" t="s">
        <v>8</v>
      </c>
      <c r="C1938">
        <v>928</v>
      </c>
      <c r="D1938" t="s">
        <v>13</v>
      </c>
      <c r="E1938">
        <v>1184</v>
      </c>
      <c r="F1938" t="s">
        <v>102</v>
      </c>
      <c r="G1938">
        <v>917</v>
      </c>
      <c r="H1938" t="s">
        <v>1824</v>
      </c>
      <c r="I1938" t="s">
        <v>6565</v>
      </c>
      <c r="J1938" t="s">
        <v>9791</v>
      </c>
      <c r="K1938">
        <v>101460</v>
      </c>
      <c r="L1938">
        <v>44866</v>
      </c>
      <c r="M1938" t="s">
        <v>1785</v>
      </c>
      <c r="N1938">
        <v>101460</v>
      </c>
      <c r="O1938" t="e">
        <v>#N/A</v>
      </c>
    </row>
    <row r="1939" spans="2:15" hidden="1" x14ac:dyDescent="0.3">
      <c r="B1939" t="s">
        <v>41</v>
      </c>
      <c r="C1939">
        <v>926</v>
      </c>
      <c r="D1939" t="s">
        <v>56</v>
      </c>
      <c r="E1939">
        <v>1207</v>
      </c>
      <c r="F1939" t="s">
        <v>62</v>
      </c>
      <c r="G1939">
        <v>201037</v>
      </c>
      <c r="H1939" t="s">
        <v>1824</v>
      </c>
      <c r="I1939" t="s">
        <v>6571</v>
      </c>
      <c r="J1939" t="s">
        <v>9792</v>
      </c>
      <c r="K1939">
        <v>48810</v>
      </c>
      <c r="L1939">
        <v>44866</v>
      </c>
      <c r="M1939" t="s">
        <v>1856</v>
      </c>
      <c r="N1939">
        <v>48810</v>
      </c>
      <c r="O1939" t="e">
        <v>#N/A</v>
      </c>
    </row>
    <row r="1940" spans="2:15" hidden="1" x14ac:dyDescent="0.3">
      <c r="B1940" t="s">
        <v>8</v>
      </c>
      <c r="C1940">
        <v>928</v>
      </c>
      <c r="D1940" t="s">
        <v>13</v>
      </c>
      <c r="E1940">
        <v>1184</v>
      </c>
      <c r="F1940" t="s">
        <v>102</v>
      </c>
      <c r="G1940">
        <v>917</v>
      </c>
      <c r="H1940" t="s">
        <v>1824</v>
      </c>
      <c r="I1940" t="s">
        <v>6572</v>
      </c>
      <c r="J1940" t="s">
        <v>9793</v>
      </c>
      <c r="K1940">
        <v>98540</v>
      </c>
      <c r="L1940">
        <v>44866</v>
      </c>
      <c r="M1940" t="s">
        <v>1857</v>
      </c>
      <c r="N1940">
        <v>98540</v>
      </c>
      <c r="O1940" t="e">
        <v>#N/A</v>
      </c>
    </row>
    <row r="1941" spans="2:15" x14ac:dyDescent="0.3">
      <c r="B1941" t="s">
        <v>8</v>
      </c>
      <c r="C1941">
        <v>928</v>
      </c>
      <c r="D1941" t="s">
        <v>9</v>
      </c>
      <c r="E1941">
        <v>1202</v>
      </c>
      <c r="F1941" t="s">
        <v>39</v>
      </c>
      <c r="G1941">
        <v>25</v>
      </c>
      <c r="H1941" t="s">
        <v>1824</v>
      </c>
      <c r="I1941" t="s">
        <v>9794</v>
      </c>
      <c r="J1941" t="s">
        <v>9795</v>
      </c>
      <c r="K1941">
        <v>441450</v>
      </c>
      <c r="L1941">
        <v>44866</v>
      </c>
      <c r="M1941" t="s">
        <v>1599</v>
      </c>
      <c r="N1941" t="e">
        <v>#N/A</v>
      </c>
      <c r="O1941" t="e">
        <v>#N/A</v>
      </c>
    </row>
    <row r="1942" spans="2:15" hidden="1" x14ac:dyDescent="0.3">
      <c r="B1942" t="s">
        <v>8</v>
      </c>
      <c r="C1942">
        <v>928</v>
      </c>
      <c r="D1942" t="s">
        <v>9</v>
      </c>
      <c r="E1942">
        <v>1202</v>
      </c>
      <c r="F1942" t="s">
        <v>31</v>
      </c>
      <c r="G1942">
        <v>1040</v>
      </c>
      <c r="H1942" t="s">
        <v>1824</v>
      </c>
      <c r="I1942" t="s">
        <v>6573</v>
      </c>
      <c r="J1942" t="s">
        <v>9796</v>
      </c>
      <c r="K1942">
        <v>105700</v>
      </c>
      <c r="L1942">
        <v>44866</v>
      </c>
      <c r="M1942" t="s">
        <v>878</v>
      </c>
      <c r="N1942">
        <v>105700</v>
      </c>
      <c r="O1942" t="e">
        <v>#N/A</v>
      </c>
    </row>
    <row r="1943" spans="2:15" hidden="1" x14ac:dyDescent="0.3">
      <c r="B1943" t="s">
        <v>41</v>
      </c>
      <c r="C1943">
        <v>926</v>
      </c>
      <c r="D1943" t="s">
        <v>56</v>
      </c>
      <c r="E1943">
        <v>1207</v>
      </c>
      <c r="F1943" t="s">
        <v>57</v>
      </c>
      <c r="G1943">
        <v>200982</v>
      </c>
      <c r="H1943" t="s">
        <v>1824</v>
      </c>
      <c r="I1943" t="s">
        <v>6576</v>
      </c>
      <c r="J1943" t="s">
        <v>9797</v>
      </c>
      <c r="K1943">
        <v>390840</v>
      </c>
      <c r="L1943">
        <v>44866</v>
      </c>
      <c r="M1943" t="s">
        <v>1805</v>
      </c>
      <c r="N1943">
        <v>390840</v>
      </c>
      <c r="O1943" t="e">
        <v>#N/A</v>
      </c>
    </row>
    <row r="1944" spans="2:15" hidden="1" x14ac:dyDescent="0.3">
      <c r="B1944" t="s">
        <v>8</v>
      </c>
      <c r="C1944">
        <v>928</v>
      </c>
      <c r="D1944" t="s">
        <v>9</v>
      </c>
      <c r="E1944">
        <v>1202</v>
      </c>
      <c r="F1944" t="s">
        <v>45</v>
      </c>
      <c r="G1944">
        <v>26</v>
      </c>
      <c r="H1944" t="s">
        <v>1824</v>
      </c>
      <c r="I1944" t="s">
        <v>6578</v>
      </c>
      <c r="J1944" t="s">
        <v>9798</v>
      </c>
      <c r="K1944">
        <v>115990</v>
      </c>
      <c r="L1944">
        <v>44866</v>
      </c>
      <c r="M1944" t="s">
        <v>1858</v>
      </c>
      <c r="N1944">
        <v>115990</v>
      </c>
      <c r="O1944" t="e">
        <v>#N/A</v>
      </c>
    </row>
    <row r="1945" spans="2:15" hidden="1" x14ac:dyDescent="0.3">
      <c r="B1945" t="s">
        <v>8</v>
      </c>
      <c r="C1945">
        <v>928</v>
      </c>
      <c r="D1945" t="s">
        <v>13</v>
      </c>
      <c r="E1945">
        <v>1184</v>
      </c>
      <c r="F1945" t="s">
        <v>59</v>
      </c>
      <c r="G1945">
        <v>9</v>
      </c>
      <c r="H1945" t="s">
        <v>1824</v>
      </c>
      <c r="I1945" t="s">
        <v>6581</v>
      </c>
      <c r="J1945" t="s">
        <v>9799</v>
      </c>
      <c r="K1945">
        <v>241280</v>
      </c>
      <c r="L1945">
        <v>44866</v>
      </c>
      <c r="M1945" t="s">
        <v>1382</v>
      </c>
      <c r="N1945">
        <v>241280</v>
      </c>
      <c r="O1945" t="e">
        <v>#N/A</v>
      </c>
    </row>
    <row r="1946" spans="2:15" hidden="1" x14ac:dyDescent="0.3">
      <c r="B1946" t="s">
        <v>8</v>
      </c>
      <c r="C1946">
        <v>928</v>
      </c>
      <c r="D1946" t="s">
        <v>9</v>
      </c>
      <c r="E1946">
        <v>1202</v>
      </c>
      <c r="F1946" t="s">
        <v>20</v>
      </c>
      <c r="G1946">
        <v>938</v>
      </c>
      <c r="H1946" t="s">
        <v>1824</v>
      </c>
      <c r="I1946" t="s">
        <v>6582</v>
      </c>
      <c r="J1946" t="s">
        <v>9800</v>
      </c>
      <c r="K1946">
        <v>100900</v>
      </c>
      <c r="L1946">
        <v>44866</v>
      </c>
      <c r="M1946" t="s">
        <v>1748</v>
      </c>
      <c r="N1946">
        <v>100900</v>
      </c>
      <c r="O1946" t="e">
        <v>#N/A</v>
      </c>
    </row>
    <row r="1947" spans="2:15" hidden="1" x14ac:dyDescent="0.3">
      <c r="B1947" t="s">
        <v>8</v>
      </c>
      <c r="C1947">
        <v>928</v>
      </c>
      <c r="D1947" t="s">
        <v>9</v>
      </c>
      <c r="E1947">
        <v>1202</v>
      </c>
      <c r="F1947" t="s">
        <v>47</v>
      </c>
      <c r="G1947">
        <v>898</v>
      </c>
      <c r="H1947" t="s">
        <v>1824</v>
      </c>
      <c r="I1947" t="s">
        <v>6584</v>
      </c>
      <c r="J1947" t="s">
        <v>9801</v>
      </c>
      <c r="K1947">
        <v>327010</v>
      </c>
      <c r="L1947">
        <v>44866</v>
      </c>
      <c r="M1947" t="s">
        <v>432</v>
      </c>
      <c r="N1947">
        <v>327010</v>
      </c>
      <c r="O1947" t="e">
        <v>#N/A</v>
      </c>
    </row>
    <row r="1948" spans="2:15" hidden="1" x14ac:dyDescent="0.3">
      <c r="B1948" t="s">
        <v>41</v>
      </c>
      <c r="C1948">
        <v>926</v>
      </c>
      <c r="D1948" t="s">
        <v>56</v>
      </c>
      <c r="E1948">
        <v>1207</v>
      </c>
      <c r="F1948" t="s">
        <v>64</v>
      </c>
      <c r="G1948">
        <v>201011</v>
      </c>
      <c r="H1948" t="s">
        <v>1824</v>
      </c>
      <c r="I1948" t="s">
        <v>6585</v>
      </c>
      <c r="J1948" t="s">
        <v>9802</v>
      </c>
      <c r="K1948">
        <v>1060</v>
      </c>
      <c r="L1948">
        <v>44866</v>
      </c>
      <c r="M1948" t="s">
        <v>1859</v>
      </c>
      <c r="N1948">
        <v>1060</v>
      </c>
      <c r="O1948" t="e">
        <v>#N/A</v>
      </c>
    </row>
    <row r="1949" spans="2:15" hidden="1" x14ac:dyDescent="0.3">
      <c r="B1949" t="s">
        <v>41</v>
      </c>
      <c r="C1949">
        <v>926</v>
      </c>
      <c r="D1949" t="s">
        <v>56</v>
      </c>
      <c r="E1949">
        <v>1207</v>
      </c>
      <c r="F1949" t="s">
        <v>62</v>
      </c>
      <c r="G1949">
        <v>201037</v>
      </c>
      <c r="H1949" t="s">
        <v>1824</v>
      </c>
      <c r="I1949" t="s">
        <v>6587</v>
      </c>
      <c r="J1949" t="s">
        <v>9803</v>
      </c>
      <c r="K1949">
        <v>701630</v>
      </c>
      <c r="L1949">
        <v>44866</v>
      </c>
      <c r="M1949" t="s">
        <v>1126</v>
      </c>
      <c r="N1949">
        <v>701630</v>
      </c>
      <c r="O1949" t="e">
        <v>#N/A</v>
      </c>
    </row>
    <row r="1950" spans="2:15" hidden="1" x14ac:dyDescent="0.3">
      <c r="B1950" t="s">
        <v>8</v>
      </c>
      <c r="C1950">
        <v>928</v>
      </c>
      <c r="D1950" t="s">
        <v>9</v>
      </c>
      <c r="E1950">
        <v>1202</v>
      </c>
      <c r="F1950" t="s">
        <v>35</v>
      </c>
      <c r="G1950">
        <v>51</v>
      </c>
      <c r="H1950" t="s">
        <v>1824</v>
      </c>
      <c r="I1950" t="s">
        <v>6598</v>
      </c>
      <c r="J1950" t="s">
        <v>9804</v>
      </c>
      <c r="K1950">
        <v>3764660</v>
      </c>
      <c r="L1950">
        <v>44866</v>
      </c>
      <c r="M1950" t="s">
        <v>1215</v>
      </c>
      <c r="N1950">
        <v>3764660</v>
      </c>
      <c r="O1950" t="e">
        <v>#N/A</v>
      </c>
    </row>
    <row r="1951" spans="2:15" hidden="1" x14ac:dyDescent="0.3">
      <c r="B1951" t="s">
        <v>41</v>
      </c>
      <c r="C1951">
        <v>926</v>
      </c>
      <c r="D1951" t="s">
        <v>56</v>
      </c>
      <c r="E1951">
        <v>1207</v>
      </c>
      <c r="F1951" t="s">
        <v>253</v>
      </c>
      <c r="G1951">
        <v>1328</v>
      </c>
      <c r="H1951" t="s">
        <v>1824</v>
      </c>
      <c r="I1951" t="s">
        <v>6599</v>
      </c>
      <c r="J1951" t="s">
        <v>9805</v>
      </c>
      <c r="K1951">
        <v>314600</v>
      </c>
      <c r="L1951">
        <v>44866</v>
      </c>
      <c r="M1951" t="s">
        <v>683</v>
      </c>
      <c r="N1951">
        <v>314600</v>
      </c>
      <c r="O1951" t="e">
        <v>#N/A</v>
      </c>
    </row>
    <row r="1952" spans="2:15" x14ac:dyDescent="0.3">
      <c r="B1952" t="s">
        <v>176</v>
      </c>
      <c r="C1952">
        <v>1204</v>
      </c>
      <c r="D1952" t="s">
        <v>177</v>
      </c>
      <c r="E1952">
        <v>1205</v>
      </c>
      <c r="F1952" t="s">
        <v>178</v>
      </c>
      <c r="G1952">
        <v>201073</v>
      </c>
      <c r="H1952" t="s">
        <v>1824</v>
      </c>
      <c r="I1952" t="s">
        <v>9806</v>
      </c>
      <c r="J1952" t="s">
        <v>9807</v>
      </c>
      <c r="K1952">
        <v>1179070</v>
      </c>
      <c r="L1952">
        <v>44866</v>
      </c>
      <c r="M1952" t="s">
        <v>366</v>
      </c>
      <c r="N1952" t="e">
        <v>#N/A</v>
      </c>
      <c r="O1952" t="e">
        <v>#N/A</v>
      </c>
    </row>
    <row r="1953" spans="2:15" x14ac:dyDescent="0.3">
      <c r="B1953" t="s">
        <v>41</v>
      </c>
      <c r="C1953">
        <v>926</v>
      </c>
      <c r="D1953" t="s">
        <v>42</v>
      </c>
      <c r="E1953">
        <v>964</v>
      </c>
      <c r="F1953" t="s">
        <v>704</v>
      </c>
      <c r="G1953">
        <v>1616</v>
      </c>
      <c r="H1953" t="s">
        <v>1824</v>
      </c>
      <c r="I1953" t="s">
        <v>9808</v>
      </c>
      <c r="J1953" t="s">
        <v>9809</v>
      </c>
      <c r="K1953">
        <v>350</v>
      </c>
      <c r="L1953">
        <v>44866</v>
      </c>
      <c r="M1953" t="s">
        <v>1011</v>
      </c>
      <c r="N1953" t="e">
        <v>#N/A</v>
      </c>
      <c r="O1953" t="e">
        <v>#N/A</v>
      </c>
    </row>
    <row r="1954" spans="2:15" hidden="1" x14ac:dyDescent="0.3">
      <c r="B1954" t="s">
        <v>8</v>
      </c>
      <c r="C1954">
        <v>928</v>
      </c>
      <c r="D1954" t="s">
        <v>9</v>
      </c>
      <c r="E1954">
        <v>1202</v>
      </c>
      <c r="F1954" t="s">
        <v>33</v>
      </c>
      <c r="G1954">
        <v>933</v>
      </c>
      <c r="H1954" t="s">
        <v>1824</v>
      </c>
      <c r="I1954" t="s">
        <v>6602</v>
      </c>
      <c r="J1954" t="s">
        <v>9810</v>
      </c>
      <c r="K1954">
        <v>132630</v>
      </c>
      <c r="L1954">
        <v>44866</v>
      </c>
      <c r="M1954" t="s">
        <v>1717</v>
      </c>
      <c r="N1954">
        <v>132630</v>
      </c>
      <c r="O1954" t="e">
        <v>#N/A</v>
      </c>
    </row>
    <row r="1955" spans="2:15" hidden="1" x14ac:dyDescent="0.3">
      <c r="B1955" t="s">
        <v>8</v>
      </c>
      <c r="C1955">
        <v>928</v>
      </c>
      <c r="D1955" t="s">
        <v>9</v>
      </c>
      <c r="E1955">
        <v>1202</v>
      </c>
      <c r="F1955" t="s">
        <v>33</v>
      </c>
      <c r="G1955">
        <v>933</v>
      </c>
      <c r="H1955" t="s">
        <v>1824</v>
      </c>
      <c r="I1955" t="s">
        <v>6603</v>
      </c>
      <c r="J1955" t="s">
        <v>9811</v>
      </c>
      <c r="K1955">
        <v>109790</v>
      </c>
      <c r="L1955">
        <v>44866</v>
      </c>
      <c r="M1955" t="s">
        <v>332</v>
      </c>
      <c r="N1955">
        <v>109790</v>
      </c>
      <c r="O1955" t="e">
        <v>#N/A</v>
      </c>
    </row>
    <row r="1956" spans="2:15" hidden="1" x14ac:dyDescent="0.3">
      <c r="B1956" t="s">
        <v>8</v>
      </c>
      <c r="C1956">
        <v>928</v>
      </c>
      <c r="D1956" t="s">
        <v>9</v>
      </c>
      <c r="E1956">
        <v>1202</v>
      </c>
      <c r="F1956" t="s">
        <v>33</v>
      </c>
      <c r="G1956">
        <v>933</v>
      </c>
      <c r="H1956" t="s">
        <v>1824</v>
      </c>
      <c r="I1956" t="s">
        <v>6604</v>
      </c>
      <c r="J1956" t="s">
        <v>9812</v>
      </c>
      <c r="K1956">
        <v>121280</v>
      </c>
      <c r="L1956">
        <v>44866</v>
      </c>
      <c r="M1956" t="s">
        <v>149</v>
      </c>
      <c r="N1956">
        <v>121280</v>
      </c>
      <c r="O1956" t="e">
        <v>#N/A</v>
      </c>
    </row>
    <row r="1957" spans="2:15" hidden="1" x14ac:dyDescent="0.3">
      <c r="B1957" t="s">
        <v>8</v>
      </c>
      <c r="C1957">
        <v>928</v>
      </c>
      <c r="D1957" t="s">
        <v>9</v>
      </c>
      <c r="E1957">
        <v>1202</v>
      </c>
      <c r="F1957" t="s">
        <v>27</v>
      </c>
      <c r="G1957">
        <v>806</v>
      </c>
      <c r="H1957" t="s">
        <v>1824</v>
      </c>
      <c r="I1957" t="s">
        <v>6605</v>
      </c>
      <c r="J1957" t="s">
        <v>9813</v>
      </c>
      <c r="K1957">
        <v>249480</v>
      </c>
      <c r="L1957">
        <v>44866</v>
      </c>
      <c r="M1957" t="s">
        <v>1033</v>
      </c>
      <c r="N1957">
        <v>249480</v>
      </c>
      <c r="O1957" t="e">
        <v>#N/A</v>
      </c>
    </row>
    <row r="1958" spans="2:15" hidden="1" x14ac:dyDescent="0.3">
      <c r="B1958" t="s">
        <v>8</v>
      </c>
      <c r="C1958">
        <v>928</v>
      </c>
      <c r="D1958" t="s">
        <v>9</v>
      </c>
      <c r="E1958">
        <v>1202</v>
      </c>
      <c r="F1958" t="s">
        <v>27</v>
      </c>
      <c r="G1958">
        <v>806</v>
      </c>
      <c r="H1958" t="s">
        <v>1824</v>
      </c>
      <c r="I1958" t="s">
        <v>6606</v>
      </c>
      <c r="J1958" t="s">
        <v>9814</v>
      </c>
      <c r="K1958">
        <v>36610</v>
      </c>
      <c r="L1958">
        <v>44866</v>
      </c>
      <c r="M1958" t="s">
        <v>696</v>
      </c>
      <c r="N1958">
        <v>36610</v>
      </c>
      <c r="O1958" t="e">
        <v>#N/A</v>
      </c>
    </row>
    <row r="1959" spans="2:15" hidden="1" x14ac:dyDescent="0.3">
      <c r="B1959" t="s">
        <v>8</v>
      </c>
      <c r="C1959">
        <v>928</v>
      </c>
      <c r="D1959" t="s">
        <v>13</v>
      </c>
      <c r="E1959">
        <v>1184</v>
      </c>
      <c r="F1959" t="s">
        <v>102</v>
      </c>
      <c r="G1959">
        <v>917</v>
      </c>
      <c r="H1959" t="s">
        <v>1824</v>
      </c>
      <c r="I1959" t="s">
        <v>6608</v>
      </c>
      <c r="J1959" t="s">
        <v>9815</v>
      </c>
      <c r="K1959">
        <v>244980</v>
      </c>
      <c r="L1959">
        <v>44866</v>
      </c>
      <c r="M1959" t="s">
        <v>1532</v>
      </c>
      <c r="N1959">
        <v>244980</v>
      </c>
      <c r="O1959" t="e">
        <v>#N/A</v>
      </c>
    </row>
    <row r="1960" spans="2:15" hidden="1" x14ac:dyDescent="0.3">
      <c r="B1960" t="s">
        <v>8</v>
      </c>
      <c r="C1960">
        <v>928</v>
      </c>
      <c r="D1960" t="s">
        <v>13</v>
      </c>
      <c r="E1960">
        <v>1184</v>
      </c>
      <c r="F1960" t="s">
        <v>51</v>
      </c>
      <c r="G1960">
        <v>1274</v>
      </c>
      <c r="H1960" t="s">
        <v>1824</v>
      </c>
      <c r="I1960" t="s">
        <v>6609</v>
      </c>
      <c r="J1960" t="s">
        <v>9816</v>
      </c>
      <c r="K1960">
        <v>8410</v>
      </c>
      <c r="L1960">
        <v>44866</v>
      </c>
      <c r="M1960" t="s">
        <v>1860</v>
      </c>
      <c r="N1960">
        <v>8410</v>
      </c>
      <c r="O1960" t="e">
        <v>#N/A</v>
      </c>
    </row>
    <row r="1961" spans="2:15" hidden="1" x14ac:dyDescent="0.3">
      <c r="B1961" t="s">
        <v>41</v>
      </c>
      <c r="C1961">
        <v>926</v>
      </c>
      <c r="D1961" t="s">
        <v>56</v>
      </c>
      <c r="E1961">
        <v>1207</v>
      </c>
      <c r="F1961" t="s">
        <v>57</v>
      </c>
      <c r="G1961">
        <v>200982</v>
      </c>
      <c r="H1961" t="s">
        <v>1824</v>
      </c>
      <c r="I1961" t="s">
        <v>6610</v>
      </c>
      <c r="J1961" t="s">
        <v>9817</v>
      </c>
      <c r="K1961">
        <v>252340</v>
      </c>
      <c r="L1961">
        <v>44866</v>
      </c>
      <c r="M1961" t="s">
        <v>999</v>
      </c>
      <c r="N1961">
        <v>252340</v>
      </c>
      <c r="O1961" t="e">
        <v>#N/A</v>
      </c>
    </row>
    <row r="1962" spans="2:15" hidden="1" x14ac:dyDescent="0.3">
      <c r="B1962" t="s">
        <v>8</v>
      </c>
      <c r="C1962">
        <v>928</v>
      </c>
      <c r="D1962" t="s">
        <v>13</v>
      </c>
      <c r="E1962">
        <v>1184</v>
      </c>
      <c r="F1962" t="s">
        <v>102</v>
      </c>
      <c r="G1962">
        <v>917</v>
      </c>
      <c r="H1962" t="s">
        <v>1824</v>
      </c>
      <c r="I1962" t="s">
        <v>6611</v>
      </c>
      <c r="J1962" t="s">
        <v>9818</v>
      </c>
      <c r="K1962">
        <v>102640</v>
      </c>
      <c r="L1962">
        <v>44866</v>
      </c>
      <c r="M1962" t="s">
        <v>1861</v>
      </c>
      <c r="N1962">
        <v>102640</v>
      </c>
      <c r="O1962" t="e">
        <v>#N/A</v>
      </c>
    </row>
    <row r="1963" spans="2:15" hidden="1" x14ac:dyDescent="0.3">
      <c r="B1963" t="s">
        <v>8</v>
      </c>
      <c r="C1963">
        <v>928</v>
      </c>
      <c r="D1963" t="s">
        <v>9</v>
      </c>
      <c r="E1963">
        <v>1202</v>
      </c>
      <c r="F1963" t="s">
        <v>31</v>
      </c>
      <c r="G1963">
        <v>1040</v>
      </c>
      <c r="H1963" t="s">
        <v>1824</v>
      </c>
      <c r="I1963" t="s">
        <v>6612</v>
      </c>
      <c r="J1963" t="s">
        <v>9819</v>
      </c>
      <c r="K1963">
        <v>51220</v>
      </c>
      <c r="L1963">
        <v>44866</v>
      </c>
      <c r="M1963" t="s">
        <v>962</v>
      </c>
      <c r="N1963">
        <v>51220</v>
      </c>
      <c r="O1963" t="e">
        <v>#N/A</v>
      </c>
    </row>
    <row r="1964" spans="2:15" hidden="1" x14ac:dyDescent="0.3">
      <c r="B1964" t="s">
        <v>41</v>
      </c>
      <c r="C1964">
        <v>926</v>
      </c>
      <c r="D1964" t="s">
        <v>56</v>
      </c>
      <c r="E1964">
        <v>1207</v>
      </c>
      <c r="F1964" t="s">
        <v>57</v>
      </c>
      <c r="G1964">
        <v>200982</v>
      </c>
      <c r="H1964" t="s">
        <v>1824</v>
      </c>
      <c r="I1964" t="s">
        <v>9820</v>
      </c>
      <c r="J1964" t="s">
        <v>9821</v>
      </c>
      <c r="K1964">
        <v>11700</v>
      </c>
      <c r="L1964">
        <v>44866</v>
      </c>
      <c r="M1964" t="s">
        <v>1193</v>
      </c>
      <c r="N1964" t="e">
        <v>#N/A</v>
      </c>
      <c r="O1964" t="s">
        <v>9822</v>
      </c>
    </row>
    <row r="1965" spans="2:15" hidden="1" x14ac:dyDescent="0.3">
      <c r="B1965" t="s">
        <v>8</v>
      </c>
      <c r="C1965">
        <v>928</v>
      </c>
      <c r="D1965" t="s">
        <v>9</v>
      </c>
      <c r="E1965">
        <v>1202</v>
      </c>
      <c r="F1965" t="s">
        <v>27</v>
      </c>
      <c r="G1965">
        <v>806</v>
      </c>
      <c r="H1965" t="s">
        <v>1824</v>
      </c>
      <c r="I1965" t="s">
        <v>6613</v>
      </c>
      <c r="J1965" t="s">
        <v>9823</v>
      </c>
      <c r="K1965">
        <v>287790</v>
      </c>
      <c r="L1965">
        <v>44866</v>
      </c>
      <c r="M1965" t="s">
        <v>732</v>
      </c>
      <c r="N1965">
        <v>287790</v>
      </c>
      <c r="O1965" t="e">
        <v>#N/A</v>
      </c>
    </row>
    <row r="1966" spans="2:15" hidden="1" x14ac:dyDescent="0.3">
      <c r="B1966" t="s">
        <v>8</v>
      </c>
      <c r="C1966">
        <v>928</v>
      </c>
      <c r="D1966" t="s">
        <v>9</v>
      </c>
      <c r="E1966">
        <v>1202</v>
      </c>
      <c r="F1966" t="s">
        <v>27</v>
      </c>
      <c r="G1966">
        <v>806</v>
      </c>
      <c r="H1966" t="s">
        <v>1824</v>
      </c>
      <c r="I1966" t="s">
        <v>6614</v>
      </c>
      <c r="J1966" t="s">
        <v>9824</v>
      </c>
      <c r="K1966">
        <v>196900</v>
      </c>
      <c r="L1966">
        <v>44866</v>
      </c>
      <c r="M1966" t="s">
        <v>1045</v>
      </c>
      <c r="N1966">
        <v>196900</v>
      </c>
      <c r="O1966" t="e">
        <v>#N/A</v>
      </c>
    </row>
    <row r="1967" spans="2:15" hidden="1" x14ac:dyDescent="0.3">
      <c r="B1967" t="s">
        <v>8</v>
      </c>
      <c r="C1967">
        <v>928</v>
      </c>
      <c r="D1967" t="s">
        <v>9</v>
      </c>
      <c r="E1967">
        <v>1202</v>
      </c>
      <c r="F1967" t="s">
        <v>27</v>
      </c>
      <c r="G1967">
        <v>806</v>
      </c>
      <c r="H1967" t="s">
        <v>1824</v>
      </c>
      <c r="I1967" t="s">
        <v>6616</v>
      </c>
      <c r="J1967" t="s">
        <v>9825</v>
      </c>
      <c r="K1967">
        <v>144880</v>
      </c>
      <c r="L1967">
        <v>44866</v>
      </c>
      <c r="M1967" t="s">
        <v>1558</v>
      </c>
      <c r="N1967">
        <v>144880</v>
      </c>
      <c r="O1967" t="e">
        <v>#N/A</v>
      </c>
    </row>
    <row r="1968" spans="2:15" hidden="1" x14ac:dyDescent="0.3">
      <c r="B1968" t="s">
        <v>8</v>
      </c>
      <c r="C1968">
        <v>928</v>
      </c>
      <c r="D1968" t="s">
        <v>9</v>
      </c>
      <c r="E1968">
        <v>1202</v>
      </c>
      <c r="F1968" t="s">
        <v>27</v>
      </c>
      <c r="G1968">
        <v>806</v>
      </c>
      <c r="H1968" t="s">
        <v>1824</v>
      </c>
      <c r="I1968" t="s">
        <v>6619</v>
      </c>
      <c r="J1968" t="s">
        <v>9826</v>
      </c>
      <c r="K1968">
        <v>10190</v>
      </c>
      <c r="L1968">
        <v>44866</v>
      </c>
      <c r="M1968" t="s">
        <v>1604</v>
      </c>
      <c r="N1968">
        <v>10190</v>
      </c>
      <c r="O1968" t="e">
        <v>#N/A</v>
      </c>
    </row>
    <row r="1969" spans="2:15" hidden="1" x14ac:dyDescent="0.3">
      <c r="B1969" t="s">
        <v>8</v>
      </c>
      <c r="C1969">
        <v>928</v>
      </c>
      <c r="D1969" t="s">
        <v>9</v>
      </c>
      <c r="E1969">
        <v>1202</v>
      </c>
      <c r="F1969" t="s">
        <v>27</v>
      </c>
      <c r="G1969">
        <v>806</v>
      </c>
      <c r="H1969" t="s">
        <v>1824</v>
      </c>
      <c r="I1969" t="s">
        <v>6620</v>
      </c>
      <c r="J1969" t="s">
        <v>9827</v>
      </c>
      <c r="K1969">
        <v>419400</v>
      </c>
      <c r="L1969">
        <v>44866</v>
      </c>
      <c r="M1969" t="s">
        <v>482</v>
      </c>
      <c r="N1969">
        <v>419400</v>
      </c>
      <c r="O1969" t="e">
        <v>#N/A</v>
      </c>
    </row>
    <row r="1970" spans="2:15" hidden="1" x14ac:dyDescent="0.3">
      <c r="B1970" t="s">
        <v>8</v>
      </c>
      <c r="C1970">
        <v>928</v>
      </c>
      <c r="D1970" t="s">
        <v>9</v>
      </c>
      <c r="E1970">
        <v>1202</v>
      </c>
      <c r="F1970" t="s">
        <v>27</v>
      </c>
      <c r="G1970">
        <v>806</v>
      </c>
      <c r="H1970" t="s">
        <v>1824</v>
      </c>
      <c r="I1970" t="s">
        <v>6621</v>
      </c>
      <c r="J1970" t="s">
        <v>9828</v>
      </c>
      <c r="K1970">
        <v>97030</v>
      </c>
      <c r="L1970">
        <v>44866</v>
      </c>
      <c r="M1970" t="s">
        <v>297</v>
      </c>
      <c r="N1970">
        <v>97030</v>
      </c>
      <c r="O1970" t="e">
        <v>#N/A</v>
      </c>
    </row>
    <row r="1971" spans="2:15" hidden="1" x14ac:dyDescent="0.3">
      <c r="B1971" t="s">
        <v>8</v>
      </c>
      <c r="C1971">
        <v>928</v>
      </c>
      <c r="D1971" t="s">
        <v>9</v>
      </c>
      <c r="E1971">
        <v>1202</v>
      </c>
      <c r="F1971" t="s">
        <v>37</v>
      </c>
      <c r="G1971">
        <v>81</v>
      </c>
      <c r="H1971" t="s">
        <v>1824</v>
      </c>
      <c r="I1971" t="s">
        <v>6622</v>
      </c>
      <c r="J1971" t="s">
        <v>9829</v>
      </c>
      <c r="K1971">
        <v>173040</v>
      </c>
      <c r="L1971">
        <v>44866</v>
      </c>
      <c r="M1971" t="s">
        <v>1143</v>
      </c>
      <c r="N1971">
        <v>173040</v>
      </c>
      <c r="O1971" t="e">
        <v>#N/A</v>
      </c>
    </row>
    <row r="1972" spans="2:15" hidden="1" x14ac:dyDescent="0.3">
      <c r="B1972" t="s">
        <v>8</v>
      </c>
      <c r="C1972">
        <v>928</v>
      </c>
      <c r="D1972" t="s">
        <v>9</v>
      </c>
      <c r="E1972">
        <v>1202</v>
      </c>
      <c r="F1972" t="s">
        <v>27</v>
      </c>
      <c r="G1972">
        <v>806</v>
      </c>
      <c r="H1972" t="s">
        <v>1824</v>
      </c>
      <c r="I1972" t="s">
        <v>6623</v>
      </c>
      <c r="J1972" t="s">
        <v>9830</v>
      </c>
      <c r="K1972">
        <v>11630</v>
      </c>
      <c r="L1972">
        <v>44866</v>
      </c>
      <c r="M1972" t="s">
        <v>109</v>
      </c>
      <c r="N1972">
        <v>11630</v>
      </c>
      <c r="O1972" t="e">
        <v>#N/A</v>
      </c>
    </row>
    <row r="1973" spans="2:15" x14ac:dyDescent="0.3">
      <c r="B1973" t="s">
        <v>8</v>
      </c>
      <c r="C1973">
        <v>928</v>
      </c>
      <c r="D1973" t="s">
        <v>9</v>
      </c>
      <c r="E1973">
        <v>1202</v>
      </c>
      <c r="F1973" t="s">
        <v>39</v>
      </c>
      <c r="G1973">
        <v>25</v>
      </c>
      <c r="H1973" t="s">
        <v>1824</v>
      </c>
      <c r="I1973" t="s">
        <v>9831</v>
      </c>
      <c r="J1973" t="s">
        <v>9832</v>
      </c>
      <c r="K1973">
        <v>6860</v>
      </c>
      <c r="L1973">
        <v>44866</v>
      </c>
      <c r="M1973" t="s">
        <v>914</v>
      </c>
      <c r="N1973" t="e">
        <v>#N/A</v>
      </c>
      <c r="O1973" t="e">
        <v>#N/A</v>
      </c>
    </row>
    <row r="1974" spans="2:15" x14ac:dyDescent="0.3">
      <c r="B1974" t="s">
        <v>8</v>
      </c>
      <c r="C1974">
        <v>928</v>
      </c>
      <c r="D1974" t="s">
        <v>9</v>
      </c>
      <c r="E1974">
        <v>1202</v>
      </c>
      <c r="F1974" t="s">
        <v>39</v>
      </c>
      <c r="G1974">
        <v>25</v>
      </c>
      <c r="H1974" t="s">
        <v>1824</v>
      </c>
      <c r="I1974" t="s">
        <v>9833</v>
      </c>
      <c r="J1974" t="s">
        <v>9834</v>
      </c>
      <c r="K1974">
        <v>233790</v>
      </c>
      <c r="L1974">
        <v>44866</v>
      </c>
      <c r="M1974" t="s">
        <v>1063</v>
      </c>
      <c r="N1974" t="e">
        <v>#N/A</v>
      </c>
      <c r="O1974" t="e">
        <v>#N/A</v>
      </c>
    </row>
    <row r="1975" spans="2:15" x14ac:dyDescent="0.3">
      <c r="B1975" t="s">
        <v>8</v>
      </c>
      <c r="C1975">
        <v>928</v>
      </c>
      <c r="D1975" t="s">
        <v>9</v>
      </c>
      <c r="E1975">
        <v>1202</v>
      </c>
      <c r="F1975" t="s">
        <v>39</v>
      </c>
      <c r="G1975">
        <v>25</v>
      </c>
      <c r="H1975" t="s">
        <v>1824</v>
      </c>
      <c r="I1975" t="s">
        <v>9835</v>
      </c>
      <c r="J1975" t="s">
        <v>9836</v>
      </c>
      <c r="K1975">
        <v>26710</v>
      </c>
      <c r="L1975">
        <v>44866</v>
      </c>
      <c r="M1975" t="s">
        <v>1289</v>
      </c>
      <c r="N1975" t="e">
        <v>#N/A</v>
      </c>
      <c r="O1975" t="e">
        <v>#N/A</v>
      </c>
    </row>
    <row r="1976" spans="2:15" x14ac:dyDescent="0.3">
      <c r="B1976" t="s">
        <v>8</v>
      </c>
      <c r="C1976">
        <v>928</v>
      </c>
      <c r="D1976" t="s">
        <v>9</v>
      </c>
      <c r="E1976">
        <v>1202</v>
      </c>
      <c r="F1976" t="s">
        <v>39</v>
      </c>
      <c r="G1976">
        <v>25</v>
      </c>
      <c r="H1976" t="s">
        <v>1824</v>
      </c>
      <c r="I1976" t="s">
        <v>9837</v>
      </c>
      <c r="J1976" t="s">
        <v>9838</v>
      </c>
      <c r="K1976">
        <v>35030</v>
      </c>
      <c r="L1976">
        <v>44866</v>
      </c>
      <c r="M1976" t="s">
        <v>1862</v>
      </c>
      <c r="N1976" t="e">
        <v>#N/A</v>
      </c>
      <c r="O1976" t="e">
        <v>#N/A</v>
      </c>
    </row>
    <row r="1977" spans="2:15" hidden="1" x14ac:dyDescent="0.3">
      <c r="B1977" t="s">
        <v>8</v>
      </c>
      <c r="C1977">
        <v>928</v>
      </c>
      <c r="D1977" t="s">
        <v>9</v>
      </c>
      <c r="E1977">
        <v>1202</v>
      </c>
      <c r="F1977" t="s">
        <v>37</v>
      </c>
      <c r="G1977">
        <v>81</v>
      </c>
      <c r="H1977" t="s">
        <v>1824</v>
      </c>
      <c r="I1977" t="s">
        <v>6624</v>
      </c>
      <c r="J1977" t="s">
        <v>9839</v>
      </c>
      <c r="K1977">
        <v>276230</v>
      </c>
      <c r="L1977">
        <v>44866</v>
      </c>
      <c r="M1977" t="s">
        <v>1863</v>
      </c>
      <c r="N1977">
        <v>276230</v>
      </c>
      <c r="O1977" t="e">
        <v>#N/A</v>
      </c>
    </row>
    <row r="1978" spans="2:15" hidden="1" x14ac:dyDescent="0.3">
      <c r="B1978" t="s">
        <v>41</v>
      </c>
      <c r="C1978">
        <v>926</v>
      </c>
      <c r="D1978" t="s">
        <v>56</v>
      </c>
      <c r="E1978">
        <v>1207</v>
      </c>
      <c r="F1978" t="s">
        <v>62</v>
      </c>
      <c r="G1978">
        <v>201037</v>
      </c>
      <c r="H1978" t="s">
        <v>1824</v>
      </c>
      <c r="I1978" t="s">
        <v>6625</v>
      </c>
      <c r="J1978" t="s">
        <v>9840</v>
      </c>
      <c r="K1978">
        <v>60740</v>
      </c>
      <c r="L1978">
        <v>44866</v>
      </c>
      <c r="M1978" t="s">
        <v>848</v>
      </c>
      <c r="N1978">
        <v>60740</v>
      </c>
      <c r="O1978" t="e">
        <v>#N/A</v>
      </c>
    </row>
    <row r="1979" spans="2:15" x14ac:dyDescent="0.3">
      <c r="B1979" t="s">
        <v>8</v>
      </c>
      <c r="C1979">
        <v>928</v>
      </c>
      <c r="D1979" t="s">
        <v>9</v>
      </c>
      <c r="E1979">
        <v>1202</v>
      </c>
      <c r="F1979" t="s">
        <v>10</v>
      </c>
      <c r="G1979">
        <v>939</v>
      </c>
      <c r="H1979" t="s">
        <v>1824</v>
      </c>
      <c r="I1979" t="s">
        <v>9841</v>
      </c>
      <c r="J1979" t="s">
        <v>9842</v>
      </c>
      <c r="K1979">
        <v>443410</v>
      </c>
      <c r="L1979">
        <v>44866</v>
      </c>
      <c r="M1979" t="s">
        <v>717</v>
      </c>
      <c r="N1979" t="e">
        <v>#N/A</v>
      </c>
      <c r="O1979" t="e">
        <v>#N/A</v>
      </c>
    </row>
    <row r="1980" spans="2:15" hidden="1" x14ac:dyDescent="0.3">
      <c r="B1980" t="s">
        <v>8</v>
      </c>
      <c r="C1980">
        <v>928</v>
      </c>
      <c r="D1980" t="s">
        <v>9</v>
      </c>
      <c r="E1980">
        <v>1202</v>
      </c>
      <c r="F1980" t="s">
        <v>37</v>
      </c>
      <c r="G1980">
        <v>81</v>
      </c>
      <c r="H1980" t="s">
        <v>1824</v>
      </c>
      <c r="I1980" t="s">
        <v>6626</v>
      </c>
      <c r="J1980" t="s">
        <v>9843</v>
      </c>
      <c r="K1980">
        <v>25580</v>
      </c>
      <c r="L1980">
        <v>44866</v>
      </c>
      <c r="M1980" t="s">
        <v>854</v>
      </c>
      <c r="N1980">
        <v>25580</v>
      </c>
      <c r="O1980" t="e">
        <v>#N/A</v>
      </c>
    </row>
    <row r="1981" spans="2:15" hidden="1" x14ac:dyDescent="0.3">
      <c r="B1981" t="s">
        <v>8</v>
      </c>
      <c r="C1981">
        <v>928</v>
      </c>
      <c r="D1981" t="s">
        <v>9</v>
      </c>
      <c r="E1981">
        <v>1202</v>
      </c>
      <c r="F1981" t="s">
        <v>45</v>
      </c>
      <c r="G1981">
        <v>26</v>
      </c>
      <c r="H1981" t="s">
        <v>1824</v>
      </c>
      <c r="I1981" t="s">
        <v>6627</v>
      </c>
      <c r="J1981" t="s">
        <v>9844</v>
      </c>
      <c r="K1981">
        <v>49350</v>
      </c>
      <c r="L1981">
        <v>44866</v>
      </c>
      <c r="M1981" t="s">
        <v>806</v>
      </c>
      <c r="N1981">
        <v>49350</v>
      </c>
      <c r="O1981" t="e">
        <v>#N/A</v>
      </c>
    </row>
    <row r="1982" spans="2:15" x14ac:dyDescent="0.3">
      <c r="B1982" t="s">
        <v>8</v>
      </c>
      <c r="C1982">
        <v>928</v>
      </c>
      <c r="D1982" t="s">
        <v>9</v>
      </c>
      <c r="E1982">
        <v>1202</v>
      </c>
      <c r="F1982" t="s">
        <v>10</v>
      </c>
      <c r="G1982">
        <v>939</v>
      </c>
      <c r="H1982" t="s">
        <v>1824</v>
      </c>
      <c r="I1982" t="s">
        <v>9845</v>
      </c>
      <c r="J1982" t="s">
        <v>9846</v>
      </c>
      <c r="K1982">
        <v>420820</v>
      </c>
      <c r="L1982">
        <v>44866</v>
      </c>
      <c r="M1982" t="s">
        <v>1358</v>
      </c>
      <c r="N1982" t="e">
        <v>#N/A</v>
      </c>
      <c r="O1982" t="e">
        <v>#N/A</v>
      </c>
    </row>
    <row r="1983" spans="2:15" x14ac:dyDescent="0.3">
      <c r="B1983" t="s">
        <v>8</v>
      </c>
      <c r="C1983">
        <v>928</v>
      </c>
      <c r="D1983" t="s">
        <v>9</v>
      </c>
      <c r="E1983">
        <v>1202</v>
      </c>
      <c r="F1983" t="s">
        <v>10</v>
      </c>
      <c r="G1983">
        <v>939</v>
      </c>
      <c r="H1983" t="s">
        <v>1824</v>
      </c>
      <c r="I1983" t="s">
        <v>9847</v>
      </c>
      <c r="J1983" t="s">
        <v>9848</v>
      </c>
      <c r="K1983">
        <v>119200</v>
      </c>
      <c r="L1983">
        <v>44866</v>
      </c>
      <c r="M1983" t="s">
        <v>1460</v>
      </c>
      <c r="N1983" t="e">
        <v>#N/A</v>
      </c>
      <c r="O1983" t="e">
        <v>#N/A</v>
      </c>
    </row>
    <row r="1984" spans="2:15" x14ac:dyDescent="0.3">
      <c r="B1984" t="s">
        <v>8</v>
      </c>
      <c r="C1984">
        <v>928</v>
      </c>
      <c r="D1984" t="s">
        <v>9</v>
      </c>
      <c r="E1984">
        <v>1202</v>
      </c>
      <c r="F1984" t="s">
        <v>39</v>
      </c>
      <c r="G1984">
        <v>25</v>
      </c>
      <c r="H1984" t="s">
        <v>1824</v>
      </c>
      <c r="I1984" t="s">
        <v>9849</v>
      </c>
      <c r="J1984" t="s">
        <v>9850</v>
      </c>
      <c r="K1984">
        <v>146930</v>
      </c>
      <c r="L1984">
        <v>44866</v>
      </c>
      <c r="M1984" t="s">
        <v>1864</v>
      </c>
      <c r="N1984" t="e">
        <v>#N/A</v>
      </c>
      <c r="O1984" t="e">
        <v>#N/A</v>
      </c>
    </row>
    <row r="1985" spans="2:15" hidden="1" x14ac:dyDescent="0.3">
      <c r="B1985" t="s">
        <v>8</v>
      </c>
      <c r="C1985">
        <v>928</v>
      </c>
      <c r="D1985" t="s">
        <v>9</v>
      </c>
      <c r="E1985">
        <v>1202</v>
      </c>
      <c r="F1985" t="s">
        <v>35</v>
      </c>
      <c r="G1985">
        <v>51</v>
      </c>
      <c r="H1985" t="s">
        <v>1824</v>
      </c>
      <c r="I1985" t="s">
        <v>6628</v>
      </c>
      <c r="J1985" t="s">
        <v>9851</v>
      </c>
      <c r="K1985">
        <v>23660</v>
      </c>
      <c r="L1985">
        <v>44866</v>
      </c>
      <c r="M1985" t="s">
        <v>1808</v>
      </c>
      <c r="N1985">
        <v>23660</v>
      </c>
      <c r="O1985" t="e">
        <v>#N/A</v>
      </c>
    </row>
    <row r="1986" spans="2:15" hidden="1" x14ac:dyDescent="0.3">
      <c r="B1986" t="s">
        <v>8</v>
      </c>
      <c r="C1986">
        <v>928</v>
      </c>
      <c r="D1986" t="s">
        <v>13</v>
      </c>
      <c r="E1986">
        <v>1184</v>
      </c>
      <c r="F1986" t="s">
        <v>51</v>
      </c>
      <c r="G1986">
        <v>1274</v>
      </c>
      <c r="H1986" t="s">
        <v>1824</v>
      </c>
      <c r="I1986" t="s">
        <v>6629</v>
      </c>
      <c r="J1986" t="s">
        <v>9852</v>
      </c>
      <c r="K1986">
        <v>18450</v>
      </c>
      <c r="L1986">
        <v>44866</v>
      </c>
      <c r="M1986" t="s">
        <v>1865</v>
      </c>
      <c r="N1986">
        <v>18450</v>
      </c>
      <c r="O1986" t="e">
        <v>#N/A</v>
      </c>
    </row>
    <row r="1987" spans="2:15" x14ac:dyDescent="0.3">
      <c r="B1987" t="s">
        <v>8</v>
      </c>
      <c r="C1987">
        <v>928</v>
      </c>
      <c r="D1987" t="s">
        <v>9</v>
      </c>
      <c r="E1987">
        <v>1202</v>
      </c>
      <c r="F1987" t="s">
        <v>10</v>
      </c>
      <c r="G1987">
        <v>939</v>
      </c>
      <c r="H1987" t="s">
        <v>1824</v>
      </c>
      <c r="I1987" t="s">
        <v>9853</v>
      </c>
      <c r="J1987" t="s">
        <v>9854</v>
      </c>
      <c r="K1987">
        <v>44200</v>
      </c>
      <c r="L1987">
        <v>44866</v>
      </c>
      <c r="M1987" t="s">
        <v>1027</v>
      </c>
      <c r="N1987" t="e">
        <v>#N/A</v>
      </c>
      <c r="O1987" t="e">
        <v>#N/A</v>
      </c>
    </row>
    <row r="1988" spans="2:15" hidden="1" x14ac:dyDescent="0.3">
      <c r="B1988" t="s">
        <v>8</v>
      </c>
      <c r="C1988">
        <v>928</v>
      </c>
      <c r="D1988" t="s">
        <v>9</v>
      </c>
      <c r="E1988">
        <v>1202</v>
      </c>
      <c r="F1988" t="s">
        <v>27</v>
      </c>
      <c r="G1988">
        <v>806</v>
      </c>
      <c r="H1988" t="s">
        <v>1824</v>
      </c>
      <c r="I1988" t="s">
        <v>6631</v>
      </c>
      <c r="J1988" t="s">
        <v>9855</v>
      </c>
      <c r="K1988">
        <v>4570</v>
      </c>
      <c r="L1988">
        <v>44866</v>
      </c>
      <c r="M1988" t="s">
        <v>303</v>
      </c>
      <c r="N1988">
        <v>4570</v>
      </c>
      <c r="O1988" t="e">
        <v>#N/A</v>
      </c>
    </row>
    <row r="1989" spans="2:15" hidden="1" x14ac:dyDescent="0.3">
      <c r="B1989" t="s">
        <v>8</v>
      </c>
      <c r="C1989">
        <v>928</v>
      </c>
      <c r="D1989" t="s">
        <v>9</v>
      </c>
      <c r="E1989">
        <v>1202</v>
      </c>
      <c r="F1989" t="s">
        <v>47</v>
      </c>
      <c r="G1989">
        <v>898</v>
      </c>
      <c r="H1989" t="s">
        <v>1824</v>
      </c>
      <c r="I1989" t="s">
        <v>6632</v>
      </c>
      <c r="J1989" t="s">
        <v>9856</v>
      </c>
      <c r="K1989">
        <v>5640</v>
      </c>
      <c r="L1989">
        <v>44866</v>
      </c>
      <c r="M1989" t="s">
        <v>1866</v>
      </c>
      <c r="N1989">
        <v>5640</v>
      </c>
      <c r="O1989" t="e">
        <v>#N/A</v>
      </c>
    </row>
    <row r="1990" spans="2:15" hidden="1" x14ac:dyDescent="0.3">
      <c r="B1990" t="s">
        <v>8</v>
      </c>
      <c r="C1990">
        <v>928</v>
      </c>
      <c r="D1990" t="s">
        <v>9</v>
      </c>
      <c r="E1990">
        <v>1202</v>
      </c>
      <c r="F1990" t="s">
        <v>35</v>
      </c>
      <c r="G1990">
        <v>51</v>
      </c>
      <c r="H1990" t="s">
        <v>1824</v>
      </c>
      <c r="I1990" t="s">
        <v>6633</v>
      </c>
      <c r="J1990" t="s">
        <v>9857</v>
      </c>
      <c r="K1990">
        <v>6350</v>
      </c>
      <c r="L1990">
        <v>44866</v>
      </c>
      <c r="M1990" t="s">
        <v>1434</v>
      </c>
      <c r="N1990">
        <v>6350</v>
      </c>
      <c r="O1990" t="e">
        <v>#N/A</v>
      </c>
    </row>
    <row r="1991" spans="2:15" hidden="1" x14ac:dyDescent="0.3">
      <c r="B1991" t="s">
        <v>8</v>
      </c>
      <c r="C1991">
        <v>928</v>
      </c>
      <c r="D1991" t="s">
        <v>9</v>
      </c>
      <c r="E1991">
        <v>1202</v>
      </c>
      <c r="F1991" t="s">
        <v>110</v>
      </c>
      <c r="G1991">
        <v>929</v>
      </c>
      <c r="H1991" t="s">
        <v>1824</v>
      </c>
      <c r="I1991" t="s">
        <v>6634</v>
      </c>
      <c r="J1991" t="s">
        <v>9858</v>
      </c>
      <c r="K1991">
        <v>77560</v>
      </c>
      <c r="L1991">
        <v>44866</v>
      </c>
      <c r="M1991" t="s">
        <v>1439</v>
      </c>
      <c r="N1991">
        <v>77560</v>
      </c>
      <c r="O1991" t="e">
        <v>#N/A</v>
      </c>
    </row>
    <row r="1992" spans="2:15" hidden="1" x14ac:dyDescent="0.3">
      <c r="B1992" t="s">
        <v>8</v>
      </c>
      <c r="C1992">
        <v>928</v>
      </c>
      <c r="D1992" t="s">
        <v>9</v>
      </c>
      <c r="E1992">
        <v>1202</v>
      </c>
      <c r="F1992" t="s">
        <v>110</v>
      </c>
      <c r="G1992">
        <v>929</v>
      </c>
      <c r="H1992" t="s">
        <v>1824</v>
      </c>
      <c r="I1992" t="s">
        <v>6636</v>
      </c>
      <c r="J1992" t="s">
        <v>9859</v>
      </c>
      <c r="K1992">
        <v>552410</v>
      </c>
      <c r="L1992">
        <v>44866</v>
      </c>
      <c r="M1992" t="s">
        <v>541</v>
      </c>
      <c r="N1992">
        <v>552410</v>
      </c>
      <c r="O1992" t="e">
        <v>#N/A</v>
      </c>
    </row>
    <row r="1993" spans="2:15" hidden="1" x14ac:dyDescent="0.3">
      <c r="B1993" t="s">
        <v>8</v>
      </c>
      <c r="C1993">
        <v>928</v>
      </c>
      <c r="D1993" t="s">
        <v>9</v>
      </c>
      <c r="E1993">
        <v>1202</v>
      </c>
      <c r="F1993" t="s">
        <v>35</v>
      </c>
      <c r="G1993">
        <v>51</v>
      </c>
      <c r="H1993" t="s">
        <v>1824</v>
      </c>
      <c r="I1993" t="s">
        <v>6639</v>
      </c>
      <c r="J1993" t="s">
        <v>9860</v>
      </c>
      <c r="K1993">
        <v>64290</v>
      </c>
      <c r="L1993">
        <v>44866</v>
      </c>
      <c r="M1993" t="s">
        <v>1251</v>
      </c>
      <c r="N1993">
        <v>64290</v>
      </c>
      <c r="O1993" t="e">
        <v>#N/A</v>
      </c>
    </row>
    <row r="1994" spans="2:15" hidden="1" x14ac:dyDescent="0.3">
      <c r="B1994" t="s">
        <v>8</v>
      </c>
      <c r="C1994">
        <v>928</v>
      </c>
      <c r="D1994" t="s">
        <v>9</v>
      </c>
      <c r="E1994">
        <v>1202</v>
      </c>
      <c r="F1994" t="s">
        <v>27</v>
      </c>
      <c r="G1994">
        <v>806</v>
      </c>
      <c r="H1994" t="s">
        <v>1824</v>
      </c>
      <c r="I1994" t="s">
        <v>6640</v>
      </c>
      <c r="J1994" t="s">
        <v>9861</v>
      </c>
      <c r="K1994">
        <v>240</v>
      </c>
      <c r="L1994">
        <v>44866</v>
      </c>
      <c r="M1994" t="s">
        <v>1316</v>
      </c>
      <c r="N1994">
        <v>240</v>
      </c>
      <c r="O1994" t="e">
        <v>#N/A</v>
      </c>
    </row>
    <row r="1995" spans="2:15" hidden="1" x14ac:dyDescent="0.3">
      <c r="B1995" t="s">
        <v>8</v>
      </c>
      <c r="C1995">
        <v>928</v>
      </c>
      <c r="D1995" t="s">
        <v>9</v>
      </c>
      <c r="E1995">
        <v>1202</v>
      </c>
      <c r="F1995" t="s">
        <v>37</v>
      </c>
      <c r="G1995">
        <v>81</v>
      </c>
      <c r="H1995" t="s">
        <v>1824</v>
      </c>
      <c r="I1995" t="s">
        <v>6641</v>
      </c>
      <c r="J1995" t="s">
        <v>9862</v>
      </c>
      <c r="K1995">
        <v>53100</v>
      </c>
      <c r="L1995">
        <v>44866</v>
      </c>
      <c r="M1995" t="s">
        <v>55</v>
      </c>
      <c r="N1995">
        <v>53100</v>
      </c>
      <c r="O1995" t="e">
        <v>#N/A</v>
      </c>
    </row>
    <row r="1996" spans="2:15" x14ac:dyDescent="0.3">
      <c r="B1996" t="s">
        <v>8</v>
      </c>
      <c r="C1996">
        <v>928</v>
      </c>
      <c r="D1996" t="s">
        <v>9</v>
      </c>
      <c r="E1996">
        <v>1202</v>
      </c>
      <c r="F1996" t="s">
        <v>122</v>
      </c>
      <c r="G1996">
        <v>251</v>
      </c>
      <c r="H1996" t="s">
        <v>1824</v>
      </c>
      <c r="I1996" t="s">
        <v>9863</v>
      </c>
      <c r="J1996" t="s">
        <v>9864</v>
      </c>
      <c r="K1996">
        <v>376060</v>
      </c>
      <c r="L1996">
        <v>44866</v>
      </c>
      <c r="M1996" t="s">
        <v>1410</v>
      </c>
      <c r="N1996" t="e">
        <v>#N/A</v>
      </c>
      <c r="O1996" t="e">
        <v>#N/A</v>
      </c>
    </row>
    <row r="1997" spans="2:15" hidden="1" x14ac:dyDescent="0.3">
      <c r="B1997" t="s">
        <v>8</v>
      </c>
      <c r="C1997">
        <v>928</v>
      </c>
      <c r="D1997" t="s">
        <v>9</v>
      </c>
      <c r="E1997">
        <v>1202</v>
      </c>
      <c r="F1997" t="s">
        <v>45</v>
      </c>
      <c r="G1997">
        <v>26</v>
      </c>
      <c r="H1997" t="s">
        <v>1824</v>
      </c>
      <c r="I1997" t="s">
        <v>6647</v>
      </c>
      <c r="J1997" t="s">
        <v>9865</v>
      </c>
      <c r="K1997">
        <v>4634920</v>
      </c>
      <c r="L1997">
        <v>44866</v>
      </c>
      <c r="M1997" t="s">
        <v>748</v>
      </c>
      <c r="N1997">
        <v>4634920</v>
      </c>
      <c r="O1997" t="e">
        <v>#N/A</v>
      </c>
    </row>
    <row r="1998" spans="2:15" hidden="1" x14ac:dyDescent="0.3">
      <c r="B1998" t="s">
        <v>41</v>
      </c>
      <c r="C1998">
        <v>926</v>
      </c>
      <c r="D1998" t="s">
        <v>56</v>
      </c>
      <c r="E1998">
        <v>1207</v>
      </c>
      <c r="F1998" t="s">
        <v>64</v>
      </c>
      <c r="G1998">
        <v>201011</v>
      </c>
      <c r="H1998" t="s">
        <v>1824</v>
      </c>
      <c r="I1998" t="s">
        <v>6648</v>
      </c>
      <c r="J1998" t="s">
        <v>9866</v>
      </c>
      <c r="K1998">
        <v>271610</v>
      </c>
      <c r="L1998">
        <v>44866</v>
      </c>
      <c r="M1998" t="s">
        <v>159</v>
      </c>
      <c r="N1998">
        <v>271610</v>
      </c>
      <c r="O1998" t="e">
        <v>#N/A</v>
      </c>
    </row>
    <row r="1999" spans="2:15" hidden="1" x14ac:dyDescent="0.3">
      <c r="B1999" t="s">
        <v>8</v>
      </c>
      <c r="C1999">
        <v>928</v>
      </c>
      <c r="D1999" t="s">
        <v>9</v>
      </c>
      <c r="E1999">
        <v>1202</v>
      </c>
      <c r="F1999" t="s">
        <v>110</v>
      </c>
      <c r="G1999">
        <v>929</v>
      </c>
      <c r="H1999" t="s">
        <v>1824</v>
      </c>
      <c r="I1999" t="s">
        <v>6650</v>
      </c>
      <c r="J1999" t="s">
        <v>9867</v>
      </c>
      <c r="K1999">
        <v>11110</v>
      </c>
      <c r="L1999">
        <v>44866</v>
      </c>
      <c r="M1999" t="s">
        <v>1867</v>
      </c>
      <c r="N1999">
        <v>11110</v>
      </c>
      <c r="O1999" t="e">
        <v>#N/A</v>
      </c>
    </row>
    <row r="2000" spans="2:15" hidden="1" x14ac:dyDescent="0.3">
      <c r="B2000" t="s">
        <v>8</v>
      </c>
      <c r="C2000">
        <v>928</v>
      </c>
      <c r="D2000" t="s">
        <v>9</v>
      </c>
      <c r="E2000">
        <v>1202</v>
      </c>
      <c r="F2000" t="s">
        <v>75</v>
      </c>
      <c r="G2000">
        <v>50</v>
      </c>
      <c r="H2000" t="s">
        <v>1824</v>
      </c>
      <c r="I2000" t="s">
        <v>6652</v>
      </c>
      <c r="J2000" t="s">
        <v>9868</v>
      </c>
      <c r="K2000">
        <v>580690</v>
      </c>
      <c r="L2000">
        <v>44866</v>
      </c>
      <c r="M2000" t="s">
        <v>917</v>
      </c>
      <c r="N2000">
        <v>580690</v>
      </c>
      <c r="O2000" t="e">
        <v>#N/A</v>
      </c>
    </row>
    <row r="2001" spans="2:15" x14ac:dyDescent="0.3">
      <c r="B2001" t="s">
        <v>8</v>
      </c>
      <c r="C2001">
        <v>928</v>
      </c>
      <c r="D2001" t="s">
        <v>13</v>
      </c>
      <c r="E2001">
        <v>1184</v>
      </c>
      <c r="F2001" t="s">
        <v>115</v>
      </c>
      <c r="G2001">
        <v>1548</v>
      </c>
      <c r="H2001" t="s">
        <v>1824</v>
      </c>
      <c r="I2001" t="s">
        <v>9869</v>
      </c>
      <c r="J2001" t="s">
        <v>9870</v>
      </c>
      <c r="K2001">
        <v>13990</v>
      </c>
      <c r="L2001">
        <v>44866</v>
      </c>
      <c r="M2001" t="s">
        <v>1868</v>
      </c>
      <c r="N2001" t="e">
        <v>#N/A</v>
      </c>
      <c r="O2001" t="e">
        <v>#N/A</v>
      </c>
    </row>
    <row r="2002" spans="2:15" x14ac:dyDescent="0.3">
      <c r="B2002" t="s">
        <v>8</v>
      </c>
      <c r="C2002">
        <v>928</v>
      </c>
      <c r="D2002" t="s">
        <v>9</v>
      </c>
      <c r="E2002">
        <v>1202</v>
      </c>
      <c r="F2002" t="s">
        <v>39</v>
      </c>
      <c r="G2002">
        <v>25</v>
      </c>
      <c r="H2002" t="s">
        <v>1824</v>
      </c>
      <c r="I2002" t="s">
        <v>9871</v>
      </c>
      <c r="J2002" t="s">
        <v>9872</v>
      </c>
      <c r="K2002">
        <v>182060</v>
      </c>
      <c r="L2002">
        <v>44866</v>
      </c>
      <c r="M2002" t="s">
        <v>82</v>
      </c>
      <c r="N2002" t="e">
        <v>#N/A</v>
      </c>
      <c r="O2002" t="e">
        <v>#N/A</v>
      </c>
    </row>
    <row r="2003" spans="2:15" hidden="1" x14ac:dyDescent="0.3">
      <c r="B2003" t="s">
        <v>8</v>
      </c>
      <c r="C2003">
        <v>928</v>
      </c>
      <c r="D2003" t="s">
        <v>9</v>
      </c>
      <c r="E2003">
        <v>1202</v>
      </c>
      <c r="F2003" t="s">
        <v>20</v>
      </c>
      <c r="G2003">
        <v>938</v>
      </c>
      <c r="H2003" t="s">
        <v>1824</v>
      </c>
      <c r="I2003" t="s">
        <v>6657</v>
      </c>
      <c r="J2003" t="s">
        <v>9873</v>
      </c>
      <c r="K2003">
        <v>59380</v>
      </c>
      <c r="L2003">
        <v>44866</v>
      </c>
      <c r="M2003" t="s">
        <v>1018</v>
      </c>
      <c r="N2003">
        <v>59380</v>
      </c>
      <c r="O2003" t="e">
        <v>#N/A</v>
      </c>
    </row>
    <row r="2004" spans="2:15" hidden="1" x14ac:dyDescent="0.3">
      <c r="B2004" t="s">
        <v>41</v>
      </c>
      <c r="C2004">
        <v>926</v>
      </c>
      <c r="D2004" t="s">
        <v>56</v>
      </c>
      <c r="E2004">
        <v>1207</v>
      </c>
      <c r="F2004" t="s">
        <v>57</v>
      </c>
      <c r="G2004">
        <v>200982</v>
      </c>
      <c r="H2004" t="s">
        <v>1824</v>
      </c>
      <c r="I2004" t="s">
        <v>6658</v>
      </c>
      <c r="J2004" t="s">
        <v>9874</v>
      </c>
      <c r="K2004">
        <v>189430</v>
      </c>
      <c r="L2004">
        <v>44866</v>
      </c>
      <c r="M2004" t="s">
        <v>1393</v>
      </c>
      <c r="N2004">
        <v>189430</v>
      </c>
      <c r="O2004" t="e">
        <v>#N/A</v>
      </c>
    </row>
    <row r="2005" spans="2:15" x14ac:dyDescent="0.3">
      <c r="B2005" t="s">
        <v>8</v>
      </c>
      <c r="C2005">
        <v>928</v>
      </c>
      <c r="D2005" t="s">
        <v>13</v>
      </c>
      <c r="E2005">
        <v>1184</v>
      </c>
      <c r="F2005" t="s">
        <v>102</v>
      </c>
      <c r="G2005">
        <v>917</v>
      </c>
      <c r="H2005" t="s">
        <v>1824</v>
      </c>
      <c r="I2005" t="s">
        <v>9875</v>
      </c>
      <c r="J2005" t="s">
        <v>9876</v>
      </c>
      <c r="K2005">
        <v>820</v>
      </c>
      <c r="L2005">
        <v>44866</v>
      </c>
      <c r="M2005" t="s">
        <v>1869</v>
      </c>
      <c r="N2005" t="e">
        <v>#N/A</v>
      </c>
      <c r="O2005" t="e">
        <v>#N/A</v>
      </c>
    </row>
    <row r="2006" spans="2:15" x14ac:dyDescent="0.3">
      <c r="B2006" t="s">
        <v>8</v>
      </c>
      <c r="C2006">
        <v>928</v>
      </c>
      <c r="D2006" t="s">
        <v>9</v>
      </c>
      <c r="E2006">
        <v>1202</v>
      </c>
      <c r="F2006" t="s">
        <v>122</v>
      </c>
      <c r="G2006">
        <v>251</v>
      </c>
      <c r="H2006" t="s">
        <v>1824</v>
      </c>
      <c r="I2006" t="s">
        <v>9877</v>
      </c>
      <c r="J2006" t="s">
        <v>9878</v>
      </c>
      <c r="K2006">
        <v>18180</v>
      </c>
      <c r="L2006">
        <v>44866</v>
      </c>
      <c r="M2006" t="s">
        <v>1303</v>
      </c>
      <c r="N2006" t="e">
        <v>#N/A</v>
      </c>
      <c r="O2006" t="e">
        <v>#N/A</v>
      </c>
    </row>
    <row r="2007" spans="2:15" x14ac:dyDescent="0.3">
      <c r="B2007" t="s">
        <v>8</v>
      </c>
      <c r="C2007">
        <v>928</v>
      </c>
      <c r="D2007" t="s">
        <v>9</v>
      </c>
      <c r="E2007">
        <v>1202</v>
      </c>
      <c r="F2007" t="s">
        <v>39</v>
      </c>
      <c r="G2007">
        <v>25</v>
      </c>
      <c r="H2007" t="s">
        <v>1824</v>
      </c>
      <c r="I2007" t="s">
        <v>9879</v>
      </c>
      <c r="J2007" t="s">
        <v>9880</v>
      </c>
      <c r="K2007">
        <v>150390</v>
      </c>
      <c r="L2007">
        <v>44866</v>
      </c>
      <c r="M2007" t="s">
        <v>1470</v>
      </c>
      <c r="N2007" t="e">
        <v>#N/A</v>
      </c>
      <c r="O2007" t="e">
        <v>#N/A</v>
      </c>
    </row>
    <row r="2008" spans="2:15" hidden="1" x14ac:dyDescent="0.3">
      <c r="B2008" t="s">
        <v>41</v>
      </c>
      <c r="C2008">
        <v>926</v>
      </c>
      <c r="D2008" t="s">
        <v>56</v>
      </c>
      <c r="E2008">
        <v>1207</v>
      </c>
      <c r="F2008" t="s">
        <v>57</v>
      </c>
      <c r="G2008">
        <v>200982</v>
      </c>
      <c r="H2008" t="s">
        <v>1824</v>
      </c>
      <c r="I2008" t="s">
        <v>9881</v>
      </c>
      <c r="J2008" t="s">
        <v>9882</v>
      </c>
      <c r="K2008">
        <v>103430</v>
      </c>
      <c r="L2008">
        <v>44866</v>
      </c>
      <c r="M2008" t="s">
        <v>1272</v>
      </c>
      <c r="N2008" t="e">
        <v>#N/A</v>
      </c>
      <c r="O2008" t="s">
        <v>9822</v>
      </c>
    </row>
    <row r="2009" spans="2:15" hidden="1" x14ac:dyDescent="0.3">
      <c r="B2009" t="s">
        <v>41</v>
      </c>
      <c r="C2009">
        <v>926</v>
      </c>
      <c r="D2009" t="s">
        <v>56</v>
      </c>
      <c r="E2009">
        <v>1207</v>
      </c>
      <c r="F2009" t="s">
        <v>64</v>
      </c>
      <c r="G2009">
        <v>201011</v>
      </c>
      <c r="H2009" t="s">
        <v>1824</v>
      </c>
      <c r="I2009" t="s">
        <v>6662</v>
      </c>
      <c r="J2009" t="s">
        <v>9883</v>
      </c>
      <c r="K2009">
        <v>106480</v>
      </c>
      <c r="L2009">
        <v>44866</v>
      </c>
      <c r="M2009" t="s">
        <v>497</v>
      </c>
      <c r="N2009">
        <v>106480</v>
      </c>
      <c r="O2009" t="e">
        <v>#N/A</v>
      </c>
    </row>
    <row r="2010" spans="2:15" hidden="1" x14ac:dyDescent="0.3">
      <c r="B2010" t="s">
        <v>41</v>
      </c>
      <c r="C2010">
        <v>926</v>
      </c>
      <c r="D2010" t="s">
        <v>56</v>
      </c>
      <c r="E2010">
        <v>1207</v>
      </c>
      <c r="F2010" t="s">
        <v>64</v>
      </c>
      <c r="G2010">
        <v>201011</v>
      </c>
      <c r="H2010" t="s">
        <v>1824</v>
      </c>
      <c r="I2010" t="s">
        <v>6663</v>
      </c>
      <c r="J2010" t="s">
        <v>9884</v>
      </c>
      <c r="K2010">
        <v>71990</v>
      </c>
      <c r="L2010">
        <v>44866</v>
      </c>
      <c r="M2010" t="s">
        <v>1118</v>
      </c>
      <c r="N2010">
        <v>71990</v>
      </c>
      <c r="O2010" t="e">
        <v>#N/A</v>
      </c>
    </row>
    <row r="2011" spans="2:15" hidden="1" x14ac:dyDescent="0.3">
      <c r="B2011" t="s">
        <v>8</v>
      </c>
      <c r="C2011">
        <v>928</v>
      </c>
      <c r="D2011" t="s">
        <v>9</v>
      </c>
      <c r="E2011">
        <v>1202</v>
      </c>
      <c r="F2011" t="s">
        <v>110</v>
      </c>
      <c r="G2011">
        <v>929</v>
      </c>
      <c r="H2011" t="s">
        <v>1824</v>
      </c>
      <c r="I2011" t="s">
        <v>6664</v>
      </c>
      <c r="J2011" t="s">
        <v>9885</v>
      </c>
      <c r="K2011">
        <v>55850</v>
      </c>
      <c r="L2011">
        <v>44866</v>
      </c>
      <c r="M2011" t="s">
        <v>781</v>
      </c>
      <c r="N2011">
        <v>55850</v>
      </c>
      <c r="O2011" t="e">
        <v>#N/A</v>
      </c>
    </row>
    <row r="2012" spans="2:15" hidden="1" x14ac:dyDescent="0.3">
      <c r="B2012" t="s">
        <v>8</v>
      </c>
      <c r="C2012">
        <v>928</v>
      </c>
      <c r="D2012" t="s">
        <v>9</v>
      </c>
      <c r="E2012">
        <v>1202</v>
      </c>
      <c r="F2012" t="s">
        <v>122</v>
      </c>
      <c r="G2012">
        <v>251</v>
      </c>
      <c r="H2012" t="s">
        <v>1824</v>
      </c>
      <c r="I2012" t="s">
        <v>6665</v>
      </c>
      <c r="J2012" t="s">
        <v>9886</v>
      </c>
      <c r="K2012">
        <v>36360</v>
      </c>
      <c r="L2012">
        <v>44866</v>
      </c>
      <c r="M2012" t="s">
        <v>819</v>
      </c>
      <c r="N2012">
        <v>36360</v>
      </c>
      <c r="O2012" t="e">
        <v>#N/A</v>
      </c>
    </row>
    <row r="2013" spans="2:15" hidden="1" x14ac:dyDescent="0.3">
      <c r="B2013" t="s">
        <v>16</v>
      </c>
      <c r="C2013">
        <v>927</v>
      </c>
      <c r="D2013" t="s">
        <v>17</v>
      </c>
      <c r="E2013">
        <v>1200</v>
      </c>
      <c r="F2013" t="s">
        <v>78</v>
      </c>
      <c r="G2013">
        <v>57</v>
      </c>
      <c r="H2013" t="s">
        <v>1824</v>
      </c>
      <c r="I2013" t="s">
        <v>6666</v>
      </c>
      <c r="J2013" t="s">
        <v>9887</v>
      </c>
      <c r="K2013">
        <v>21100</v>
      </c>
      <c r="L2013">
        <v>44866</v>
      </c>
      <c r="M2013" t="s">
        <v>252</v>
      </c>
      <c r="N2013">
        <v>21100</v>
      </c>
      <c r="O2013" t="e">
        <v>#N/A</v>
      </c>
    </row>
    <row r="2014" spans="2:15" hidden="1" x14ac:dyDescent="0.3">
      <c r="B2014" t="s">
        <v>41</v>
      </c>
      <c r="C2014">
        <v>926</v>
      </c>
      <c r="D2014" t="s">
        <v>56</v>
      </c>
      <c r="E2014">
        <v>1207</v>
      </c>
      <c r="F2014" t="s">
        <v>57</v>
      </c>
      <c r="G2014">
        <v>200982</v>
      </c>
      <c r="H2014" t="s">
        <v>1824</v>
      </c>
      <c r="I2014" t="s">
        <v>6669</v>
      </c>
      <c r="J2014" t="s">
        <v>9888</v>
      </c>
      <c r="K2014">
        <v>67010</v>
      </c>
      <c r="L2014">
        <v>44866</v>
      </c>
      <c r="M2014" t="s">
        <v>1870</v>
      </c>
      <c r="N2014">
        <v>67010</v>
      </c>
      <c r="O2014" t="e">
        <v>#N/A</v>
      </c>
    </row>
    <row r="2015" spans="2:15" hidden="1" x14ac:dyDescent="0.3">
      <c r="B2015" t="s">
        <v>8</v>
      </c>
      <c r="C2015">
        <v>928</v>
      </c>
      <c r="D2015" t="s">
        <v>9</v>
      </c>
      <c r="E2015">
        <v>1202</v>
      </c>
      <c r="F2015" t="s">
        <v>110</v>
      </c>
      <c r="G2015">
        <v>929</v>
      </c>
      <c r="H2015" t="s">
        <v>1824</v>
      </c>
      <c r="I2015" t="s">
        <v>6671</v>
      </c>
      <c r="J2015" t="s">
        <v>9889</v>
      </c>
      <c r="K2015">
        <v>99050</v>
      </c>
      <c r="L2015">
        <v>44866</v>
      </c>
      <c r="M2015" t="s">
        <v>1566</v>
      </c>
      <c r="N2015">
        <v>99050</v>
      </c>
      <c r="O2015" t="e">
        <v>#N/A</v>
      </c>
    </row>
    <row r="2016" spans="2:15" hidden="1" x14ac:dyDescent="0.3">
      <c r="B2016" t="s">
        <v>8</v>
      </c>
      <c r="C2016">
        <v>928</v>
      </c>
      <c r="D2016" t="s">
        <v>9</v>
      </c>
      <c r="E2016">
        <v>1202</v>
      </c>
      <c r="F2016" t="s">
        <v>75</v>
      </c>
      <c r="G2016">
        <v>50</v>
      </c>
      <c r="H2016" t="s">
        <v>1824</v>
      </c>
      <c r="I2016" t="s">
        <v>6675</v>
      </c>
      <c r="J2016" t="s">
        <v>9890</v>
      </c>
      <c r="K2016">
        <v>67280</v>
      </c>
      <c r="L2016">
        <v>44866</v>
      </c>
      <c r="M2016" t="s">
        <v>583</v>
      </c>
      <c r="N2016">
        <v>67280</v>
      </c>
      <c r="O2016" t="e">
        <v>#N/A</v>
      </c>
    </row>
    <row r="2017" spans="2:15" hidden="1" x14ac:dyDescent="0.3">
      <c r="B2017" t="s">
        <v>8</v>
      </c>
      <c r="C2017">
        <v>928</v>
      </c>
      <c r="D2017" t="s">
        <v>9</v>
      </c>
      <c r="E2017">
        <v>1202</v>
      </c>
      <c r="F2017" t="s">
        <v>20</v>
      </c>
      <c r="G2017">
        <v>938</v>
      </c>
      <c r="H2017" t="s">
        <v>1824</v>
      </c>
      <c r="I2017" t="s">
        <v>6676</v>
      </c>
      <c r="J2017" t="s">
        <v>9891</v>
      </c>
      <c r="K2017">
        <v>15160</v>
      </c>
      <c r="L2017">
        <v>44866</v>
      </c>
      <c r="M2017" t="s">
        <v>1209</v>
      </c>
      <c r="N2017">
        <v>15160</v>
      </c>
      <c r="O2017" t="e">
        <v>#N/A</v>
      </c>
    </row>
    <row r="2018" spans="2:15" hidden="1" x14ac:dyDescent="0.3">
      <c r="B2018" t="s">
        <v>8</v>
      </c>
      <c r="C2018">
        <v>928</v>
      </c>
      <c r="D2018" t="s">
        <v>9</v>
      </c>
      <c r="E2018">
        <v>1202</v>
      </c>
      <c r="F2018" t="s">
        <v>110</v>
      </c>
      <c r="G2018">
        <v>929</v>
      </c>
      <c r="H2018" t="s">
        <v>1824</v>
      </c>
      <c r="I2018" t="s">
        <v>6678</v>
      </c>
      <c r="J2018" t="s">
        <v>9892</v>
      </c>
      <c r="K2018">
        <v>118240</v>
      </c>
      <c r="L2018">
        <v>44866</v>
      </c>
      <c r="M2018" t="s">
        <v>691</v>
      </c>
      <c r="N2018">
        <v>118240</v>
      </c>
      <c r="O2018" t="e">
        <v>#N/A</v>
      </c>
    </row>
    <row r="2019" spans="2:15" hidden="1" x14ac:dyDescent="0.3">
      <c r="B2019" t="s">
        <v>41</v>
      </c>
      <c r="C2019">
        <v>926</v>
      </c>
      <c r="D2019" t="s">
        <v>56</v>
      </c>
      <c r="E2019">
        <v>1207</v>
      </c>
      <c r="F2019" t="s">
        <v>253</v>
      </c>
      <c r="G2019">
        <v>1328</v>
      </c>
      <c r="H2019" t="s">
        <v>1824</v>
      </c>
      <c r="I2019" t="s">
        <v>6679</v>
      </c>
      <c r="J2019" t="s">
        <v>9893</v>
      </c>
      <c r="K2019">
        <v>419740</v>
      </c>
      <c r="L2019">
        <v>44866</v>
      </c>
      <c r="M2019" t="s">
        <v>439</v>
      </c>
      <c r="N2019">
        <v>419740</v>
      </c>
      <c r="O2019" t="e">
        <v>#N/A</v>
      </c>
    </row>
    <row r="2020" spans="2:15" hidden="1" x14ac:dyDescent="0.3">
      <c r="B2020" t="s">
        <v>8</v>
      </c>
      <c r="C2020">
        <v>928</v>
      </c>
      <c r="D2020" t="s">
        <v>13</v>
      </c>
      <c r="E2020">
        <v>1184</v>
      </c>
      <c r="F2020" t="s">
        <v>51</v>
      </c>
      <c r="G2020">
        <v>1274</v>
      </c>
      <c r="H2020" t="s">
        <v>1824</v>
      </c>
      <c r="I2020" t="s">
        <v>6681</v>
      </c>
      <c r="J2020" t="s">
        <v>9894</v>
      </c>
      <c r="K2020">
        <v>52620</v>
      </c>
      <c r="L2020">
        <v>44866</v>
      </c>
      <c r="M2020" t="s">
        <v>899</v>
      </c>
      <c r="N2020">
        <v>52620</v>
      </c>
      <c r="O2020" t="e">
        <v>#N/A</v>
      </c>
    </row>
    <row r="2021" spans="2:15" x14ac:dyDescent="0.3">
      <c r="B2021" t="s">
        <v>8</v>
      </c>
      <c r="C2021">
        <v>928</v>
      </c>
      <c r="D2021" t="s">
        <v>9</v>
      </c>
      <c r="E2021">
        <v>1202</v>
      </c>
      <c r="F2021" t="s">
        <v>10</v>
      </c>
      <c r="G2021">
        <v>939</v>
      </c>
      <c r="H2021" t="s">
        <v>1824</v>
      </c>
      <c r="I2021" t="s">
        <v>9895</v>
      </c>
      <c r="J2021" t="s">
        <v>9896</v>
      </c>
      <c r="K2021">
        <v>17650</v>
      </c>
      <c r="L2021">
        <v>44866</v>
      </c>
      <c r="M2021" t="s">
        <v>457</v>
      </c>
      <c r="N2021" t="e">
        <v>#N/A</v>
      </c>
      <c r="O2021" t="e">
        <v>#N/A</v>
      </c>
    </row>
    <row r="2022" spans="2:15" hidden="1" x14ac:dyDescent="0.3">
      <c r="B2022" t="s">
        <v>41</v>
      </c>
      <c r="C2022">
        <v>926</v>
      </c>
      <c r="D2022" t="s">
        <v>56</v>
      </c>
      <c r="E2022">
        <v>1207</v>
      </c>
      <c r="F2022" t="s">
        <v>64</v>
      </c>
      <c r="G2022">
        <v>201011</v>
      </c>
      <c r="H2022" t="s">
        <v>1824</v>
      </c>
      <c r="I2022" t="s">
        <v>6683</v>
      </c>
      <c r="J2022" t="s">
        <v>9897</v>
      </c>
      <c r="K2022">
        <v>75180</v>
      </c>
      <c r="L2022">
        <v>44866</v>
      </c>
      <c r="M2022" t="s">
        <v>890</v>
      </c>
      <c r="N2022">
        <v>75180</v>
      </c>
      <c r="O2022" t="e">
        <v>#N/A</v>
      </c>
    </row>
    <row r="2023" spans="2:15" hidden="1" x14ac:dyDescent="0.3">
      <c r="B2023" t="s">
        <v>8</v>
      </c>
      <c r="C2023">
        <v>928</v>
      </c>
      <c r="D2023" t="s">
        <v>9</v>
      </c>
      <c r="E2023">
        <v>1202</v>
      </c>
      <c r="F2023" t="s">
        <v>47</v>
      </c>
      <c r="G2023">
        <v>898</v>
      </c>
      <c r="H2023" t="s">
        <v>1824</v>
      </c>
      <c r="I2023" t="s">
        <v>6685</v>
      </c>
      <c r="J2023" t="s">
        <v>9898</v>
      </c>
      <c r="K2023">
        <v>121880</v>
      </c>
      <c r="L2023">
        <v>44866</v>
      </c>
      <c r="M2023" t="s">
        <v>352</v>
      </c>
      <c r="N2023">
        <v>121880</v>
      </c>
      <c r="O2023" t="e">
        <v>#N/A</v>
      </c>
    </row>
    <row r="2024" spans="2:15" hidden="1" x14ac:dyDescent="0.3">
      <c r="B2024" t="s">
        <v>16</v>
      </c>
      <c r="C2024">
        <v>927</v>
      </c>
      <c r="D2024" t="s">
        <v>17</v>
      </c>
      <c r="E2024">
        <v>1200</v>
      </c>
      <c r="F2024" t="s">
        <v>137</v>
      </c>
      <c r="G2024">
        <v>1012</v>
      </c>
      <c r="H2024" t="s">
        <v>1824</v>
      </c>
      <c r="I2024" t="s">
        <v>6686</v>
      </c>
      <c r="J2024" t="s">
        <v>9899</v>
      </c>
      <c r="K2024">
        <v>9150</v>
      </c>
      <c r="L2024">
        <v>44866</v>
      </c>
      <c r="M2024" t="s">
        <v>575</v>
      </c>
      <c r="N2024">
        <v>9150</v>
      </c>
      <c r="O2024" t="e">
        <v>#N/A</v>
      </c>
    </row>
    <row r="2025" spans="2:15" x14ac:dyDescent="0.3">
      <c r="B2025" t="s">
        <v>8</v>
      </c>
      <c r="C2025">
        <v>928</v>
      </c>
      <c r="D2025" t="s">
        <v>9</v>
      </c>
      <c r="E2025">
        <v>1202</v>
      </c>
      <c r="F2025" t="s">
        <v>10</v>
      </c>
      <c r="G2025">
        <v>939</v>
      </c>
      <c r="H2025" t="s">
        <v>1824</v>
      </c>
      <c r="I2025" t="s">
        <v>9900</v>
      </c>
      <c r="J2025" t="s">
        <v>9901</v>
      </c>
      <c r="K2025">
        <v>24670</v>
      </c>
      <c r="L2025">
        <v>44866</v>
      </c>
      <c r="M2025" t="s">
        <v>1871</v>
      </c>
      <c r="N2025" t="e">
        <v>#N/A</v>
      </c>
      <c r="O2025" t="e">
        <v>#N/A</v>
      </c>
    </row>
    <row r="2026" spans="2:15" hidden="1" x14ac:dyDescent="0.3">
      <c r="B2026" t="s">
        <v>8</v>
      </c>
      <c r="C2026">
        <v>928</v>
      </c>
      <c r="D2026" t="s">
        <v>9</v>
      </c>
      <c r="E2026">
        <v>1202</v>
      </c>
      <c r="F2026" t="s">
        <v>20</v>
      </c>
      <c r="G2026">
        <v>938</v>
      </c>
      <c r="H2026" t="s">
        <v>1824</v>
      </c>
      <c r="I2026" t="s">
        <v>6687</v>
      </c>
      <c r="J2026" t="s">
        <v>9902</v>
      </c>
      <c r="K2026">
        <v>52260</v>
      </c>
      <c r="L2026">
        <v>44866</v>
      </c>
      <c r="M2026" t="s">
        <v>958</v>
      </c>
      <c r="N2026">
        <v>52260</v>
      </c>
      <c r="O2026" t="e">
        <v>#N/A</v>
      </c>
    </row>
    <row r="2027" spans="2:15" x14ac:dyDescent="0.3">
      <c r="B2027" t="s">
        <v>41</v>
      </c>
      <c r="C2027">
        <v>926</v>
      </c>
      <c r="D2027" t="s">
        <v>42</v>
      </c>
      <c r="E2027">
        <v>964</v>
      </c>
      <c r="F2027" t="s">
        <v>43</v>
      </c>
      <c r="G2027">
        <v>200998</v>
      </c>
      <c r="H2027" t="s">
        <v>1824</v>
      </c>
      <c r="I2027" t="s">
        <v>9903</v>
      </c>
      <c r="J2027" t="s">
        <v>9904</v>
      </c>
      <c r="K2027">
        <v>740</v>
      </c>
      <c r="L2027">
        <v>44866</v>
      </c>
      <c r="M2027" t="s">
        <v>1872</v>
      </c>
      <c r="N2027" t="e">
        <v>#N/A</v>
      </c>
      <c r="O2027" t="e">
        <v>#N/A</v>
      </c>
    </row>
    <row r="2028" spans="2:15" hidden="1" x14ac:dyDescent="0.3">
      <c r="B2028" t="s">
        <v>8</v>
      </c>
      <c r="C2028">
        <v>928</v>
      </c>
      <c r="D2028" t="s">
        <v>9</v>
      </c>
      <c r="E2028">
        <v>1202</v>
      </c>
      <c r="F2028" t="s">
        <v>27</v>
      </c>
      <c r="G2028">
        <v>806</v>
      </c>
      <c r="H2028" t="s">
        <v>1824</v>
      </c>
      <c r="I2028" t="s">
        <v>6690</v>
      </c>
      <c r="J2028" t="s">
        <v>9905</v>
      </c>
      <c r="K2028">
        <v>738500</v>
      </c>
      <c r="L2028">
        <v>44866</v>
      </c>
      <c r="M2028" t="s">
        <v>1873</v>
      </c>
      <c r="N2028">
        <v>738500</v>
      </c>
      <c r="O2028" t="e">
        <v>#N/A</v>
      </c>
    </row>
    <row r="2029" spans="2:15" hidden="1" x14ac:dyDescent="0.3">
      <c r="B2029" t="s">
        <v>41</v>
      </c>
      <c r="C2029">
        <v>926</v>
      </c>
      <c r="D2029" t="s">
        <v>56</v>
      </c>
      <c r="E2029">
        <v>1207</v>
      </c>
      <c r="F2029" t="s">
        <v>57</v>
      </c>
      <c r="G2029">
        <v>200982</v>
      </c>
      <c r="H2029" t="s">
        <v>1824</v>
      </c>
      <c r="I2029" t="s">
        <v>9906</v>
      </c>
      <c r="J2029" t="s">
        <v>9907</v>
      </c>
      <c r="K2029">
        <v>910</v>
      </c>
      <c r="L2029">
        <v>44866</v>
      </c>
      <c r="M2029" t="s">
        <v>603</v>
      </c>
      <c r="N2029" t="e">
        <v>#N/A</v>
      </c>
      <c r="O2029" t="s">
        <v>9822</v>
      </c>
    </row>
    <row r="2030" spans="2:15" hidden="1" x14ac:dyDescent="0.3">
      <c r="B2030" t="s">
        <v>8</v>
      </c>
      <c r="C2030">
        <v>928</v>
      </c>
      <c r="D2030" t="s">
        <v>9</v>
      </c>
      <c r="E2030">
        <v>1202</v>
      </c>
      <c r="F2030" t="s">
        <v>47</v>
      </c>
      <c r="G2030">
        <v>898</v>
      </c>
      <c r="H2030" t="s">
        <v>1824</v>
      </c>
      <c r="I2030" t="s">
        <v>6691</v>
      </c>
      <c r="J2030" t="s">
        <v>9908</v>
      </c>
      <c r="K2030">
        <v>3180</v>
      </c>
      <c r="L2030">
        <v>44866</v>
      </c>
      <c r="M2030" t="s">
        <v>1874</v>
      </c>
      <c r="N2030">
        <v>3180</v>
      </c>
      <c r="O2030" t="e">
        <v>#N/A</v>
      </c>
    </row>
    <row r="2031" spans="2:15" x14ac:dyDescent="0.3">
      <c r="B2031" t="s">
        <v>8</v>
      </c>
      <c r="C2031">
        <v>928</v>
      </c>
      <c r="D2031" t="s">
        <v>9</v>
      </c>
      <c r="E2031">
        <v>1202</v>
      </c>
      <c r="F2031" t="s">
        <v>39</v>
      </c>
      <c r="G2031">
        <v>25</v>
      </c>
      <c r="H2031" t="s">
        <v>1824</v>
      </c>
      <c r="I2031" t="s">
        <v>9909</v>
      </c>
      <c r="J2031" t="s">
        <v>9910</v>
      </c>
      <c r="K2031">
        <v>3460</v>
      </c>
      <c r="L2031">
        <v>44866</v>
      </c>
      <c r="M2031" t="s">
        <v>1787</v>
      </c>
      <c r="N2031" t="e">
        <v>#N/A</v>
      </c>
      <c r="O2031" t="e">
        <v>#N/A</v>
      </c>
    </row>
    <row r="2032" spans="2:15" x14ac:dyDescent="0.3">
      <c r="B2032" t="s">
        <v>8</v>
      </c>
      <c r="C2032">
        <v>928</v>
      </c>
      <c r="D2032" t="s">
        <v>9</v>
      </c>
      <c r="E2032">
        <v>1202</v>
      </c>
      <c r="F2032" t="s">
        <v>10</v>
      </c>
      <c r="G2032">
        <v>939</v>
      </c>
      <c r="H2032" t="s">
        <v>1824</v>
      </c>
      <c r="I2032" t="s">
        <v>9911</v>
      </c>
      <c r="J2032" t="s">
        <v>9912</v>
      </c>
      <c r="K2032">
        <v>24020</v>
      </c>
      <c r="L2032">
        <v>44866</v>
      </c>
      <c r="M2032" t="s">
        <v>1296</v>
      </c>
      <c r="N2032" t="e">
        <v>#N/A</v>
      </c>
      <c r="O2032" t="e">
        <v>#N/A</v>
      </c>
    </row>
    <row r="2033" spans="2:15" x14ac:dyDescent="0.3">
      <c r="B2033" t="s">
        <v>16</v>
      </c>
      <c r="C2033">
        <v>927</v>
      </c>
      <c r="D2033" t="s">
        <v>17</v>
      </c>
      <c r="E2033">
        <v>1200</v>
      </c>
      <c r="F2033" t="s">
        <v>137</v>
      </c>
      <c r="G2033">
        <v>1012</v>
      </c>
      <c r="H2033" t="s">
        <v>1824</v>
      </c>
      <c r="I2033" t="s">
        <v>9913</v>
      </c>
      <c r="J2033" t="s">
        <v>9914</v>
      </c>
      <c r="K2033">
        <v>5790</v>
      </c>
      <c r="L2033">
        <v>44866</v>
      </c>
      <c r="M2033" t="s">
        <v>911</v>
      </c>
      <c r="N2033" t="e">
        <v>#N/A</v>
      </c>
      <c r="O2033" t="e">
        <v>#N/A</v>
      </c>
    </row>
    <row r="2034" spans="2:15" hidden="1" x14ac:dyDescent="0.3">
      <c r="B2034" t="s">
        <v>16</v>
      </c>
      <c r="C2034">
        <v>927</v>
      </c>
      <c r="D2034" t="s">
        <v>17</v>
      </c>
      <c r="E2034">
        <v>1200</v>
      </c>
      <c r="F2034" t="s">
        <v>137</v>
      </c>
      <c r="G2034">
        <v>1012</v>
      </c>
      <c r="H2034" t="s">
        <v>1824</v>
      </c>
      <c r="I2034" t="s">
        <v>6692</v>
      </c>
      <c r="J2034" t="s">
        <v>9915</v>
      </c>
      <c r="K2034">
        <v>4860</v>
      </c>
      <c r="L2034">
        <v>44866</v>
      </c>
      <c r="M2034" t="s">
        <v>1124</v>
      </c>
      <c r="N2034">
        <v>4860</v>
      </c>
      <c r="O2034" t="e">
        <v>#N/A</v>
      </c>
    </row>
    <row r="2035" spans="2:15" x14ac:dyDescent="0.3">
      <c r="B2035" t="s">
        <v>8</v>
      </c>
      <c r="C2035">
        <v>928</v>
      </c>
      <c r="D2035" t="s">
        <v>9</v>
      </c>
      <c r="E2035">
        <v>1202</v>
      </c>
      <c r="F2035" t="s">
        <v>10</v>
      </c>
      <c r="G2035">
        <v>939</v>
      </c>
      <c r="H2035" t="s">
        <v>1824</v>
      </c>
      <c r="I2035" t="s">
        <v>9916</v>
      </c>
      <c r="J2035" t="s">
        <v>9917</v>
      </c>
      <c r="K2035">
        <v>4090</v>
      </c>
      <c r="L2035">
        <v>44866</v>
      </c>
      <c r="M2035" t="s">
        <v>595</v>
      </c>
      <c r="N2035" t="e">
        <v>#N/A</v>
      </c>
      <c r="O2035" t="e">
        <v>#N/A</v>
      </c>
    </row>
    <row r="2036" spans="2:15" hidden="1" x14ac:dyDescent="0.3">
      <c r="B2036" t="s">
        <v>8</v>
      </c>
      <c r="C2036">
        <v>928</v>
      </c>
      <c r="D2036" t="s">
        <v>9</v>
      </c>
      <c r="E2036">
        <v>1202</v>
      </c>
      <c r="F2036" t="s">
        <v>37</v>
      </c>
      <c r="G2036">
        <v>81</v>
      </c>
      <c r="H2036" t="s">
        <v>1824</v>
      </c>
      <c r="I2036" t="s">
        <v>6695</v>
      </c>
      <c r="J2036" t="s">
        <v>9918</v>
      </c>
      <c r="K2036">
        <v>602240</v>
      </c>
      <c r="L2036">
        <v>44866</v>
      </c>
      <c r="M2036" t="s">
        <v>364</v>
      </c>
      <c r="N2036">
        <v>602240</v>
      </c>
      <c r="O2036" t="e">
        <v>#N/A</v>
      </c>
    </row>
    <row r="2037" spans="2:15" hidden="1" x14ac:dyDescent="0.3">
      <c r="B2037" t="s">
        <v>8</v>
      </c>
      <c r="C2037">
        <v>928</v>
      </c>
      <c r="D2037" t="s">
        <v>9</v>
      </c>
      <c r="E2037">
        <v>1202</v>
      </c>
      <c r="F2037" t="s">
        <v>47</v>
      </c>
      <c r="G2037">
        <v>898</v>
      </c>
      <c r="H2037" t="s">
        <v>1824</v>
      </c>
      <c r="I2037" t="s">
        <v>6696</v>
      </c>
      <c r="J2037" t="s">
        <v>9919</v>
      </c>
      <c r="K2037">
        <v>44180</v>
      </c>
      <c r="L2037">
        <v>44866</v>
      </c>
      <c r="M2037" t="s">
        <v>1160</v>
      </c>
      <c r="N2037">
        <v>44180</v>
      </c>
      <c r="O2037" t="e">
        <v>#N/A</v>
      </c>
    </row>
    <row r="2038" spans="2:15" hidden="1" x14ac:dyDescent="0.3">
      <c r="B2038" t="s">
        <v>8</v>
      </c>
      <c r="C2038">
        <v>928</v>
      </c>
      <c r="D2038" t="s">
        <v>13</v>
      </c>
      <c r="E2038">
        <v>1184</v>
      </c>
      <c r="F2038" t="s">
        <v>51</v>
      </c>
      <c r="G2038">
        <v>1274</v>
      </c>
      <c r="H2038" t="s">
        <v>1824</v>
      </c>
      <c r="I2038" t="s">
        <v>9920</v>
      </c>
      <c r="J2038" t="s">
        <v>9921</v>
      </c>
      <c r="K2038">
        <v>480</v>
      </c>
      <c r="L2038">
        <v>44866</v>
      </c>
      <c r="M2038" t="s">
        <v>1875</v>
      </c>
      <c r="N2038" t="e">
        <v>#N/A</v>
      </c>
      <c r="O2038" t="s">
        <v>7108</v>
      </c>
    </row>
    <row r="2039" spans="2:15" hidden="1" x14ac:dyDescent="0.3">
      <c r="B2039" t="s">
        <v>41</v>
      </c>
      <c r="C2039">
        <v>926</v>
      </c>
      <c r="D2039" t="s">
        <v>56</v>
      </c>
      <c r="E2039">
        <v>1207</v>
      </c>
      <c r="F2039" t="s">
        <v>57</v>
      </c>
      <c r="G2039">
        <v>200982</v>
      </c>
      <c r="H2039" t="s">
        <v>1824</v>
      </c>
      <c r="I2039" t="s">
        <v>6698</v>
      </c>
      <c r="J2039" t="s">
        <v>9922</v>
      </c>
      <c r="K2039">
        <v>8500</v>
      </c>
      <c r="L2039">
        <v>44866</v>
      </c>
      <c r="M2039" t="s">
        <v>633</v>
      </c>
      <c r="N2039">
        <v>8500</v>
      </c>
      <c r="O2039" t="e">
        <v>#N/A</v>
      </c>
    </row>
    <row r="2040" spans="2:15" hidden="1" x14ac:dyDescent="0.3">
      <c r="B2040" t="s">
        <v>8</v>
      </c>
      <c r="C2040">
        <v>928</v>
      </c>
      <c r="D2040" t="s">
        <v>9</v>
      </c>
      <c r="E2040">
        <v>1202</v>
      </c>
      <c r="F2040" t="s">
        <v>73</v>
      </c>
      <c r="G2040">
        <v>895</v>
      </c>
      <c r="H2040" t="s">
        <v>1824</v>
      </c>
      <c r="I2040" t="s">
        <v>6699</v>
      </c>
      <c r="J2040" t="s">
        <v>9923</v>
      </c>
      <c r="K2040">
        <v>61690</v>
      </c>
      <c r="L2040">
        <v>44866</v>
      </c>
      <c r="M2040" t="s">
        <v>498</v>
      </c>
      <c r="N2040">
        <v>61690</v>
      </c>
      <c r="O2040" t="e">
        <v>#N/A</v>
      </c>
    </row>
    <row r="2041" spans="2:15" hidden="1" x14ac:dyDescent="0.3">
      <c r="B2041" t="s">
        <v>8</v>
      </c>
      <c r="C2041">
        <v>928</v>
      </c>
      <c r="D2041" t="s">
        <v>9</v>
      </c>
      <c r="E2041">
        <v>1202</v>
      </c>
      <c r="F2041" t="s">
        <v>73</v>
      </c>
      <c r="G2041">
        <v>895</v>
      </c>
      <c r="H2041" t="s">
        <v>1824</v>
      </c>
      <c r="I2041" t="s">
        <v>6700</v>
      </c>
      <c r="J2041" t="s">
        <v>9924</v>
      </c>
      <c r="K2041">
        <v>195850</v>
      </c>
      <c r="L2041">
        <v>44866</v>
      </c>
      <c r="M2041" t="s">
        <v>1035</v>
      </c>
      <c r="N2041">
        <v>195850</v>
      </c>
      <c r="O2041" t="e">
        <v>#N/A</v>
      </c>
    </row>
    <row r="2042" spans="2:15" hidden="1" x14ac:dyDescent="0.3">
      <c r="B2042" t="s">
        <v>8</v>
      </c>
      <c r="C2042">
        <v>928</v>
      </c>
      <c r="D2042" t="s">
        <v>9</v>
      </c>
      <c r="E2042">
        <v>1202</v>
      </c>
      <c r="F2042" t="s">
        <v>37</v>
      </c>
      <c r="G2042">
        <v>81</v>
      </c>
      <c r="H2042" t="s">
        <v>1824</v>
      </c>
      <c r="I2042" t="s">
        <v>6701</v>
      </c>
      <c r="J2042" t="s">
        <v>9925</v>
      </c>
      <c r="K2042">
        <v>438700</v>
      </c>
      <c r="L2042">
        <v>44866</v>
      </c>
      <c r="M2042" t="s">
        <v>1658</v>
      </c>
      <c r="N2042">
        <v>438700</v>
      </c>
      <c r="O2042" t="e">
        <v>#N/A</v>
      </c>
    </row>
    <row r="2043" spans="2:15" hidden="1" x14ac:dyDescent="0.3">
      <c r="B2043" t="s">
        <v>8</v>
      </c>
      <c r="C2043">
        <v>928</v>
      </c>
      <c r="D2043" t="s">
        <v>9</v>
      </c>
      <c r="E2043">
        <v>1202</v>
      </c>
      <c r="F2043" t="s">
        <v>47</v>
      </c>
      <c r="G2043">
        <v>898</v>
      </c>
      <c r="H2043" t="s">
        <v>1824</v>
      </c>
      <c r="I2043" t="s">
        <v>6702</v>
      </c>
      <c r="J2043" t="s">
        <v>9926</v>
      </c>
      <c r="K2043">
        <v>34110</v>
      </c>
      <c r="L2043">
        <v>44866</v>
      </c>
      <c r="M2043" t="s">
        <v>639</v>
      </c>
      <c r="N2043">
        <v>34110</v>
      </c>
      <c r="O2043" t="e">
        <v>#N/A</v>
      </c>
    </row>
    <row r="2044" spans="2:15" hidden="1" x14ac:dyDescent="0.3">
      <c r="B2044" t="s">
        <v>8</v>
      </c>
      <c r="C2044">
        <v>928</v>
      </c>
      <c r="D2044" t="s">
        <v>9</v>
      </c>
      <c r="E2044">
        <v>1202</v>
      </c>
      <c r="F2044" t="s">
        <v>47</v>
      </c>
      <c r="G2044">
        <v>898</v>
      </c>
      <c r="H2044" t="s">
        <v>1824</v>
      </c>
      <c r="I2044" t="s">
        <v>6703</v>
      </c>
      <c r="J2044" t="s">
        <v>9927</v>
      </c>
      <c r="K2044">
        <v>5110</v>
      </c>
      <c r="L2044">
        <v>44866</v>
      </c>
      <c r="M2044" t="s">
        <v>1876</v>
      </c>
      <c r="N2044">
        <v>5110</v>
      </c>
      <c r="O2044" t="e">
        <v>#N/A</v>
      </c>
    </row>
    <row r="2045" spans="2:15" hidden="1" x14ac:dyDescent="0.3">
      <c r="B2045" t="s">
        <v>8</v>
      </c>
      <c r="C2045">
        <v>928</v>
      </c>
      <c r="D2045" t="s">
        <v>9</v>
      </c>
      <c r="E2045">
        <v>1202</v>
      </c>
      <c r="F2045" t="s">
        <v>47</v>
      </c>
      <c r="G2045">
        <v>898</v>
      </c>
      <c r="H2045" t="s">
        <v>1824</v>
      </c>
      <c r="I2045" t="s">
        <v>6705</v>
      </c>
      <c r="J2045" t="s">
        <v>9928</v>
      </c>
      <c r="K2045">
        <v>31990</v>
      </c>
      <c r="L2045">
        <v>44866</v>
      </c>
      <c r="M2045" t="s">
        <v>504</v>
      </c>
      <c r="N2045">
        <v>31990</v>
      </c>
      <c r="O2045" t="e">
        <v>#N/A</v>
      </c>
    </row>
    <row r="2046" spans="2:15" x14ac:dyDescent="0.3">
      <c r="B2046" t="s">
        <v>8</v>
      </c>
      <c r="C2046">
        <v>928</v>
      </c>
      <c r="D2046" t="s">
        <v>9</v>
      </c>
      <c r="E2046">
        <v>1202</v>
      </c>
      <c r="F2046" t="s">
        <v>122</v>
      </c>
      <c r="G2046">
        <v>251</v>
      </c>
      <c r="H2046" t="s">
        <v>1824</v>
      </c>
      <c r="I2046" t="s">
        <v>9929</v>
      </c>
      <c r="J2046" t="s">
        <v>9930</v>
      </c>
      <c r="K2046">
        <v>33390</v>
      </c>
      <c r="L2046">
        <v>44866</v>
      </c>
      <c r="M2046" t="s">
        <v>413</v>
      </c>
      <c r="N2046" t="e">
        <v>#N/A</v>
      </c>
      <c r="O2046" t="e">
        <v>#N/A</v>
      </c>
    </row>
    <row r="2047" spans="2:15" hidden="1" x14ac:dyDescent="0.3">
      <c r="B2047" t="s">
        <v>8</v>
      </c>
      <c r="C2047">
        <v>928</v>
      </c>
      <c r="D2047" t="s">
        <v>9</v>
      </c>
      <c r="E2047">
        <v>1202</v>
      </c>
      <c r="F2047" t="s">
        <v>75</v>
      </c>
      <c r="G2047">
        <v>50</v>
      </c>
      <c r="H2047" t="s">
        <v>1824</v>
      </c>
      <c r="I2047" t="s">
        <v>6707</v>
      </c>
      <c r="J2047" t="s">
        <v>9931</v>
      </c>
      <c r="K2047">
        <v>73100</v>
      </c>
      <c r="L2047">
        <v>44866</v>
      </c>
      <c r="M2047" t="s">
        <v>1877</v>
      </c>
      <c r="N2047">
        <v>73100</v>
      </c>
      <c r="O2047" t="e">
        <v>#N/A</v>
      </c>
    </row>
    <row r="2048" spans="2:15" hidden="1" x14ac:dyDescent="0.3">
      <c r="B2048" t="s">
        <v>8</v>
      </c>
      <c r="C2048">
        <v>928</v>
      </c>
      <c r="D2048" t="s">
        <v>9</v>
      </c>
      <c r="E2048">
        <v>1202</v>
      </c>
      <c r="F2048" t="s">
        <v>75</v>
      </c>
      <c r="G2048">
        <v>50</v>
      </c>
      <c r="H2048" t="s">
        <v>1824</v>
      </c>
      <c r="I2048" t="s">
        <v>6708</v>
      </c>
      <c r="J2048" t="s">
        <v>9932</v>
      </c>
      <c r="K2048">
        <v>11800</v>
      </c>
      <c r="L2048">
        <v>44866</v>
      </c>
      <c r="M2048" t="s">
        <v>1877</v>
      </c>
      <c r="N2048">
        <v>11800</v>
      </c>
      <c r="O2048" t="e">
        <v>#N/A</v>
      </c>
    </row>
    <row r="2049" spans="2:15" hidden="1" x14ac:dyDescent="0.3">
      <c r="B2049" t="s">
        <v>16</v>
      </c>
      <c r="C2049">
        <v>927</v>
      </c>
      <c r="D2049" t="s">
        <v>17</v>
      </c>
      <c r="E2049">
        <v>1200</v>
      </c>
      <c r="F2049" t="s">
        <v>66</v>
      </c>
      <c r="G2049">
        <v>33</v>
      </c>
      <c r="H2049" t="s">
        <v>1824</v>
      </c>
      <c r="I2049" t="s">
        <v>6709</v>
      </c>
      <c r="J2049" t="s">
        <v>9933</v>
      </c>
      <c r="K2049">
        <v>425600</v>
      </c>
      <c r="L2049">
        <v>44866</v>
      </c>
      <c r="M2049" t="s">
        <v>1878</v>
      </c>
      <c r="N2049">
        <v>425600</v>
      </c>
      <c r="O2049" t="e">
        <v>#N/A</v>
      </c>
    </row>
    <row r="2050" spans="2:15" hidden="1" x14ac:dyDescent="0.3">
      <c r="B2050" t="s">
        <v>8</v>
      </c>
      <c r="C2050">
        <v>928</v>
      </c>
      <c r="D2050" t="s">
        <v>9</v>
      </c>
      <c r="E2050">
        <v>1202</v>
      </c>
      <c r="F2050" t="s">
        <v>73</v>
      </c>
      <c r="G2050">
        <v>895</v>
      </c>
      <c r="H2050" t="s">
        <v>1824</v>
      </c>
      <c r="I2050" t="s">
        <v>6711</v>
      </c>
      <c r="J2050" t="s">
        <v>9934</v>
      </c>
      <c r="K2050">
        <v>5180</v>
      </c>
      <c r="L2050">
        <v>44866</v>
      </c>
      <c r="M2050" t="s">
        <v>180</v>
      </c>
      <c r="N2050">
        <v>5180</v>
      </c>
      <c r="O2050" t="e">
        <v>#N/A</v>
      </c>
    </row>
    <row r="2051" spans="2:15" hidden="1" x14ac:dyDescent="0.3">
      <c r="B2051" t="s">
        <v>8</v>
      </c>
      <c r="C2051">
        <v>928</v>
      </c>
      <c r="D2051" t="s">
        <v>9</v>
      </c>
      <c r="E2051">
        <v>1202</v>
      </c>
      <c r="F2051" t="s">
        <v>39</v>
      </c>
      <c r="G2051">
        <v>25</v>
      </c>
      <c r="H2051" t="s">
        <v>1824</v>
      </c>
      <c r="I2051" t="s">
        <v>9935</v>
      </c>
      <c r="J2051" t="s">
        <v>9936</v>
      </c>
      <c r="K2051">
        <v>12670</v>
      </c>
      <c r="L2051">
        <v>44866</v>
      </c>
      <c r="M2051" t="s">
        <v>1879</v>
      </c>
      <c r="N2051" t="e">
        <v>#N/A</v>
      </c>
      <c r="O2051" t="s">
        <v>7193</v>
      </c>
    </row>
    <row r="2052" spans="2:15" x14ac:dyDescent="0.3">
      <c r="B2052" t="s">
        <v>41</v>
      </c>
      <c r="C2052">
        <v>926</v>
      </c>
      <c r="D2052" t="s">
        <v>56</v>
      </c>
      <c r="E2052">
        <v>1207</v>
      </c>
      <c r="F2052" t="s">
        <v>64</v>
      </c>
      <c r="G2052">
        <v>201011</v>
      </c>
      <c r="H2052" t="s">
        <v>1824</v>
      </c>
      <c r="I2052" t="s">
        <v>9937</v>
      </c>
      <c r="J2052" t="s">
        <v>9938</v>
      </c>
      <c r="K2052">
        <v>693720</v>
      </c>
      <c r="L2052">
        <v>44866</v>
      </c>
      <c r="M2052" t="s">
        <v>1880</v>
      </c>
      <c r="N2052" t="e">
        <v>#N/A</v>
      </c>
      <c r="O2052" t="e">
        <v>#N/A</v>
      </c>
    </row>
    <row r="2053" spans="2:15" hidden="1" x14ac:dyDescent="0.3">
      <c r="B2053" t="s">
        <v>8</v>
      </c>
      <c r="C2053">
        <v>928</v>
      </c>
      <c r="D2053" t="s">
        <v>13</v>
      </c>
      <c r="E2053">
        <v>1184</v>
      </c>
      <c r="F2053" t="s">
        <v>59</v>
      </c>
      <c r="G2053">
        <v>9</v>
      </c>
      <c r="H2053" t="s">
        <v>1824</v>
      </c>
      <c r="I2053" t="s">
        <v>6713</v>
      </c>
      <c r="J2053" t="s">
        <v>9939</v>
      </c>
      <c r="K2053">
        <v>452190</v>
      </c>
      <c r="L2053">
        <v>44866</v>
      </c>
      <c r="M2053" t="s">
        <v>313</v>
      </c>
      <c r="N2053">
        <v>452190</v>
      </c>
      <c r="O2053" t="e">
        <v>#N/A</v>
      </c>
    </row>
    <row r="2054" spans="2:15" hidden="1" x14ac:dyDescent="0.3">
      <c r="B2054" t="s">
        <v>8</v>
      </c>
      <c r="C2054">
        <v>928</v>
      </c>
      <c r="D2054" t="s">
        <v>9</v>
      </c>
      <c r="E2054">
        <v>1202</v>
      </c>
      <c r="F2054" t="s">
        <v>37</v>
      </c>
      <c r="G2054">
        <v>81</v>
      </c>
      <c r="H2054" t="s">
        <v>1824</v>
      </c>
      <c r="I2054" t="s">
        <v>6714</v>
      </c>
      <c r="J2054" t="s">
        <v>9940</v>
      </c>
      <c r="K2054">
        <v>2640</v>
      </c>
      <c r="L2054">
        <v>44866</v>
      </c>
      <c r="M2054" t="s">
        <v>1650</v>
      </c>
      <c r="N2054">
        <v>2640</v>
      </c>
      <c r="O2054" t="e">
        <v>#N/A</v>
      </c>
    </row>
    <row r="2055" spans="2:15" x14ac:dyDescent="0.3">
      <c r="B2055" t="s">
        <v>8</v>
      </c>
      <c r="C2055">
        <v>928</v>
      </c>
      <c r="D2055" t="s">
        <v>9</v>
      </c>
      <c r="E2055">
        <v>1202</v>
      </c>
      <c r="F2055" t="s">
        <v>10</v>
      </c>
      <c r="G2055">
        <v>939</v>
      </c>
      <c r="H2055" t="s">
        <v>1824</v>
      </c>
      <c r="I2055" t="s">
        <v>9941</v>
      </c>
      <c r="J2055" t="s">
        <v>9942</v>
      </c>
      <c r="K2055">
        <v>93100</v>
      </c>
      <c r="L2055">
        <v>44866</v>
      </c>
      <c r="M2055" t="s">
        <v>1473</v>
      </c>
      <c r="N2055" t="e">
        <v>#N/A</v>
      </c>
      <c r="O2055" t="e">
        <v>#N/A</v>
      </c>
    </row>
    <row r="2056" spans="2:15" x14ac:dyDescent="0.3">
      <c r="B2056" t="s">
        <v>41</v>
      </c>
      <c r="C2056">
        <v>926</v>
      </c>
      <c r="D2056" t="s">
        <v>42</v>
      </c>
      <c r="E2056">
        <v>964</v>
      </c>
      <c r="F2056" t="s">
        <v>704</v>
      </c>
      <c r="G2056">
        <v>1616</v>
      </c>
      <c r="H2056" t="s">
        <v>1824</v>
      </c>
      <c r="I2056" t="s">
        <v>9943</v>
      </c>
      <c r="J2056" t="s">
        <v>9944</v>
      </c>
      <c r="K2056">
        <v>10760</v>
      </c>
      <c r="L2056">
        <v>44866</v>
      </c>
      <c r="M2056" t="s">
        <v>1881</v>
      </c>
      <c r="N2056" t="e">
        <v>#N/A</v>
      </c>
      <c r="O2056" t="e">
        <v>#N/A</v>
      </c>
    </row>
    <row r="2057" spans="2:15" x14ac:dyDescent="0.3">
      <c r="B2057" t="s">
        <v>8</v>
      </c>
      <c r="C2057">
        <v>928</v>
      </c>
      <c r="D2057" t="s">
        <v>9</v>
      </c>
      <c r="E2057">
        <v>1202</v>
      </c>
      <c r="F2057" t="s">
        <v>122</v>
      </c>
      <c r="G2057">
        <v>251</v>
      </c>
      <c r="H2057" t="s">
        <v>1824</v>
      </c>
      <c r="I2057" t="s">
        <v>9945</v>
      </c>
      <c r="J2057" t="s">
        <v>9946</v>
      </c>
      <c r="K2057">
        <v>92100</v>
      </c>
      <c r="L2057">
        <v>44866</v>
      </c>
      <c r="M2057" t="s">
        <v>1670</v>
      </c>
      <c r="N2057" t="e">
        <v>#N/A</v>
      </c>
      <c r="O2057" t="e">
        <v>#N/A</v>
      </c>
    </row>
    <row r="2058" spans="2:15" hidden="1" x14ac:dyDescent="0.3">
      <c r="B2058" t="s">
        <v>8</v>
      </c>
      <c r="C2058">
        <v>928</v>
      </c>
      <c r="D2058" t="s">
        <v>9</v>
      </c>
      <c r="E2058">
        <v>1202</v>
      </c>
      <c r="F2058" t="s">
        <v>73</v>
      </c>
      <c r="G2058">
        <v>895</v>
      </c>
      <c r="H2058" t="s">
        <v>1824</v>
      </c>
      <c r="I2058" t="s">
        <v>6715</v>
      </c>
      <c r="J2058" t="s">
        <v>9947</v>
      </c>
      <c r="K2058">
        <v>1780</v>
      </c>
      <c r="L2058">
        <v>44866</v>
      </c>
      <c r="M2058" t="s">
        <v>1882</v>
      </c>
      <c r="N2058">
        <v>1780</v>
      </c>
      <c r="O2058" t="e">
        <v>#N/A</v>
      </c>
    </row>
    <row r="2059" spans="2:15" hidden="1" x14ac:dyDescent="0.3">
      <c r="B2059" t="s">
        <v>41</v>
      </c>
      <c r="C2059">
        <v>926</v>
      </c>
      <c r="D2059" t="s">
        <v>56</v>
      </c>
      <c r="E2059">
        <v>1207</v>
      </c>
      <c r="F2059" t="s">
        <v>91</v>
      </c>
      <c r="G2059">
        <v>201104</v>
      </c>
      <c r="H2059" t="s">
        <v>1824</v>
      </c>
      <c r="I2059" t="s">
        <v>6716</v>
      </c>
      <c r="J2059" t="s">
        <v>9948</v>
      </c>
      <c r="K2059">
        <v>38900</v>
      </c>
      <c r="L2059">
        <v>44866</v>
      </c>
      <c r="M2059" t="s">
        <v>113</v>
      </c>
      <c r="N2059">
        <v>38900</v>
      </c>
      <c r="O2059" t="e">
        <v>#N/A</v>
      </c>
    </row>
    <row r="2060" spans="2:15" hidden="1" x14ac:dyDescent="0.3">
      <c r="B2060" t="s">
        <v>41</v>
      </c>
      <c r="C2060">
        <v>926</v>
      </c>
      <c r="D2060" t="s">
        <v>56</v>
      </c>
      <c r="E2060">
        <v>1207</v>
      </c>
      <c r="F2060" t="s">
        <v>91</v>
      </c>
      <c r="G2060">
        <v>201104</v>
      </c>
      <c r="H2060" t="s">
        <v>1824</v>
      </c>
      <c r="I2060" t="s">
        <v>6717</v>
      </c>
      <c r="J2060" t="s">
        <v>9949</v>
      </c>
      <c r="K2060">
        <v>14500</v>
      </c>
      <c r="L2060">
        <v>44866</v>
      </c>
      <c r="M2060" t="s">
        <v>154</v>
      </c>
      <c r="N2060">
        <v>14500</v>
      </c>
      <c r="O2060" t="e">
        <v>#N/A</v>
      </c>
    </row>
    <row r="2061" spans="2:15" hidden="1" x14ac:dyDescent="0.3">
      <c r="B2061" t="s">
        <v>8</v>
      </c>
      <c r="C2061">
        <v>928</v>
      </c>
      <c r="D2061" t="s">
        <v>9</v>
      </c>
      <c r="E2061">
        <v>1202</v>
      </c>
      <c r="F2061" t="s">
        <v>37</v>
      </c>
      <c r="G2061">
        <v>81</v>
      </c>
      <c r="H2061" t="s">
        <v>1824</v>
      </c>
      <c r="I2061" t="s">
        <v>6719</v>
      </c>
      <c r="J2061" t="s">
        <v>9950</v>
      </c>
      <c r="K2061">
        <v>118570</v>
      </c>
      <c r="L2061">
        <v>44866</v>
      </c>
      <c r="M2061" t="s">
        <v>144</v>
      </c>
      <c r="N2061">
        <v>118570</v>
      </c>
      <c r="O2061" t="e">
        <v>#N/A</v>
      </c>
    </row>
    <row r="2062" spans="2:15" hidden="1" x14ac:dyDescent="0.3">
      <c r="B2062" t="s">
        <v>41</v>
      </c>
      <c r="C2062">
        <v>926</v>
      </c>
      <c r="D2062" t="s">
        <v>56</v>
      </c>
      <c r="E2062">
        <v>1207</v>
      </c>
      <c r="F2062" t="s">
        <v>91</v>
      </c>
      <c r="G2062">
        <v>201104</v>
      </c>
      <c r="H2062" t="s">
        <v>1824</v>
      </c>
      <c r="I2062" t="s">
        <v>6720</v>
      </c>
      <c r="J2062" t="s">
        <v>9951</v>
      </c>
      <c r="K2062">
        <v>193510</v>
      </c>
      <c r="L2062">
        <v>44866</v>
      </c>
      <c r="M2062" t="s">
        <v>338</v>
      </c>
      <c r="N2062">
        <v>193510</v>
      </c>
      <c r="O2062" t="e">
        <v>#N/A</v>
      </c>
    </row>
    <row r="2063" spans="2:15" hidden="1" x14ac:dyDescent="0.3">
      <c r="B2063" t="s">
        <v>8</v>
      </c>
      <c r="C2063">
        <v>928</v>
      </c>
      <c r="D2063" t="s">
        <v>9</v>
      </c>
      <c r="E2063">
        <v>1202</v>
      </c>
      <c r="F2063" t="s">
        <v>73</v>
      </c>
      <c r="G2063">
        <v>895</v>
      </c>
      <c r="H2063" t="s">
        <v>1824</v>
      </c>
      <c r="I2063" t="s">
        <v>6721</v>
      </c>
      <c r="J2063" t="s">
        <v>9952</v>
      </c>
      <c r="K2063">
        <v>191810</v>
      </c>
      <c r="L2063">
        <v>44866</v>
      </c>
      <c r="M2063" t="s">
        <v>402</v>
      </c>
      <c r="N2063">
        <v>191810</v>
      </c>
      <c r="O2063" t="e">
        <v>#N/A</v>
      </c>
    </row>
    <row r="2064" spans="2:15" hidden="1" x14ac:dyDescent="0.3">
      <c r="B2064" t="s">
        <v>8</v>
      </c>
      <c r="C2064">
        <v>928</v>
      </c>
      <c r="D2064" t="s">
        <v>9</v>
      </c>
      <c r="E2064">
        <v>1202</v>
      </c>
      <c r="F2064" t="s">
        <v>104</v>
      </c>
      <c r="G2064">
        <v>201009</v>
      </c>
      <c r="H2064" t="s">
        <v>1824</v>
      </c>
      <c r="I2064" t="s">
        <v>6722</v>
      </c>
      <c r="J2064" t="s">
        <v>9953</v>
      </c>
      <c r="K2064">
        <v>52460</v>
      </c>
      <c r="L2064">
        <v>44866</v>
      </c>
      <c r="M2064" t="s">
        <v>1617</v>
      </c>
      <c r="N2064">
        <v>52460</v>
      </c>
      <c r="O2064" t="e">
        <v>#N/A</v>
      </c>
    </row>
    <row r="2065" spans="2:15" hidden="1" x14ac:dyDescent="0.3">
      <c r="B2065" t="s">
        <v>41</v>
      </c>
      <c r="C2065">
        <v>926</v>
      </c>
      <c r="D2065" t="s">
        <v>56</v>
      </c>
      <c r="E2065">
        <v>1207</v>
      </c>
      <c r="F2065" t="s">
        <v>253</v>
      </c>
      <c r="G2065">
        <v>1328</v>
      </c>
      <c r="H2065" t="s">
        <v>1824</v>
      </c>
      <c r="I2065" t="s">
        <v>6723</v>
      </c>
      <c r="J2065" t="s">
        <v>7020</v>
      </c>
      <c r="K2065">
        <v>1460</v>
      </c>
      <c r="L2065">
        <v>44866</v>
      </c>
      <c r="M2065" t="s">
        <v>1480</v>
      </c>
      <c r="N2065">
        <v>1460</v>
      </c>
      <c r="O2065" t="s">
        <v>9743</v>
      </c>
    </row>
    <row r="2066" spans="2:15" x14ac:dyDescent="0.3">
      <c r="B2066" t="s">
        <v>8</v>
      </c>
      <c r="C2066">
        <v>928</v>
      </c>
      <c r="D2066" t="s">
        <v>9</v>
      </c>
      <c r="E2066">
        <v>1202</v>
      </c>
      <c r="F2066" t="s">
        <v>122</v>
      </c>
      <c r="G2066">
        <v>251</v>
      </c>
      <c r="H2066" t="s">
        <v>1824</v>
      </c>
      <c r="I2066" t="s">
        <v>9954</v>
      </c>
      <c r="J2066" t="s">
        <v>9955</v>
      </c>
      <c r="K2066">
        <v>280</v>
      </c>
      <c r="L2066">
        <v>44866</v>
      </c>
      <c r="M2066" t="s">
        <v>1883</v>
      </c>
      <c r="N2066" t="e">
        <v>#N/A</v>
      </c>
      <c r="O2066" t="e">
        <v>#N/A</v>
      </c>
    </row>
    <row r="2067" spans="2:15" x14ac:dyDescent="0.3">
      <c r="B2067" t="s">
        <v>8</v>
      </c>
      <c r="C2067">
        <v>928</v>
      </c>
      <c r="D2067" t="s">
        <v>9</v>
      </c>
      <c r="E2067">
        <v>1202</v>
      </c>
      <c r="F2067" t="s">
        <v>39</v>
      </c>
      <c r="G2067">
        <v>25</v>
      </c>
      <c r="H2067" t="s">
        <v>1824</v>
      </c>
      <c r="I2067" t="s">
        <v>9956</v>
      </c>
      <c r="J2067" t="s">
        <v>9957</v>
      </c>
      <c r="K2067">
        <v>20150</v>
      </c>
      <c r="L2067">
        <v>44866</v>
      </c>
      <c r="M2067" t="s">
        <v>1507</v>
      </c>
      <c r="N2067" t="e">
        <v>#N/A</v>
      </c>
      <c r="O2067" t="e">
        <v>#N/A</v>
      </c>
    </row>
    <row r="2068" spans="2:15" x14ac:dyDescent="0.3">
      <c r="B2068" t="s">
        <v>16</v>
      </c>
      <c r="C2068">
        <v>927</v>
      </c>
      <c r="D2068" t="s">
        <v>17</v>
      </c>
      <c r="E2068">
        <v>1200</v>
      </c>
      <c r="F2068" t="s">
        <v>371</v>
      </c>
      <c r="G2068">
        <v>551</v>
      </c>
      <c r="H2068" t="s">
        <v>1824</v>
      </c>
      <c r="I2068" t="s">
        <v>9958</v>
      </c>
      <c r="J2068" t="s">
        <v>9959</v>
      </c>
      <c r="K2068">
        <v>12660</v>
      </c>
      <c r="L2068">
        <v>44866</v>
      </c>
      <c r="M2068" t="s">
        <v>994</v>
      </c>
      <c r="N2068" t="e">
        <v>#N/A</v>
      </c>
      <c r="O2068" t="e">
        <v>#N/A</v>
      </c>
    </row>
    <row r="2069" spans="2:15" hidden="1" x14ac:dyDescent="0.3">
      <c r="B2069" t="s">
        <v>8</v>
      </c>
      <c r="C2069">
        <v>928</v>
      </c>
      <c r="D2069" t="s">
        <v>9</v>
      </c>
      <c r="E2069">
        <v>1202</v>
      </c>
      <c r="F2069" t="s">
        <v>47</v>
      </c>
      <c r="G2069">
        <v>898</v>
      </c>
      <c r="H2069" t="s">
        <v>1824</v>
      </c>
      <c r="I2069" t="s">
        <v>6726</v>
      </c>
      <c r="J2069" t="s">
        <v>9960</v>
      </c>
      <c r="K2069">
        <v>95510</v>
      </c>
      <c r="L2069">
        <v>44866</v>
      </c>
      <c r="M2069" t="s">
        <v>779</v>
      </c>
      <c r="N2069">
        <v>95510</v>
      </c>
      <c r="O2069" t="e">
        <v>#N/A</v>
      </c>
    </row>
    <row r="2070" spans="2:15" hidden="1" x14ac:dyDescent="0.3">
      <c r="B2070" t="s">
        <v>41</v>
      </c>
      <c r="C2070">
        <v>926</v>
      </c>
      <c r="D2070" t="s">
        <v>42</v>
      </c>
      <c r="E2070">
        <v>964</v>
      </c>
      <c r="F2070" t="s">
        <v>43</v>
      </c>
      <c r="G2070">
        <v>200998</v>
      </c>
      <c r="H2070" t="s">
        <v>1824</v>
      </c>
      <c r="I2070" t="s">
        <v>6727</v>
      </c>
      <c r="J2070" t="s">
        <v>9961</v>
      </c>
      <c r="K2070">
        <v>2610</v>
      </c>
      <c r="L2070">
        <v>44866</v>
      </c>
      <c r="M2070" t="s">
        <v>345</v>
      </c>
      <c r="N2070">
        <v>2610</v>
      </c>
      <c r="O2070" t="e">
        <v>#N/A</v>
      </c>
    </row>
    <row r="2071" spans="2:15" hidden="1" x14ac:dyDescent="0.3">
      <c r="B2071" t="s">
        <v>8</v>
      </c>
      <c r="C2071">
        <v>928</v>
      </c>
      <c r="D2071" t="s">
        <v>9</v>
      </c>
      <c r="E2071">
        <v>1202</v>
      </c>
      <c r="F2071" t="s">
        <v>31</v>
      </c>
      <c r="G2071">
        <v>1040</v>
      </c>
      <c r="H2071" t="s">
        <v>1824</v>
      </c>
      <c r="I2071" t="s">
        <v>6728</v>
      </c>
      <c r="J2071" t="s">
        <v>9962</v>
      </c>
      <c r="K2071">
        <v>13660</v>
      </c>
      <c r="L2071">
        <v>44866</v>
      </c>
      <c r="M2071" t="s">
        <v>1721</v>
      </c>
      <c r="N2071">
        <v>13660</v>
      </c>
      <c r="O2071" t="e">
        <v>#N/A</v>
      </c>
    </row>
    <row r="2072" spans="2:15" x14ac:dyDescent="0.3">
      <c r="B2072" t="s">
        <v>41</v>
      </c>
      <c r="C2072">
        <v>926</v>
      </c>
      <c r="D2072" t="s">
        <v>56</v>
      </c>
      <c r="E2072">
        <v>1207</v>
      </c>
      <c r="F2072" t="s">
        <v>64</v>
      </c>
      <c r="G2072">
        <v>201011</v>
      </c>
      <c r="H2072" t="s">
        <v>1824</v>
      </c>
      <c r="I2072" t="s">
        <v>9963</v>
      </c>
      <c r="J2072" t="s">
        <v>9964</v>
      </c>
      <c r="K2072">
        <v>3350</v>
      </c>
      <c r="L2072">
        <v>44866</v>
      </c>
      <c r="M2072" t="s">
        <v>1812</v>
      </c>
      <c r="N2072" t="e">
        <v>#N/A</v>
      </c>
      <c r="O2072" t="e">
        <v>#N/A</v>
      </c>
    </row>
    <row r="2073" spans="2:15" x14ac:dyDescent="0.3">
      <c r="B2073" t="s">
        <v>8</v>
      </c>
      <c r="C2073">
        <v>928</v>
      </c>
      <c r="D2073" t="s">
        <v>9</v>
      </c>
      <c r="E2073">
        <v>1202</v>
      </c>
      <c r="F2073" t="s">
        <v>122</v>
      </c>
      <c r="G2073">
        <v>251</v>
      </c>
      <c r="H2073" t="s">
        <v>1824</v>
      </c>
      <c r="I2073" t="s">
        <v>9965</v>
      </c>
      <c r="J2073" t="s">
        <v>9966</v>
      </c>
      <c r="K2073">
        <v>184640</v>
      </c>
      <c r="L2073">
        <v>44866</v>
      </c>
      <c r="M2073" t="s">
        <v>1884</v>
      </c>
      <c r="N2073" t="e">
        <v>#N/A</v>
      </c>
      <c r="O2073" t="e">
        <v>#N/A</v>
      </c>
    </row>
    <row r="2074" spans="2:15" hidden="1" x14ac:dyDescent="0.3">
      <c r="B2074" t="s">
        <v>8</v>
      </c>
      <c r="C2074">
        <v>928</v>
      </c>
      <c r="D2074" t="s">
        <v>13</v>
      </c>
      <c r="E2074">
        <v>1184</v>
      </c>
      <c r="F2074" t="s">
        <v>51</v>
      </c>
      <c r="G2074">
        <v>1274</v>
      </c>
      <c r="H2074" t="s">
        <v>1824</v>
      </c>
      <c r="I2074" t="s">
        <v>6729</v>
      </c>
      <c r="J2074" t="s">
        <v>9967</v>
      </c>
      <c r="K2074">
        <v>168130</v>
      </c>
      <c r="L2074">
        <v>44866</v>
      </c>
      <c r="M2074" t="s">
        <v>1885</v>
      </c>
      <c r="N2074">
        <v>168130</v>
      </c>
      <c r="O2074" t="e">
        <v>#N/A</v>
      </c>
    </row>
    <row r="2075" spans="2:15" x14ac:dyDescent="0.3">
      <c r="B2075" t="s">
        <v>8</v>
      </c>
      <c r="C2075">
        <v>928</v>
      </c>
      <c r="D2075" t="s">
        <v>13</v>
      </c>
      <c r="E2075">
        <v>1184</v>
      </c>
      <c r="F2075" t="s">
        <v>118</v>
      </c>
      <c r="G2075">
        <v>201004</v>
      </c>
      <c r="H2075" t="s">
        <v>1824</v>
      </c>
      <c r="I2075" t="s">
        <v>9968</v>
      </c>
      <c r="J2075" t="s">
        <v>9969</v>
      </c>
      <c r="K2075">
        <v>27540</v>
      </c>
      <c r="L2075">
        <v>44866</v>
      </c>
      <c r="M2075" t="s">
        <v>1886</v>
      </c>
      <c r="N2075" t="e">
        <v>#N/A</v>
      </c>
      <c r="O2075" t="e">
        <v>#N/A</v>
      </c>
    </row>
    <row r="2076" spans="2:15" hidden="1" x14ac:dyDescent="0.3">
      <c r="B2076" t="s">
        <v>8</v>
      </c>
      <c r="C2076">
        <v>928</v>
      </c>
      <c r="D2076" t="s">
        <v>9</v>
      </c>
      <c r="E2076">
        <v>1202</v>
      </c>
      <c r="F2076" t="s">
        <v>27</v>
      </c>
      <c r="G2076">
        <v>806</v>
      </c>
      <c r="H2076" t="s">
        <v>1824</v>
      </c>
      <c r="I2076" t="s">
        <v>6731</v>
      </c>
      <c r="J2076" t="s">
        <v>9970</v>
      </c>
      <c r="K2076">
        <v>16520</v>
      </c>
      <c r="L2076">
        <v>44866</v>
      </c>
      <c r="M2076" t="s">
        <v>695</v>
      </c>
      <c r="N2076">
        <v>16520</v>
      </c>
      <c r="O2076" t="e">
        <v>#N/A</v>
      </c>
    </row>
    <row r="2077" spans="2:15" hidden="1" x14ac:dyDescent="0.3">
      <c r="B2077" t="s">
        <v>8</v>
      </c>
      <c r="C2077">
        <v>928</v>
      </c>
      <c r="D2077" t="s">
        <v>9</v>
      </c>
      <c r="E2077">
        <v>1202</v>
      </c>
      <c r="F2077" t="s">
        <v>73</v>
      </c>
      <c r="G2077">
        <v>895</v>
      </c>
      <c r="H2077" t="s">
        <v>1824</v>
      </c>
      <c r="I2077" t="s">
        <v>6732</v>
      </c>
      <c r="J2077" t="s">
        <v>9971</v>
      </c>
      <c r="K2077">
        <v>310050</v>
      </c>
      <c r="L2077">
        <v>44866</v>
      </c>
      <c r="M2077" t="s">
        <v>1390</v>
      </c>
      <c r="N2077">
        <v>310050</v>
      </c>
      <c r="O2077" t="e">
        <v>#N/A</v>
      </c>
    </row>
    <row r="2078" spans="2:15" hidden="1" x14ac:dyDescent="0.3">
      <c r="B2078" t="s">
        <v>41</v>
      </c>
      <c r="C2078">
        <v>926</v>
      </c>
      <c r="D2078" t="s">
        <v>56</v>
      </c>
      <c r="E2078">
        <v>1207</v>
      </c>
      <c r="F2078" t="s">
        <v>57</v>
      </c>
      <c r="G2078">
        <v>200982</v>
      </c>
      <c r="H2078" t="s">
        <v>1824</v>
      </c>
      <c r="I2078" t="s">
        <v>6733</v>
      </c>
      <c r="J2078" t="s">
        <v>9972</v>
      </c>
      <c r="K2078">
        <v>174070</v>
      </c>
      <c r="L2078">
        <v>44866</v>
      </c>
      <c r="M2078" t="s">
        <v>1887</v>
      </c>
      <c r="N2078">
        <v>174070</v>
      </c>
      <c r="O2078" t="e">
        <v>#N/A</v>
      </c>
    </row>
    <row r="2079" spans="2:15" hidden="1" x14ac:dyDescent="0.3">
      <c r="B2079" t="s">
        <v>8</v>
      </c>
      <c r="C2079">
        <v>928</v>
      </c>
      <c r="D2079" t="s">
        <v>9</v>
      </c>
      <c r="E2079">
        <v>1202</v>
      </c>
      <c r="F2079" t="s">
        <v>33</v>
      </c>
      <c r="G2079">
        <v>933</v>
      </c>
      <c r="H2079" t="s">
        <v>1824</v>
      </c>
      <c r="I2079" t="s">
        <v>6734</v>
      </c>
      <c r="J2079" t="s">
        <v>9973</v>
      </c>
      <c r="K2079">
        <v>17860</v>
      </c>
      <c r="L2079">
        <v>44866</v>
      </c>
      <c r="M2079" t="s">
        <v>226</v>
      </c>
      <c r="N2079">
        <v>17860</v>
      </c>
      <c r="O2079" t="e">
        <v>#N/A</v>
      </c>
    </row>
    <row r="2080" spans="2:15" hidden="1" x14ac:dyDescent="0.3">
      <c r="B2080" t="s">
        <v>8</v>
      </c>
      <c r="C2080">
        <v>928</v>
      </c>
      <c r="D2080" t="s">
        <v>13</v>
      </c>
      <c r="E2080">
        <v>1184</v>
      </c>
      <c r="F2080" t="s">
        <v>217</v>
      </c>
      <c r="G2080">
        <v>201027</v>
      </c>
      <c r="H2080" t="s">
        <v>1824</v>
      </c>
      <c r="I2080" t="s">
        <v>6735</v>
      </c>
      <c r="J2080" t="s">
        <v>9974</v>
      </c>
      <c r="K2080">
        <v>3420</v>
      </c>
      <c r="L2080">
        <v>44866</v>
      </c>
      <c r="M2080" t="s">
        <v>1888</v>
      </c>
      <c r="N2080">
        <v>3420</v>
      </c>
      <c r="O2080" t="e">
        <v>#N/A</v>
      </c>
    </row>
    <row r="2081" spans="2:15" x14ac:dyDescent="0.3">
      <c r="B2081" t="s">
        <v>8</v>
      </c>
      <c r="C2081">
        <v>928</v>
      </c>
      <c r="D2081" t="s">
        <v>9</v>
      </c>
      <c r="E2081">
        <v>1202</v>
      </c>
      <c r="F2081" t="s">
        <v>122</v>
      </c>
      <c r="G2081">
        <v>251</v>
      </c>
      <c r="H2081" t="s">
        <v>1824</v>
      </c>
      <c r="I2081" t="s">
        <v>9975</v>
      </c>
      <c r="J2081" t="s">
        <v>9976</v>
      </c>
      <c r="K2081">
        <v>133880</v>
      </c>
      <c r="L2081">
        <v>44866</v>
      </c>
      <c r="M2081" t="s">
        <v>1095</v>
      </c>
      <c r="N2081" t="e">
        <v>#N/A</v>
      </c>
      <c r="O2081" t="e">
        <v>#N/A</v>
      </c>
    </row>
    <row r="2082" spans="2:15" hidden="1" x14ac:dyDescent="0.3">
      <c r="B2082" t="s">
        <v>8</v>
      </c>
      <c r="C2082">
        <v>928</v>
      </c>
      <c r="D2082" t="s">
        <v>9</v>
      </c>
      <c r="E2082">
        <v>1202</v>
      </c>
      <c r="F2082" t="s">
        <v>37</v>
      </c>
      <c r="G2082">
        <v>81</v>
      </c>
      <c r="H2082" t="s">
        <v>1824</v>
      </c>
      <c r="I2082" t="s">
        <v>6737</v>
      </c>
      <c r="J2082" t="s">
        <v>9977</v>
      </c>
      <c r="K2082">
        <v>41620</v>
      </c>
      <c r="L2082">
        <v>44866</v>
      </c>
      <c r="M2082" t="s">
        <v>1433</v>
      </c>
      <c r="N2082">
        <v>41620</v>
      </c>
      <c r="O2082" t="e">
        <v>#N/A</v>
      </c>
    </row>
    <row r="2083" spans="2:15" hidden="1" x14ac:dyDescent="0.3">
      <c r="B2083" t="s">
        <v>8</v>
      </c>
      <c r="C2083">
        <v>928</v>
      </c>
      <c r="D2083" t="s">
        <v>9</v>
      </c>
      <c r="E2083">
        <v>1202</v>
      </c>
      <c r="F2083" t="s">
        <v>75</v>
      </c>
      <c r="G2083">
        <v>50</v>
      </c>
      <c r="H2083" t="s">
        <v>1824</v>
      </c>
      <c r="I2083" t="s">
        <v>6738</v>
      </c>
      <c r="J2083" t="s">
        <v>9978</v>
      </c>
      <c r="K2083">
        <v>1150</v>
      </c>
      <c r="L2083">
        <v>44866</v>
      </c>
      <c r="M2083" t="s">
        <v>1889</v>
      </c>
      <c r="N2083">
        <v>1150</v>
      </c>
      <c r="O2083" t="e">
        <v>#N/A</v>
      </c>
    </row>
    <row r="2084" spans="2:15" hidden="1" x14ac:dyDescent="0.3">
      <c r="B2084" t="s">
        <v>8</v>
      </c>
      <c r="C2084">
        <v>928</v>
      </c>
      <c r="D2084" t="s">
        <v>9</v>
      </c>
      <c r="E2084">
        <v>1202</v>
      </c>
      <c r="F2084" t="s">
        <v>75</v>
      </c>
      <c r="G2084">
        <v>50</v>
      </c>
      <c r="H2084" t="s">
        <v>1824</v>
      </c>
      <c r="I2084" t="s">
        <v>6739</v>
      </c>
      <c r="J2084" t="s">
        <v>9979</v>
      </c>
      <c r="K2084">
        <v>2820</v>
      </c>
      <c r="L2084">
        <v>44866</v>
      </c>
      <c r="M2084" t="s">
        <v>1889</v>
      </c>
      <c r="N2084">
        <v>2820</v>
      </c>
      <c r="O2084" t="e">
        <v>#N/A</v>
      </c>
    </row>
    <row r="2085" spans="2:15" hidden="1" x14ac:dyDescent="0.3">
      <c r="B2085" t="s">
        <v>41</v>
      </c>
      <c r="C2085">
        <v>926</v>
      </c>
      <c r="D2085" t="s">
        <v>56</v>
      </c>
      <c r="E2085">
        <v>1207</v>
      </c>
      <c r="F2085" t="s">
        <v>156</v>
      </c>
      <c r="G2085">
        <v>201103</v>
      </c>
      <c r="H2085" t="s">
        <v>1824</v>
      </c>
      <c r="I2085" t="s">
        <v>6742</v>
      </c>
      <c r="J2085" t="s">
        <v>9980</v>
      </c>
      <c r="K2085">
        <v>95760</v>
      </c>
      <c r="L2085">
        <v>44866</v>
      </c>
      <c r="M2085" t="s">
        <v>1890</v>
      </c>
      <c r="N2085">
        <v>95760</v>
      </c>
      <c r="O2085" t="e">
        <v>#N/A</v>
      </c>
    </row>
    <row r="2086" spans="2:15" hidden="1" x14ac:dyDescent="0.3">
      <c r="B2086" t="s">
        <v>41</v>
      </c>
      <c r="C2086">
        <v>926</v>
      </c>
      <c r="D2086" t="s">
        <v>56</v>
      </c>
      <c r="E2086">
        <v>1207</v>
      </c>
      <c r="F2086" t="s">
        <v>253</v>
      </c>
      <c r="G2086">
        <v>1328</v>
      </c>
      <c r="H2086" t="s">
        <v>1824</v>
      </c>
      <c r="I2086" t="s">
        <v>6743</v>
      </c>
      <c r="J2086" t="s">
        <v>9981</v>
      </c>
      <c r="K2086">
        <v>134030</v>
      </c>
      <c r="L2086">
        <v>44866</v>
      </c>
      <c r="M2086" t="s">
        <v>1585</v>
      </c>
      <c r="N2086">
        <v>134030</v>
      </c>
      <c r="O2086" t="e">
        <v>#N/A</v>
      </c>
    </row>
    <row r="2087" spans="2:15" hidden="1" x14ac:dyDescent="0.3">
      <c r="B2087" t="s">
        <v>16</v>
      </c>
      <c r="C2087">
        <v>927</v>
      </c>
      <c r="D2087" t="s">
        <v>17</v>
      </c>
      <c r="E2087">
        <v>1200</v>
      </c>
      <c r="F2087" t="s">
        <v>137</v>
      </c>
      <c r="G2087">
        <v>1012</v>
      </c>
      <c r="H2087" t="s">
        <v>1824</v>
      </c>
      <c r="I2087" t="s">
        <v>6744</v>
      </c>
      <c r="J2087" t="s">
        <v>9982</v>
      </c>
      <c r="K2087">
        <v>21880</v>
      </c>
      <c r="L2087">
        <v>44866</v>
      </c>
      <c r="M2087" t="s">
        <v>376</v>
      </c>
      <c r="N2087">
        <v>21880</v>
      </c>
      <c r="O2087" t="e">
        <v>#N/A</v>
      </c>
    </row>
    <row r="2088" spans="2:15" hidden="1" x14ac:dyDescent="0.3">
      <c r="B2088" t="s">
        <v>8</v>
      </c>
      <c r="C2088">
        <v>928</v>
      </c>
      <c r="D2088" t="s">
        <v>9</v>
      </c>
      <c r="E2088">
        <v>1202</v>
      </c>
      <c r="F2088" t="s">
        <v>35</v>
      </c>
      <c r="G2088">
        <v>51</v>
      </c>
      <c r="H2088" t="s">
        <v>1824</v>
      </c>
      <c r="I2088" t="s">
        <v>6745</v>
      </c>
      <c r="J2088" t="s">
        <v>9983</v>
      </c>
      <c r="K2088">
        <v>1800</v>
      </c>
      <c r="L2088">
        <v>44866</v>
      </c>
      <c r="M2088" t="s">
        <v>1891</v>
      </c>
      <c r="N2088">
        <v>1800</v>
      </c>
      <c r="O2088" t="e">
        <v>#N/A</v>
      </c>
    </row>
    <row r="2089" spans="2:15" hidden="1" x14ac:dyDescent="0.3">
      <c r="B2089" t="s">
        <v>8</v>
      </c>
      <c r="C2089">
        <v>928</v>
      </c>
      <c r="D2089" t="s">
        <v>13</v>
      </c>
      <c r="E2089">
        <v>1184</v>
      </c>
      <c r="F2089" t="s">
        <v>102</v>
      </c>
      <c r="G2089">
        <v>917</v>
      </c>
      <c r="H2089" t="s">
        <v>1824</v>
      </c>
      <c r="I2089" t="s">
        <v>6748</v>
      </c>
      <c r="J2089" t="s">
        <v>9984</v>
      </c>
      <c r="K2089">
        <v>39210</v>
      </c>
      <c r="L2089">
        <v>44866</v>
      </c>
      <c r="M2089" t="s">
        <v>752</v>
      </c>
      <c r="N2089">
        <v>39210</v>
      </c>
      <c r="O2089" t="e">
        <v>#N/A</v>
      </c>
    </row>
    <row r="2090" spans="2:15" hidden="1" x14ac:dyDescent="0.3">
      <c r="B2090" t="s">
        <v>8</v>
      </c>
      <c r="C2090">
        <v>928</v>
      </c>
      <c r="D2090" t="s">
        <v>9</v>
      </c>
      <c r="E2090">
        <v>1202</v>
      </c>
      <c r="F2090" t="s">
        <v>37</v>
      </c>
      <c r="G2090">
        <v>81</v>
      </c>
      <c r="H2090" t="s">
        <v>1824</v>
      </c>
      <c r="I2090" t="s">
        <v>6750</v>
      </c>
      <c r="J2090" t="s">
        <v>9985</v>
      </c>
      <c r="K2090">
        <v>76560</v>
      </c>
      <c r="L2090">
        <v>44866</v>
      </c>
      <c r="M2090" t="s">
        <v>1892</v>
      </c>
      <c r="N2090">
        <v>76560</v>
      </c>
      <c r="O2090" t="e">
        <v>#N/A</v>
      </c>
    </row>
    <row r="2091" spans="2:15" hidden="1" x14ac:dyDescent="0.3">
      <c r="B2091" t="s">
        <v>8</v>
      </c>
      <c r="C2091">
        <v>928</v>
      </c>
      <c r="D2091" t="s">
        <v>9</v>
      </c>
      <c r="E2091">
        <v>1202</v>
      </c>
      <c r="F2091" t="s">
        <v>73</v>
      </c>
      <c r="G2091">
        <v>895</v>
      </c>
      <c r="H2091" t="s">
        <v>1824</v>
      </c>
      <c r="I2091" t="s">
        <v>6752</v>
      </c>
      <c r="J2091" t="s">
        <v>9986</v>
      </c>
      <c r="K2091">
        <v>4350</v>
      </c>
      <c r="L2091">
        <v>44866</v>
      </c>
      <c r="M2091" t="s">
        <v>1893</v>
      </c>
      <c r="N2091">
        <v>4350</v>
      </c>
      <c r="O2091" t="e">
        <v>#N/A</v>
      </c>
    </row>
    <row r="2092" spans="2:15" x14ac:dyDescent="0.3">
      <c r="B2092" t="s">
        <v>8</v>
      </c>
      <c r="C2092">
        <v>928</v>
      </c>
      <c r="D2092" t="s">
        <v>9</v>
      </c>
      <c r="E2092">
        <v>1202</v>
      </c>
      <c r="F2092" t="s">
        <v>10</v>
      </c>
      <c r="G2092">
        <v>939</v>
      </c>
      <c r="H2092" t="s">
        <v>1824</v>
      </c>
      <c r="I2092" t="s">
        <v>9987</v>
      </c>
      <c r="J2092" t="s">
        <v>9988</v>
      </c>
      <c r="K2092">
        <v>780</v>
      </c>
      <c r="L2092">
        <v>44866</v>
      </c>
      <c r="M2092" t="s">
        <v>920</v>
      </c>
      <c r="N2092" t="e">
        <v>#N/A</v>
      </c>
      <c r="O2092" t="e">
        <v>#N/A</v>
      </c>
    </row>
    <row r="2093" spans="2:15" hidden="1" x14ac:dyDescent="0.3">
      <c r="B2093" t="s">
        <v>8</v>
      </c>
      <c r="C2093">
        <v>928</v>
      </c>
      <c r="D2093" t="s">
        <v>13</v>
      </c>
      <c r="E2093">
        <v>1184</v>
      </c>
      <c r="F2093" t="s">
        <v>335</v>
      </c>
      <c r="G2093">
        <v>201090</v>
      </c>
      <c r="H2093" t="s">
        <v>1824</v>
      </c>
      <c r="I2093" t="s">
        <v>6755</v>
      </c>
      <c r="J2093" t="s">
        <v>9989</v>
      </c>
      <c r="K2093">
        <v>12640</v>
      </c>
      <c r="L2093">
        <v>44866</v>
      </c>
      <c r="M2093" t="s">
        <v>336</v>
      </c>
      <c r="N2093">
        <v>12640</v>
      </c>
      <c r="O2093" t="e">
        <v>#N/A</v>
      </c>
    </row>
    <row r="2094" spans="2:15" hidden="1" x14ac:dyDescent="0.3">
      <c r="B2094" t="s">
        <v>8</v>
      </c>
      <c r="C2094">
        <v>928</v>
      </c>
      <c r="D2094" t="s">
        <v>9</v>
      </c>
      <c r="E2094">
        <v>1202</v>
      </c>
      <c r="F2094" t="s">
        <v>31</v>
      </c>
      <c r="G2094">
        <v>1040</v>
      </c>
      <c r="H2094" t="s">
        <v>1824</v>
      </c>
      <c r="I2094" t="s">
        <v>6757</v>
      </c>
      <c r="J2094" t="s">
        <v>9990</v>
      </c>
      <c r="K2094">
        <v>12810</v>
      </c>
      <c r="L2094">
        <v>44866</v>
      </c>
      <c r="M2094" t="s">
        <v>1312</v>
      </c>
      <c r="N2094">
        <v>12810</v>
      </c>
      <c r="O2094" t="e">
        <v>#N/A</v>
      </c>
    </row>
    <row r="2095" spans="2:15" hidden="1" x14ac:dyDescent="0.3">
      <c r="B2095" t="s">
        <v>8</v>
      </c>
      <c r="C2095">
        <v>928</v>
      </c>
      <c r="D2095" t="s">
        <v>9</v>
      </c>
      <c r="E2095">
        <v>1202</v>
      </c>
      <c r="F2095" t="s">
        <v>75</v>
      </c>
      <c r="G2095">
        <v>50</v>
      </c>
      <c r="H2095" t="s">
        <v>1824</v>
      </c>
      <c r="I2095" t="s">
        <v>6761</v>
      </c>
      <c r="J2095" t="s">
        <v>9991</v>
      </c>
      <c r="K2095">
        <v>113430</v>
      </c>
      <c r="L2095">
        <v>44866</v>
      </c>
      <c r="M2095" t="s">
        <v>76</v>
      </c>
      <c r="N2095">
        <v>113430</v>
      </c>
      <c r="O2095" t="e">
        <v>#N/A</v>
      </c>
    </row>
    <row r="2096" spans="2:15" hidden="1" x14ac:dyDescent="0.3">
      <c r="B2096" t="s">
        <v>8</v>
      </c>
      <c r="C2096">
        <v>928</v>
      </c>
      <c r="D2096" t="s">
        <v>9</v>
      </c>
      <c r="E2096">
        <v>1202</v>
      </c>
      <c r="F2096" t="s">
        <v>73</v>
      </c>
      <c r="G2096">
        <v>895</v>
      </c>
      <c r="H2096" t="s">
        <v>1824</v>
      </c>
      <c r="I2096" t="s">
        <v>6763</v>
      </c>
      <c r="J2096" t="s">
        <v>9992</v>
      </c>
      <c r="K2096">
        <v>1330</v>
      </c>
      <c r="L2096">
        <v>44866</v>
      </c>
      <c r="M2096" t="s">
        <v>1894</v>
      </c>
      <c r="N2096">
        <v>1330</v>
      </c>
      <c r="O2096" t="e">
        <v>#N/A</v>
      </c>
    </row>
    <row r="2097" spans="2:15" hidden="1" x14ac:dyDescent="0.3">
      <c r="B2097" t="s">
        <v>8</v>
      </c>
      <c r="C2097">
        <v>928</v>
      </c>
      <c r="D2097" t="s">
        <v>9</v>
      </c>
      <c r="E2097">
        <v>1202</v>
      </c>
      <c r="F2097" t="s">
        <v>37</v>
      </c>
      <c r="G2097">
        <v>81</v>
      </c>
      <c r="H2097" t="s">
        <v>1824</v>
      </c>
      <c r="I2097" t="s">
        <v>6764</v>
      </c>
      <c r="J2097" t="s">
        <v>9993</v>
      </c>
      <c r="K2097">
        <v>144160</v>
      </c>
      <c r="L2097">
        <v>44866</v>
      </c>
      <c r="M2097" t="s">
        <v>1252</v>
      </c>
      <c r="N2097">
        <v>144160</v>
      </c>
      <c r="O2097" t="e">
        <v>#N/A</v>
      </c>
    </row>
    <row r="2098" spans="2:15" hidden="1" x14ac:dyDescent="0.3">
      <c r="B2098" t="s">
        <v>8</v>
      </c>
      <c r="C2098">
        <v>928</v>
      </c>
      <c r="D2098" t="s">
        <v>9</v>
      </c>
      <c r="E2098">
        <v>1202</v>
      </c>
      <c r="F2098" t="s">
        <v>142</v>
      </c>
      <c r="G2098">
        <v>652</v>
      </c>
      <c r="H2098" t="s">
        <v>1824</v>
      </c>
      <c r="I2098" t="s">
        <v>6768</v>
      </c>
      <c r="J2098" t="s">
        <v>9994</v>
      </c>
      <c r="K2098">
        <v>110</v>
      </c>
      <c r="L2098">
        <v>44866</v>
      </c>
      <c r="M2098" t="s">
        <v>1737</v>
      </c>
      <c r="N2098">
        <v>110</v>
      </c>
      <c r="O2098" t="e">
        <v>#N/A</v>
      </c>
    </row>
    <row r="2099" spans="2:15" hidden="1" x14ac:dyDescent="0.3">
      <c r="B2099" t="s">
        <v>8</v>
      </c>
      <c r="C2099">
        <v>928</v>
      </c>
      <c r="D2099" t="s">
        <v>9</v>
      </c>
      <c r="E2099">
        <v>1202</v>
      </c>
      <c r="F2099" t="s">
        <v>47</v>
      </c>
      <c r="G2099">
        <v>898</v>
      </c>
      <c r="H2099" t="s">
        <v>1824</v>
      </c>
      <c r="I2099" t="s">
        <v>6769</v>
      </c>
      <c r="J2099" t="s">
        <v>9995</v>
      </c>
      <c r="K2099">
        <v>210</v>
      </c>
      <c r="L2099">
        <v>44866</v>
      </c>
      <c r="M2099" t="s">
        <v>1895</v>
      </c>
      <c r="N2099">
        <v>210</v>
      </c>
      <c r="O2099" t="e">
        <v>#N/A</v>
      </c>
    </row>
    <row r="2100" spans="2:15" hidden="1" x14ac:dyDescent="0.3">
      <c r="B2100" t="s">
        <v>8</v>
      </c>
      <c r="C2100">
        <v>928</v>
      </c>
      <c r="D2100" t="s">
        <v>9</v>
      </c>
      <c r="E2100">
        <v>1202</v>
      </c>
      <c r="F2100" t="s">
        <v>27</v>
      </c>
      <c r="G2100">
        <v>806</v>
      </c>
      <c r="H2100" t="s">
        <v>1824</v>
      </c>
      <c r="I2100" t="s">
        <v>6770</v>
      </c>
      <c r="J2100" t="s">
        <v>9996</v>
      </c>
      <c r="K2100">
        <v>329940</v>
      </c>
      <c r="L2100">
        <v>44866</v>
      </c>
      <c r="M2100" t="s">
        <v>442</v>
      </c>
      <c r="N2100">
        <v>329940</v>
      </c>
      <c r="O2100" t="e">
        <v>#N/A</v>
      </c>
    </row>
    <row r="2101" spans="2:15" hidden="1" x14ac:dyDescent="0.3">
      <c r="B2101" t="s">
        <v>8</v>
      </c>
      <c r="C2101">
        <v>928</v>
      </c>
      <c r="D2101" t="s">
        <v>13</v>
      </c>
      <c r="E2101">
        <v>1184</v>
      </c>
      <c r="F2101" t="s">
        <v>51</v>
      </c>
      <c r="G2101">
        <v>1274</v>
      </c>
      <c r="H2101" t="s">
        <v>1824</v>
      </c>
      <c r="I2101" t="s">
        <v>6773</v>
      </c>
      <c r="J2101" t="s">
        <v>9997</v>
      </c>
      <c r="K2101">
        <v>19650</v>
      </c>
      <c r="L2101">
        <v>44866</v>
      </c>
      <c r="M2101" t="s">
        <v>1463</v>
      </c>
      <c r="N2101">
        <v>19650</v>
      </c>
      <c r="O2101" t="e">
        <v>#N/A</v>
      </c>
    </row>
    <row r="2102" spans="2:15" x14ac:dyDescent="0.3">
      <c r="B2102" t="s">
        <v>16</v>
      </c>
      <c r="C2102">
        <v>927</v>
      </c>
      <c r="D2102" t="s">
        <v>17</v>
      </c>
      <c r="E2102">
        <v>1200</v>
      </c>
      <c r="F2102" t="s">
        <v>371</v>
      </c>
      <c r="G2102">
        <v>551</v>
      </c>
      <c r="H2102" t="s">
        <v>1824</v>
      </c>
      <c r="I2102" t="s">
        <v>9998</v>
      </c>
      <c r="J2102" t="s">
        <v>9999</v>
      </c>
      <c r="K2102">
        <v>6450</v>
      </c>
      <c r="L2102">
        <v>44866</v>
      </c>
      <c r="M2102" t="s">
        <v>1896</v>
      </c>
      <c r="N2102" t="e">
        <v>#N/A</v>
      </c>
      <c r="O2102" t="e">
        <v>#N/A</v>
      </c>
    </row>
    <row r="2103" spans="2:15" hidden="1" x14ac:dyDescent="0.3">
      <c r="B2103" t="s">
        <v>8</v>
      </c>
      <c r="C2103">
        <v>928</v>
      </c>
      <c r="D2103" t="s">
        <v>9</v>
      </c>
      <c r="E2103">
        <v>1202</v>
      </c>
      <c r="F2103" t="s">
        <v>33</v>
      </c>
      <c r="G2103">
        <v>933</v>
      </c>
      <c r="H2103" t="s">
        <v>1824</v>
      </c>
      <c r="I2103" t="s">
        <v>6779</v>
      </c>
      <c r="J2103" t="s">
        <v>10000</v>
      </c>
      <c r="K2103">
        <v>92330</v>
      </c>
      <c r="L2103">
        <v>44866</v>
      </c>
      <c r="M2103" t="s">
        <v>147</v>
      </c>
      <c r="N2103">
        <v>92330</v>
      </c>
      <c r="O2103" t="e">
        <v>#N/A</v>
      </c>
    </row>
    <row r="2104" spans="2:15" hidden="1" x14ac:dyDescent="0.3">
      <c r="B2104" t="s">
        <v>16</v>
      </c>
      <c r="C2104">
        <v>927</v>
      </c>
      <c r="D2104" t="s">
        <v>17</v>
      </c>
      <c r="E2104">
        <v>1200</v>
      </c>
      <c r="F2104" t="s">
        <v>78</v>
      </c>
      <c r="G2104">
        <v>57</v>
      </c>
      <c r="H2104" t="s">
        <v>1824</v>
      </c>
      <c r="I2104" t="s">
        <v>6781</v>
      </c>
      <c r="J2104" t="s">
        <v>10001</v>
      </c>
      <c r="K2104">
        <v>16170</v>
      </c>
      <c r="L2104">
        <v>44866</v>
      </c>
      <c r="M2104" t="s">
        <v>1749</v>
      </c>
      <c r="N2104">
        <v>16170</v>
      </c>
      <c r="O2104" t="e">
        <v>#N/A</v>
      </c>
    </row>
    <row r="2105" spans="2:15" hidden="1" x14ac:dyDescent="0.3">
      <c r="B2105" t="s">
        <v>16</v>
      </c>
      <c r="C2105">
        <v>927</v>
      </c>
      <c r="D2105" t="s">
        <v>17</v>
      </c>
      <c r="E2105">
        <v>1200</v>
      </c>
      <c r="F2105" t="s">
        <v>137</v>
      </c>
      <c r="G2105">
        <v>1012</v>
      </c>
      <c r="H2105" t="s">
        <v>1824</v>
      </c>
      <c r="I2105" t="s">
        <v>6783</v>
      </c>
      <c r="J2105" t="s">
        <v>10002</v>
      </c>
      <c r="K2105">
        <v>1350</v>
      </c>
      <c r="L2105">
        <v>44866</v>
      </c>
      <c r="M2105" t="s">
        <v>1897</v>
      </c>
      <c r="N2105">
        <v>1350</v>
      </c>
      <c r="O2105" t="e">
        <v>#N/A</v>
      </c>
    </row>
    <row r="2106" spans="2:15" hidden="1" x14ac:dyDescent="0.3">
      <c r="B2106" t="s">
        <v>41</v>
      </c>
      <c r="C2106">
        <v>926</v>
      </c>
      <c r="D2106" t="s">
        <v>56</v>
      </c>
      <c r="E2106">
        <v>1207</v>
      </c>
      <c r="F2106" t="s">
        <v>91</v>
      </c>
      <c r="G2106">
        <v>201104</v>
      </c>
      <c r="H2106" t="s">
        <v>1824</v>
      </c>
      <c r="I2106" t="s">
        <v>6784</v>
      </c>
      <c r="J2106" t="s">
        <v>10003</v>
      </c>
      <c r="K2106">
        <v>1370</v>
      </c>
      <c r="L2106">
        <v>44866</v>
      </c>
      <c r="M2106" t="s">
        <v>1898</v>
      </c>
      <c r="N2106">
        <v>1370</v>
      </c>
      <c r="O2106" t="e">
        <v>#N/A</v>
      </c>
    </row>
    <row r="2107" spans="2:15" x14ac:dyDescent="0.3">
      <c r="B2107" t="s">
        <v>8</v>
      </c>
      <c r="C2107">
        <v>928</v>
      </c>
      <c r="D2107" t="s">
        <v>9</v>
      </c>
      <c r="E2107">
        <v>1202</v>
      </c>
      <c r="F2107" t="s">
        <v>10</v>
      </c>
      <c r="G2107">
        <v>939</v>
      </c>
      <c r="H2107" t="s">
        <v>1824</v>
      </c>
      <c r="I2107" t="s">
        <v>10004</v>
      </c>
      <c r="J2107" t="s">
        <v>10005</v>
      </c>
      <c r="K2107">
        <v>70</v>
      </c>
      <c r="L2107">
        <v>44866</v>
      </c>
      <c r="M2107" t="s">
        <v>1899</v>
      </c>
      <c r="N2107" t="e">
        <v>#N/A</v>
      </c>
      <c r="O2107" t="e">
        <v>#N/A</v>
      </c>
    </row>
    <row r="2108" spans="2:15" hidden="1" x14ac:dyDescent="0.3">
      <c r="B2108" t="s">
        <v>8</v>
      </c>
      <c r="C2108">
        <v>928</v>
      </c>
      <c r="D2108" t="s">
        <v>9</v>
      </c>
      <c r="E2108">
        <v>1202</v>
      </c>
      <c r="F2108" t="s">
        <v>27</v>
      </c>
      <c r="G2108">
        <v>806</v>
      </c>
      <c r="H2108" t="s">
        <v>1824</v>
      </c>
      <c r="I2108" t="s">
        <v>6786</v>
      </c>
      <c r="J2108" t="s">
        <v>10006</v>
      </c>
      <c r="K2108">
        <v>2610</v>
      </c>
      <c r="L2108">
        <v>44866</v>
      </c>
      <c r="M2108" t="s">
        <v>1900</v>
      </c>
      <c r="N2108">
        <v>2610</v>
      </c>
      <c r="O2108" t="e">
        <v>#N/A</v>
      </c>
    </row>
    <row r="2109" spans="2:15" hidden="1" x14ac:dyDescent="0.3">
      <c r="B2109" t="s">
        <v>8</v>
      </c>
      <c r="C2109">
        <v>928</v>
      </c>
      <c r="D2109" t="s">
        <v>9</v>
      </c>
      <c r="E2109">
        <v>1202</v>
      </c>
      <c r="F2109" t="s">
        <v>110</v>
      </c>
      <c r="G2109">
        <v>929</v>
      </c>
      <c r="H2109" t="s">
        <v>1824</v>
      </c>
      <c r="I2109" t="s">
        <v>6790</v>
      </c>
      <c r="J2109" t="s">
        <v>10007</v>
      </c>
      <c r="K2109">
        <v>626780</v>
      </c>
      <c r="L2109">
        <v>44866</v>
      </c>
      <c r="M2109" t="s">
        <v>960</v>
      </c>
      <c r="N2109">
        <v>626780</v>
      </c>
      <c r="O2109" t="e">
        <v>#N/A</v>
      </c>
    </row>
    <row r="2110" spans="2:15" hidden="1" x14ac:dyDescent="0.3">
      <c r="B2110" t="s">
        <v>8</v>
      </c>
      <c r="C2110">
        <v>928</v>
      </c>
      <c r="D2110" t="s">
        <v>9</v>
      </c>
      <c r="E2110">
        <v>1202</v>
      </c>
      <c r="F2110" t="s">
        <v>391</v>
      </c>
      <c r="G2110">
        <v>1216</v>
      </c>
      <c r="H2110" t="s">
        <v>1824</v>
      </c>
      <c r="I2110" t="s">
        <v>6791</v>
      </c>
      <c r="J2110" t="s">
        <v>10008</v>
      </c>
      <c r="K2110">
        <v>312640</v>
      </c>
      <c r="L2110">
        <v>44866</v>
      </c>
      <c r="M2110" t="s">
        <v>1342</v>
      </c>
      <c r="N2110">
        <v>312640</v>
      </c>
      <c r="O2110" t="e">
        <v>#N/A</v>
      </c>
    </row>
    <row r="2111" spans="2:15" hidden="1" x14ac:dyDescent="0.3">
      <c r="B2111" t="s">
        <v>8</v>
      </c>
      <c r="C2111">
        <v>928</v>
      </c>
      <c r="D2111" t="s">
        <v>167</v>
      </c>
      <c r="E2111">
        <v>935</v>
      </c>
      <c r="F2111" t="s">
        <v>168</v>
      </c>
      <c r="G2111">
        <v>2</v>
      </c>
      <c r="H2111" t="s">
        <v>1824</v>
      </c>
      <c r="I2111" t="s">
        <v>6795</v>
      </c>
      <c r="J2111" t="s">
        <v>10009</v>
      </c>
      <c r="K2111">
        <v>70</v>
      </c>
      <c r="L2111">
        <v>44866</v>
      </c>
      <c r="M2111" t="s">
        <v>1901</v>
      </c>
      <c r="N2111">
        <v>70</v>
      </c>
      <c r="O2111" t="e">
        <v>#N/A</v>
      </c>
    </row>
    <row r="2112" spans="2:15" x14ac:dyDescent="0.3">
      <c r="B2112" t="s">
        <v>8</v>
      </c>
      <c r="C2112">
        <v>928</v>
      </c>
      <c r="D2112" t="s">
        <v>9</v>
      </c>
      <c r="E2112">
        <v>1202</v>
      </c>
      <c r="F2112" t="s">
        <v>39</v>
      </c>
      <c r="G2112">
        <v>25</v>
      </c>
      <c r="H2112" t="s">
        <v>1824</v>
      </c>
      <c r="I2112" t="s">
        <v>10010</v>
      </c>
      <c r="J2112" t="s">
        <v>10011</v>
      </c>
      <c r="K2112">
        <v>49070</v>
      </c>
      <c r="L2112">
        <v>44866</v>
      </c>
      <c r="M2112" t="s">
        <v>668</v>
      </c>
      <c r="N2112" t="e">
        <v>#N/A</v>
      </c>
      <c r="O2112" t="e">
        <v>#N/A</v>
      </c>
    </row>
    <row r="2113" spans="2:15" hidden="1" x14ac:dyDescent="0.3">
      <c r="B2113" t="s">
        <v>8</v>
      </c>
      <c r="C2113">
        <v>928</v>
      </c>
      <c r="D2113" t="s">
        <v>167</v>
      </c>
      <c r="E2113">
        <v>935</v>
      </c>
      <c r="F2113" t="s">
        <v>168</v>
      </c>
      <c r="G2113">
        <v>2</v>
      </c>
      <c r="H2113" t="s">
        <v>1824</v>
      </c>
      <c r="I2113" t="s">
        <v>6799</v>
      </c>
      <c r="J2113" t="s">
        <v>10012</v>
      </c>
      <c r="K2113">
        <v>117660</v>
      </c>
      <c r="L2113">
        <v>44866</v>
      </c>
      <c r="M2113" t="s">
        <v>1275</v>
      </c>
      <c r="N2113">
        <v>7300</v>
      </c>
      <c r="O2113" t="e">
        <v>#N/A</v>
      </c>
    </row>
    <row r="2114" spans="2:15" hidden="1" x14ac:dyDescent="0.3">
      <c r="B2114" t="s">
        <v>176</v>
      </c>
      <c r="C2114">
        <v>1204</v>
      </c>
      <c r="D2114" t="s">
        <v>177</v>
      </c>
      <c r="E2114">
        <v>1205</v>
      </c>
      <c r="F2114" t="s">
        <v>178</v>
      </c>
      <c r="G2114">
        <v>201073</v>
      </c>
      <c r="H2114" t="s">
        <v>1824</v>
      </c>
      <c r="I2114" t="s">
        <v>6801</v>
      </c>
      <c r="J2114" t="s">
        <v>10013</v>
      </c>
      <c r="K2114">
        <v>56300</v>
      </c>
      <c r="L2114">
        <v>44866</v>
      </c>
      <c r="M2114" t="s">
        <v>365</v>
      </c>
      <c r="N2114">
        <v>56300</v>
      </c>
      <c r="O2114" t="e">
        <v>#N/A</v>
      </c>
    </row>
    <row r="2115" spans="2:15" hidden="1" x14ac:dyDescent="0.3">
      <c r="B2115" t="s">
        <v>22</v>
      </c>
      <c r="C2115">
        <v>809</v>
      </c>
      <c r="D2115" t="s">
        <v>23</v>
      </c>
      <c r="E2115">
        <v>810</v>
      </c>
      <c r="F2115" t="s">
        <v>428</v>
      </c>
      <c r="G2115">
        <v>201062</v>
      </c>
      <c r="H2115" t="s">
        <v>1824</v>
      </c>
      <c r="I2115" t="s">
        <v>6803</v>
      </c>
      <c r="J2115" t="s">
        <v>10014</v>
      </c>
      <c r="K2115">
        <v>523810</v>
      </c>
      <c r="L2115">
        <v>44866</v>
      </c>
      <c r="M2115" t="s">
        <v>1902</v>
      </c>
      <c r="N2115">
        <v>523810</v>
      </c>
      <c r="O2115" t="e">
        <v>#N/A</v>
      </c>
    </row>
    <row r="2116" spans="2:15" hidden="1" x14ac:dyDescent="0.3">
      <c r="B2116" t="s">
        <v>16</v>
      </c>
      <c r="C2116">
        <v>927</v>
      </c>
      <c r="D2116" t="s">
        <v>17</v>
      </c>
      <c r="E2116">
        <v>1200</v>
      </c>
      <c r="F2116" t="s">
        <v>262</v>
      </c>
      <c r="G2116">
        <v>1594</v>
      </c>
      <c r="H2116" t="s">
        <v>1824</v>
      </c>
      <c r="I2116" t="s">
        <v>6804</v>
      </c>
      <c r="J2116" t="s">
        <v>10015</v>
      </c>
      <c r="K2116">
        <v>444630</v>
      </c>
      <c r="L2116">
        <v>44866</v>
      </c>
      <c r="M2116" t="s">
        <v>944</v>
      </c>
      <c r="N2116">
        <v>444630</v>
      </c>
      <c r="O2116" t="e">
        <v>#N/A</v>
      </c>
    </row>
    <row r="2117" spans="2:15" hidden="1" x14ac:dyDescent="0.3">
      <c r="B2117" t="s">
        <v>8</v>
      </c>
      <c r="C2117">
        <v>928</v>
      </c>
      <c r="D2117" t="s">
        <v>9</v>
      </c>
      <c r="E2117">
        <v>1202</v>
      </c>
      <c r="F2117" t="s">
        <v>110</v>
      </c>
      <c r="G2117">
        <v>929</v>
      </c>
      <c r="H2117" t="s">
        <v>1824</v>
      </c>
      <c r="I2117" t="s">
        <v>6806</v>
      </c>
      <c r="J2117" t="s">
        <v>10016</v>
      </c>
      <c r="K2117">
        <v>533250</v>
      </c>
      <c r="L2117">
        <v>44866</v>
      </c>
      <c r="M2117" t="s">
        <v>772</v>
      </c>
      <c r="N2117">
        <v>533250</v>
      </c>
      <c r="O2117" t="e">
        <v>#N/A</v>
      </c>
    </row>
    <row r="2118" spans="2:15" x14ac:dyDescent="0.3">
      <c r="B2118" t="s">
        <v>41</v>
      </c>
      <c r="C2118">
        <v>926</v>
      </c>
      <c r="D2118" t="s">
        <v>42</v>
      </c>
      <c r="E2118">
        <v>964</v>
      </c>
      <c r="F2118" t="s">
        <v>43</v>
      </c>
      <c r="G2118">
        <v>200998</v>
      </c>
      <c r="H2118" t="s">
        <v>1824</v>
      </c>
      <c r="I2118" t="s">
        <v>10017</v>
      </c>
      <c r="J2118" t="s">
        <v>10018</v>
      </c>
      <c r="K2118">
        <v>340</v>
      </c>
      <c r="L2118">
        <v>44866</v>
      </c>
      <c r="M2118" t="s">
        <v>1903</v>
      </c>
      <c r="N2118" t="e">
        <v>#N/A</v>
      </c>
      <c r="O2118" t="e">
        <v>#N/A</v>
      </c>
    </row>
    <row r="2119" spans="2:15" hidden="1" x14ac:dyDescent="0.3">
      <c r="B2119" t="s">
        <v>8</v>
      </c>
      <c r="C2119">
        <v>928</v>
      </c>
      <c r="D2119" t="s">
        <v>9</v>
      </c>
      <c r="E2119">
        <v>1202</v>
      </c>
      <c r="F2119" t="s">
        <v>35</v>
      </c>
      <c r="G2119">
        <v>51</v>
      </c>
      <c r="H2119" t="s">
        <v>1824</v>
      </c>
      <c r="I2119" t="s">
        <v>6807</v>
      </c>
      <c r="J2119" t="s">
        <v>10019</v>
      </c>
      <c r="K2119">
        <v>16060</v>
      </c>
      <c r="L2119">
        <v>44866</v>
      </c>
      <c r="M2119" t="s">
        <v>1904</v>
      </c>
      <c r="N2119">
        <v>16060</v>
      </c>
      <c r="O2119" t="e">
        <v>#N/A</v>
      </c>
    </row>
    <row r="2120" spans="2:15" hidden="1" x14ac:dyDescent="0.3">
      <c r="B2120" t="s">
        <v>8</v>
      </c>
      <c r="C2120">
        <v>928</v>
      </c>
      <c r="D2120" t="s">
        <v>13</v>
      </c>
      <c r="E2120">
        <v>1184</v>
      </c>
      <c r="F2120" t="s">
        <v>102</v>
      </c>
      <c r="G2120">
        <v>917</v>
      </c>
      <c r="H2120" t="s">
        <v>1824</v>
      </c>
      <c r="I2120" t="s">
        <v>6813</v>
      </c>
      <c r="J2120" t="s">
        <v>10020</v>
      </c>
      <c r="K2120">
        <v>2270</v>
      </c>
      <c r="L2120">
        <v>44866</v>
      </c>
      <c r="M2120" t="s">
        <v>1512</v>
      </c>
      <c r="N2120">
        <v>2270</v>
      </c>
      <c r="O2120" t="e">
        <v>#N/A</v>
      </c>
    </row>
    <row r="2121" spans="2:15" hidden="1" x14ac:dyDescent="0.3">
      <c r="B2121" t="s">
        <v>41</v>
      </c>
      <c r="C2121">
        <v>926</v>
      </c>
      <c r="D2121" t="s">
        <v>56</v>
      </c>
      <c r="E2121">
        <v>1207</v>
      </c>
      <c r="F2121" t="s">
        <v>57</v>
      </c>
      <c r="G2121">
        <v>200982</v>
      </c>
      <c r="H2121" t="s">
        <v>1824</v>
      </c>
      <c r="I2121" t="s">
        <v>6822</v>
      </c>
      <c r="J2121" t="s">
        <v>10021</v>
      </c>
      <c r="K2121">
        <v>280</v>
      </c>
      <c r="L2121">
        <v>44866</v>
      </c>
      <c r="M2121" t="s">
        <v>1821</v>
      </c>
      <c r="N2121">
        <v>280</v>
      </c>
      <c r="O2121" t="e">
        <v>#N/A</v>
      </c>
    </row>
    <row r="2122" spans="2:15" x14ac:dyDescent="0.3">
      <c r="B2122" t="s">
        <v>8</v>
      </c>
      <c r="C2122">
        <v>928</v>
      </c>
      <c r="D2122" t="s">
        <v>13</v>
      </c>
      <c r="E2122">
        <v>1184</v>
      </c>
      <c r="F2122" t="s">
        <v>374</v>
      </c>
      <c r="G2122">
        <v>201022</v>
      </c>
      <c r="H2122" t="s">
        <v>1824</v>
      </c>
      <c r="I2122" t="s">
        <v>10022</v>
      </c>
      <c r="J2122" t="s">
        <v>10023</v>
      </c>
      <c r="K2122">
        <v>42640</v>
      </c>
      <c r="L2122">
        <v>44866</v>
      </c>
      <c r="M2122" t="s">
        <v>1905</v>
      </c>
      <c r="N2122" t="e">
        <v>#N/A</v>
      </c>
      <c r="O2122" t="e">
        <v>#N/A</v>
      </c>
    </row>
    <row r="2123" spans="2:15" hidden="1" x14ac:dyDescent="0.3">
      <c r="B2123" t="s">
        <v>8</v>
      </c>
      <c r="C2123">
        <v>928</v>
      </c>
      <c r="D2123" t="s">
        <v>9</v>
      </c>
      <c r="E2123">
        <v>1202</v>
      </c>
      <c r="F2123" t="s">
        <v>73</v>
      </c>
      <c r="G2123">
        <v>895</v>
      </c>
      <c r="H2123" t="s">
        <v>1824</v>
      </c>
      <c r="I2123" t="s">
        <v>6828</v>
      </c>
      <c r="J2123" t="s">
        <v>10024</v>
      </c>
      <c r="K2123">
        <v>676800</v>
      </c>
      <c r="L2123">
        <v>44866</v>
      </c>
      <c r="M2123" t="s">
        <v>1066</v>
      </c>
      <c r="N2123">
        <v>676800</v>
      </c>
      <c r="O2123" t="e">
        <v>#N/A</v>
      </c>
    </row>
    <row r="2124" spans="2:15" hidden="1" x14ac:dyDescent="0.3">
      <c r="B2124" t="s">
        <v>8</v>
      </c>
      <c r="C2124">
        <v>928</v>
      </c>
      <c r="D2124" t="s">
        <v>223</v>
      </c>
      <c r="E2124">
        <v>966</v>
      </c>
      <c r="F2124" t="s">
        <v>986</v>
      </c>
      <c r="G2124">
        <v>201098</v>
      </c>
      <c r="H2124" t="s">
        <v>1824</v>
      </c>
      <c r="I2124" t="s">
        <v>6831</v>
      </c>
      <c r="J2124" t="s">
        <v>10025</v>
      </c>
      <c r="K2124">
        <v>3360</v>
      </c>
      <c r="L2124">
        <v>44866</v>
      </c>
      <c r="M2124" t="s">
        <v>987</v>
      </c>
      <c r="N2124">
        <v>3360</v>
      </c>
      <c r="O2124" t="e">
        <v>#N/A</v>
      </c>
    </row>
    <row r="2125" spans="2:15" hidden="1" x14ac:dyDescent="0.3">
      <c r="B2125" t="s">
        <v>16</v>
      </c>
      <c r="C2125">
        <v>927</v>
      </c>
      <c r="D2125" t="s">
        <v>17</v>
      </c>
      <c r="E2125">
        <v>1200</v>
      </c>
      <c r="F2125" t="s">
        <v>262</v>
      </c>
      <c r="G2125">
        <v>1594</v>
      </c>
      <c r="H2125" t="s">
        <v>1824</v>
      </c>
      <c r="I2125" t="s">
        <v>6834</v>
      </c>
      <c r="J2125" t="s">
        <v>10026</v>
      </c>
      <c r="K2125">
        <v>295180</v>
      </c>
      <c r="L2125">
        <v>44866</v>
      </c>
      <c r="M2125" t="s">
        <v>263</v>
      </c>
      <c r="N2125">
        <v>295180</v>
      </c>
      <c r="O2125" t="e">
        <v>#N/A</v>
      </c>
    </row>
    <row r="2126" spans="2:15" x14ac:dyDescent="0.3">
      <c r="B2126" t="s">
        <v>16</v>
      </c>
      <c r="C2126">
        <v>927</v>
      </c>
      <c r="D2126" t="s">
        <v>17</v>
      </c>
      <c r="E2126">
        <v>1200</v>
      </c>
      <c r="F2126" t="s">
        <v>96</v>
      </c>
      <c r="G2126">
        <v>1271</v>
      </c>
      <c r="H2126" t="s">
        <v>1824</v>
      </c>
      <c r="I2126" t="s">
        <v>10027</v>
      </c>
      <c r="J2126" t="s">
        <v>10028</v>
      </c>
      <c r="K2126">
        <v>67010</v>
      </c>
      <c r="L2126">
        <v>44866</v>
      </c>
      <c r="M2126" t="s">
        <v>1157</v>
      </c>
      <c r="N2126" t="e">
        <v>#N/A</v>
      </c>
      <c r="O2126" t="e">
        <v>#N/A</v>
      </c>
    </row>
    <row r="2127" spans="2:15" hidden="1" x14ac:dyDescent="0.3">
      <c r="B2127" t="s">
        <v>8</v>
      </c>
      <c r="C2127">
        <v>928</v>
      </c>
      <c r="D2127" t="s">
        <v>9</v>
      </c>
      <c r="E2127">
        <v>1202</v>
      </c>
      <c r="F2127" t="s">
        <v>27</v>
      </c>
      <c r="G2127">
        <v>806</v>
      </c>
      <c r="H2127" t="s">
        <v>1824</v>
      </c>
      <c r="I2127" t="s">
        <v>6838</v>
      </c>
      <c r="J2127" t="s">
        <v>10029</v>
      </c>
      <c r="K2127">
        <v>700</v>
      </c>
      <c r="L2127">
        <v>44866</v>
      </c>
      <c r="M2127" t="s">
        <v>1048</v>
      </c>
      <c r="N2127">
        <v>700</v>
      </c>
      <c r="O2127" t="e">
        <v>#N/A</v>
      </c>
    </row>
    <row r="2128" spans="2:15" hidden="1" x14ac:dyDescent="0.3">
      <c r="B2128" t="s">
        <v>8</v>
      </c>
      <c r="C2128">
        <v>928</v>
      </c>
      <c r="D2128" t="s">
        <v>167</v>
      </c>
      <c r="E2128">
        <v>935</v>
      </c>
      <c r="F2128" t="s">
        <v>168</v>
      </c>
      <c r="G2128">
        <v>2</v>
      </c>
      <c r="H2128" t="s">
        <v>1824</v>
      </c>
      <c r="I2128" t="s">
        <v>6839</v>
      </c>
      <c r="J2128" t="s">
        <v>10030</v>
      </c>
      <c r="K2128">
        <v>992940</v>
      </c>
      <c r="L2128">
        <v>44866</v>
      </c>
      <c r="M2128" t="s">
        <v>671</v>
      </c>
      <c r="N2128">
        <v>992940</v>
      </c>
      <c r="O2128" t="e">
        <v>#N/A</v>
      </c>
    </row>
    <row r="2129" spans="2:15" hidden="1" x14ac:dyDescent="0.3">
      <c r="B2129" t="s">
        <v>8</v>
      </c>
      <c r="C2129">
        <v>928</v>
      </c>
      <c r="D2129" t="s">
        <v>167</v>
      </c>
      <c r="E2129">
        <v>935</v>
      </c>
      <c r="F2129" t="s">
        <v>168</v>
      </c>
      <c r="G2129">
        <v>2</v>
      </c>
      <c r="H2129" t="s">
        <v>1824</v>
      </c>
      <c r="I2129" t="s">
        <v>6840</v>
      </c>
      <c r="J2129" t="s">
        <v>10031</v>
      </c>
      <c r="K2129">
        <v>3709370</v>
      </c>
      <c r="L2129">
        <v>44866</v>
      </c>
      <c r="M2129" t="s">
        <v>671</v>
      </c>
      <c r="N2129">
        <v>3709370</v>
      </c>
      <c r="O2129" t="e">
        <v>#N/A</v>
      </c>
    </row>
    <row r="2130" spans="2:15" hidden="1" x14ac:dyDescent="0.3">
      <c r="B2130" t="s">
        <v>8</v>
      </c>
      <c r="C2130">
        <v>928</v>
      </c>
      <c r="D2130" t="s">
        <v>167</v>
      </c>
      <c r="E2130">
        <v>935</v>
      </c>
      <c r="F2130" t="s">
        <v>168</v>
      </c>
      <c r="G2130">
        <v>2</v>
      </c>
      <c r="H2130" t="s">
        <v>1824</v>
      </c>
      <c r="I2130" t="s">
        <v>6841</v>
      </c>
      <c r="J2130" t="s">
        <v>10032</v>
      </c>
      <c r="K2130">
        <v>667330</v>
      </c>
      <c r="L2130">
        <v>44866</v>
      </c>
      <c r="M2130" t="s">
        <v>671</v>
      </c>
      <c r="N2130">
        <v>667330</v>
      </c>
      <c r="O2130" t="e">
        <v>#N/A</v>
      </c>
    </row>
    <row r="2131" spans="2:15" hidden="1" x14ac:dyDescent="0.3">
      <c r="B2131" t="s">
        <v>8</v>
      </c>
      <c r="C2131">
        <v>928</v>
      </c>
      <c r="D2131" t="s">
        <v>167</v>
      </c>
      <c r="E2131">
        <v>935</v>
      </c>
      <c r="F2131" t="s">
        <v>168</v>
      </c>
      <c r="G2131">
        <v>2</v>
      </c>
      <c r="H2131" t="s">
        <v>1824</v>
      </c>
      <c r="I2131" t="s">
        <v>6842</v>
      </c>
      <c r="J2131" t="s">
        <v>10033</v>
      </c>
      <c r="K2131">
        <v>1070230</v>
      </c>
      <c r="L2131">
        <v>44866</v>
      </c>
      <c r="M2131" t="s">
        <v>671</v>
      </c>
      <c r="N2131">
        <v>1070230</v>
      </c>
      <c r="O2131" t="e">
        <v>#N/A</v>
      </c>
    </row>
    <row r="2132" spans="2:15" hidden="1" x14ac:dyDescent="0.3">
      <c r="B2132" t="s">
        <v>8</v>
      </c>
      <c r="C2132">
        <v>928</v>
      </c>
      <c r="D2132" t="s">
        <v>167</v>
      </c>
      <c r="E2132">
        <v>935</v>
      </c>
      <c r="F2132" t="s">
        <v>168</v>
      </c>
      <c r="G2132">
        <v>2</v>
      </c>
      <c r="H2132" t="s">
        <v>1824</v>
      </c>
      <c r="I2132" t="s">
        <v>6843</v>
      </c>
      <c r="J2132" t="s">
        <v>10034</v>
      </c>
      <c r="K2132">
        <v>623060</v>
      </c>
      <c r="L2132">
        <v>44866</v>
      </c>
      <c r="M2132" t="s">
        <v>671</v>
      </c>
      <c r="N2132">
        <v>623060</v>
      </c>
      <c r="O2132" t="e">
        <v>#N/A</v>
      </c>
    </row>
    <row r="2133" spans="2:15" hidden="1" x14ac:dyDescent="0.3">
      <c r="B2133" t="s">
        <v>8</v>
      </c>
      <c r="C2133">
        <v>928</v>
      </c>
      <c r="D2133" t="s">
        <v>9</v>
      </c>
      <c r="E2133">
        <v>1202</v>
      </c>
      <c r="F2133" t="s">
        <v>104</v>
      </c>
      <c r="G2133">
        <v>201009</v>
      </c>
      <c r="H2133" t="s">
        <v>1824</v>
      </c>
      <c r="I2133" t="s">
        <v>6845</v>
      </c>
      <c r="J2133" t="s">
        <v>10035</v>
      </c>
      <c r="K2133">
        <v>50110</v>
      </c>
      <c r="L2133">
        <v>44866</v>
      </c>
      <c r="M2133" t="s">
        <v>1002</v>
      </c>
      <c r="N2133">
        <v>50110</v>
      </c>
      <c r="O2133" t="e">
        <v>#N/A</v>
      </c>
    </row>
    <row r="2134" spans="2:15" hidden="1" x14ac:dyDescent="0.3">
      <c r="B2134" t="s">
        <v>8</v>
      </c>
      <c r="C2134">
        <v>928</v>
      </c>
      <c r="D2134" t="s">
        <v>223</v>
      </c>
      <c r="E2134">
        <v>966</v>
      </c>
      <c r="F2134" t="s">
        <v>224</v>
      </c>
      <c r="G2134">
        <v>201008</v>
      </c>
      <c r="H2134" t="s">
        <v>1824</v>
      </c>
      <c r="I2134" t="s">
        <v>6846</v>
      </c>
      <c r="J2134" t="s">
        <v>10036</v>
      </c>
      <c r="K2134">
        <v>851610</v>
      </c>
      <c r="L2134">
        <v>44866</v>
      </c>
      <c r="M2134" t="s">
        <v>631</v>
      </c>
      <c r="N2134">
        <v>851610</v>
      </c>
      <c r="O2134" t="e">
        <v>#N/A</v>
      </c>
    </row>
    <row r="2135" spans="2:15" hidden="1" x14ac:dyDescent="0.3">
      <c r="B2135" t="s">
        <v>8</v>
      </c>
      <c r="C2135">
        <v>928</v>
      </c>
      <c r="D2135" t="s">
        <v>223</v>
      </c>
      <c r="E2135">
        <v>966</v>
      </c>
      <c r="F2135" t="s">
        <v>224</v>
      </c>
      <c r="G2135">
        <v>201008</v>
      </c>
      <c r="H2135" t="s">
        <v>1824</v>
      </c>
      <c r="I2135" t="s">
        <v>6847</v>
      </c>
      <c r="J2135" t="s">
        <v>10037</v>
      </c>
      <c r="K2135">
        <v>60820</v>
      </c>
      <c r="L2135">
        <v>44866</v>
      </c>
      <c r="M2135" t="s">
        <v>631</v>
      </c>
      <c r="N2135">
        <v>60820</v>
      </c>
      <c r="O2135" t="e">
        <v>#N/A</v>
      </c>
    </row>
    <row r="2136" spans="2:15" hidden="1" x14ac:dyDescent="0.3">
      <c r="B2136" t="s">
        <v>8</v>
      </c>
      <c r="C2136">
        <v>928</v>
      </c>
      <c r="D2136" t="s">
        <v>223</v>
      </c>
      <c r="E2136">
        <v>966</v>
      </c>
      <c r="F2136" t="s">
        <v>224</v>
      </c>
      <c r="G2136">
        <v>201008</v>
      </c>
      <c r="H2136" t="s">
        <v>1824</v>
      </c>
      <c r="I2136" t="s">
        <v>6848</v>
      </c>
      <c r="J2136" t="s">
        <v>10038</v>
      </c>
      <c r="K2136">
        <v>28190</v>
      </c>
      <c r="L2136">
        <v>44866</v>
      </c>
      <c r="M2136" t="s">
        <v>631</v>
      </c>
      <c r="N2136">
        <v>28190</v>
      </c>
      <c r="O2136" t="e">
        <v>#N/A</v>
      </c>
    </row>
    <row r="2137" spans="2:15" hidden="1" x14ac:dyDescent="0.3">
      <c r="B2137" t="s">
        <v>8</v>
      </c>
      <c r="C2137">
        <v>928</v>
      </c>
      <c r="D2137" t="s">
        <v>223</v>
      </c>
      <c r="E2137">
        <v>966</v>
      </c>
      <c r="F2137" t="s">
        <v>224</v>
      </c>
      <c r="G2137">
        <v>201008</v>
      </c>
      <c r="H2137" t="s">
        <v>1824</v>
      </c>
      <c r="I2137" t="s">
        <v>6849</v>
      </c>
      <c r="J2137" t="s">
        <v>10039</v>
      </c>
      <c r="K2137">
        <v>24270</v>
      </c>
      <c r="L2137">
        <v>44866</v>
      </c>
      <c r="M2137" t="s">
        <v>631</v>
      </c>
      <c r="N2137">
        <v>24270</v>
      </c>
      <c r="O2137" t="e">
        <v>#N/A</v>
      </c>
    </row>
    <row r="2138" spans="2:15" hidden="1" x14ac:dyDescent="0.3">
      <c r="B2138" t="s">
        <v>8</v>
      </c>
      <c r="C2138">
        <v>928</v>
      </c>
      <c r="D2138" t="s">
        <v>223</v>
      </c>
      <c r="E2138">
        <v>966</v>
      </c>
      <c r="F2138" t="s">
        <v>224</v>
      </c>
      <c r="G2138">
        <v>201008</v>
      </c>
      <c r="H2138" t="s">
        <v>1824</v>
      </c>
      <c r="I2138" t="s">
        <v>6850</v>
      </c>
      <c r="J2138" t="s">
        <v>10040</v>
      </c>
      <c r="K2138">
        <v>135160</v>
      </c>
      <c r="L2138">
        <v>44866</v>
      </c>
      <c r="M2138" t="s">
        <v>631</v>
      </c>
      <c r="N2138">
        <v>135160</v>
      </c>
      <c r="O2138" t="e">
        <v>#N/A</v>
      </c>
    </row>
    <row r="2139" spans="2:15" hidden="1" x14ac:dyDescent="0.3">
      <c r="B2139" t="s">
        <v>8</v>
      </c>
      <c r="C2139">
        <v>928</v>
      </c>
      <c r="D2139" t="s">
        <v>223</v>
      </c>
      <c r="E2139">
        <v>966</v>
      </c>
      <c r="F2139" t="s">
        <v>224</v>
      </c>
      <c r="G2139">
        <v>201008</v>
      </c>
      <c r="H2139" t="s">
        <v>1824</v>
      </c>
      <c r="I2139" t="s">
        <v>6851</v>
      </c>
      <c r="J2139" t="s">
        <v>10041</v>
      </c>
      <c r="K2139">
        <v>35700</v>
      </c>
      <c r="L2139">
        <v>44866</v>
      </c>
      <c r="M2139" t="s">
        <v>631</v>
      </c>
      <c r="N2139">
        <v>35700</v>
      </c>
      <c r="O2139" t="e">
        <v>#N/A</v>
      </c>
    </row>
    <row r="2140" spans="2:15" hidden="1" x14ac:dyDescent="0.3">
      <c r="B2140" t="s">
        <v>8</v>
      </c>
      <c r="C2140">
        <v>928</v>
      </c>
      <c r="D2140" t="s">
        <v>223</v>
      </c>
      <c r="E2140">
        <v>966</v>
      </c>
      <c r="F2140" t="s">
        <v>224</v>
      </c>
      <c r="G2140">
        <v>201008</v>
      </c>
      <c r="H2140" t="s">
        <v>1824</v>
      </c>
      <c r="I2140" t="s">
        <v>6852</v>
      </c>
      <c r="J2140" t="s">
        <v>10042</v>
      </c>
      <c r="K2140">
        <v>195960</v>
      </c>
      <c r="L2140">
        <v>44866</v>
      </c>
      <c r="M2140" t="s">
        <v>225</v>
      </c>
      <c r="N2140">
        <v>195960</v>
      </c>
      <c r="O2140" t="e">
        <v>#N/A</v>
      </c>
    </row>
    <row r="2141" spans="2:15" hidden="1" x14ac:dyDescent="0.3">
      <c r="B2141" t="s">
        <v>8</v>
      </c>
      <c r="C2141">
        <v>928</v>
      </c>
      <c r="D2141" t="s">
        <v>223</v>
      </c>
      <c r="E2141">
        <v>966</v>
      </c>
      <c r="F2141" t="s">
        <v>224</v>
      </c>
      <c r="G2141">
        <v>201008</v>
      </c>
      <c r="H2141" t="s">
        <v>1824</v>
      </c>
      <c r="I2141" t="s">
        <v>6853</v>
      </c>
      <c r="J2141" t="s">
        <v>10043</v>
      </c>
      <c r="K2141">
        <v>21320</v>
      </c>
      <c r="L2141">
        <v>44866</v>
      </c>
      <c r="M2141" t="s">
        <v>225</v>
      </c>
      <c r="N2141">
        <v>21320</v>
      </c>
      <c r="O2141" t="e">
        <v>#N/A</v>
      </c>
    </row>
    <row r="2142" spans="2:15" hidden="1" x14ac:dyDescent="0.3">
      <c r="B2142" t="s">
        <v>8</v>
      </c>
      <c r="C2142">
        <v>928</v>
      </c>
      <c r="D2142" t="s">
        <v>223</v>
      </c>
      <c r="E2142">
        <v>966</v>
      </c>
      <c r="F2142" t="s">
        <v>224</v>
      </c>
      <c r="G2142">
        <v>201008</v>
      </c>
      <c r="H2142" t="s">
        <v>1824</v>
      </c>
      <c r="I2142" t="s">
        <v>6854</v>
      </c>
      <c r="J2142" t="s">
        <v>10044</v>
      </c>
      <c r="K2142">
        <v>50820</v>
      </c>
      <c r="L2142">
        <v>44866</v>
      </c>
      <c r="M2142" t="s">
        <v>225</v>
      </c>
      <c r="N2142">
        <v>50820</v>
      </c>
      <c r="O2142" t="e">
        <v>#N/A</v>
      </c>
    </row>
    <row r="2143" spans="2:15" hidden="1" x14ac:dyDescent="0.3">
      <c r="B2143" t="s">
        <v>8</v>
      </c>
      <c r="C2143">
        <v>928</v>
      </c>
      <c r="D2143" t="s">
        <v>223</v>
      </c>
      <c r="E2143">
        <v>966</v>
      </c>
      <c r="F2143" t="s">
        <v>224</v>
      </c>
      <c r="G2143">
        <v>201008</v>
      </c>
      <c r="H2143" t="s">
        <v>1824</v>
      </c>
      <c r="I2143" t="s">
        <v>6855</v>
      </c>
      <c r="J2143" t="s">
        <v>10045</v>
      </c>
      <c r="K2143">
        <v>19110</v>
      </c>
      <c r="L2143">
        <v>44866</v>
      </c>
      <c r="M2143" t="s">
        <v>225</v>
      </c>
      <c r="N2143">
        <v>19110</v>
      </c>
      <c r="O2143" t="e">
        <v>#N/A</v>
      </c>
    </row>
    <row r="2144" spans="2:15" hidden="1" x14ac:dyDescent="0.3">
      <c r="B2144" t="s">
        <v>8</v>
      </c>
      <c r="C2144">
        <v>928</v>
      </c>
      <c r="D2144" t="s">
        <v>223</v>
      </c>
      <c r="E2144">
        <v>966</v>
      </c>
      <c r="F2144" t="s">
        <v>224</v>
      </c>
      <c r="G2144">
        <v>201008</v>
      </c>
      <c r="H2144" t="s">
        <v>1824</v>
      </c>
      <c r="I2144" t="s">
        <v>6856</v>
      </c>
      <c r="J2144" t="s">
        <v>10046</v>
      </c>
      <c r="K2144">
        <v>13580</v>
      </c>
      <c r="L2144">
        <v>44866</v>
      </c>
      <c r="M2144" t="s">
        <v>225</v>
      </c>
      <c r="N2144">
        <v>13580</v>
      </c>
      <c r="O2144" t="e">
        <v>#N/A</v>
      </c>
    </row>
    <row r="2145" spans="2:15" hidden="1" x14ac:dyDescent="0.3">
      <c r="B2145" t="s">
        <v>8</v>
      </c>
      <c r="C2145">
        <v>928</v>
      </c>
      <c r="D2145" t="s">
        <v>223</v>
      </c>
      <c r="E2145">
        <v>966</v>
      </c>
      <c r="F2145" t="s">
        <v>224</v>
      </c>
      <c r="G2145">
        <v>201008</v>
      </c>
      <c r="H2145" t="s">
        <v>1824</v>
      </c>
      <c r="I2145" t="s">
        <v>6857</v>
      </c>
      <c r="J2145" t="s">
        <v>10047</v>
      </c>
      <c r="K2145">
        <v>51420</v>
      </c>
      <c r="L2145">
        <v>44866</v>
      </c>
      <c r="M2145" t="s">
        <v>225</v>
      </c>
      <c r="N2145">
        <v>51420</v>
      </c>
      <c r="O2145" t="e">
        <v>#N/A</v>
      </c>
    </row>
    <row r="2146" spans="2:15" hidden="1" x14ac:dyDescent="0.3">
      <c r="B2146" t="s">
        <v>8</v>
      </c>
      <c r="C2146">
        <v>928</v>
      </c>
      <c r="D2146" t="s">
        <v>223</v>
      </c>
      <c r="E2146">
        <v>966</v>
      </c>
      <c r="F2146" t="s">
        <v>224</v>
      </c>
      <c r="G2146">
        <v>201008</v>
      </c>
      <c r="H2146" t="s">
        <v>1824</v>
      </c>
      <c r="I2146" t="s">
        <v>6858</v>
      </c>
      <c r="J2146" t="s">
        <v>10048</v>
      </c>
      <c r="K2146">
        <v>899070</v>
      </c>
      <c r="L2146">
        <v>44866</v>
      </c>
      <c r="M2146" t="s">
        <v>225</v>
      </c>
      <c r="N2146">
        <v>899070</v>
      </c>
      <c r="O2146" t="e">
        <v>#N/A</v>
      </c>
    </row>
    <row r="2147" spans="2:15" hidden="1" x14ac:dyDescent="0.3">
      <c r="B2147" t="s">
        <v>8</v>
      </c>
      <c r="C2147">
        <v>928</v>
      </c>
      <c r="D2147" t="s">
        <v>9</v>
      </c>
      <c r="E2147">
        <v>1202</v>
      </c>
      <c r="F2147" t="s">
        <v>37</v>
      </c>
      <c r="G2147">
        <v>81</v>
      </c>
      <c r="H2147" t="s">
        <v>1824</v>
      </c>
      <c r="I2147" t="s">
        <v>6859</v>
      </c>
      <c r="J2147" t="s">
        <v>10049</v>
      </c>
      <c r="K2147">
        <v>182480</v>
      </c>
      <c r="L2147">
        <v>44866</v>
      </c>
      <c r="M2147" t="s">
        <v>873</v>
      </c>
      <c r="N2147">
        <v>182480</v>
      </c>
      <c r="O2147" t="e">
        <v>#N/A</v>
      </c>
    </row>
    <row r="2148" spans="2:15" hidden="1" x14ac:dyDescent="0.3">
      <c r="B2148" t="s">
        <v>8</v>
      </c>
      <c r="C2148">
        <v>928</v>
      </c>
      <c r="D2148" t="s">
        <v>167</v>
      </c>
      <c r="E2148">
        <v>935</v>
      </c>
      <c r="F2148" t="s">
        <v>168</v>
      </c>
      <c r="G2148">
        <v>2</v>
      </c>
      <c r="H2148" t="s">
        <v>1824</v>
      </c>
      <c r="I2148" t="s">
        <v>6860</v>
      </c>
      <c r="J2148" t="s">
        <v>10050</v>
      </c>
      <c r="K2148">
        <v>575790</v>
      </c>
      <c r="L2148">
        <v>44866</v>
      </c>
      <c r="M2148" t="s">
        <v>671</v>
      </c>
      <c r="N2148">
        <v>575790</v>
      </c>
      <c r="O2148" t="e">
        <v>#N/A</v>
      </c>
    </row>
    <row r="2149" spans="2:15" hidden="1" x14ac:dyDescent="0.3">
      <c r="B2149" t="s">
        <v>8</v>
      </c>
      <c r="C2149">
        <v>928</v>
      </c>
      <c r="D2149" t="s">
        <v>167</v>
      </c>
      <c r="E2149">
        <v>935</v>
      </c>
      <c r="F2149" t="s">
        <v>168</v>
      </c>
      <c r="G2149">
        <v>2</v>
      </c>
      <c r="H2149" t="s">
        <v>1824</v>
      </c>
      <c r="I2149" t="s">
        <v>6861</v>
      </c>
      <c r="J2149" t="s">
        <v>10051</v>
      </c>
      <c r="K2149">
        <v>825160</v>
      </c>
      <c r="L2149">
        <v>44866</v>
      </c>
      <c r="M2149" t="s">
        <v>671</v>
      </c>
      <c r="N2149">
        <v>825160</v>
      </c>
      <c r="O2149" t="e">
        <v>#N/A</v>
      </c>
    </row>
    <row r="2150" spans="2:15" hidden="1" x14ac:dyDescent="0.3">
      <c r="B2150" t="s">
        <v>8</v>
      </c>
      <c r="C2150">
        <v>928</v>
      </c>
      <c r="D2150" t="s">
        <v>223</v>
      </c>
      <c r="E2150">
        <v>966</v>
      </c>
      <c r="F2150" t="s">
        <v>269</v>
      </c>
      <c r="G2150">
        <v>201031</v>
      </c>
      <c r="H2150" t="s">
        <v>1824</v>
      </c>
      <c r="I2150" t="s">
        <v>6862</v>
      </c>
      <c r="J2150" t="s">
        <v>10052</v>
      </c>
      <c r="K2150">
        <v>1400</v>
      </c>
      <c r="L2150">
        <v>44866</v>
      </c>
      <c r="M2150" t="s">
        <v>270</v>
      </c>
      <c r="N2150">
        <v>1400</v>
      </c>
      <c r="O2150" t="e">
        <v>#N/A</v>
      </c>
    </row>
    <row r="2151" spans="2:15" hidden="1" x14ac:dyDescent="0.3">
      <c r="B2151" t="s">
        <v>8</v>
      </c>
      <c r="C2151">
        <v>928</v>
      </c>
      <c r="D2151" t="s">
        <v>223</v>
      </c>
      <c r="E2151">
        <v>966</v>
      </c>
      <c r="F2151" t="s">
        <v>269</v>
      </c>
      <c r="G2151">
        <v>201031</v>
      </c>
      <c r="H2151" t="s">
        <v>1824</v>
      </c>
      <c r="I2151" t="s">
        <v>6863</v>
      </c>
      <c r="J2151" t="s">
        <v>10053</v>
      </c>
      <c r="K2151">
        <v>13300</v>
      </c>
      <c r="L2151">
        <v>44866</v>
      </c>
      <c r="M2151" t="s">
        <v>270</v>
      </c>
      <c r="N2151">
        <v>13300</v>
      </c>
      <c r="O2151" t="e">
        <v>#N/A</v>
      </c>
    </row>
    <row r="2152" spans="2:15" hidden="1" x14ac:dyDescent="0.3">
      <c r="B2152" t="s">
        <v>8</v>
      </c>
      <c r="C2152">
        <v>928</v>
      </c>
      <c r="D2152" t="s">
        <v>167</v>
      </c>
      <c r="E2152">
        <v>935</v>
      </c>
      <c r="F2152" t="s">
        <v>168</v>
      </c>
      <c r="G2152">
        <v>2</v>
      </c>
      <c r="H2152" t="s">
        <v>1824</v>
      </c>
      <c r="I2152" t="s">
        <v>6866</v>
      </c>
      <c r="J2152" t="s">
        <v>10054</v>
      </c>
      <c r="K2152">
        <v>1219930</v>
      </c>
      <c r="L2152">
        <v>44866</v>
      </c>
      <c r="M2152" t="s">
        <v>671</v>
      </c>
      <c r="N2152">
        <v>1219930</v>
      </c>
      <c r="O2152" t="e">
        <v>#N/A</v>
      </c>
    </row>
    <row r="2153" spans="2:15" hidden="1" x14ac:dyDescent="0.3">
      <c r="B2153" t="s">
        <v>8</v>
      </c>
      <c r="C2153">
        <v>928</v>
      </c>
      <c r="D2153" t="s">
        <v>167</v>
      </c>
      <c r="E2153">
        <v>935</v>
      </c>
      <c r="F2153" t="s">
        <v>168</v>
      </c>
      <c r="G2153">
        <v>2</v>
      </c>
      <c r="H2153" t="s">
        <v>1824</v>
      </c>
      <c r="I2153" t="s">
        <v>6867</v>
      </c>
      <c r="J2153" t="s">
        <v>10055</v>
      </c>
      <c r="K2153">
        <v>1105910</v>
      </c>
      <c r="L2153">
        <v>44866</v>
      </c>
      <c r="M2153" t="s">
        <v>671</v>
      </c>
      <c r="N2153">
        <v>1105910</v>
      </c>
      <c r="O2153" t="e">
        <v>#N/A</v>
      </c>
    </row>
    <row r="2154" spans="2:15" x14ac:dyDescent="0.3">
      <c r="B2154" t="s">
        <v>16</v>
      </c>
      <c r="C2154">
        <v>927</v>
      </c>
      <c r="D2154" t="s">
        <v>17</v>
      </c>
      <c r="E2154">
        <v>1200</v>
      </c>
      <c r="F2154" t="s">
        <v>100</v>
      </c>
      <c r="G2154">
        <v>201038</v>
      </c>
      <c r="H2154" t="s">
        <v>1824</v>
      </c>
      <c r="I2154" t="s">
        <v>10056</v>
      </c>
      <c r="J2154" t="s">
        <v>10057</v>
      </c>
      <c r="K2154">
        <v>7570</v>
      </c>
      <c r="L2154">
        <v>44866</v>
      </c>
      <c r="M2154" t="s">
        <v>1906</v>
      </c>
      <c r="N2154" t="e">
        <v>#N/A</v>
      </c>
      <c r="O2154" t="e">
        <v>#N/A</v>
      </c>
    </row>
    <row r="2155" spans="2:15" hidden="1" x14ac:dyDescent="0.3">
      <c r="B2155" t="s">
        <v>8</v>
      </c>
      <c r="C2155">
        <v>928</v>
      </c>
      <c r="D2155" t="s">
        <v>223</v>
      </c>
      <c r="E2155">
        <v>966</v>
      </c>
      <c r="F2155" t="s">
        <v>224</v>
      </c>
      <c r="G2155">
        <v>201008</v>
      </c>
      <c r="H2155" t="s">
        <v>1824</v>
      </c>
      <c r="I2155" t="s">
        <v>6877</v>
      </c>
      <c r="J2155" t="s">
        <v>10058</v>
      </c>
      <c r="K2155">
        <v>460</v>
      </c>
      <c r="L2155">
        <v>44866</v>
      </c>
      <c r="M2155" t="s">
        <v>225</v>
      </c>
      <c r="N2155">
        <v>460</v>
      </c>
      <c r="O2155" t="e">
        <v>#N/A</v>
      </c>
    </row>
    <row r="2156" spans="2:15" hidden="1" x14ac:dyDescent="0.3">
      <c r="B2156" t="s">
        <v>8</v>
      </c>
      <c r="C2156">
        <v>928</v>
      </c>
      <c r="D2156" t="s">
        <v>9</v>
      </c>
      <c r="E2156">
        <v>1202</v>
      </c>
      <c r="F2156" t="s">
        <v>33</v>
      </c>
      <c r="G2156">
        <v>933</v>
      </c>
      <c r="H2156" t="s">
        <v>1824</v>
      </c>
      <c r="I2156" t="s">
        <v>6880</v>
      </c>
      <c r="J2156" t="s">
        <v>10059</v>
      </c>
      <c r="K2156">
        <v>3120</v>
      </c>
      <c r="L2156">
        <v>44866</v>
      </c>
      <c r="M2156" t="s">
        <v>1750</v>
      </c>
      <c r="N2156">
        <v>3120</v>
      </c>
      <c r="O2156" t="e">
        <v>#N/A</v>
      </c>
    </row>
    <row r="2157" spans="2:15" x14ac:dyDescent="0.3">
      <c r="B2157" t="s">
        <v>16</v>
      </c>
      <c r="C2157">
        <v>927</v>
      </c>
      <c r="D2157" t="s">
        <v>17</v>
      </c>
      <c r="E2157">
        <v>1200</v>
      </c>
      <c r="F2157" t="s">
        <v>93</v>
      </c>
      <c r="G2157">
        <v>930</v>
      </c>
      <c r="H2157" t="s">
        <v>1824</v>
      </c>
      <c r="I2157" t="s">
        <v>10060</v>
      </c>
      <c r="J2157" t="s">
        <v>10061</v>
      </c>
      <c r="K2157">
        <v>9730</v>
      </c>
      <c r="L2157">
        <v>44866</v>
      </c>
      <c r="M2157" t="s">
        <v>874</v>
      </c>
      <c r="N2157" t="e">
        <v>#N/A</v>
      </c>
      <c r="O2157" t="e">
        <v>#N/A</v>
      </c>
    </row>
    <row r="2158" spans="2:15" hidden="1" x14ac:dyDescent="0.3">
      <c r="B2158" t="s">
        <v>8</v>
      </c>
      <c r="C2158">
        <v>928</v>
      </c>
      <c r="D2158" t="s">
        <v>9</v>
      </c>
      <c r="E2158">
        <v>1202</v>
      </c>
      <c r="F2158" t="s">
        <v>27</v>
      </c>
      <c r="G2158">
        <v>806</v>
      </c>
      <c r="H2158" t="s">
        <v>1907</v>
      </c>
      <c r="I2158" t="s">
        <v>6269</v>
      </c>
      <c r="J2158" t="s">
        <v>10062</v>
      </c>
      <c r="K2158">
        <v>156070</v>
      </c>
      <c r="L2158">
        <v>44866</v>
      </c>
      <c r="M2158" t="s">
        <v>203</v>
      </c>
      <c r="N2158">
        <v>156070</v>
      </c>
      <c r="O2158" t="e">
        <v>#N/A</v>
      </c>
    </row>
    <row r="2159" spans="2:15" hidden="1" x14ac:dyDescent="0.3">
      <c r="B2159" t="s">
        <v>8</v>
      </c>
      <c r="C2159">
        <v>928</v>
      </c>
      <c r="D2159" t="s">
        <v>9</v>
      </c>
      <c r="E2159">
        <v>1202</v>
      </c>
      <c r="F2159" t="s">
        <v>27</v>
      </c>
      <c r="G2159">
        <v>806</v>
      </c>
      <c r="H2159" t="s">
        <v>1907</v>
      </c>
      <c r="I2159" t="s">
        <v>10063</v>
      </c>
      <c r="J2159" t="s">
        <v>10064</v>
      </c>
      <c r="K2159">
        <v>448090</v>
      </c>
      <c r="L2159">
        <v>44866</v>
      </c>
      <c r="M2159" t="s">
        <v>1908</v>
      </c>
      <c r="N2159" t="e">
        <v>#N/A</v>
      </c>
      <c r="O2159" t="s">
        <v>7168</v>
      </c>
    </row>
    <row r="2160" spans="2:15" hidden="1" x14ac:dyDescent="0.3">
      <c r="B2160" t="s">
        <v>8</v>
      </c>
      <c r="C2160">
        <v>928</v>
      </c>
      <c r="D2160" t="s">
        <v>9</v>
      </c>
      <c r="E2160">
        <v>1202</v>
      </c>
      <c r="F2160" t="s">
        <v>142</v>
      </c>
      <c r="G2160">
        <v>652</v>
      </c>
      <c r="H2160" t="s">
        <v>1907</v>
      </c>
      <c r="I2160" t="s">
        <v>6273</v>
      </c>
      <c r="J2160" t="s">
        <v>10065</v>
      </c>
      <c r="K2160">
        <v>629310</v>
      </c>
      <c r="L2160">
        <v>44866</v>
      </c>
      <c r="M2160" t="s">
        <v>143</v>
      </c>
      <c r="N2160">
        <v>629310</v>
      </c>
      <c r="O2160" t="e">
        <v>#N/A</v>
      </c>
    </row>
    <row r="2161" spans="2:15" hidden="1" x14ac:dyDescent="0.3">
      <c r="B2161" t="s">
        <v>41</v>
      </c>
      <c r="C2161">
        <v>926</v>
      </c>
      <c r="D2161" t="s">
        <v>56</v>
      </c>
      <c r="E2161">
        <v>1207</v>
      </c>
      <c r="F2161" t="s">
        <v>253</v>
      </c>
      <c r="G2161">
        <v>1328</v>
      </c>
      <c r="H2161" t="s">
        <v>1907</v>
      </c>
      <c r="I2161" t="s">
        <v>6277</v>
      </c>
      <c r="J2161" t="s">
        <v>10066</v>
      </c>
      <c r="K2161">
        <v>25455</v>
      </c>
      <c r="L2161">
        <v>44866</v>
      </c>
      <c r="M2161" t="s">
        <v>1909</v>
      </c>
      <c r="N2161">
        <v>25455</v>
      </c>
      <c r="O2161" t="e">
        <v>#N/A</v>
      </c>
    </row>
    <row r="2162" spans="2:15" x14ac:dyDescent="0.3">
      <c r="B2162" t="s">
        <v>16</v>
      </c>
      <c r="C2162">
        <v>927</v>
      </c>
      <c r="D2162" t="s">
        <v>17</v>
      </c>
      <c r="E2162">
        <v>1200</v>
      </c>
      <c r="F2162" t="s">
        <v>93</v>
      </c>
      <c r="G2162">
        <v>930</v>
      </c>
      <c r="H2162" t="s">
        <v>1907</v>
      </c>
      <c r="I2162" t="s">
        <v>10067</v>
      </c>
      <c r="J2162" t="s">
        <v>10068</v>
      </c>
      <c r="K2162">
        <v>268755</v>
      </c>
      <c r="L2162">
        <v>44866</v>
      </c>
      <c r="M2162" t="s">
        <v>1910</v>
      </c>
      <c r="N2162" t="e">
        <v>#N/A</v>
      </c>
      <c r="O2162" t="e">
        <v>#N/A</v>
      </c>
    </row>
    <row r="2163" spans="2:15" hidden="1" x14ac:dyDescent="0.3">
      <c r="B2163" t="s">
        <v>8</v>
      </c>
      <c r="C2163">
        <v>928</v>
      </c>
      <c r="D2163" t="s">
        <v>9</v>
      </c>
      <c r="E2163">
        <v>1202</v>
      </c>
      <c r="F2163" t="s">
        <v>45</v>
      </c>
      <c r="G2163">
        <v>26</v>
      </c>
      <c r="H2163" t="s">
        <v>1907</v>
      </c>
      <c r="I2163" t="s">
        <v>10069</v>
      </c>
      <c r="J2163" t="s">
        <v>10070</v>
      </c>
      <c r="K2163">
        <v>1140000</v>
      </c>
      <c r="L2163">
        <v>44866</v>
      </c>
      <c r="M2163" t="s">
        <v>1083</v>
      </c>
      <c r="N2163" t="e">
        <v>#N/A</v>
      </c>
      <c r="O2163" t="s">
        <v>2</v>
      </c>
    </row>
    <row r="2164" spans="2:15" x14ac:dyDescent="0.3">
      <c r="B2164" t="s">
        <v>16</v>
      </c>
      <c r="C2164">
        <v>927</v>
      </c>
      <c r="D2164" t="s">
        <v>17</v>
      </c>
      <c r="E2164">
        <v>1200</v>
      </c>
      <c r="F2164" t="s">
        <v>93</v>
      </c>
      <c r="G2164">
        <v>930</v>
      </c>
      <c r="H2164" t="s">
        <v>1907</v>
      </c>
      <c r="I2164" t="s">
        <v>10071</v>
      </c>
      <c r="J2164" t="s">
        <v>10072</v>
      </c>
      <c r="K2164">
        <v>1180870</v>
      </c>
      <c r="L2164">
        <v>44866</v>
      </c>
      <c r="M2164" t="s">
        <v>1053</v>
      </c>
      <c r="N2164" t="e">
        <v>#N/A</v>
      </c>
      <c r="O2164" t="e">
        <v>#N/A</v>
      </c>
    </row>
    <row r="2165" spans="2:15" hidden="1" x14ac:dyDescent="0.3">
      <c r="B2165" t="s">
        <v>8</v>
      </c>
      <c r="C2165">
        <v>928</v>
      </c>
      <c r="D2165" t="s">
        <v>9</v>
      </c>
      <c r="E2165">
        <v>1202</v>
      </c>
      <c r="F2165" t="s">
        <v>142</v>
      </c>
      <c r="G2165">
        <v>652</v>
      </c>
      <c r="H2165" t="s">
        <v>1907</v>
      </c>
      <c r="I2165" t="s">
        <v>6278</v>
      </c>
      <c r="J2165" t="s">
        <v>10073</v>
      </c>
      <c r="K2165">
        <v>10000000</v>
      </c>
      <c r="L2165">
        <v>44866</v>
      </c>
      <c r="M2165" t="s">
        <v>1280</v>
      </c>
      <c r="N2165">
        <v>0</v>
      </c>
      <c r="O2165" t="e">
        <v>#N/A</v>
      </c>
    </row>
    <row r="2166" spans="2:15" x14ac:dyDescent="0.3">
      <c r="B2166" t="s">
        <v>16</v>
      </c>
      <c r="C2166">
        <v>927</v>
      </c>
      <c r="D2166" t="s">
        <v>17</v>
      </c>
      <c r="E2166">
        <v>1200</v>
      </c>
      <c r="F2166" t="s">
        <v>18</v>
      </c>
      <c r="G2166">
        <v>201116</v>
      </c>
      <c r="H2166" t="s">
        <v>1907</v>
      </c>
      <c r="I2166" t="s">
        <v>10074</v>
      </c>
      <c r="J2166" t="s">
        <v>10075</v>
      </c>
      <c r="K2166">
        <v>9000010</v>
      </c>
      <c r="L2166">
        <v>44866</v>
      </c>
      <c r="M2166" t="s">
        <v>324</v>
      </c>
      <c r="N2166" t="e">
        <v>#N/A</v>
      </c>
      <c r="O2166" t="e">
        <v>#N/A</v>
      </c>
    </row>
    <row r="2167" spans="2:15" x14ac:dyDescent="0.3">
      <c r="B2167" t="s">
        <v>8</v>
      </c>
      <c r="C2167">
        <v>928</v>
      </c>
      <c r="D2167" t="s">
        <v>167</v>
      </c>
      <c r="E2167">
        <v>935</v>
      </c>
      <c r="F2167" t="s">
        <v>168</v>
      </c>
      <c r="G2167">
        <v>2</v>
      </c>
      <c r="H2167" t="s">
        <v>1907</v>
      </c>
      <c r="I2167" t="s">
        <v>10076</v>
      </c>
      <c r="J2167" t="s">
        <v>10077</v>
      </c>
      <c r="K2167">
        <v>80000000</v>
      </c>
      <c r="L2167">
        <v>44866</v>
      </c>
      <c r="M2167" t="s">
        <v>1911</v>
      </c>
      <c r="N2167" t="e">
        <v>#N/A</v>
      </c>
      <c r="O2167" t="e">
        <v>#N/A</v>
      </c>
    </row>
    <row r="2168" spans="2:15" hidden="1" x14ac:dyDescent="0.3">
      <c r="B2168" t="s">
        <v>41</v>
      </c>
      <c r="C2168">
        <v>926</v>
      </c>
      <c r="D2168" t="s">
        <v>56</v>
      </c>
      <c r="E2168">
        <v>1207</v>
      </c>
      <c r="F2168" t="s">
        <v>57</v>
      </c>
      <c r="G2168">
        <v>200982</v>
      </c>
      <c r="H2168" t="s">
        <v>1907</v>
      </c>
      <c r="I2168" t="s">
        <v>6279</v>
      </c>
      <c r="J2168" t="s">
        <v>10078</v>
      </c>
      <c r="K2168">
        <v>172300</v>
      </c>
      <c r="L2168">
        <v>44866</v>
      </c>
      <c r="M2168" t="s">
        <v>1912</v>
      </c>
      <c r="N2168">
        <v>172300</v>
      </c>
      <c r="O2168" t="e">
        <v>#N/A</v>
      </c>
    </row>
    <row r="2169" spans="2:15" x14ac:dyDescent="0.3">
      <c r="B2169" t="s">
        <v>8</v>
      </c>
      <c r="C2169">
        <v>928</v>
      </c>
      <c r="D2169" t="s">
        <v>167</v>
      </c>
      <c r="E2169">
        <v>935</v>
      </c>
      <c r="F2169" t="s">
        <v>168</v>
      </c>
      <c r="G2169">
        <v>2</v>
      </c>
      <c r="H2169" t="s">
        <v>1907</v>
      </c>
      <c r="I2169" t="s">
        <v>10079</v>
      </c>
      <c r="J2169" t="s">
        <v>10080</v>
      </c>
      <c r="K2169">
        <v>1011970</v>
      </c>
      <c r="L2169">
        <v>44866</v>
      </c>
      <c r="M2169" t="s">
        <v>1913</v>
      </c>
      <c r="N2169" t="e">
        <v>#N/A</v>
      </c>
      <c r="O2169" t="e">
        <v>#N/A</v>
      </c>
    </row>
    <row r="2170" spans="2:15" hidden="1" x14ac:dyDescent="0.3">
      <c r="B2170" t="s">
        <v>41</v>
      </c>
      <c r="C2170">
        <v>926</v>
      </c>
      <c r="D2170" t="s">
        <v>56</v>
      </c>
      <c r="E2170">
        <v>1207</v>
      </c>
      <c r="F2170" t="s">
        <v>62</v>
      </c>
      <c r="G2170">
        <v>201037</v>
      </c>
      <c r="H2170" t="s">
        <v>1907</v>
      </c>
      <c r="I2170" t="s">
        <v>7206</v>
      </c>
      <c r="J2170" t="s">
        <v>10081</v>
      </c>
      <c r="K2170">
        <v>1140000</v>
      </c>
      <c r="L2170">
        <v>44866</v>
      </c>
      <c r="M2170" t="s">
        <v>1213</v>
      </c>
      <c r="N2170" t="e">
        <v>#N/A</v>
      </c>
      <c r="O2170" t="s">
        <v>7207</v>
      </c>
    </row>
    <row r="2171" spans="2:15" x14ac:dyDescent="0.3">
      <c r="B2171" t="s">
        <v>8</v>
      </c>
      <c r="C2171">
        <v>928</v>
      </c>
      <c r="D2171" t="s">
        <v>9</v>
      </c>
      <c r="E2171">
        <v>1202</v>
      </c>
      <c r="F2171" t="s">
        <v>10</v>
      </c>
      <c r="G2171">
        <v>939</v>
      </c>
      <c r="H2171" t="s">
        <v>1907</v>
      </c>
      <c r="I2171" t="s">
        <v>10082</v>
      </c>
      <c r="J2171" t="s">
        <v>10083</v>
      </c>
      <c r="K2171">
        <v>167640</v>
      </c>
      <c r="L2171">
        <v>44866</v>
      </c>
      <c r="M2171" t="s">
        <v>1804</v>
      </c>
      <c r="N2171" t="e">
        <v>#N/A</v>
      </c>
      <c r="O2171" t="e">
        <v>#N/A</v>
      </c>
    </row>
    <row r="2172" spans="2:15" hidden="1" x14ac:dyDescent="0.3">
      <c r="B2172" t="s">
        <v>16</v>
      </c>
      <c r="C2172">
        <v>927</v>
      </c>
      <c r="D2172" t="s">
        <v>17</v>
      </c>
      <c r="E2172">
        <v>1200</v>
      </c>
      <c r="F2172" t="s">
        <v>137</v>
      </c>
      <c r="G2172">
        <v>1012</v>
      </c>
      <c r="H2172" t="s">
        <v>1907</v>
      </c>
      <c r="I2172" t="s">
        <v>6288</v>
      </c>
      <c r="J2172" t="s">
        <v>10084</v>
      </c>
      <c r="K2172">
        <v>722560</v>
      </c>
      <c r="L2172">
        <v>44866</v>
      </c>
      <c r="M2172" t="s">
        <v>575</v>
      </c>
      <c r="N2172">
        <v>722560</v>
      </c>
      <c r="O2172" t="e">
        <v>#N/A</v>
      </c>
    </row>
    <row r="2173" spans="2:15" x14ac:dyDescent="0.3">
      <c r="B2173" t="s">
        <v>176</v>
      </c>
      <c r="C2173">
        <v>1204</v>
      </c>
      <c r="D2173" t="s">
        <v>177</v>
      </c>
      <c r="E2173">
        <v>1205</v>
      </c>
      <c r="F2173" t="s">
        <v>178</v>
      </c>
      <c r="G2173">
        <v>201073</v>
      </c>
      <c r="H2173" t="s">
        <v>1907</v>
      </c>
      <c r="I2173" t="s">
        <v>10085</v>
      </c>
      <c r="J2173" t="s">
        <v>10086</v>
      </c>
      <c r="K2173">
        <v>1056750</v>
      </c>
      <c r="L2173">
        <v>44866</v>
      </c>
      <c r="M2173" t="s">
        <v>777</v>
      </c>
      <c r="N2173" t="e">
        <v>#N/A</v>
      </c>
      <c r="O2173" t="e">
        <v>#N/A</v>
      </c>
    </row>
    <row r="2174" spans="2:15" hidden="1" x14ac:dyDescent="0.3">
      <c r="B2174" t="s">
        <v>8</v>
      </c>
      <c r="C2174">
        <v>928</v>
      </c>
      <c r="D2174" t="s">
        <v>13</v>
      </c>
      <c r="E2174">
        <v>1184</v>
      </c>
      <c r="F2174" t="s">
        <v>661</v>
      </c>
      <c r="G2174">
        <v>200969</v>
      </c>
      <c r="H2174" t="s">
        <v>1907</v>
      </c>
      <c r="I2174" t="s">
        <v>6293</v>
      </c>
      <c r="J2174" t="s">
        <v>10087</v>
      </c>
      <c r="K2174">
        <v>1690090</v>
      </c>
      <c r="L2174">
        <v>44866</v>
      </c>
      <c r="M2174" t="s">
        <v>662</v>
      </c>
      <c r="N2174">
        <v>1690090</v>
      </c>
      <c r="O2174" t="e">
        <v>#N/A</v>
      </c>
    </row>
    <row r="2175" spans="2:15" hidden="1" x14ac:dyDescent="0.3">
      <c r="B2175" t="s">
        <v>8</v>
      </c>
      <c r="C2175">
        <v>928</v>
      </c>
      <c r="D2175" t="s">
        <v>223</v>
      </c>
      <c r="E2175">
        <v>966</v>
      </c>
      <c r="F2175" t="s">
        <v>269</v>
      </c>
      <c r="G2175">
        <v>201031</v>
      </c>
      <c r="H2175" t="s">
        <v>1907</v>
      </c>
      <c r="I2175" t="s">
        <v>6295</v>
      </c>
      <c r="J2175" t="s">
        <v>10088</v>
      </c>
      <c r="K2175">
        <v>1573570</v>
      </c>
      <c r="L2175">
        <v>44866</v>
      </c>
      <c r="M2175" t="s">
        <v>270</v>
      </c>
      <c r="N2175">
        <v>1573570</v>
      </c>
      <c r="O2175" t="e">
        <v>#N/A</v>
      </c>
    </row>
    <row r="2176" spans="2:15" hidden="1" x14ac:dyDescent="0.3">
      <c r="B2176" t="s">
        <v>8</v>
      </c>
      <c r="C2176">
        <v>928</v>
      </c>
      <c r="D2176" t="s">
        <v>223</v>
      </c>
      <c r="E2176">
        <v>966</v>
      </c>
      <c r="F2176" t="s">
        <v>269</v>
      </c>
      <c r="G2176">
        <v>201031</v>
      </c>
      <c r="H2176" t="s">
        <v>1907</v>
      </c>
      <c r="I2176" t="s">
        <v>6296</v>
      </c>
      <c r="J2176" t="s">
        <v>10089</v>
      </c>
      <c r="K2176">
        <v>6772050</v>
      </c>
      <c r="L2176">
        <v>44866</v>
      </c>
      <c r="M2176" t="s">
        <v>270</v>
      </c>
      <c r="N2176">
        <v>6772050</v>
      </c>
      <c r="O2176" t="e">
        <v>#N/A</v>
      </c>
    </row>
    <row r="2177" spans="2:15" hidden="1" x14ac:dyDescent="0.3">
      <c r="B2177" t="s">
        <v>16</v>
      </c>
      <c r="C2177">
        <v>927</v>
      </c>
      <c r="D2177" t="s">
        <v>17</v>
      </c>
      <c r="E2177">
        <v>1200</v>
      </c>
      <c r="F2177" t="s">
        <v>170</v>
      </c>
      <c r="G2177">
        <v>1530</v>
      </c>
      <c r="H2177" t="s">
        <v>1907</v>
      </c>
      <c r="I2177" t="s">
        <v>6297</v>
      </c>
      <c r="J2177" t="s">
        <v>10090</v>
      </c>
      <c r="K2177">
        <v>268660</v>
      </c>
      <c r="L2177">
        <v>44866</v>
      </c>
      <c r="M2177" t="s">
        <v>586</v>
      </c>
      <c r="N2177">
        <v>268660</v>
      </c>
      <c r="O2177" t="e">
        <v>#N/A</v>
      </c>
    </row>
    <row r="2178" spans="2:15" hidden="1" x14ac:dyDescent="0.3">
      <c r="B2178" t="s">
        <v>8</v>
      </c>
      <c r="C2178">
        <v>928</v>
      </c>
      <c r="D2178" t="s">
        <v>9</v>
      </c>
      <c r="E2178">
        <v>1202</v>
      </c>
      <c r="F2178" t="s">
        <v>73</v>
      </c>
      <c r="G2178">
        <v>895</v>
      </c>
      <c r="H2178" t="s">
        <v>1907</v>
      </c>
      <c r="I2178" t="s">
        <v>6299</v>
      </c>
      <c r="J2178" t="s">
        <v>10091</v>
      </c>
      <c r="K2178">
        <v>127790</v>
      </c>
      <c r="L2178">
        <v>44866</v>
      </c>
      <c r="M2178" t="s">
        <v>1914</v>
      </c>
      <c r="N2178">
        <v>127790</v>
      </c>
      <c r="O2178" t="e">
        <v>#N/A</v>
      </c>
    </row>
    <row r="2179" spans="2:15" hidden="1" x14ac:dyDescent="0.3">
      <c r="B2179" t="s">
        <v>8</v>
      </c>
      <c r="C2179">
        <v>928</v>
      </c>
      <c r="D2179" t="s">
        <v>223</v>
      </c>
      <c r="E2179">
        <v>966</v>
      </c>
      <c r="F2179" t="s">
        <v>1261</v>
      </c>
      <c r="G2179">
        <v>1659</v>
      </c>
      <c r="H2179" t="s">
        <v>1907</v>
      </c>
      <c r="I2179" t="s">
        <v>6301</v>
      </c>
      <c r="J2179" t="s">
        <v>10092</v>
      </c>
      <c r="K2179">
        <v>5331500</v>
      </c>
      <c r="L2179">
        <v>44866</v>
      </c>
      <c r="M2179" t="s">
        <v>1262</v>
      </c>
      <c r="N2179">
        <v>5331500</v>
      </c>
      <c r="O2179" t="e">
        <v>#N/A</v>
      </c>
    </row>
    <row r="2180" spans="2:15" x14ac:dyDescent="0.3">
      <c r="B2180" t="s">
        <v>41</v>
      </c>
      <c r="C2180">
        <v>926</v>
      </c>
      <c r="D2180" t="s">
        <v>56</v>
      </c>
      <c r="E2180">
        <v>1207</v>
      </c>
      <c r="F2180" t="s">
        <v>64</v>
      </c>
      <c r="G2180">
        <v>201011</v>
      </c>
      <c r="H2180" t="s">
        <v>1907</v>
      </c>
      <c r="I2180" t="s">
        <v>10093</v>
      </c>
      <c r="J2180" t="s">
        <v>10094</v>
      </c>
      <c r="K2180">
        <v>433780</v>
      </c>
      <c r="L2180">
        <v>44866</v>
      </c>
      <c r="M2180" t="s">
        <v>1073</v>
      </c>
      <c r="N2180" t="e">
        <v>#N/A</v>
      </c>
      <c r="O2180" t="e">
        <v>#N/A</v>
      </c>
    </row>
    <row r="2181" spans="2:15" hidden="1" x14ac:dyDescent="0.3">
      <c r="B2181" t="s">
        <v>8</v>
      </c>
      <c r="C2181">
        <v>928</v>
      </c>
      <c r="D2181" t="s">
        <v>9</v>
      </c>
      <c r="E2181">
        <v>1202</v>
      </c>
      <c r="F2181" t="s">
        <v>20</v>
      </c>
      <c r="G2181">
        <v>938</v>
      </c>
      <c r="H2181" t="s">
        <v>1907</v>
      </c>
      <c r="I2181" t="s">
        <v>6308</v>
      </c>
      <c r="J2181" t="s">
        <v>10095</v>
      </c>
      <c r="K2181">
        <v>3660</v>
      </c>
      <c r="L2181">
        <v>44866</v>
      </c>
      <c r="M2181" t="s">
        <v>1915</v>
      </c>
      <c r="N2181">
        <v>3660</v>
      </c>
      <c r="O2181" t="e">
        <v>#N/A</v>
      </c>
    </row>
    <row r="2182" spans="2:15" x14ac:dyDescent="0.3">
      <c r="B2182" t="s">
        <v>8</v>
      </c>
      <c r="C2182">
        <v>928</v>
      </c>
      <c r="D2182" t="s">
        <v>167</v>
      </c>
      <c r="E2182">
        <v>935</v>
      </c>
      <c r="F2182" t="s">
        <v>168</v>
      </c>
      <c r="G2182">
        <v>2</v>
      </c>
      <c r="H2182" t="s">
        <v>1907</v>
      </c>
      <c r="I2182" t="s">
        <v>10096</v>
      </c>
      <c r="J2182" t="s">
        <v>10097</v>
      </c>
      <c r="K2182">
        <v>3323590</v>
      </c>
      <c r="L2182">
        <v>44866</v>
      </c>
      <c r="M2182" t="s">
        <v>1916</v>
      </c>
      <c r="N2182" t="e">
        <v>#N/A</v>
      </c>
      <c r="O2182" t="e">
        <v>#N/A</v>
      </c>
    </row>
    <row r="2183" spans="2:15" hidden="1" x14ac:dyDescent="0.3">
      <c r="B2183" t="s">
        <v>8</v>
      </c>
      <c r="C2183">
        <v>928</v>
      </c>
      <c r="D2183" t="s">
        <v>9</v>
      </c>
      <c r="E2183">
        <v>1202</v>
      </c>
      <c r="F2183" t="s">
        <v>47</v>
      </c>
      <c r="G2183">
        <v>898</v>
      </c>
      <c r="H2183" t="s">
        <v>1907</v>
      </c>
      <c r="I2183" t="s">
        <v>6313</v>
      </c>
      <c r="J2183" t="s">
        <v>10098</v>
      </c>
      <c r="K2183">
        <v>127600</v>
      </c>
      <c r="L2183">
        <v>44866</v>
      </c>
      <c r="M2183" t="s">
        <v>196</v>
      </c>
      <c r="N2183">
        <v>127600</v>
      </c>
      <c r="O2183" t="e">
        <v>#N/A</v>
      </c>
    </row>
    <row r="2184" spans="2:15" x14ac:dyDescent="0.3">
      <c r="B2184" t="s">
        <v>8</v>
      </c>
      <c r="C2184">
        <v>928</v>
      </c>
      <c r="D2184" t="s">
        <v>9</v>
      </c>
      <c r="E2184">
        <v>1202</v>
      </c>
      <c r="F2184" t="s">
        <v>37</v>
      </c>
      <c r="G2184">
        <v>81</v>
      </c>
      <c r="H2184" t="s">
        <v>1907</v>
      </c>
      <c r="I2184" t="s">
        <v>10099</v>
      </c>
      <c r="J2184" t="s">
        <v>10100</v>
      </c>
      <c r="K2184">
        <v>1363820</v>
      </c>
      <c r="L2184">
        <v>44866</v>
      </c>
      <c r="M2184" t="s">
        <v>650</v>
      </c>
      <c r="N2184" t="e">
        <v>#N/A</v>
      </c>
      <c r="O2184" t="e">
        <v>#N/A</v>
      </c>
    </row>
    <row r="2185" spans="2:15" x14ac:dyDescent="0.3">
      <c r="B2185" t="s">
        <v>176</v>
      </c>
      <c r="C2185">
        <v>1204</v>
      </c>
      <c r="D2185" t="s">
        <v>177</v>
      </c>
      <c r="E2185">
        <v>1205</v>
      </c>
      <c r="F2185" t="s">
        <v>178</v>
      </c>
      <c r="G2185">
        <v>201073</v>
      </c>
      <c r="H2185" t="s">
        <v>1907</v>
      </c>
      <c r="I2185" t="s">
        <v>10101</v>
      </c>
      <c r="J2185" t="s">
        <v>10102</v>
      </c>
      <c r="K2185">
        <v>1140000</v>
      </c>
      <c r="L2185">
        <v>44866</v>
      </c>
      <c r="M2185" t="s">
        <v>366</v>
      </c>
      <c r="N2185" t="e">
        <v>#N/A</v>
      </c>
      <c r="O2185" t="e">
        <v>#N/A</v>
      </c>
    </row>
    <row r="2186" spans="2:15" hidden="1" x14ac:dyDescent="0.3">
      <c r="B2186" t="s">
        <v>16</v>
      </c>
      <c r="C2186">
        <v>927</v>
      </c>
      <c r="D2186" t="s">
        <v>17</v>
      </c>
      <c r="E2186">
        <v>1200</v>
      </c>
      <c r="F2186" t="s">
        <v>66</v>
      </c>
      <c r="G2186">
        <v>33</v>
      </c>
      <c r="H2186" t="s">
        <v>1907</v>
      </c>
      <c r="I2186" t="s">
        <v>6325</v>
      </c>
      <c r="J2186" t="s">
        <v>10103</v>
      </c>
      <c r="K2186">
        <v>128865</v>
      </c>
      <c r="L2186">
        <v>44866</v>
      </c>
      <c r="M2186" t="s">
        <v>1917</v>
      </c>
      <c r="N2186">
        <v>128865</v>
      </c>
      <c r="O2186" t="e">
        <v>#N/A</v>
      </c>
    </row>
    <row r="2187" spans="2:15" x14ac:dyDescent="0.3">
      <c r="B2187" t="s">
        <v>8</v>
      </c>
      <c r="C2187">
        <v>928</v>
      </c>
      <c r="D2187" t="s">
        <v>13</v>
      </c>
      <c r="E2187">
        <v>1184</v>
      </c>
      <c r="F2187" t="s">
        <v>102</v>
      </c>
      <c r="G2187">
        <v>917</v>
      </c>
      <c r="H2187" t="s">
        <v>1907</v>
      </c>
      <c r="I2187" t="s">
        <v>10104</v>
      </c>
      <c r="J2187" t="s">
        <v>10105</v>
      </c>
      <c r="K2187">
        <v>83150</v>
      </c>
      <c r="L2187">
        <v>44866</v>
      </c>
      <c r="M2187" t="s">
        <v>720</v>
      </c>
      <c r="N2187" t="e">
        <v>#N/A</v>
      </c>
      <c r="O2187" t="e">
        <v>#N/A</v>
      </c>
    </row>
    <row r="2188" spans="2:15" x14ac:dyDescent="0.3">
      <c r="B2188" t="s">
        <v>41</v>
      </c>
      <c r="C2188">
        <v>926</v>
      </c>
      <c r="D2188" t="s">
        <v>56</v>
      </c>
      <c r="E2188">
        <v>1207</v>
      </c>
      <c r="F2188" t="s">
        <v>64</v>
      </c>
      <c r="G2188">
        <v>201011</v>
      </c>
      <c r="H2188" t="s">
        <v>1907</v>
      </c>
      <c r="I2188" t="s">
        <v>10106</v>
      </c>
      <c r="J2188" t="s">
        <v>10107</v>
      </c>
      <c r="K2188">
        <v>954020</v>
      </c>
      <c r="L2188">
        <v>44866</v>
      </c>
      <c r="M2188" t="s">
        <v>159</v>
      </c>
      <c r="N2188" t="e">
        <v>#N/A</v>
      </c>
      <c r="O2188" t="e">
        <v>#N/A</v>
      </c>
    </row>
    <row r="2189" spans="2:15" hidden="1" x14ac:dyDescent="0.3">
      <c r="B2189" t="s">
        <v>22</v>
      </c>
      <c r="C2189">
        <v>809</v>
      </c>
      <c r="D2189" t="s">
        <v>23</v>
      </c>
      <c r="E2189">
        <v>810</v>
      </c>
      <c r="F2189" t="s">
        <v>106</v>
      </c>
      <c r="G2189">
        <v>1349</v>
      </c>
      <c r="H2189" t="s">
        <v>1907</v>
      </c>
      <c r="I2189" t="s">
        <v>6328</v>
      </c>
      <c r="J2189" t="s">
        <v>10108</v>
      </c>
      <c r="K2189">
        <v>937720</v>
      </c>
      <c r="L2189">
        <v>44866</v>
      </c>
      <c r="M2189" t="s">
        <v>585</v>
      </c>
      <c r="N2189">
        <v>937720</v>
      </c>
      <c r="O2189" t="e">
        <v>#N/A</v>
      </c>
    </row>
    <row r="2190" spans="2:15" hidden="1" x14ac:dyDescent="0.3">
      <c r="B2190" t="s">
        <v>8</v>
      </c>
      <c r="C2190">
        <v>928</v>
      </c>
      <c r="D2190" t="s">
        <v>167</v>
      </c>
      <c r="E2190">
        <v>935</v>
      </c>
      <c r="F2190" t="s">
        <v>168</v>
      </c>
      <c r="G2190">
        <v>2</v>
      </c>
      <c r="H2190" t="s">
        <v>1907</v>
      </c>
      <c r="I2190" t="s">
        <v>6330</v>
      </c>
      <c r="J2190" t="s">
        <v>10109</v>
      </c>
      <c r="K2190">
        <v>89598735</v>
      </c>
      <c r="L2190">
        <v>44866</v>
      </c>
      <c r="M2190" t="s">
        <v>1918</v>
      </c>
      <c r="N2190">
        <v>89598735</v>
      </c>
      <c r="O2190" t="e">
        <v>#N/A</v>
      </c>
    </row>
    <row r="2191" spans="2:15" hidden="1" x14ac:dyDescent="0.3">
      <c r="B2191" t="s">
        <v>8</v>
      </c>
      <c r="C2191">
        <v>928</v>
      </c>
      <c r="D2191" t="s">
        <v>9</v>
      </c>
      <c r="E2191">
        <v>1202</v>
      </c>
      <c r="F2191" t="s">
        <v>47</v>
      </c>
      <c r="G2191">
        <v>898</v>
      </c>
      <c r="H2191" t="s">
        <v>1907</v>
      </c>
      <c r="I2191" t="s">
        <v>6335</v>
      </c>
      <c r="J2191" t="s">
        <v>10110</v>
      </c>
      <c r="K2191">
        <v>23450</v>
      </c>
      <c r="L2191">
        <v>44866</v>
      </c>
      <c r="M2191" t="s">
        <v>1160</v>
      </c>
      <c r="N2191">
        <v>23450</v>
      </c>
      <c r="O2191" t="e">
        <v>#N/A</v>
      </c>
    </row>
    <row r="2192" spans="2:15" x14ac:dyDescent="0.3">
      <c r="B2192" t="s">
        <v>8</v>
      </c>
      <c r="C2192">
        <v>928</v>
      </c>
      <c r="D2192" t="s">
        <v>223</v>
      </c>
      <c r="E2192">
        <v>966</v>
      </c>
      <c r="F2192" t="s">
        <v>224</v>
      </c>
      <c r="G2192">
        <v>201008</v>
      </c>
      <c r="H2192" t="s">
        <v>1907</v>
      </c>
      <c r="I2192" t="s">
        <v>10111</v>
      </c>
      <c r="J2192" t="s">
        <v>10112</v>
      </c>
      <c r="K2192">
        <v>29644110</v>
      </c>
      <c r="L2192">
        <v>44866</v>
      </c>
      <c r="M2192" t="s">
        <v>1238</v>
      </c>
      <c r="N2192" t="e">
        <v>#N/A</v>
      </c>
      <c r="O2192" t="e">
        <v>#N/A</v>
      </c>
    </row>
    <row r="2193" spans="2:15" hidden="1" x14ac:dyDescent="0.3">
      <c r="B2193" t="s">
        <v>8</v>
      </c>
      <c r="C2193">
        <v>928</v>
      </c>
      <c r="D2193" t="s">
        <v>223</v>
      </c>
      <c r="E2193">
        <v>966</v>
      </c>
      <c r="F2193" t="s">
        <v>612</v>
      </c>
      <c r="G2193">
        <v>201129</v>
      </c>
      <c r="H2193" t="s">
        <v>1907</v>
      </c>
      <c r="I2193" t="s">
        <v>6336</v>
      </c>
      <c r="J2193" t="s">
        <v>10113</v>
      </c>
      <c r="K2193">
        <v>3087990</v>
      </c>
      <c r="L2193">
        <v>44866</v>
      </c>
      <c r="M2193" t="s">
        <v>306</v>
      </c>
      <c r="N2193">
        <v>3087990</v>
      </c>
      <c r="O2193" t="e">
        <v>#N/A</v>
      </c>
    </row>
    <row r="2194" spans="2:15" x14ac:dyDescent="0.3">
      <c r="B2194" t="s">
        <v>8</v>
      </c>
      <c r="C2194">
        <v>928</v>
      </c>
      <c r="D2194" t="s">
        <v>13</v>
      </c>
      <c r="E2194">
        <v>1184</v>
      </c>
      <c r="F2194" t="s">
        <v>127</v>
      </c>
      <c r="G2194">
        <v>201029</v>
      </c>
      <c r="H2194" t="s">
        <v>1907</v>
      </c>
      <c r="I2194" t="s">
        <v>10114</v>
      </c>
      <c r="J2194" t="s">
        <v>10115</v>
      </c>
      <c r="K2194">
        <v>1670</v>
      </c>
      <c r="L2194">
        <v>44866</v>
      </c>
      <c r="M2194" t="s">
        <v>449</v>
      </c>
      <c r="N2194" t="e">
        <v>#N/A</v>
      </c>
      <c r="O2194" t="e">
        <v>#N/A</v>
      </c>
    </row>
    <row r="2195" spans="2:15" x14ac:dyDescent="0.3">
      <c r="B2195" t="s">
        <v>8</v>
      </c>
      <c r="C2195">
        <v>928</v>
      </c>
      <c r="D2195" t="s">
        <v>9</v>
      </c>
      <c r="E2195">
        <v>1202</v>
      </c>
      <c r="F2195" t="s">
        <v>110</v>
      </c>
      <c r="G2195">
        <v>929</v>
      </c>
      <c r="H2195" t="s">
        <v>1907</v>
      </c>
      <c r="I2195" t="s">
        <v>10116</v>
      </c>
      <c r="J2195" t="s">
        <v>10117</v>
      </c>
      <c r="K2195">
        <v>343540</v>
      </c>
      <c r="L2195">
        <v>44866</v>
      </c>
      <c r="M2195" t="s">
        <v>960</v>
      </c>
      <c r="N2195" t="e">
        <v>#N/A</v>
      </c>
      <c r="O2195" t="e">
        <v>#N/A</v>
      </c>
    </row>
    <row r="2196" spans="2:15" x14ac:dyDescent="0.3">
      <c r="B2196" t="s">
        <v>176</v>
      </c>
      <c r="C2196">
        <v>1204</v>
      </c>
      <c r="D2196" t="s">
        <v>177</v>
      </c>
      <c r="E2196">
        <v>1205</v>
      </c>
      <c r="F2196" t="s">
        <v>178</v>
      </c>
      <c r="G2196">
        <v>201073</v>
      </c>
      <c r="H2196" t="s">
        <v>1907</v>
      </c>
      <c r="I2196" t="s">
        <v>10118</v>
      </c>
      <c r="J2196" t="s">
        <v>10119</v>
      </c>
      <c r="K2196">
        <v>24480</v>
      </c>
      <c r="L2196">
        <v>44866</v>
      </c>
      <c r="M2196" t="s">
        <v>1405</v>
      </c>
      <c r="N2196" t="e">
        <v>#N/A</v>
      </c>
      <c r="O2196" t="e">
        <v>#N/A</v>
      </c>
    </row>
    <row r="2197" spans="2:15" hidden="1" x14ac:dyDescent="0.3">
      <c r="B2197" t="s">
        <v>8</v>
      </c>
      <c r="C2197">
        <v>928</v>
      </c>
      <c r="D2197" t="s">
        <v>9</v>
      </c>
      <c r="E2197">
        <v>1202</v>
      </c>
      <c r="F2197" t="s">
        <v>391</v>
      </c>
      <c r="G2197">
        <v>1216</v>
      </c>
      <c r="H2197" t="s">
        <v>1907</v>
      </c>
      <c r="I2197" t="s">
        <v>6342</v>
      </c>
      <c r="J2197" t="s">
        <v>10120</v>
      </c>
      <c r="K2197">
        <v>910420</v>
      </c>
      <c r="L2197">
        <v>44866</v>
      </c>
      <c r="M2197" t="s">
        <v>1342</v>
      </c>
      <c r="N2197">
        <v>910420</v>
      </c>
      <c r="O2197" t="e">
        <v>#N/A</v>
      </c>
    </row>
    <row r="2198" spans="2:15" hidden="1" x14ac:dyDescent="0.3">
      <c r="B2198" t="s">
        <v>16</v>
      </c>
      <c r="C2198">
        <v>927</v>
      </c>
      <c r="D2198" t="s">
        <v>17</v>
      </c>
      <c r="E2198">
        <v>1200</v>
      </c>
      <c r="F2198" t="s">
        <v>262</v>
      </c>
      <c r="G2198">
        <v>1594</v>
      </c>
      <c r="H2198" t="s">
        <v>1907</v>
      </c>
      <c r="I2198" t="s">
        <v>6344</v>
      </c>
      <c r="J2198" t="s">
        <v>10121</v>
      </c>
      <c r="K2198">
        <v>42310</v>
      </c>
      <c r="L2198">
        <v>44866</v>
      </c>
      <c r="M2198" t="s">
        <v>1060</v>
      </c>
      <c r="N2198">
        <v>42310</v>
      </c>
      <c r="O2198" t="e">
        <v>#N/A</v>
      </c>
    </row>
    <row r="2199" spans="2:15" hidden="1" x14ac:dyDescent="0.3">
      <c r="B2199" t="s">
        <v>8</v>
      </c>
      <c r="C2199">
        <v>928</v>
      </c>
      <c r="D2199" t="s">
        <v>167</v>
      </c>
      <c r="E2199">
        <v>935</v>
      </c>
      <c r="F2199" t="s">
        <v>168</v>
      </c>
      <c r="G2199">
        <v>2</v>
      </c>
      <c r="H2199" t="s">
        <v>1907</v>
      </c>
      <c r="I2199" t="s">
        <v>6347</v>
      </c>
      <c r="J2199" t="s">
        <v>10122</v>
      </c>
      <c r="K2199">
        <v>496060</v>
      </c>
      <c r="L2199">
        <v>44866</v>
      </c>
      <c r="M2199" t="s">
        <v>1275</v>
      </c>
      <c r="N2199">
        <v>34360</v>
      </c>
      <c r="O2199" t="e">
        <v>#N/A</v>
      </c>
    </row>
    <row r="2200" spans="2:15" hidden="1" x14ac:dyDescent="0.3">
      <c r="B2200" t="s">
        <v>8</v>
      </c>
      <c r="C2200">
        <v>928</v>
      </c>
      <c r="D2200" t="s">
        <v>9</v>
      </c>
      <c r="E2200">
        <v>1202</v>
      </c>
      <c r="F2200" t="s">
        <v>45</v>
      </c>
      <c r="G2200">
        <v>26</v>
      </c>
      <c r="H2200" t="s">
        <v>1907</v>
      </c>
      <c r="I2200" t="s">
        <v>6349</v>
      </c>
      <c r="J2200" t="s">
        <v>10123</v>
      </c>
      <c r="K2200">
        <v>694340</v>
      </c>
      <c r="L2200">
        <v>44866</v>
      </c>
      <c r="M2200" t="s">
        <v>184</v>
      </c>
      <c r="N2200">
        <v>694340</v>
      </c>
      <c r="O2200" t="e">
        <v>#N/A</v>
      </c>
    </row>
    <row r="2201" spans="2:15" hidden="1" x14ac:dyDescent="0.3">
      <c r="B2201" t="s">
        <v>41</v>
      </c>
      <c r="C2201">
        <v>926</v>
      </c>
      <c r="D2201" t="s">
        <v>56</v>
      </c>
      <c r="E2201">
        <v>1207</v>
      </c>
      <c r="F2201" t="s">
        <v>62</v>
      </c>
      <c r="G2201">
        <v>201037</v>
      </c>
      <c r="H2201" t="s">
        <v>1907</v>
      </c>
      <c r="I2201" t="s">
        <v>6351</v>
      </c>
      <c r="J2201" t="s">
        <v>10124</v>
      </c>
      <c r="K2201">
        <v>591650</v>
      </c>
      <c r="L2201">
        <v>44866</v>
      </c>
      <c r="M2201" t="s">
        <v>1919</v>
      </c>
      <c r="N2201">
        <v>591650</v>
      </c>
      <c r="O2201" t="e">
        <v>#N/A</v>
      </c>
    </row>
    <row r="2202" spans="2:15" x14ac:dyDescent="0.3">
      <c r="B2202" t="s">
        <v>16</v>
      </c>
      <c r="C2202">
        <v>927</v>
      </c>
      <c r="D2202" t="s">
        <v>17</v>
      </c>
      <c r="E2202">
        <v>1200</v>
      </c>
      <c r="F2202" t="s">
        <v>18</v>
      </c>
      <c r="G2202">
        <v>201116</v>
      </c>
      <c r="H2202" t="s">
        <v>1907</v>
      </c>
      <c r="I2202" t="s">
        <v>10125</v>
      </c>
      <c r="J2202" t="s">
        <v>10126</v>
      </c>
      <c r="K2202">
        <v>1402245</v>
      </c>
      <c r="L2202">
        <v>44866</v>
      </c>
      <c r="M2202" t="s">
        <v>324</v>
      </c>
      <c r="N2202" t="e">
        <v>#N/A</v>
      </c>
      <c r="O2202" t="e">
        <v>#N/A</v>
      </c>
    </row>
    <row r="2203" spans="2:15" hidden="1" x14ac:dyDescent="0.3">
      <c r="B2203" t="s">
        <v>8</v>
      </c>
      <c r="C2203">
        <v>928</v>
      </c>
      <c r="D2203" t="s">
        <v>167</v>
      </c>
      <c r="E2203">
        <v>935</v>
      </c>
      <c r="F2203" t="s">
        <v>168</v>
      </c>
      <c r="G2203">
        <v>2</v>
      </c>
      <c r="H2203" t="s">
        <v>1907</v>
      </c>
      <c r="I2203" t="s">
        <v>6353</v>
      </c>
      <c r="J2203" t="s">
        <v>10127</v>
      </c>
      <c r="K2203">
        <v>999880</v>
      </c>
      <c r="L2203">
        <v>44866</v>
      </c>
      <c r="M2203" t="s">
        <v>1104</v>
      </c>
      <c r="N2203">
        <v>999880</v>
      </c>
      <c r="O2203" t="e">
        <v>#N/A</v>
      </c>
    </row>
    <row r="2204" spans="2:15" hidden="1" x14ac:dyDescent="0.3">
      <c r="B2204" t="s">
        <v>8</v>
      </c>
      <c r="C2204">
        <v>928</v>
      </c>
      <c r="D2204" t="s">
        <v>9</v>
      </c>
      <c r="E2204">
        <v>1202</v>
      </c>
      <c r="F2204" t="s">
        <v>142</v>
      </c>
      <c r="G2204">
        <v>652</v>
      </c>
      <c r="H2204" t="s">
        <v>1907</v>
      </c>
      <c r="I2204" t="s">
        <v>6357</v>
      </c>
      <c r="J2204" t="s">
        <v>10128</v>
      </c>
      <c r="K2204">
        <v>1166945</v>
      </c>
      <c r="L2204">
        <v>44866</v>
      </c>
      <c r="M2204" t="s">
        <v>1280</v>
      </c>
      <c r="N2204">
        <v>1166945</v>
      </c>
      <c r="O2204" t="e">
        <v>#N/A</v>
      </c>
    </row>
    <row r="2205" spans="2:15" hidden="1" x14ac:dyDescent="0.3">
      <c r="B2205" t="s">
        <v>8</v>
      </c>
      <c r="C2205">
        <v>928</v>
      </c>
      <c r="D2205" t="s">
        <v>9</v>
      </c>
      <c r="E2205">
        <v>1202</v>
      </c>
      <c r="F2205" t="s">
        <v>122</v>
      </c>
      <c r="G2205">
        <v>251</v>
      </c>
      <c r="H2205" t="s">
        <v>1907</v>
      </c>
      <c r="I2205" t="s">
        <v>6361</v>
      </c>
      <c r="J2205" t="s">
        <v>10129</v>
      </c>
      <c r="K2205">
        <v>349960</v>
      </c>
      <c r="L2205">
        <v>44866</v>
      </c>
      <c r="M2205" t="s">
        <v>1303</v>
      </c>
      <c r="N2205">
        <v>349960</v>
      </c>
      <c r="O2205" t="e">
        <v>#N/A</v>
      </c>
    </row>
    <row r="2206" spans="2:15" x14ac:dyDescent="0.3">
      <c r="B2206" t="s">
        <v>8</v>
      </c>
      <c r="C2206">
        <v>928</v>
      </c>
      <c r="D2206" t="s">
        <v>167</v>
      </c>
      <c r="E2206">
        <v>935</v>
      </c>
      <c r="F2206" t="s">
        <v>168</v>
      </c>
      <c r="G2206">
        <v>2</v>
      </c>
      <c r="H2206" t="s">
        <v>1907</v>
      </c>
      <c r="I2206" t="s">
        <v>10130</v>
      </c>
      <c r="J2206" t="s">
        <v>10131</v>
      </c>
      <c r="K2206">
        <v>10047660</v>
      </c>
      <c r="L2206">
        <v>44866</v>
      </c>
      <c r="M2206" t="s">
        <v>1920</v>
      </c>
      <c r="N2206" t="e">
        <v>#N/A</v>
      </c>
      <c r="O2206" t="e">
        <v>#N/A</v>
      </c>
    </row>
    <row r="2207" spans="2:15" x14ac:dyDescent="0.3">
      <c r="B2207" t="s">
        <v>176</v>
      </c>
      <c r="C2207">
        <v>1204</v>
      </c>
      <c r="D2207" t="s">
        <v>177</v>
      </c>
      <c r="E2207">
        <v>1205</v>
      </c>
      <c r="F2207" t="s">
        <v>178</v>
      </c>
      <c r="G2207">
        <v>201073</v>
      </c>
      <c r="H2207" t="s">
        <v>1907</v>
      </c>
      <c r="I2207" t="s">
        <v>10132</v>
      </c>
      <c r="J2207" t="s">
        <v>10133</v>
      </c>
      <c r="K2207">
        <v>80510</v>
      </c>
      <c r="L2207">
        <v>44866</v>
      </c>
      <c r="M2207" t="s">
        <v>1405</v>
      </c>
      <c r="N2207" t="e">
        <v>#N/A</v>
      </c>
      <c r="O2207" t="e">
        <v>#N/A</v>
      </c>
    </row>
    <row r="2208" spans="2:15" hidden="1" x14ac:dyDescent="0.3">
      <c r="B2208" t="s">
        <v>8</v>
      </c>
      <c r="C2208">
        <v>928</v>
      </c>
      <c r="D2208" t="s">
        <v>9</v>
      </c>
      <c r="E2208">
        <v>1202</v>
      </c>
      <c r="F2208" t="s">
        <v>142</v>
      </c>
      <c r="G2208">
        <v>652</v>
      </c>
      <c r="H2208" t="s">
        <v>1907</v>
      </c>
      <c r="I2208" t="s">
        <v>6366</v>
      </c>
      <c r="J2208" t="s">
        <v>10134</v>
      </c>
      <c r="K2208">
        <v>1512690</v>
      </c>
      <c r="L2208">
        <v>44866</v>
      </c>
      <c r="M2208" t="s">
        <v>466</v>
      </c>
      <c r="N2208">
        <v>1512690</v>
      </c>
      <c r="O2208" t="e">
        <v>#N/A</v>
      </c>
    </row>
    <row r="2209" spans="2:15" x14ac:dyDescent="0.3">
      <c r="B2209" t="s">
        <v>8</v>
      </c>
      <c r="C2209">
        <v>928</v>
      </c>
      <c r="D2209" t="s">
        <v>167</v>
      </c>
      <c r="E2209">
        <v>935</v>
      </c>
      <c r="F2209" t="s">
        <v>168</v>
      </c>
      <c r="G2209">
        <v>2</v>
      </c>
      <c r="H2209" t="s">
        <v>1907</v>
      </c>
      <c r="I2209" t="s">
        <v>10135</v>
      </c>
      <c r="J2209" t="s">
        <v>10136</v>
      </c>
      <c r="K2209">
        <v>2959665</v>
      </c>
      <c r="L2209">
        <v>44866</v>
      </c>
      <c r="M2209" t="s">
        <v>1913</v>
      </c>
      <c r="N2209" t="e">
        <v>#N/A</v>
      </c>
      <c r="O2209" t="e">
        <v>#N/A</v>
      </c>
    </row>
    <row r="2210" spans="2:15" hidden="1" x14ac:dyDescent="0.3">
      <c r="B2210" t="s">
        <v>16</v>
      </c>
      <c r="C2210">
        <v>927</v>
      </c>
      <c r="D2210" t="s">
        <v>17</v>
      </c>
      <c r="E2210">
        <v>1200</v>
      </c>
      <c r="F2210" t="s">
        <v>78</v>
      </c>
      <c r="G2210">
        <v>57</v>
      </c>
      <c r="H2210" t="s">
        <v>1907</v>
      </c>
      <c r="I2210" t="s">
        <v>6372</v>
      </c>
      <c r="J2210" t="s">
        <v>10137</v>
      </c>
      <c r="K2210">
        <v>65070</v>
      </c>
      <c r="L2210">
        <v>44866</v>
      </c>
      <c r="M2210" t="s">
        <v>252</v>
      </c>
      <c r="N2210">
        <v>65070</v>
      </c>
      <c r="O2210" t="e">
        <v>#N/A</v>
      </c>
    </row>
    <row r="2211" spans="2:15" x14ac:dyDescent="0.3">
      <c r="B2211" t="s">
        <v>8</v>
      </c>
      <c r="C2211">
        <v>928</v>
      </c>
      <c r="D2211" t="s">
        <v>223</v>
      </c>
      <c r="E2211">
        <v>966</v>
      </c>
      <c r="F2211" t="s">
        <v>224</v>
      </c>
      <c r="G2211">
        <v>201008</v>
      </c>
      <c r="H2211" t="s">
        <v>1907</v>
      </c>
      <c r="I2211" t="s">
        <v>10138</v>
      </c>
      <c r="J2211" t="s">
        <v>10139</v>
      </c>
      <c r="K2211">
        <v>50341870</v>
      </c>
      <c r="L2211">
        <v>44866</v>
      </c>
      <c r="M2211" t="s">
        <v>1238</v>
      </c>
      <c r="N2211" t="e">
        <v>#N/A</v>
      </c>
      <c r="O2211" t="e">
        <v>#N/A</v>
      </c>
    </row>
    <row r="2212" spans="2:15" x14ac:dyDescent="0.3">
      <c r="B2212" t="s">
        <v>8</v>
      </c>
      <c r="C2212">
        <v>928</v>
      </c>
      <c r="D2212" t="s">
        <v>13</v>
      </c>
      <c r="E2212">
        <v>1184</v>
      </c>
      <c r="F2212" t="s">
        <v>374</v>
      </c>
      <c r="G2212">
        <v>201022</v>
      </c>
      <c r="H2212" t="s">
        <v>1907</v>
      </c>
      <c r="I2212" t="s">
        <v>10140</v>
      </c>
      <c r="J2212" t="s">
        <v>10141</v>
      </c>
      <c r="K2212">
        <v>1140000</v>
      </c>
      <c r="L2212">
        <v>44866</v>
      </c>
      <c r="M2212" t="s">
        <v>1461</v>
      </c>
      <c r="N2212" t="e">
        <v>#N/A</v>
      </c>
      <c r="O2212" t="e">
        <v>#N/A</v>
      </c>
    </row>
    <row r="2213" spans="2:15" x14ac:dyDescent="0.3">
      <c r="B2213" t="s">
        <v>8</v>
      </c>
      <c r="C2213">
        <v>928</v>
      </c>
      <c r="D2213" t="s">
        <v>167</v>
      </c>
      <c r="E2213">
        <v>935</v>
      </c>
      <c r="F2213" t="s">
        <v>168</v>
      </c>
      <c r="G2213">
        <v>2</v>
      </c>
      <c r="H2213" t="s">
        <v>1907</v>
      </c>
      <c r="I2213" t="s">
        <v>10142</v>
      </c>
      <c r="J2213" t="s">
        <v>10143</v>
      </c>
      <c r="K2213">
        <v>702700</v>
      </c>
      <c r="L2213">
        <v>44866</v>
      </c>
      <c r="M2213" t="s">
        <v>1343</v>
      </c>
      <c r="N2213" t="e">
        <v>#N/A</v>
      </c>
      <c r="O2213" t="e">
        <v>#N/A</v>
      </c>
    </row>
    <row r="2214" spans="2:15" x14ac:dyDescent="0.3">
      <c r="B2214" t="s">
        <v>8</v>
      </c>
      <c r="C2214">
        <v>928</v>
      </c>
      <c r="D2214" t="s">
        <v>9</v>
      </c>
      <c r="E2214">
        <v>1202</v>
      </c>
      <c r="F2214" t="s">
        <v>33</v>
      </c>
      <c r="G2214">
        <v>933</v>
      </c>
      <c r="H2214" t="s">
        <v>1907</v>
      </c>
      <c r="I2214" t="s">
        <v>10144</v>
      </c>
      <c r="J2214" t="s">
        <v>10145</v>
      </c>
      <c r="K2214">
        <v>677290</v>
      </c>
      <c r="L2214">
        <v>44866</v>
      </c>
      <c r="M2214" t="s">
        <v>1750</v>
      </c>
      <c r="N2214" t="e">
        <v>#N/A</v>
      </c>
      <c r="O2214" t="e">
        <v>#N/A</v>
      </c>
    </row>
    <row r="2215" spans="2:15" x14ac:dyDescent="0.3">
      <c r="B2215" t="s">
        <v>41</v>
      </c>
      <c r="C2215">
        <v>926</v>
      </c>
      <c r="D2215" t="s">
        <v>56</v>
      </c>
      <c r="E2215">
        <v>1207</v>
      </c>
      <c r="F2215" t="s">
        <v>57</v>
      </c>
      <c r="G2215">
        <v>200982</v>
      </c>
      <c r="H2215" t="s">
        <v>1907</v>
      </c>
      <c r="I2215" t="s">
        <v>10146</v>
      </c>
      <c r="J2215" t="s">
        <v>10147</v>
      </c>
      <c r="K2215">
        <v>1094470</v>
      </c>
      <c r="L2215">
        <v>44866</v>
      </c>
      <c r="M2215" t="s">
        <v>1805</v>
      </c>
      <c r="N2215" t="e">
        <v>#N/A</v>
      </c>
      <c r="O2215" t="e">
        <v>#N/A</v>
      </c>
    </row>
    <row r="2216" spans="2:15" x14ac:dyDescent="0.3">
      <c r="B2216" t="s">
        <v>8</v>
      </c>
      <c r="C2216">
        <v>928</v>
      </c>
      <c r="D2216" t="s">
        <v>9</v>
      </c>
      <c r="E2216">
        <v>1202</v>
      </c>
      <c r="F2216" t="s">
        <v>122</v>
      </c>
      <c r="G2216">
        <v>251</v>
      </c>
      <c r="H2216" t="s">
        <v>1907</v>
      </c>
      <c r="I2216" t="s">
        <v>10148</v>
      </c>
      <c r="J2216" t="s">
        <v>10149</v>
      </c>
      <c r="K2216">
        <v>167230</v>
      </c>
      <c r="L2216">
        <v>44866</v>
      </c>
      <c r="M2216" t="s">
        <v>413</v>
      </c>
      <c r="N2216" t="e">
        <v>#N/A</v>
      </c>
      <c r="O2216" t="e">
        <v>#N/A</v>
      </c>
    </row>
    <row r="2217" spans="2:15" hidden="1" x14ac:dyDescent="0.3">
      <c r="B2217" t="s">
        <v>8</v>
      </c>
      <c r="C2217">
        <v>928</v>
      </c>
      <c r="D2217" t="s">
        <v>13</v>
      </c>
      <c r="E2217">
        <v>1184</v>
      </c>
      <c r="F2217" t="s">
        <v>127</v>
      </c>
      <c r="G2217">
        <v>201029</v>
      </c>
      <c r="H2217" t="s">
        <v>1907</v>
      </c>
      <c r="I2217" t="s">
        <v>6382</v>
      </c>
      <c r="J2217" t="s">
        <v>10150</v>
      </c>
      <c r="K2217">
        <v>461570</v>
      </c>
      <c r="L2217">
        <v>44866</v>
      </c>
      <c r="M2217" t="s">
        <v>128</v>
      </c>
      <c r="N2217">
        <v>461570</v>
      </c>
      <c r="O2217" t="e">
        <v>#N/A</v>
      </c>
    </row>
    <row r="2218" spans="2:15" x14ac:dyDescent="0.3">
      <c r="B2218" t="s">
        <v>41</v>
      </c>
      <c r="C2218">
        <v>926</v>
      </c>
      <c r="D2218" t="s">
        <v>56</v>
      </c>
      <c r="E2218">
        <v>1207</v>
      </c>
      <c r="F2218" t="s">
        <v>91</v>
      </c>
      <c r="G2218">
        <v>201104</v>
      </c>
      <c r="H2218" t="s">
        <v>1907</v>
      </c>
      <c r="I2218" t="s">
        <v>10151</v>
      </c>
      <c r="J2218" t="s">
        <v>10152</v>
      </c>
      <c r="K2218">
        <v>454080</v>
      </c>
      <c r="L2218">
        <v>44866</v>
      </c>
      <c r="M2218" t="s">
        <v>338</v>
      </c>
      <c r="N2218" t="e">
        <v>#N/A</v>
      </c>
      <c r="O2218" t="e">
        <v>#N/A</v>
      </c>
    </row>
    <row r="2219" spans="2:15" hidden="1" x14ac:dyDescent="0.3">
      <c r="B2219" t="s">
        <v>8</v>
      </c>
      <c r="C2219">
        <v>928</v>
      </c>
      <c r="D2219" t="s">
        <v>9</v>
      </c>
      <c r="E2219">
        <v>1202</v>
      </c>
      <c r="F2219" t="s">
        <v>47</v>
      </c>
      <c r="G2219">
        <v>898</v>
      </c>
      <c r="H2219" t="s">
        <v>1907</v>
      </c>
      <c r="I2219" t="s">
        <v>6385</v>
      </c>
      <c r="J2219" t="s">
        <v>10153</v>
      </c>
      <c r="K2219">
        <v>581210</v>
      </c>
      <c r="L2219">
        <v>44866</v>
      </c>
      <c r="M2219" t="s">
        <v>1811</v>
      </c>
      <c r="N2219">
        <v>581210</v>
      </c>
      <c r="O2219" t="e">
        <v>#N/A</v>
      </c>
    </row>
    <row r="2220" spans="2:15" hidden="1" x14ac:dyDescent="0.3">
      <c r="B2220" t="s">
        <v>8</v>
      </c>
      <c r="C2220">
        <v>928</v>
      </c>
      <c r="D2220" t="s">
        <v>9</v>
      </c>
      <c r="E2220">
        <v>1202</v>
      </c>
      <c r="F2220" t="s">
        <v>142</v>
      </c>
      <c r="G2220">
        <v>652</v>
      </c>
      <c r="H2220" t="s">
        <v>1907</v>
      </c>
      <c r="I2220" t="s">
        <v>6390</v>
      </c>
      <c r="J2220" t="s">
        <v>10154</v>
      </c>
      <c r="K2220">
        <v>363680</v>
      </c>
      <c r="L2220">
        <v>44866</v>
      </c>
      <c r="M2220" t="s">
        <v>859</v>
      </c>
      <c r="N2220">
        <v>363680</v>
      </c>
      <c r="O2220" t="e">
        <v>#N/A</v>
      </c>
    </row>
    <row r="2221" spans="2:15" hidden="1" x14ac:dyDescent="0.3">
      <c r="B2221" t="s">
        <v>22</v>
      </c>
      <c r="C2221">
        <v>809</v>
      </c>
      <c r="D2221" t="s">
        <v>23</v>
      </c>
      <c r="E2221">
        <v>810</v>
      </c>
      <c r="F2221" t="s">
        <v>106</v>
      </c>
      <c r="G2221">
        <v>1349</v>
      </c>
      <c r="H2221" t="s">
        <v>1907</v>
      </c>
      <c r="I2221" t="s">
        <v>6392</v>
      </c>
      <c r="J2221" t="s">
        <v>10155</v>
      </c>
      <c r="K2221">
        <v>545180</v>
      </c>
      <c r="L2221">
        <v>44866</v>
      </c>
      <c r="M2221" t="s">
        <v>1921</v>
      </c>
      <c r="N2221">
        <v>545180</v>
      </c>
      <c r="O2221" t="e">
        <v>#N/A</v>
      </c>
    </row>
    <row r="2222" spans="2:15" x14ac:dyDescent="0.3">
      <c r="B2222" t="s">
        <v>41</v>
      </c>
      <c r="C2222">
        <v>926</v>
      </c>
      <c r="D2222" t="s">
        <v>56</v>
      </c>
      <c r="E2222">
        <v>1207</v>
      </c>
      <c r="F2222" t="s">
        <v>156</v>
      </c>
      <c r="G2222">
        <v>201103</v>
      </c>
      <c r="H2222" t="s">
        <v>1907</v>
      </c>
      <c r="I2222" t="s">
        <v>10156</v>
      </c>
      <c r="J2222" t="s">
        <v>10157</v>
      </c>
      <c r="K2222">
        <v>85430</v>
      </c>
      <c r="L2222">
        <v>44866</v>
      </c>
      <c r="M2222" t="s">
        <v>1922</v>
      </c>
      <c r="N2222" t="e">
        <v>#N/A</v>
      </c>
      <c r="O2222" t="e">
        <v>#N/A</v>
      </c>
    </row>
    <row r="2223" spans="2:15" hidden="1" x14ac:dyDescent="0.3">
      <c r="B2223" t="s">
        <v>22</v>
      </c>
      <c r="C2223">
        <v>809</v>
      </c>
      <c r="D2223" t="s">
        <v>23</v>
      </c>
      <c r="E2223">
        <v>810</v>
      </c>
      <c r="F2223" t="s">
        <v>106</v>
      </c>
      <c r="G2223">
        <v>1349</v>
      </c>
      <c r="H2223" t="s">
        <v>1907</v>
      </c>
      <c r="I2223" t="s">
        <v>6398</v>
      </c>
      <c r="J2223" t="s">
        <v>10158</v>
      </c>
      <c r="K2223">
        <v>463090</v>
      </c>
      <c r="L2223">
        <v>44866</v>
      </c>
      <c r="M2223" t="s">
        <v>1923</v>
      </c>
      <c r="N2223">
        <v>463090</v>
      </c>
      <c r="O2223" t="e">
        <v>#N/A</v>
      </c>
    </row>
    <row r="2224" spans="2:15" hidden="1" x14ac:dyDescent="0.3">
      <c r="B2224" t="s">
        <v>8</v>
      </c>
      <c r="C2224">
        <v>928</v>
      </c>
      <c r="D2224" t="s">
        <v>9</v>
      </c>
      <c r="E2224">
        <v>1202</v>
      </c>
      <c r="F2224" t="s">
        <v>33</v>
      </c>
      <c r="G2224">
        <v>933</v>
      </c>
      <c r="H2224" t="s">
        <v>1907</v>
      </c>
      <c r="I2224" t="s">
        <v>6400</v>
      </c>
      <c r="J2224" t="s">
        <v>10159</v>
      </c>
      <c r="K2224">
        <v>13975290</v>
      </c>
      <c r="L2224">
        <v>44866</v>
      </c>
      <c r="M2224" t="s">
        <v>987</v>
      </c>
      <c r="N2224">
        <v>13975290</v>
      </c>
      <c r="O2224" t="e">
        <v>#N/A</v>
      </c>
    </row>
    <row r="2225" spans="2:15" x14ac:dyDescent="0.3">
      <c r="B2225" t="s">
        <v>16</v>
      </c>
      <c r="C2225">
        <v>927</v>
      </c>
      <c r="D2225" t="s">
        <v>1570</v>
      </c>
      <c r="E2225">
        <v>965</v>
      </c>
      <c r="F2225" t="s">
        <v>1571</v>
      </c>
      <c r="G2225">
        <v>201061</v>
      </c>
      <c r="H2225" t="s">
        <v>1907</v>
      </c>
      <c r="I2225" t="s">
        <v>10160</v>
      </c>
      <c r="J2225" t="s">
        <v>10161</v>
      </c>
      <c r="K2225">
        <v>567080</v>
      </c>
      <c r="L2225">
        <v>44866</v>
      </c>
      <c r="M2225" t="s">
        <v>1572</v>
      </c>
      <c r="N2225" t="e">
        <v>#N/A</v>
      </c>
      <c r="O2225" t="e">
        <v>#N/A</v>
      </c>
    </row>
    <row r="2226" spans="2:15" x14ac:dyDescent="0.3">
      <c r="B2226" t="s">
        <v>22</v>
      </c>
      <c r="C2226">
        <v>809</v>
      </c>
      <c r="D2226" t="s">
        <v>23</v>
      </c>
      <c r="E2226">
        <v>810</v>
      </c>
      <c r="F2226" t="s">
        <v>24</v>
      </c>
      <c r="G2226">
        <v>201032</v>
      </c>
      <c r="H2226" t="s">
        <v>1907</v>
      </c>
      <c r="I2226" t="s">
        <v>10162</v>
      </c>
      <c r="J2226" t="s">
        <v>10163</v>
      </c>
      <c r="K2226">
        <v>118940</v>
      </c>
      <c r="L2226">
        <v>44866</v>
      </c>
      <c r="M2226" t="s">
        <v>231</v>
      </c>
      <c r="N2226" t="e">
        <v>#N/A</v>
      </c>
      <c r="O2226" t="e">
        <v>#N/A</v>
      </c>
    </row>
    <row r="2227" spans="2:15" x14ac:dyDescent="0.3">
      <c r="B2227" t="s">
        <v>41</v>
      </c>
      <c r="C2227">
        <v>926</v>
      </c>
      <c r="D2227" t="s">
        <v>525</v>
      </c>
      <c r="E2227">
        <v>954</v>
      </c>
      <c r="F2227" t="s">
        <v>526</v>
      </c>
      <c r="G2227">
        <v>200999</v>
      </c>
      <c r="H2227" t="s">
        <v>1907</v>
      </c>
      <c r="I2227" t="s">
        <v>10164</v>
      </c>
      <c r="J2227" t="s">
        <v>10165</v>
      </c>
      <c r="K2227">
        <v>352900</v>
      </c>
      <c r="L2227">
        <v>44866</v>
      </c>
      <c r="M2227" t="s">
        <v>621</v>
      </c>
      <c r="N2227" t="e">
        <v>#N/A</v>
      </c>
      <c r="O2227" t="e">
        <v>#N/A</v>
      </c>
    </row>
    <row r="2228" spans="2:15" x14ac:dyDescent="0.3">
      <c r="B2228" t="s">
        <v>16</v>
      </c>
      <c r="C2228">
        <v>927</v>
      </c>
      <c r="D2228" t="s">
        <v>17</v>
      </c>
      <c r="E2228">
        <v>1200</v>
      </c>
      <c r="F2228" t="s">
        <v>137</v>
      </c>
      <c r="G2228">
        <v>1012</v>
      </c>
      <c r="H2228" t="s">
        <v>1907</v>
      </c>
      <c r="I2228" t="s">
        <v>10166</v>
      </c>
      <c r="J2228" t="s">
        <v>10167</v>
      </c>
      <c r="K2228">
        <v>13199670</v>
      </c>
      <c r="L2228">
        <v>44866</v>
      </c>
      <c r="M2228" t="s">
        <v>959</v>
      </c>
      <c r="N2228" t="e">
        <v>#N/A</v>
      </c>
      <c r="O2228" t="e">
        <v>#N/A</v>
      </c>
    </row>
    <row r="2229" spans="2:15" hidden="1" x14ac:dyDescent="0.3">
      <c r="B2229" t="s">
        <v>8</v>
      </c>
      <c r="C2229">
        <v>928</v>
      </c>
      <c r="D2229" t="s">
        <v>9</v>
      </c>
      <c r="E2229">
        <v>1202</v>
      </c>
      <c r="F2229" t="s">
        <v>31</v>
      </c>
      <c r="G2229">
        <v>1040</v>
      </c>
      <c r="H2229" t="s">
        <v>1907</v>
      </c>
      <c r="I2229" t="s">
        <v>6411</v>
      </c>
      <c r="J2229" t="s">
        <v>10168</v>
      </c>
      <c r="K2229">
        <v>446250</v>
      </c>
      <c r="L2229">
        <v>44866</v>
      </c>
      <c r="M2229" t="s">
        <v>228</v>
      </c>
      <c r="N2229">
        <v>446250</v>
      </c>
      <c r="O2229" t="e">
        <v>#N/A</v>
      </c>
    </row>
    <row r="2230" spans="2:15" hidden="1" x14ac:dyDescent="0.3">
      <c r="B2230" t="s">
        <v>8</v>
      </c>
      <c r="C2230">
        <v>928</v>
      </c>
      <c r="D2230" t="s">
        <v>13</v>
      </c>
      <c r="E2230">
        <v>1184</v>
      </c>
      <c r="F2230" t="s">
        <v>127</v>
      </c>
      <c r="G2230">
        <v>201029</v>
      </c>
      <c r="H2230" t="s">
        <v>1907</v>
      </c>
      <c r="I2230" t="s">
        <v>6416</v>
      </c>
      <c r="J2230" t="s">
        <v>10169</v>
      </c>
      <c r="K2230">
        <v>135240</v>
      </c>
      <c r="L2230">
        <v>44866</v>
      </c>
      <c r="M2230" t="s">
        <v>449</v>
      </c>
      <c r="N2230">
        <v>135240</v>
      </c>
      <c r="O2230" t="e">
        <v>#N/A</v>
      </c>
    </row>
    <row r="2231" spans="2:15" x14ac:dyDescent="0.3">
      <c r="B2231" t="s">
        <v>176</v>
      </c>
      <c r="C2231">
        <v>1204</v>
      </c>
      <c r="D2231" t="s">
        <v>177</v>
      </c>
      <c r="E2231">
        <v>1205</v>
      </c>
      <c r="F2231" t="s">
        <v>178</v>
      </c>
      <c r="G2231">
        <v>201073</v>
      </c>
      <c r="H2231" t="s">
        <v>1907</v>
      </c>
      <c r="I2231" t="s">
        <v>10170</v>
      </c>
      <c r="J2231" t="s">
        <v>10171</v>
      </c>
      <c r="K2231">
        <v>2430590</v>
      </c>
      <c r="L2231">
        <v>44866</v>
      </c>
      <c r="M2231" t="s">
        <v>366</v>
      </c>
      <c r="N2231" t="e">
        <v>#N/A</v>
      </c>
      <c r="O2231" t="e">
        <v>#N/A</v>
      </c>
    </row>
    <row r="2232" spans="2:15" x14ac:dyDescent="0.3">
      <c r="B2232" t="s">
        <v>16</v>
      </c>
      <c r="C2232">
        <v>927</v>
      </c>
      <c r="D2232" t="s">
        <v>17</v>
      </c>
      <c r="E2232">
        <v>1200</v>
      </c>
      <c r="F2232" t="s">
        <v>18</v>
      </c>
      <c r="G2232">
        <v>201116</v>
      </c>
      <c r="H2232" t="s">
        <v>1907</v>
      </c>
      <c r="I2232" t="s">
        <v>10172</v>
      </c>
      <c r="J2232" t="s">
        <v>10173</v>
      </c>
      <c r="K2232">
        <v>1848750</v>
      </c>
      <c r="L2232">
        <v>44866</v>
      </c>
      <c r="M2232" t="s">
        <v>324</v>
      </c>
      <c r="N2232" t="e">
        <v>#N/A</v>
      </c>
      <c r="O2232" t="e">
        <v>#N/A</v>
      </c>
    </row>
    <row r="2233" spans="2:15" hidden="1" x14ac:dyDescent="0.3">
      <c r="B2233" t="s">
        <v>8</v>
      </c>
      <c r="C2233">
        <v>928</v>
      </c>
      <c r="D2233" t="s">
        <v>9</v>
      </c>
      <c r="E2233">
        <v>1202</v>
      </c>
      <c r="F2233" t="s">
        <v>35</v>
      </c>
      <c r="G2233">
        <v>51</v>
      </c>
      <c r="H2233" t="s">
        <v>1907</v>
      </c>
      <c r="I2233" t="s">
        <v>6419</v>
      </c>
      <c r="J2233" t="s">
        <v>10174</v>
      </c>
      <c r="K2233">
        <v>4612490</v>
      </c>
      <c r="L2233">
        <v>44866</v>
      </c>
      <c r="M2233" t="s">
        <v>1215</v>
      </c>
      <c r="N2233">
        <v>4612490</v>
      </c>
      <c r="O2233" t="e">
        <v>#N/A</v>
      </c>
    </row>
    <row r="2234" spans="2:15" x14ac:dyDescent="0.3">
      <c r="B2234" t="s">
        <v>8</v>
      </c>
      <c r="C2234">
        <v>928</v>
      </c>
      <c r="D2234" t="s">
        <v>9</v>
      </c>
      <c r="E2234">
        <v>1202</v>
      </c>
      <c r="F2234" t="s">
        <v>10</v>
      </c>
      <c r="G2234">
        <v>939</v>
      </c>
      <c r="H2234" t="s">
        <v>1907</v>
      </c>
      <c r="I2234" t="s">
        <v>10175</v>
      </c>
      <c r="J2234" t="s">
        <v>10176</v>
      </c>
      <c r="K2234">
        <v>947900</v>
      </c>
      <c r="L2234">
        <v>44866</v>
      </c>
      <c r="M2234" t="s">
        <v>134</v>
      </c>
      <c r="N2234" t="e">
        <v>#N/A</v>
      </c>
      <c r="O2234" t="e">
        <v>#N/A</v>
      </c>
    </row>
    <row r="2235" spans="2:15" hidden="1" x14ac:dyDescent="0.3">
      <c r="B2235" t="s">
        <v>8</v>
      </c>
      <c r="C2235">
        <v>928</v>
      </c>
      <c r="D2235" t="s">
        <v>9</v>
      </c>
      <c r="E2235">
        <v>1202</v>
      </c>
      <c r="F2235" t="s">
        <v>47</v>
      </c>
      <c r="G2235">
        <v>898</v>
      </c>
      <c r="H2235" t="s">
        <v>1907</v>
      </c>
      <c r="I2235" t="s">
        <v>6422</v>
      </c>
      <c r="J2235" t="s">
        <v>10177</v>
      </c>
      <c r="K2235">
        <v>453700</v>
      </c>
      <c r="L2235">
        <v>44866</v>
      </c>
      <c r="M2235" t="s">
        <v>1831</v>
      </c>
      <c r="N2235">
        <v>453700</v>
      </c>
      <c r="O2235" t="e">
        <v>#N/A</v>
      </c>
    </row>
    <row r="2236" spans="2:15" hidden="1" x14ac:dyDescent="0.3">
      <c r="B2236" t="s">
        <v>41</v>
      </c>
      <c r="C2236">
        <v>926</v>
      </c>
      <c r="D2236" t="s">
        <v>56</v>
      </c>
      <c r="E2236">
        <v>1207</v>
      </c>
      <c r="F2236" t="s">
        <v>253</v>
      </c>
      <c r="G2236">
        <v>1328</v>
      </c>
      <c r="H2236" t="s">
        <v>1907</v>
      </c>
      <c r="I2236" t="s">
        <v>6429</v>
      </c>
      <c r="J2236" t="s">
        <v>7022</v>
      </c>
      <c r="K2236">
        <v>471480</v>
      </c>
      <c r="L2236">
        <v>44866</v>
      </c>
      <c r="M2236" t="s">
        <v>1480</v>
      </c>
      <c r="N2236">
        <v>471480</v>
      </c>
      <c r="O2236" t="s">
        <v>9743</v>
      </c>
    </row>
    <row r="2237" spans="2:15" x14ac:dyDescent="0.3">
      <c r="B2237" t="s">
        <v>41</v>
      </c>
      <c r="C2237">
        <v>926</v>
      </c>
      <c r="D2237" t="s">
        <v>56</v>
      </c>
      <c r="E2237">
        <v>1207</v>
      </c>
      <c r="F2237" t="s">
        <v>91</v>
      </c>
      <c r="G2237">
        <v>201104</v>
      </c>
      <c r="H2237" t="s">
        <v>1907</v>
      </c>
      <c r="I2237" t="s">
        <v>10178</v>
      </c>
      <c r="J2237" t="s">
        <v>10179</v>
      </c>
      <c r="K2237">
        <v>2139860</v>
      </c>
      <c r="L2237">
        <v>44866</v>
      </c>
      <c r="M2237" t="s">
        <v>1519</v>
      </c>
      <c r="N2237" t="e">
        <v>#N/A</v>
      </c>
      <c r="O2237" t="e">
        <v>#N/A</v>
      </c>
    </row>
    <row r="2238" spans="2:15" hidden="1" x14ac:dyDescent="0.3">
      <c r="B2238" t="s">
        <v>8</v>
      </c>
      <c r="C2238">
        <v>928</v>
      </c>
      <c r="D2238" t="s">
        <v>9</v>
      </c>
      <c r="E2238">
        <v>1202</v>
      </c>
      <c r="F2238" t="s">
        <v>47</v>
      </c>
      <c r="G2238">
        <v>898</v>
      </c>
      <c r="H2238" t="s">
        <v>1907</v>
      </c>
      <c r="I2238" t="s">
        <v>6432</v>
      </c>
      <c r="J2238" t="s">
        <v>10180</v>
      </c>
      <c r="K2238">
        <v>110970</v>
      </c>
      <c r="L2238">
        <v>44866</v>
      </c>
      <c r="M2238" t="s">
        <v>1009</v>
      </c>
      <c r="N2238">
        <v>110970</v>
      </c>
      <c r="O2238" t="e">
        <v>#N/A</v>
      </c>
    </row>
    <row r="2239" spans="2:15" x14ac:dyDescent="0.3">
      <c r="B2239" t="s">
        <v>8</v>
      </c>
      <c r="C2239">
        <v>928</v>
      </c>
      <c r="D2239" t="s">
        <v>9</v>
      </c>
      <c r="E2239">
        <v>1202</v>
      </c>
      <c r="F2239" t="s">
        <v>39</v>
      </c>
      <c r="G2239">
        <v>25</v>
      </c>
      <c r="H2239" t="s">
        <v>1907</v>
      </c>
      <c r="I2239" t="s">
        <v>10181</v>
      </c>
      <c r="J2239" t="s">
        <v>10182</v>
      </c>
      <c r="K2239">
        <v>10232210</v>
      </c>
      <c r="L2239">
        <v>44866</v>
      </c>
      <c r="M2239" t="s">
        <v>1417</v>
      </c>
      <c r="N2239" t="e">
        <v>#N/A</v>
      </c>
      <c r="O2239" t="e">
        <v>#N/A</v>
      </c>
    </row>
  </sheetData>
  <autoFilter ref="B2:O2239">
    <filterColumn colId="12">
      <filters>
        <filter val="#N/A"/>
      </filters>
    </filterColumn>
    <filterColumn colId="13">
      <filters>
        <filter val="#N/A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6"/>
  <sheetViews>
    <sheetView tabSelected="1" topLeftCell="A64" workbookViewId="0">
      <selection activeCell="L77" sqref="L77"/>
    </sheetView>
  </sheetViews>
  <sheetFormatPr defaultRowHeight="16.5" x14ac:dyDescent="0.3"/>
  <sheetData>
    <row r="2" spans="2:7" x14ac:dyDescent="0.3">
      <c r="B2" t="s">
        <v>10183</v>
      </c>
      <c r="C2" t="s">
        <v>10184</v>
      </c>
      <c r="D2" t="s">
        <v>10185</v>
      </c>
      <c r="E2" t="s">
        <v>7</v>
      </c>
      <c r="F2" t="s">
        <v>3</v>
      </c>
      <c r="G2" t="s">
        <v>4</v>
      </c>
    </row>
    <row r="3" spans="2:7" x14ac:dyDescent="0.3">
      <c r="B3">
        <v>927</v>
      </c>
      <c r="C3">
        <v>1200</v>
      </c>
      <c r="D3">
        <v>1271</v>
      </c>
      <c r="E3" t="s">
        <v>124</v>
      </c>
      <c r="F3" t="s">
        <v>11</v>
      </c>
      <c r="G3" t="s">
        <v>7870</v>
      </c>
    </row>
    <row r="4" spans="2:7" x14ac:dyDescent="0.3">
      <c r="B4">
        <v>928</v>
      </c>
      <c r="C4">
        <v>1202</v>
      </c>
      <c r="D4">
        <v>51</v>
      </c>
      <c r="E4" t="s">
        <v>151</v>
      </c>
      <c r="F4" t="s">
        <v>11</v>
      </c>
      <c r="G4" t="s">
        <v>7896</v>
      </c>
    </row>
    <row r="5" spans="2:7" x14ac:dyDescent="0.3">
      <c r="B5">
        <v>928</v>
      </c>
      <c r="C5">
        <v>1184</v>
      </c>
      <c r="D5">
        <v>1548</v>
      </c>
      <c r="E5" t="s">
        <v>160</v>
      </c>
      <c r="F5" t="s">
        <v>11</v>
      </c>
      <c r="G5" t="s">
        <v>7905</v>
      </c>
    </row>
    <row r="6" spans="2:7" x14ac:dyDescent="0.3">
      <c r="B6">
        <v>926</v>
      </c>
      <c r="C6">
        <v>1207</v>
      </c>
      <c r="D6">
        <v>201104</v>
      </c>
      <c r="E6" t="s">
        <v>300</v>
      </c>
      <c r="F6" t="s">
        <v>11</v>
      </c>
      <c r="G6" t="s">
        <v>8030</v>
      </c>
    </row>
    <row r="7" spans="2:7" x14ac:dyDescent="0.3">
      <c r="B7">
        <v>928</v>
      </c>
      <c r="C7">
        <v>1202</v>
      </c>
      <c r="D7">
        <v>929</v>
      </c>
      <c r="E7" t="s">
        <v>399</v>
      </c>
      <c r="F7" t="s">
        <v>11</v>
      </c>
      <c r="G7" t="s">
        <v>8124</v>
      </c>
    </row>
    <row r="8" spans="2:7" x14ac:dyDescent="0.3">
      <c r="B8">
        <v>926</v>
      </c>
      <c r="C8">
        <v>1207</v>
      </c>
      <c r="D8">
        <v>1328</v>
      </c>
      <c r="E8" t="s">
        <v>459</v>
      </c>
      <c r="F8" t="s">
        <v>11</v>
      </c>
      <c r="G8" t="s">
        <v>8188</v>
      </c>
    </row>
    <row r="9" spans="2:7" x14ac:dyDescent="0.3">
      <c r="B9">
        <v>809</v>
      </c>
      <c r="C9">
        <v>810</v>
      </c>
      <c r="D9">
        <v>201115</v>
      </c>
      <c r="E9" t="s">
        <v>487</v>
      </c>
      <c r="F9" t="s">
        <v>11</v>
      </c>
      <c r="G9" t="s">
        <v>8215</v>
      </c>
    </row>
    <row r="10" spans="2:7" x14ac:dyDescent="0.3">
      <c r="B10">
        <v>928</v>
      </c>
      <c r="C10">
        <v>1202</v>
      </c>
      <c r="D10">
        <v>201009</v>
      </c>
      <c r="E10" t="s">
        <v>600</v>
      </c>
      <c r="F10" t="s">
        <v>11</v>
      </c>
      <c r="G10" t="s">
        <v>8330</v>
      </c>
    </row>
    <row r="11" spans="2:7" x14ac:dyDescent="0.3">
      <c r="B11">
        <v>928</v>
      </c>
      <c r="C11">
        <v>1202</v>
      </c>
      <c r="D11">
        <v>898</v>
      </c>
      <c r="E11" t="s">
        <v>723</v>
      </c>
      <c r="F11" t="s">
        <v>11</v>
      </c>
      <c r="G11" t="s">
        <v>8453</v>
      </c>
    </row>
    <row r="12" spans="2:7" x14ac:dyDescent="0.3">
      <c r="B12">
        <v>926</v>
      </c>
      <c r="C12">
        <v>1207</v>
      </c>
      <c r="D12">
        <v>1328</v>
      </c>
      <c r="E12" t="s">
        <v>735</v>
      </c>
      <c r="F12" t="s">
        <v>11</v>
      </c>
      <c r="G12" t="s">
        <v>8466</v>
      </c>
    </row>
    <row r="13" spans="2:7" x14ac:dyDescent="0.3">
      <c r="B13">
        <v>926</v>
      </c>
      <c r="C13">
        <v>1207</v>
      </c>
      <c r="D13">
        <v>201011</v>
      </c>
      <c r="E13" t="s">
        <v>831</v>
      </c>
      <c r="F13" t="s">
        <v>11</v>
      </c>
      <c r="G13" t="s">
        <v>8574</v>
      </c>
    </row>
    <row r="14" spans="2:7" x14ac:dyDescent="0.3">
      <c r="B14">
        <v>927</v>
      </c>
      <c r="C14">
        <v>1200</v>
      </c>
      <c r="D14">
        <v>1271</v>
      </c>
      <c r="E14" t="s">
        <v>1056</v>
      </c>
      <c r="F14" t="s">
        <v>11</v>
      </c>
      <c r="G14" t="s">
        <v>8801</v>
      </c>
    </row>
    <row r="15" spans="2:7" x14ac:dyDescent="0.3">
      <c r="B15">
        <v>928</v>
      </c>
      <c r="C15">
        <v>1184</v>
      </c>
      <c r="D15">
        <v>1274</v>
      </c>
      <c r="E15" t="s">
        <v>1177</v>
      </c>
      <c r="F15" t="s">
        <v>11</v>
      </c>
      <c r="G15" t="s">
        <v>8932</v>
      </c>
    </row>
    <row r="16" spans="2:7" x14ac:dyDescent="0.3">
      <c r="B16">
        <v>928</v>
      </c>
      <c r="C16">
        <v>1202</v>
      </c>
      <c r="D16">
        <v>1211</v>
      </c>
      <c r="E16" t="s">
        <v>1268</v>
      </c>
      <c r="F16" t="s">
        <v>11</v>
      </c>
      <c r="G16" t="s">
        <v>9035</v>
      </c>
    </row>
    <row r="17" spans="2:7" x14ac:dyDescent="0.3">
      <c r="B17">
        <v>926</v>
      </c>
      <c r="C17">
        <v>1207</v>
      </c>
      <c r="D17">
        <v>201103</v>
      </c>
      <c r="E17" t="s">
        <v>1304</v>
      </c>
      <c r="F17" t="s">
        <v>11</v>
      </c>
      <c r="G17" t="s">
        <v>9075</v>
      </c>
    </row>
    <row r="18" spans="2:7" x14ac:dyDescent="0.3">
      <c r="B18">
        <v>928</v>
      </c>
      <c r="C18">
        <v>1202</v>
      </c>
      <c r="D18">
        <v>652</v>
      </c>
      <c r="E18" t="s">
        <v>1369</v>
      </c>
      <c r="F18" t="s">
        <v>11</v>
      </c>
      <c r="G18" t="s">
        <v>9150</v>
      </c>
    </row>
    <row r="19" spans="2:7" x14ac:dyDescent="0.3">
      <c r="B19">
        <v>928</v>
      </c>
      <c r="C19">
        <v>1202</v>
      </c>
      <c r="D19">
        <v>933</v>
      </c>
      <c r="E19" t="s">
        <v>1398</v>
      </c>
      <c r="F19" t="s">
        <v>11</v>
      </c>
      <c r="G19" t="s">
        <v>9182</v>
      </c>
    </row>
    <row r="20" spans="2:7" x14ac:dyDescent="0.3">
      <c r="B20">
        <v>928</v>
      </c>
      <c r="C20">
        <v>1202</v>
      </c>
      <c r="D20">
        <v>939</v>
      </c>
      <c r="E20" t="s">
        <v>1481</v>
      </c>
      <c r="F20" t="s">
        <v>11</v>
      </c>
      <c r="G20" t="s">
        <v>9267</v>
      </c>
    </row>
    <row r="21" spans="2:7" x14ac:dyDescent="0.3">
      <c r="B21">
        <v>927</v>
      </c>
      <c r="C21">
        <v>1200</v>
      </c>
      <c r="D21">
        <v>201038</v>
      </c>
      <c r="E21" t="s">
        <v>1616</v>
      </c>
      <c r="F21" t="s">
        <v>11</v>
      </c>
      <c r="G21" t="s">
        <v>9405</v>
      </c>
    </row>
    <row r="22" spans="2:7" x14ac:dyDescent="0.3">
      <c r="B22">
        <v>927</v>
      </c>
      <c r="C22">
        <v>1200</v>
      </c>
      <c r="D22">
        <v>201038</v>
      </c>
      <c r="E22" t="s">
        <v>1368</v>
      </c>
      <c r="F22" t="s">
        <v>11</v>
      </c>
      <c r="G22" t="s">
        <v>9430</v>
      </c>
    </row>
    <row r="23" spans="2:7" x14ac:dyDescent="0.3">
      <c r="B23">
        <v>928</v>
      </c>
      <c r="C23">
        <v>1184</v>
      </c>
      <c r="D23">
        <v>914</v>
      </c>
      <c r="E23" t="s">
        <v>1803</v>
      </c>
      <c r="F23" t="s">
        <v>11</v>
      </c>
      <c r="G23" t="s">
        <v>9614</v>
      </c>
    </row>
    <row r="24" spans="2:7" x14ac:dyDescent="0.3">
      <c r="B24">
        <v>927</v>
      </c>
      <c r="C24">
        <v>1200</v>
      </c>
      <c r="D24">
        <v>57</v>
      </c>
      <c r="E24" t="s">
        <v>1820</v>
      </c>
      <c r="F24" t="s">
        <v>11</v>
      </c>
      <c r="G24" t="s">
        <v>9634</v>
      </c>
    </row>
    <row r="25" spans="2:7" x14ac:dyDescent="0.3">
      <c r="B25">
        <v>928</v>
      </c>
      <c r="C25">
        <v>1202</v>
      </c>
      <c r="D25">
        <v>25</v>
      </c>
      <c r="E25" t="s">
        <v>563</v>
      </c>
      <c r="F25" t="s">
        <v>1824</v>
      </c>
      <c r="G25" t="s">
        <v>9640</v>
      </c>
    </row>
    <row r="26" spans="2:7" x14ac:dyDescent="0.3">
      <c r="B26">
        <v>928</v>
      </c>
      <c r="C26">
        <v>1202</v>
      </c>
      <c r="D26">
        <v>939</v>
      </c>
      <c r="E26" t="s">
        <v>1158</v>
      </c>
      <c r="F26" t="s">
        <v>1824</v>
      </c>
      <c r="G26" t="s">
        <v>9645</v>
      </c>
    </row>
    <row r="27" spans="2:7" x14ac:dyDescent="0.3">
      <c r="B27">
        <v>928</v>
      </c>
      <c r="C27">
        <v>1184</v>
      </c>
      <c r="D27">
        <v>201004</v>
      </c>
      <c r="E27" t="s">
        <v>551</v>
      </c>
      <c r="F27" t="s">
        <v>1824</v>
      </c>
      <c r="G27" t="s">
        <v>9650</v>
      </c>
    </row>
    <row r="28" spans="2:7" x14ac:dyDescent="0.3">
      <c r="B28">
        <v>927</v>
      </c>
      <c r="C28">
        <v>1200</v>
      </c>
      <c r="D28">
        <v>930</v>
      </c>
      <c r="E28" t="s">
        <v>1295</v>
      </c>
      <c r="F28" t="s">
        <v>1824</v>
      </c>
      <c r="G28" t="s">
        <v>9653</v>
      </c>
    </row>
    <row r="29" spans="2:7" x14ac:dyDescent="0.3">
      <c r="B29">
        <v>928</v>
      </c>
      <c r="C29">
        <v>1184</v>
      </c>
      <c r="D29">
        <v>201004</v>
      </c>
      <c r="E29" t="s">
        <v>1147</v>
      </c>
      <c r="F29" t="s">
        <v>1824</v>
      </c>
      <c r="G29" t="s">
        <v>9657</v>
      </c>
    </row>
    <row r="30" spans="2:7" x14ac:dyDescent="0.3">
      <c r="B30">
        <v>926</v>
      </c>
      <c r="C30">
        <v>964</v>
      </c>
      <c r="D30">
        <v>1616</v>
      </c>
      <c r="E30" t="s">
        <v>1828</v>
      </c>
      <c r="F30" t="s">
        <v>1824</v>
      </c>
      <c r="G30" t="s">
        <v>9659</v>
      </c>
    </row>
    <row r="31" spans="2:7" x14ac:dyDescent="0.3">
      <c r="B31">
        <v>926</v>
      </c>
      <c r="C31">
        <v>964</v>
      </c>
      <c r="D31">
        <v>1616</v>
      </c>
      <c r="E31" t="s">
        <v>1829</v>
      </c>
      <c r="F31" t="s">
        <v>1824</v>
      </c>
      <c r="G31" t="s">
        <v>9661</v>
      </c>
    </row>
    <row r="32" spans="2:7" x14ac:dyDescent="0.3">
      <c r="B32">
        <v>928</v>
      </c>
      <c r="C32">
        <v>1184</v>
      </c>
      <c r="D32">
        <v>201004</v>
      </c>
      <c r="E32" t="s">
        <v>1830</v>
      </c>
      <c r="F32" t="s">
        <v>1824</v>
      </c>
      <c r="G32" t="s">
        <v>9663</v>
      </c>
    </row>
    <row r="33" spans="2:7" x14ac:dyDescent="0.3">
      <c r="B33">
        <v>928</v>
      </c>
      <c r="C33">
        <v>1184</v>
      </c>
      <c r="D33">
        <v>1548</v>
      </c>
      <c r="E33" t="s">
        <v>1685</v>
      </c>
      <c r="F33" t="s">
        <v>1824</v>
      </c>
      <c r="G33" t="s">
        <v>9670</v>
      </c>
    </row>
    <row r="34" spans="2:7" x14ac:dyDescent="0.3">
      <c r="B34">
        <v>928</v>
      </c>
      <c r="C34">
        <v>1202</v>
      </c>
      <c r="D34">
        <v>939</v>
      </c>
      <c r="E34" t="s">
        <v>1804</v>
      </c>
      <c r="F34" t="s">
        <v>1824</v>
      </c>
      <c r="G34" t="s">
        <v>9673</v>
      </c>
    </row>
    <row r="35" spans="2:7" x14ac:dyDescent="0.3">
      <c r="B35">
        <v>928</v>
      </c>
      <c r="C35">
        <v>1202</v>
      </c>
      <c r="D35">
        <v>251</v>
      </c>
      <c r="E35" t="s">
        <v>319</v>
      </c>
      <c r="F35" t="s">
        <v>1824</v>
      </c>
      <c r="G35" t="s">
        <v>9678</v>
      </c>
    </row>
    <row r="36" spans="2:7" x14ac:dyDescent="0.3">
      <c r="B36">
        <v>928</v>
      </c>
      <c r="C36">
        <v>1184</v>
      </c>
      <c r="D36">
        <v>1548</v>
      </c>
      <c r="E36" t="s">
        <v>1832</v>
      </c>
      <c r="F36" t="s">
        <v>1824</v>
      </c>
      <c r="G36" t="s">
        <v>9686</v>
      </c>
    </row>
    <row r="37" spans="2:7" x14ac:dyDescent="0.3">
      <c r="B37">
        <v>928</v>
      </c>
      <c r="C37">
        <v>1184</v>
      </c>
      <c r="D37">
        <v>201004</v>
      </c>
      <c r="E37" t="s">
        <v>1833</v>
      </c>
      <c r="F37" t="s">
        <v>1824</v>
      </c>
      <c r="G37" t="s">
        <v>9688</v>
      </c>
    </row>
    <row r="38" spans="2:7" x14ac:dyDescent="0.3">
      <c r="B38">
        <v>928</v>
      </c>
      <c r="C38">
        <v>1184</v>
      </c>
      <c r="D38">
        <v>1548</v>
      </c>
      <c r="E38" t="s">
        <v>1560</v>
      </c>
      <c r="F38" t="s">
        <v>1824</v>
      </c>
      <c r="G38" t="s">
        <v>9690</v>
      </c>
    </row>
    <row r="39" spans="2:7" x14ac:dyDescent="0.3">
      <c r="B39">
        <v>926</v>
      </c>
      <c r="C39">
        <v>1207</v>
      </c>
      <c r="D39">
        <v>200982</v>
      </c>
      <c r="E39" t="s">
        <v>1834</v>
      </c>
      <c r="F39" t="s">
        <v>1824</v>
      </c>
      <c r="G39" t="s">
        <v>9692</v>
      </c>
    </row>
    <row r="40" spans="2:7" x14ac:dyDescent="0.3">
      <c r="B40">
        <v>926</v>
      </c>
      <c r="C40">
        <v>1207</v>
      </c>
      <c r="D40">
        <v>201011</v>
      </c>
      <c r="E40" t="s">
        <v>1835</v>
      </c>
      <c r="F40" t="s">
        <v>1824</v>
      </c>
      <c r="G40" t="s">
        <v>9694</v>
      </c>
    </row>
    <row r="41" spans="2:7" x14ac:dyDescent="0.3">
      <c r="B41">
        <v>926</v>
      </c>
      <c r="C41">
        <v>1207</v>
      </c>
      <c r="D41">
        <v>200982</v>
      </c>
      <c r="E41" t="s">
        <v>1836</v>
      </c>
      <c r="F41" t="s">
        <v>1824</v>
      </c>
      <c r="G41" t="s">
        <v>9696</v>
      </c>
    </row>
    <row r="42" spans="2:7" x14ac:dyDescent="0.3">
      <c r="B42">
        <v>928</v>
      </c>
      <c r="C42">
        <v>1184</v>
      </c>
      <c r="D42">
        <v>1548</v>
      </c>
      <c r="E42" t="s">
        <v>1164</v>
      </c>
      <c r="F42" t="s">
        <v>1824</v>
      </c>
      <c r="G42" t="s">
        <v>9698</v>
      </c>
    </row>
    <row r="43" spans="2:7" x14ac:dyDescent="0.3">
      <c r="B43">
        <v>928</v>
      </c>
      <c r="C43">
        <v>1184</v>
      </c>
      <c r="D43">
        <v>1548</v>
      </c>
      <c r="E43" t="s">
        <v>1413</v>
      </c>
      <c r="F43" t="s">
        <v>1824</v>
      </c>
      <c r="G43" t="s">
        <v>9700</v>
      </c>
    </row>
    <row r="44" spans="2:7" x14ac:dyDescent="0.3">
      <c r="B44">
        <v>926</v>
      </c>
      <c r="C44">
        <v>964</v>
      </c>
      <c r="D44">
        <v>200998</v>
      </c>
      <c r="E44" t="s">
        <v>1837</v>
      </c>
      <c r="F44" t="s">
        <v>1824</v>
      </c>
      <c r="G44" t="s">
        <v>9702</v>
      </c>
    </row>
    <row r="45" spans="2:7" x14ac:dyDescent="0.3">
      <c r="B45">
        <v>928</v>
      </c>
      <c r="C45">
        <v>1184</v>
      </c>
      <c r="D45">
        <v>201004</v>
      </c>
      <c r="E45" t="s">
        <v>1839</v>
      </c>
      <c r="F45" t="s">
        <v>1824</v>
      </c>
      <c r="G45" t="s">
        <v>9708</v>
      </c>
    </row>
    <row r="46" spans="2:7" x14ac:dyDescent="0.3">
      <c r="B46">
        <v>928</v>
      </c>
      <c r="C46">
        <v>1184</v>
      </c>
      <c r="D46">
        <v>201004</v>
      </c>
      <c r="E46" t="s">
        <v>478</v>
      </c>
      <c r="F46" t="s">
        <v>1824</v>
      </c>
      <c r="G46" t="s">
        <v>9712</v>
      </c>
    </row>
    <row r="47" spans="2:7" x14ac:dyDescent="0.3">
      <c r="B47">
        <v>928</v>
      </c>
      <c r="C47">
        <v>1202</v>
      </c>
      <c r="D47">
        <v>25</v>
      </c>
      <c r="E47" t="s">
        <v>1310</v>
      </c>
      <c r="F47" t="s">
        <v>1824</v>
      </c>
      <c r="G47" t="s">
        <v>9717</v>
      </c>
    </row>
    <row r="48" spans="2:7" x14ac:dyDescent="0.3">
      <c r="B48">
        <v>926</v>
      </c>
      <c r="C48">
        <v>964</v>
      </c>
      <c r="D48">
        <v>200998</v>
      </c>
      <c r="E48" t="s">
        <v>1845</v>
      </c>
      <c r="F48" t="s">
        <v>1824</v>
      </c>
      <c r="G48" t="s">
        <v>9731</v>
      </c>
    </row>
    <row r="49" spans="2:7" x14ac:dyDescent="0.3">
      <c r="B49">
        <v>928</v>
      </c>
      <c r="C49">
        <v>1184</v>
      </c>
      <c r="D49">
        <v>1548</v>
      </c>
      <c r="E49" t="s">
        <v>871</v>
      </c>
      <c r="F49" t="s">
        <v>1824</v>
      </c>
      <c r="G49" t="s">
        <v>9736</v>
      </c>
    </row>
    <row r="50" spans="2:7" x14ac:dyDescent="0.3">
      <c r="B50">
        <v>928</v>
      </c>
      <c r="C50">
        <v>1184</v>
      </c>
      <c r="D50">
        <v>1548</v>
      </c>
      <c r="E50" t="s">
        <v>1846</v>
      </c>
      <c r="F50" t="s">
        <v>1824</v>
      </c>
      <c r="G50" t="s">
        <v>9738</v>
      </c>
    </row>
    <row r="51" spans="2:7" x14ac:dyDescent="0.3">
      <c r="B51">
        <v>926</v>
      </c>
      <c r="C51">
        <v>1207</v>
      </c>
      <c r="D51">
        <v>201011</v>
      </c>
      <c r="E51" t="s">
        <v>1374</v>
      </c>
      <c r="F51" t="s">
        <v>1824</v>
      </c>
      <c r="G51" t="s">
        <v>9740</v>
      </c>
    </row>
    <row r="52" spans="2:7" x14ac:dyDescent="0.3">
      <c r="B52">
        <v>928</v>
      </c>
      <c r="C52">
        <v>1202</v>
      </c>
      <c r="D52">
        <v>939</v>
      </c>
      <c r="E52" t="s">
        <v>731</v>
      </c>
      <c r="F52" t="s">
        <v>1824</v>
      </c>
      <c r="G52" t="s">
        <v>9745</v>
      </c>
    </row>
    <row r="53" spans="2:7" x14ac:dyDescent="0.3">
      <c r="B53">
        <v>928</v>
      </c>
      <c r="C53">
        <v>1184</v>
      </c>
      <c r="D53">
        <v>917</v>
      </c>
      <c r="E53" t="s">
        <v>1849</v>
      </c>
      <c r="F53" t="s">
        <v>1824</v>
      </c>
      <c r="G53" t="s">
        <v>9760</v>
      </c>
    </row>
    <row r="54" spans="2:7" x14ac:dyDescent="0.3">
      <c r="B54">
        <v>928</v>
      </c>
      <c r="C54">
        <v>1184</v>
      </c>
      <c r="D54">
        <v>917</v>
      </c>
      <c r="E54" t="s">
        <v>1850</v>
      </c>
      <c r="F54" t="s">
        <v>1824</v>
      </c>
      <c r="G54" t="s">
        <v>9763</v>
      </c>
    </row>
    <row r="55" spans="2:7" x14ac:dyDescent="0.3">
      <c r="B55">
        <v>928</v>
      </c>
      <c r="C55">
        <v>1202</v>
      </c>
      <c r="D55">
        <v>939</v>
      </c>
      <c r="E55" t="s">
        <v>134</v>
      </c>
      <c r="F55" t="s">
        <v>1824</v>
      </c>
      <c r="G55" t="s">
        <v>9773</v>
      </c>
    </row>
    <row r="56" spans="2:7" x14ac:dyDescent="0.3">
      <c r="B56">
        <v>928</v>
      </c>
      <c r="C56">
        <v>1202</v>
      </c>
      <c r="D56">
        <v>25</v>
      </c>
      <c r="E56" t="s">
        <v>773</v>
      </c>
      <c r="F56" t="s">
        <v>1824</v>
      </c>
      <c r="G56" t="s">
        <v>9775</v>
      </c>
    </row>
    <row r="57" spans="2:7" x14ac:dyDescent="0.3">
      <c r="B57">
        <v>928</v>
      </c>
      <c r="C57">
        <v>1202</v>
      </c>
      <c r="D57">
        <v>25</v>
      </c>
      <c r="E57" t="s">
        <v>790</v>
      </c>
      <c r="F57" t="s">
        <v>1824</v>
      </c>
      <c r="G57" t="s">
        <v>9777</v>
      </c>
    </row>
    <row r="58" spans="2:7" x14ac:dyDescent="0.3">
      <c r="B58">
        <v>926</v>
      </c>
      <c r="C58">
        <v>1207</v>
      </c>
      <c r="D58">
        <v>200982</v>
      </c>
      <c r="E58" t="s">
        <v>1853</v>
      </c>
      <c r="F58" t="s">
        <v>1824</v>
      </c>
      <c r="G58" t="s">
        <v>9779</v>
      </c>
    </row>
    <row r="59" spans="2:7" x14ac:dyDescent="0.3">
      <c r="B59">
        <v>1204</v>
      </c>
      <c r="C59">
        <v>1205</v>
      </c>
      <c r="D59">
        <v>201073</v>
      </c>
      <c r="E59" t="s">
        <v>511</v>
      </c>
      <c r="F59" t="s">
        <v>1824</v>
      </c>
      <c r="G59" t="s">
        <v>9782</v>
      </c>
    </row>
    <row r="60" spans="2:7" x14ac:dyDescent="0.3">
      <c r="B60">
        <v>926</v>
      </c>
      <c r="C60">
        <v>1207</v>
      </c>
      <c r="D60">
        <v>201011</v>
      </c>
      <c r="E60" t="s">
        <v>1854</v>
      </c>
      <c r="F60" t="s">
        <v>1824</v>
      </c>
      <c r="G60" t="s">
        <v>9785</v>
      </c>
    </row>
    <row r="61" spans="2:7" x14ac:dyDescent="0.3">
      <c r="B61">
        <v>927</v>
      </c>
      <c r="C61">
        <v>1200</v>
      </c>
      <c r="D61">
        <v>1271</v>
      </c>
      <c r="E61" t="s">
        <v>776</v>
      </c>
      <c r="F61" t="s">
        <v>1824</v>
      </c>
      <c r="G61" t="s">
        <v>9788</v>
      </c>
    </row>
    <row r="62" spans="2:7" x14ac:dyDescent="0.3">
      <c r="B62">
        <v>928</v>
      </c>
      <c r="C62">
        <v>1184</v>
      </c>
      <c r="D62">
        <v>201004</v>
      </c>
      <c r="E62" t="s">
        <v>1176</v>
      </c>
      <c r="F62" t="s">
        <v>1824</v>
      </c>
      <c r="G62" t="s">
        <v>9790</v>
      </c>
    </row>
    <row r="63" spans="2:7" x14ac:dyDescent="0.3">
      <c r="B63">
        <v>928</v>
      </c>
      <c r="C63">
        <v>1202</v>
      </c>
      <c r="D63">
        <v>25</v>
      </c>
      <c r="E63" t="s">
        <v>1599</v>
      </c>
      <c r="F63" t="s">
        <v>1824</v>
      </c>
      <c r="G63" t="s">
        <v>9795</v>
      </c>
    </row>
    <row r="64" spans="2:7" x14ac:dyDescent="0.3">
      <c r="B64">
        <v>1204</v>
      </c>
      <c r="C64">
        <v>1205</v>
      </c>
      <c r="D64">
        <v>201073</v>
      </c>
      <c r="E64" t="s">
        <v>366</v>
      </c>
      <c r="F64" t="s">
        <v>1824</v>
      </c>
      <c r="G64" t="s">
        <v>9807</v>
      </c>
    </row>
    <row r="65" spans="2:7" x14ac:dyDescent="0.3">
      <c r="B65">
        <v>926</v>
      </c>
      <c r="C65">
        <v>964</v>
      </c>
      <c r="D65">
        <v>1616</v>
      </c>
      <c r="E65" t="s">
        <v>1011</v>
      </c>
      <c r="F65" t="s">
        <v>1824</v>
      </c>
      <c r="G65" t="s">
        <v>9809</v>
      </c>
    </row>
    <row r="66" spans="2:7" x14ac:dyDescent="0.3">
      <c r="B66">
        <v>928</v>
      </c>
      <c r="C66">
        <v>1202</v>
      </c>
      <c r="D66">
        <v>25</v>
      </c>
      <c r="E66" t="s">
        <v>914</v>
      </c>
      <c r="F66" t="s">
        <v>1824</v>
      </c>
      <c r="G66" t="s">
        <v>9832</v>
      </c>
    </row>
    <row r="67" spans="2:7" x14ac:dyDescent="0.3">
      <c r="B67">
        <v>928</v>
      </c>
      <c r="C67">
        <v>1202</v>
      </c>
      <c r="D67">
        <v>25</v>
      </c>
      <c r="E67" t="s">
        <v>1063</v>
      </c>
      <c r="F67" t="s">
        <v>1824</v>
      </c>
      <c r="G67" t="s">
        <v>9834</v>
      </c>
    </row>
    <row r="68" spans="2:7" x14ac:dyDescent="0.3">
      <c r="B68">
        <v>928</v>
      </c>
      <c r="C68">
        <v>1202</v>
      </c>
      <c r="D68">
        <v>25</v>
      </c>
      <c r="E68" t="s">
        <v>1289</v>
      </c>
      <c r="F68" t="s">
        <v>1824</v>
      </c>
      <c r="G68" t="s">
        <v>9836</v>
      </c>
    </row>
    <row r="69" spans="2:7" x14ac:dyDescent="0.3">
      <c r="B69">
        <v>928</v>
      </c>
      <c r="C69">
        <v>1202</v>
      </c>
      <c r="D69">
        <v>25</v>
      </c>
      <c r="E69" t="s">
        <v>1862</v>
      </c>
      <c r="F69" t="s">
        <v>1824</v>
      </c>
      <c r="G69" t="s">
        <v>9838</v>
      </c>
    </row>
    <row r="70" spans="2:7" x14ac:dyDescent="0.3">
      <c r="B70">
        <v>928</v>
      </c>
      <c r="C70">
        <v>1202</v>
      </c>
      <c r="D70">
        <v>939</v>
      </c>
      <c r="E70" t="s">
        <v>717</v>
      </c>
      <c r="F70" t="s">
        <v>1824</v>
      </c>
      <c r="G70" t="s">
        <v>9842</v>
      </c>
    </row>
    <row r="71" spans="2:7" x14ac:dyDescent="0.3">
      <c r="B71">
        <v>928</v>
      </c>
      <c r="C71">
        <v>1202</v>
      </c>
      <c r="D71">
        <v>939</v>
      </c>
      <c r="E71" t="s">
        <v>1358</v>
      </c>
      <c r="F71" t="s">
        <v>1824</v>
      </c>
      <c r="G71" t="s">
        <v>9846</v>
      </c>
    </row>
    <row r="72" spans="2:7" x14ac:dyDescent="0.3">
      <c r="B72">
        <v>928</v>
      </c>
      <c r="C72">
        <v>1202</v>
      </c>
      <c r="D72">
        <v>939</v>
      </c>
      <c r="E72" t="s">
        <v>1460</v>
      </c>
      <c r="F72" t="s">
        <v>1824</v>
      </c>
      <c r="G72" t="s">
        <v>9848</v>
      </c>
    </row>
    <row r="73" spans="2:7" x14ac:dyDescent="0.3">
      <c r="B73">
        <v>928</v>
      </c>
      <c r="C73">
        <v>1202</v>
      </c>
      <c r="D73">
        <v>25</v>
      </c>
      <c r="E73" t="s">
        <v>1864</v>
      </c>
      <c r="F73" t="s">
        <v>1824</v>
      </c>
      <c r="G73" t="s">
        <v>9850</v>
      </c>
    </row>
    <row r="74" spans="2:7" x14ac:dyDescent="0.3">
      <c r="B74">
        <v>928</v>
      </c>
      <c r="C74">
        <v>1202</v>
      </c>
      <c r="D74">
        <v>939</v>
      </c>
      <c r="E74" t="s">
        <v>1027</v>
      </c>
      <c r="F74" t="s">
        <v>1824</v>
      </c>
      <c r="G74" t="s">
        <v>9854</v>
      </c>
    </row>
    <row r="75" spans="2:7" x14ac:dyDescent="0.3">
      <c r="B75">
        <v>928</v>
      </c>
      <c r="C75">
        <v>1202</v>
      </c>
      <c r="D75">
        <v>251</v>
      </c>
      <c r="E75" t="s">
        <v>1410</v>
      </c>
      <c r="F75" t="s">
        <v>1824</v>
      </c>
      <c r="G75" t="s">
        <v>9864</v>
      </c>
    </row>
    <row r="76" spans="2:7" x14ac:dyDescent="0.3">
      <c r="B76">
        <v>928</v>
      </c>
      <c r="C76">
        <v>1184</v>
      </c>
      <c r="D76">
        <v>1548</v>
      </c>
      <c r="E76" t="s">
        <v>1868</v>
      </c>
      <c r="F76" t="s">
        <v>1824</v>
      </c>
      <c r="G76" t="s">
        <v>9870</v>
      </c>
    </row>
    <row r="77" spans="2:7" x14ac:dyDescent="0.3">
      <c r="B77">
        <v>928</v>
      </c>
      <c r="C77">
        <v>1202</v>
      </c>
      <c r="D77">
        <v>25</v>
      </c>
      <c r="E77" t="s">
        <v>82</v>
      </c>
      <c r="F77" t="s">
        <v>1824</v>
      </c>
      <c r="G77" t="s">
        <v>9872</v>
      </c>
    </row>
    <row r="78" spans="2:7" x14ac:dyDescent="0.3">
      <c r="B78">
        <v>928</v>
      </c>
      <c r="C78">
        <v>1184</v>
      </c>
      <c r="D78">
        <v>917</v>
      </c>
      <c r="E78" t="s">
        <v>1869</v>
      </c>
      <c r="F78" t="s">
        <v>1824</v>
      </c>
      <c r="G78" t="s">
        <v>9876</v>
      </c>
    </row>
    <row r="79" spans="2:7" x14ac:dyDescent="0.3">
      <c r="B79">
        <v>928</v>
      </c>
      <c r="C79">
        <v>1202</v>
      </c>
      <c r="D79">
        <v>251</v>
      </c>
      <c r="E79" t="s">
        <v>1303</v>
      </c>
      <c r="F79" t="s">
        <v>1824</v>
      </c>
      <c r="G79" t="s">
        <v>9878</v>
      </c>
    </row>
    <row r="80" spans="2:7" x14ac:dyDescent="0.3">
      <c r="B80">
        <v>928</v>
      </c>
      <c r="C80">
        <v>1202</v>
      </c>
      <c r="D80">
        <v>25</v>
      </c>
      <c r="E80" t="s">
        <v>1470</v>
      </c>
      <c r="F80" t="s">
        <v>1824</v>
      </c>
      <c r="G80" t="s">
        <v>9880</v>
      </c>
    </row>
    <row r="81" spans="2:7" x14ac:dyDescent="0.3">
      <c r="B81">
        <v>928</v>
      </c>
      <c r="C81">
        <v>1202</v>
      </c>
      <c r="D81">
        <v>939</v>
      </c>
      <c r="E81" t="s">
        <v>457</v>
      </c>
      <c r="F81" t="s">
        <v>1824</v>
      </c>
      <c r="G81" t="s">
        <v>9896</v>
      </c>
    </row>
    <row r="82" spans="2:7" x14ac:dyDescent="0.3">
      <c r="B82">
        <v>928</v>
      </c>
      <c r="C82">
        <v>1202</v>
      </c>
      <c r="D82">
        <v>939</v>
      </c>
      <c r="E82" t="s">
        <v>1871</v>
      </c>
      <c r="F82" t="s">
        <v>1824</v>
      </c>
      <c r="G82" t="s">
        <v>9901</v>
      </c>
    </row>
    <row r="83" spans="2:7" x14ac:dyDescent="0.3">
      <c r="B83">
        <v>926</v>
      </c>
      <c r="C83">
        <v>964</v>
      </c>
      <c r="D83">
        <v>200998</v>
      </c>
      <c r="E83" t="s">
        <v>1872</v>
      </c>
      <c r="F83" t="s">
        <v>1824</v>
      </c>
      <c r="G83" t="s">
        <v>9904</v>
      </c>
    </row>
    <row r="84" spans="2:7" x14ac:dyDescent="0.3">
      <c r="B84">
        <v>928</v>
      </c>
      <c r="C84">
        <v>1202</v>
      </c>
      <c r="D84">
        <v>25</v>
      </c>
      <c r="E84" t="s">
        <v>1787</v>
      </c>
      <c r="F84" t="s">
        <v>1824</v>
      </c>
      <c r="G84" t="s">
        <v>9910</v>
      </c>
    </row>
    <row r="85" spans="2:7" x14ac:dyDescent="0.3">
      <c r="B85">
        <v>928</v>
      </c>
      <c r="C85">
        <v>1202</v>
      </c>
      <c r="D85">
        <v>939</v>
      </c>
      <c r="E85" t="s">
        <v>1296</v>
      </c>
      <c r="F85" t="s">
        <v>1824</v>
      </c>
      <c r="G85" t="s">
        <v>9912</v>
      </c>
    </row>
    <row r="86" spans="2:7" x14ac:dyDescent="0.3">
      <c r="B86">
        <v>927</v>
      </c>
      <c r="C86">
        <v>1200</v>
      </c>
      <c r="D86">
        <v>1012</v>
      </c>
      <c r="E86" t="s">
        <v>911</v>
      </c>
      <c r="F86" t="s">
        <v>1824</v>
      </c>
      <c r="G86" t="s">
        <v>9914</v>
      </c>
    </row>
    <row r="87" spans="2:7" x14ac:dyDescent="0.3">
      <c r="B87">
        <v>928</v>
      </c>
      <c r="C87">
        <v>1202</v>
      </c>
      <c r="D87">
        <v>939</v>
      </c>
      <c r="E87" t="s">
        <v>595</v>
      </c>
      <c r="F87" t="s">
        <v>1824</v>
      </c>
      <c r="G87" t="s">
        <v>9917</v>
      </c>
    </row>
    <row r="88" spans="2:7" x14ac:dyDescent="0.3">
      <c r="B88">
        <v>928</v>
      </c>
      <c r="C88">
        <v>1202</v>
      </c>
      <c r="D88">
        <v>251</v>
      </c>
      <c r="E88" t="s">
        <v>413</v>
      </c>
      <c r="F88" t="s">
        <v>1824</v>
      </c>
      <c r="G88" t="s">
        <v>9930</v>
      </c>
    </row>
    <row r="89" spans="2:7" x14ac:dyDescent="0.3">
      <c r="B89">
        <v>926</v>
      </c>
      <c r="C89">
        <v>1207</v>
      </c>
      <c r="D89">
        <v>201011</v>
      </c>
      <c r="E89" t="s">
        <v>1880</v>
      </c>
      <c r="F89" t="s">
        <v>1824</v>
      </c>
      <c r="G89" t="s">
        <v>9938</v>
      </c>
    </row>
    <row r="90" spans="2:7" x14ac:dyDescent="0.3">
      <c r="B90">
        <v>928</v>
      </c>
      <c r="C90">
        <v>1202</v>
      </c>
      <c r="D90">
        <v>939</v>
      </c>
      <c r="E90" t="s">
        <v>1473</v>
      </c>
      <c r="F90" t="s">
        <v>1824</v>
      </c>
      <c r="G90" t="s">
        <v>9942</v>
      </c>
    </row>
    <row r="91" spans="2:7" x14ac:dyDescent="0.3">
      <c r="B91">
        <v>926</v>
      </c>
      <c r="C91">
        <v>964</v>
      </c>
      <c r="D91">
        <v>1616</v>
      </c>
      <c r="E91" t="s">
        <v>1881</v>
      </c>
      <c r="F91" t="s">
        <v>1824</v>
      </c>
      <c r="G91" t="s">
        <v>9944</v>
      </c>
    </row>
    <row r="92" spans="2:7" x14ac:dyDescent="0.3">
      <c r="B92">
        <v>928</v>
      </c>
      <c r="C92">
        <v>1202</v>
      </c>
      <c r="D92">
        <v>251</v>
      </c>
      <c r="E92" t="s">
        <v>1670</v>
      </c>
      <c r="F92" t="s">
        <v>1824</v>
      </c>
      <c r="G92" t="s">
        <v>9946</v>
      </c>
    </row>
    <row r="93" spans="2:7" x14ac:dyDescent="0.3">
      <c r="B93">
        <v>928</v>
      </c>
      <c r="C93">
        <v>1202</v>
      </c>
      <c r="D93">
        <v>251</v>
      </c>
      <c r="E93" t="s">
        <v>1883</v>
      </c>
      <c r="F93" t="s">
        <v>1824</v>
      </c>
      <c r="G93" t="s">
        <v>9955</v>
      </c>
    </row>
    <row r="94" spans="2:7" x14ac:dyDescent="0.3">
      <c r="B94">
        <v>928</v>
      </c>
      <c r="C94">
        <v>1202</v>
      </c>
      <c r="D94">
        <v>25</v>
      </c>
      <c r="E94" t="s">
        <v>1507</v>
      </c>
      <c r="F94" t="s">
        <v>1824</v>
      </c>
      <c r="G94" t="s">
        <v>9957</v>
      </c>
    </row>
    <row r="95" spans="2:7" x14ac:dyDescent="0.3">
      <c r="B95">
        <v>927</v>
      </c>
      <c r="C95">
        <v>1200</v>
      </c>
      <c r="D95">
        <v>551</v>
      </c>
      <c r="E95" t="s">
        <v>994</v>
      </c>
      <c r="F95" t="s">
        <v>1824</v>
      </c>
      <c r="G95" t="s">
        <v>9959</v>
      </c>
    </row>
    <row r="96" spans="2:7" x14ac:dyDescent="0.3">
      <c r="B96">
        <v>926</v>
      </c>
      <c r="C96">
        <v>1207</v>
      </c>
      <c r="D96">
        <v>201011</v>
      </c>
      <c r="E96" t="s">
        <v>1812</v>
      </c>
      <c r="F96" t="s">
        <v>1824</v>
      </c>
      <c r="G96" t="s">
        <v>9964</v>
      </c>
    </row>
    <row r="97" spans="2:7" x14ac:dyDescent="0.3">
      <c r="B97">
        <v>928</v>
      </c>
      <c r="C97">
        <v>1202</v>
      </c>
      <c r="D97">
        <v>251</v>
      </c>
      <c r="E97" t="s">
        <v>1884</v>
      </c>
      <c r="F97" t="s">
        <v>1824</v>
      </c>
      <c r="G97" t="s">
        <v>9966</v>
      </c>
    </row>
    <row r="98" spans="2:7" x14ac:dyDescent="0.3">
      <c r="B98">
        <v>928</v>
      </c>
      <c r="C98">
        <v>1184</v>
      </c>
      <c r="D98">
        <v>201004</v>
      </c>
      <c r="E98" t="s">
        <v>1886</v>
      </c>
      <c r="F98" t="s">
        <v>1824</v>
      </c>
      <c r="G98" t="s">
        <v>9969</v>
      </c>
    </row>
    <row r="99" spans="2:7" x14ac:dyDescent="0.3">
      <c r="B99">
        <v>928</v>
      </c>
      <c r="C99">
        <v>1202</v>
      </c>
      <c r="D99">
        <v>251</v>
      </c>
      <c r="E99" t="s">
        <v>1095</v>
      </c>
      <c r="F99" t="s">
        <v>1824</v>
      </c>
      <c r="G99" t="s">
        <v>9976</v>
      </c>
    </row>
    <row r="100" spans="2:7" x14ac:dyDescent="0.3">
      <c r="B100">
        <v>928</v>
      </c>
      <c r="C100">
        <v>1202</v>
      </c>
      <c r="D100">
        <v>939</v>
      </c>
      <c r="E100" t="s">
        <v>920</v>
      </c>
      <c r="F100" t="s">
        <v>1824</v>
      </c>
      <c r="G100" t="s">
        <v>9988</v>
      </c>
    </row>
    <row r="101" spans="2:7" x14ac:dyDescent="0.3">
      <c r="B101">
        <v>927</v>
      </c>
      <c r="C101">
        <v>1200</v>
      </c>
      <c r="D101">
        <v>551</v>
      </c>
      <c r="E101" t="s">
        <v>1896</v>
      </c>
      <c r="F101" t="s">
        <v>1824</v>
      </c>
      <c r="G101" t="s">
        <v>9999</v>
      </c>
    </row>
    <row r="102" spans="2:7" x14ac:dyDescent="0.3">
      <c r="B102">
        <v>928</v>
      </c>
      <c r="C102">
        <v>1202</v>
      </c>
      <c r="D102">
        <v>939</v>
      </c>
      <c r="E102" t="s">
        <v>1899</v>
      </c>
      <c r="F102" t="s">
        <v>1824</v>
      </c>
      <c r="G102" t="s">
        <v>10005</v>
      </c>
    </row>
    <row r="103" spans="2:7" x14ac:dyDescent="0.3">
      <c r="B103">
        <v>928</v>
      </c>
      <c r="C103">
        <v>1202</v>
      </c>
      <c r="D103">
        <v>25</v>
      </c>
      <c r="E103" t="s">
        <v>668</v>
      </c>
      <c r="F103" t="s">
        <v>1824</v>
      </c>
      <c r="G103" t="s">
        <v>10011</v>
      </c>
    </row>
    <row r="104" spans="2:7" x14ac:dyDescent="0.3">
      <c r="B104">
        <v>926</v>
      </c>
      <c r="C104">
        <v>964</v>
      </c>
      <c r="D104">
        <v>200998</v>
      </c>
      <c r="E104" t="s">
        <v>1903</v>
      </c>
      <c r="F104" t="s">
        <v>1824</v>
      </c>
      <c r="G104" t="s">
        <v>10018</v>
      </c>
    </row>
    <row r="105" spans="2:7" x14ac:dyDescent="0.3">
      <c r="B105">
        <v>928</v>
      </c>
      <c r="C105">
        <v>1184</v>
      </c>
      <c r="D105">
        <v>201022</v>
      </c>
      <c r="E105" t="s">
        <v>1905</v>
      </c>
      <c r="F105" t="s">
        <v>1824</v>
      </c>
      <c r="G105" t="s">
        <v>10023</v>
      </c>
    </row>
    <row r="106" spans="2:7" x14ac:dyDescent="0.3">
      <c r="B106">
        <v>927</v>
      </c>
      <c r="C106">
        <v>1200</v>
      </c>
      <c r="D106">
        <v>1271</v>
      </c>
      <c r="E106" t="s">
        <v>1157</v>
      </c>
      <c r="F106" t="s">
        <v>1824</v>
      </c>
      <c r="G106" t="s">
        <v>10028</v>
      </c>
    </row>
    <row r="107" spans="2:7" x14ac:dyDescent="0.3">
      <c r="B107">
        <v>927</v>
      </c>
      <c r="C107">
        <v>1200</v>
      </c>
      <c r="D107">
        <v>201038</v>
      </c>
      <c r="E107" t="s">
        <v>1906</v>
      </c>
      <c r="F107" t="s">
        <v>1824</v>
      </c>
      <c r="G107" t="s">
        <v>10057</v>
      </c>
    </row>
    <row r="108" spans="2:7" x14ac:dyDescent="0.3">
      <c r="B108">
        <v>927</v>
      </c>
      <c r="C108">
        <v>1200</v>
      </c>
      <c r="D108">
        <v>930</v>
      </c>
      <c r="E108" t="s">
        <v>874</v>
      </c>
      <c r="F108" t="s">
        <v>1824</v>
      </c>
      <c r="G108" t="s">
        <v>10061</v>
      </c>
    </row>
    <row r="109" spans="2:7" x14ac:dyDescent="0.3">
      <c r="B109">
        <v>927</v>
      </c>
      <c r="C109">
        <v>1200</v>
      </c>
      <c r="D109">
        <v>930</v>
      </c>
      <c r="E109" t="s">
        <v>1910</v>
      </c>
      <c r="F109" t="s">
        <v>1907</v>
      </c>
      <c r="G109" t="s">
        <v>10068</v>
      </c>
    </row>
    <row r="110" spans="2:7" x14ac:dyDescent="0.3">
      <c r="B110">
        <v>927</v>
      </c>
      <c r="C110">
        <v>1200</v>
      </c>
      <c r="D110">
        <v>930</v>
      </c>
      <c r="E110" t="s">
        <v>1053</v>
      </c>
      <c r="F110" t="s">
        <v>1907</v>
      </c>
      <c r="G110" t="s">
        <v>10072</v>
      </c>
    </row>
    <row r="111" spans="2:7" x14ac:dyDescent="0.3">
      <c r="B111">
        <v>927</v>
      </c>
      <c r="C111">
        <v>1200</v>
      </c>
      <c r="D111">
        <v>201116</v>
      </c>
      <c r="E111" t="s">
        <v>324</v>
      </c>
      <c r="F111" t="s">
        <v>1907</v>
      </c>
      <c r="G111" t="s">
        <v>10075</v>
      </c>
    </row>
    <row r="112" spans="2:7" x14ac:dyDescent="0.3">
      <c r="B112">
        <v>928</v>
      </c>
      <c r="C112">
        <v>935</v>
      </c>
      <c r="D112">
        <v>2</v>
      </c>
      <c r="E112" t="s">
        <v>1911</v>
      </c>
      <c r="F112" t="s">
        <v>1907</v>
      </c>
      <c r="G112" t="s">
        <v>10077</v>
      </c>
    </row>
    <row r="113" spans="2:7" x14ac:dyDescent="0.3">
      <c r="B113">
        <v>928</v>
      </c>
      <c r="C113">
        <v>935</v>
      </c>
      <c r="D113">
        <v>2</v>
      </c>
      <c r="E113" t="s">
        <v>1913</v>
      </c>
      <c r="F113" t="s">
        <v>1907</v>
      </c>
      <c r="G113" t="s">
        <v>10080</v>
      </c>
    </row>
    <row r="114" spans="2:7" x14ac:dyDescent="0.3">
      <c r="B114">
        <v>928</v>
      </c>
      <c r="C114">
        <v>1202</v>
      </c>
      <c r="D114">
        <v>939</v>
      </c>
      <c r="E114" t="s">
        <v>1804</v>
      </c>
      <c r="F114" t="s">
        <v>1907</v>
      </c>
      <c r="G114" t="s">
        <v>10083</v>
      </c>
    </row>
    <row r="115" spans="2:7" x14ac:dyDescent="0.3">
      <c r="B115">
        <v>1204</v>
      </c>
      <c r="C115">
        <v>1205</v>
      </c>
      <c r="D115">
        <v>201073</v>
      </c>
      <c r="E115" t="s">
        <v>777</v>
      </c>
      <c r="F115" t="s">
        <v>1907</v>
      </c>
      <c r="G115" t="s">
        <v>10086</v>
      </c>
    </row>
    <row r="116" spans="2:7" x14ac:dyDescent="0.3">
      <c r="B116">
        <v>926</v>
      </c>
      <c r="C116">
        <v>1207</v>
      </c>
      <c r="D116">
        <v>201011</v>
      </c>
      <c r="E116" t="s">
        <v>1073</v>
      </c>
      <c r="F116" t="s">
        <v>1907</v>
      </c>
      <c r="G116" t="s">
        <v>10094</v>
      </c>
    </row>
    <row r="117" spans="2:7" x14ac:dyDescent="0.3">
      <c r="B117">
        <v>928</v>
      </c>
      <c r="C117">
        <v>935</v>
      </c>
      <c r="D117">
        <v>2</v>
      </c>
      <c r="E117" t="s">
        <v>1916</v>
      </c>
      <c r="F117" t="s">
        <v>1907</v>
      </c>
      <c r="G117" t="s">
        <v>10097</v>
      </c>
    </row>
    <row r="118" spans="2:7" x14ac:dyDescent="0.3">
      <c r="B118">
        <v>928</v>
      </c>
      <c r="C118">
        <v>1202</v>
      </c>
      <c r="D118">
        <v>81</v>
      </c>
      <c r="E118" t="s">
        <v>650</v>
      </c>
      <c r="F118" t="s">
        <v>1907</v>
      </c>
      <c r="G118" t="s">
        <v>10100</v>
      </c>
    </row>
    <row r="119" spans="2:7" x14ac:dyDescent="0.3">
      <c r="B119">
        <v>1204</v>
      </c>
      <c r="C119">
        <v>1205</v>
      </c>
      <c r="D119">
        <v>201073</v>
      </c>
      <c r="E119" t="s">
        <v>366</v>
      </c>
      <c r="F119" t="s">
        <v>1907</v>
      </c>
      <c r="G119" t="s">
        <v>10102</v>
      </c>
    </row>
    <row r="120" spans="2:7" x14ac:dyDescent="0.3">
      <c r="B120">
        <v>928</v>
      </c>
      <c r="C120">
        <v>1184</v>
      </c>
      <c r="D120">
        <v>917</v>
      </c>
      <c r="E120" t="s">
        <v>720</v>
      </c>
      <c r="F120" t="s">
        <v>1907</v>
      </c>
      <c r="G120" t="s">
        <v>10105</v>
      </c>
    </row>
    <row r="121" spans="2:7" x14ac:dyDescent="0.3">
      <c r="B121">
        <v>926</v>
      </c>
      <c r="C121">
        <v>1207</v>
      </c>
      <c r="D121">
        <v>201011</v>
      </c>
      <c r="E121" t="s">
        <v>159</v>
      </c>
      <c r="F121" t="s">
        <v>1907</v>
      </c>
      <c r="G121" t="s">
        <v>10107</v>
      </c>
    </row>
    <row r="122" spans="2:7" x14ac:dyDescent="0.3">
      <c r="B122">
        <v>928</v>
      </c>
      <c r="C122">
        <v>966</v>
      </c>
      <c r="D122">
        <v>201008</v>
      </c>
      <c r="E122" t="s">
        <v>1238</v>
      </c>
      <c r="F122" t="s">
        <v>1907</v>
      </c>
      <c r="G122" t="s">
        <v>10112</v>
      </c>
    </row>
    <row r="123" spans="2:7" x14ac:dyDescent="0.3">
      <c r="B123">
        <v>928</v>
      </c>
      <c r="C123">
        <v>1184</v>
      </c>
      <c r="D123">
        <v>201029</v>
      </c>
      <c r="E123" t="s">
        <v>449</v>
      </c>
      <c r="F123" t="s">
        <v>1907</v>
      </c>
      <c r="G123" t="s">
        <v>10115</v>
      </c>
    </row>
    <row r="124" spans="2:7" x14ac:dyDescent="0.3">
      <c r="B124">
        <v>928</v>
      </c>
      <c r="C124">
        <v>1202</v>
      </c>
      <c r="D124">
        <v>929</v>
      </c>
      <c r="E124" t="s">
        <v>960</v>
      </c>
      <c r="F124" t="s">
        <v>1907</v>
      </c>
      <c r="G124" t="s">
        <v>10117</v>
      </c>
    </row>
    <row r="125" spans="2:7" x14ac:dyDescent="0.3">
      <c r="B125">
        <v>1204</v>
      </c>
      <c r="C125">
        <v>1205</v>
      </c>
      <c r="D125">
        <v>201073</v>
      </c>
      <c r="E125" t="s">
        <v>1405</v>
      </c>
      <c r="F125" t="s">
        <v>1907</v>
      </c>
      <c r="G125" t="s">
        <v>10119</v>
      </c>
    </row>
    <row r="126" spans="2:7" x14ac:dyDescent="0.3">
      <c r="B126">
        <v>927</v>
      </c>
      <c r="C126">
        <v>1200</v>
      </c>
      <c r="D126">
        <v>201116</v>
      </c>
      <c r="E126" t="s">
        <v>324</v>
      </c>
      <c r="F126" t="s">
        <v>1907</v>
      </c>
      <c r="G126" t="s">
        <v>10126</v>
      </c>
    </row>
    <row r="127" spans="2:7" x14ac:dyDescent="0.3">
      <c r="B127">
        <v>928</v>
      </c>
      <c r="C127">
        <v>935</v>
      </c>
      <c r="D127">
        <v>2</v>
      </c>
      <c r="E127" t="s">
        <v>1920</v>
      </c>
      <c r="F127" t="s">
        <v>1907</v>
      </c>
      <c r="G127" t="s">
        <v>10131</v>
      </c>
    </row>
    <row r="128" spans="2:7" x14ac:dyDescent="0.3">
      <c r="B128">
        <v>1204</v>
      </c>
      <c r="C128">
        <v>1205</v>
      </c>
      <c r="D128">
        <v>201073</v>
      </c>
      <c r="E128" t="s">
        <v>1405</v>
      </c>
      <c r="F128" t="s">
        <v>1907</v>
      </c>
      <c r="G128" t="s">
        <v>10133</v>
      </c>
    </row>
    <row r="129" spans="2:7" x14ac:dyDescent="0.3">
      <c r="B129">
        <v>928</v>
      </c>
      <c r="C129">
        <v>935</v>
      </c>
      <c r="D129">
        <v>2</v>
      </c>
      <c r="E129" t="s">
        <v>1913</v>
      </c>
      <c r="F129" t="s">
        <v>1907</v>
      </c>
      <c r="G129" t="s">
        <v>10136</v>
      </c>
    </row>
    <row r="130" spans="2:7" x14ac:dyDescent="0.3">
      <c r="B130">
        <v>928</v>
      </c>
      <c r="C130">
        <v>966</v>
      </c>
      <c r="D130">
        <v>201008</v>
      </c>
      <c r="E130" t="s">
        <v>1238</v>
      </c>
      <c r="F130" t="s">
        <v>1907</v>
      </c>
      <c r="G130" t="s">
        <v>10139</v>
      </c>
    </row>
    <row r="131" spans="2:7" x14ac:dyDescent="0.3">
      <c r="B131">
        <v>928</v>
      </c>
      <c r="C131">
        <v>1184</v>
      </c>
      <c r="D131">
        <v>201022</v>
      </c>
      <c r="E131" t="s">
        <v>1461</v>
      </c>
      <c r="F131" t="s">
        <v>1907</v>
      </c>
      <c r="G131" t="s">
        <v>10141</v>
      </c>
    </row>
    <row r="132" spans="2:7" x14ac:dyDescent="0.3">
      <c r="B132">
        <v>928</v>
      </c>
      <c r="C132">
        <v>935</v>
      </c>
      <c r="D132">
        <v>2</v>
      </c>
      <c r="E132" t="s">
        <v>1343</v>
      </c>
      <c r="F132" t="s">
        <v>1907</v>
      </c>
      <c r="G132" t="s">
        <v>10143</v>
      </c>
    </row>
    <row r="133" spans="2:7" x14ac:dyDescent="0.3">
      <c r="B133">
        <v>928</v>
      </c>
      <c r="C133">
        <v>1202</v>
      </c>
      <c r="D133">
        <v>933</v>
      </c>
      <c r="E133" t="s">
        <v>1750</v>
      </c>
      <c r="F133" t="s">
        <v>1907</v>
      </c>
      <c r="G133" t="s">
        <v>10145</v>
      </c>
    </row>
    <row r="134" spans="2:7" x14ac:dyDescent="0.3">
      <c r="B134">
        <v>926</v>
      </c>
      <c r="C134">
        <v>1207</v>
      </c>
      <c r="D134">
        <v>200982</v>
      </c>
      <c r="E134" t="s">
        <v>1805</v>
      </c>
      <c r="F134" t="s">
        <v>1907</v>
      </c>
      <c r="G134" t="s">
        <v>10147</v>
      </c>
    </row>
    <row r="135" spans="2:7" x14ac:dyDescent="0.3">
      <c r="B135">
        <v>928</v>
      </c>
      <c r="C135">
        <v>1202</v>
      </c>
      <c r="D135">
        <v>251</v>
      </c>
      <c r="E135" t="s">
        <v>413</v>
      </c>
      <c r="F135" t="s">
        <v>1907</v>
      </c>
      <c r="G135" t="s">
        <v>10149</v>
      </c>
    </row>
    <row r="136" spans="2:7" x14ac:dyDescent="0.3">
      <c r="B136">
        <v>926</v>
      </c>
      <c r="C136">
        <v>1207</v>
      </c>
      <c r="D136">
        <v>201104</v>
      </c>
      <c r="E136" t="s">
        <v>338</v>
      </c>
      <c r="F136" t="s">
        <v>1907</v>
      </c>
      <c r="G136" t="s">
        <v>10152</v>
      </c>
    </row>
    <row r="137" spans="2:7" x14ac:dyDescent="0.3">
      <c r="B137">
        <v>926</v>
      </c>
      <c r="C137">
        <v>1207</v>
      </c>
      <c r="D137">
        <v>201103</v>
      </c>
      <c r="E137" t="s">
        <v>1922</v>
      </c>
      <c r="F137" t="s">
        <v>1907</v>
      </c>
      <c r="G137" t="s">
        <v>10157</v>
      </c>
    </row>
    <row r="138" spans="2:7" x14ac:dyDescent="0.3">
      <c r="B138">
        <v>927</v>
      </c>
      <c r="C138">
        <v>965</v>
      </c>
      <c r="D138">
        <v>201061</v>
      </c>
      <c r="E138" t="s">
        <v>1572</v>
      </c>
      <c r="F138" t="s">
        <v>1907</v>
      </c>
      <c r="G138" t="s">
        <v>10161</v>
      </c>
    </row>
    <row r="139" spans="2:7" x14ac:dyDescent="0.3">
      <c r="B139">
        <v>809</v>
      </c>
      <c r="C139">
        <v>810</v>
      </c>
      <c r="D139">
        <v>201032</v>
      </c>
      <c r="E139" t="s">
        <v>231</v>
      </c>
      <c r="F139" t="s">
        <v>1907</v>
      </c>
      <c r="G139" t="s">
        <v>10163</v>
      </c>
    </row>
    <row r="140" spans="2:7" x14ac:dyDescent="0.3">
      <c r="B140">
        <v>926</v>
      </c>
      <c r="C140">
        <v>954</v>
      </c>
      <c r="D140">
        <v>200999</v>
      </c>
      <c r="E140" t="s">
        <v>621</v>
      </c>
      <c r="F140" t="s">
        <v>1907</v>
      </c>
      <c r="G140" t="s">
        <v>10165</v>
      </c>
    </row>
    <row r="141" spans="2:7" x14ac:dyDescent="0.3">
      <c r="B141">
        <v>927</v>
      </c>
      <c r="C141">
        <v>1200</v>
      </c>
      <c r="D141">
        <v>1012</v>
      </c>
      <c r="E141" t="s">
        <v>959</v>
      </c>
      <c r="F141" t="s">
        <v>1907</v>
      </c>
      <c r="G141" t="s">
        <v>10167</v>
      </c>
    </row>
    <row r="142" spans="2:7" x14ac:dyDescent="0.3">
      <c r="B142">
        <v>1204</v>
      </c>
      <c r="C142">
        <v>1205</v>
      </c>
      <c r="D142">
        <v>201073</v>
      </c>
      <c r="E142" t="s">
        <v>366</v>
      </c>
      <c r="F142" t="s">
        <v>1907</v>
      </c>
      <c r="G142" t="s">
        <v>10171</v>
      </c>
    </row>
    <row r="143" spans="2:7" x14ac:dyDescent="0.3">
      <c r="B143">
        <v>927</v>
      </c>
      <c r="C143">
        <v>1200</v>
      </c>
      <c r="D143">
        <v>201116</v>
      </c>
      <c r="E143" t="s">
        <v>324</v>
      </c>
      <c r="F143" t="s">
        <v>1907</v>
      </c>
      <c r="G143" t="s">
        <v>10173</v>
      </c>
    </row>
    <row r="144" spans="2:7" x14ac:dyDescent="0.3">
      <c r="B144">
        <v>928</v>
      </c>
      <c r="C144">
        <v>1202</v>
      </c>
      <c r="D144">
        <v>939</v>
      </c>
      <c r="E144" t="s">
        <v>134</v>
      </c>
      <c r="F144" t="s">
        <v>1907</v>
      </c>
      <c r="G144" t="s">
        <v>10176</v>
      </c>
    </row>
    <row r="145" spans="2:7" x14ac:dyDescent="0.3">
      <c r="B145">
        <v>926</v>
      </c>
      <c r="C145">
        <v>1207</v>
      </c>
      <c r="D145">
        <v>201104</v>
      </c>
      <c r="E145" t="s">
        <v>1519</v>
      </c>
      <c r="F145" t="s">
        <v>1907</v>
      </c>
      <c r="G145" t="s">
        <v>10179</v>
      </c>
    </row>
    <row r="146" spans="2:7" x14ac:dyDescent="0.3">
      <c r="B146">
        <v>928</v>
      </c>
      <c r="C146">
        <v>1202</v>
      </c>
      <c r="D146">
        <v>25</v>
      </c>
      <c r="E146" t="s">
        <v>1417</v>
      </c>
      <c r="F146" t="s">
        <v>1907</v>
      </c>
      <c r="G146" t="s">
        <v>10182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3"/>
  <sheetViews>
    <sheetView workbookViewId="0">
      <selection activeCell="D8" sqref="D8"/>
    </sheetView>
  </sheetViews>
  <sheetFormatPr defaultRowHeight="16.5" x14ac:dyDescent="0.3"/>
  <cols>
    <col min="2" max="2" width="14.125" style="19" bestFit="1" customWidth="1"/>
    <col min="3" max="3" width="32.625" style="19" bestFit="1" customWidth="1"/>
    <col min="4" max="4" width="35.125" style="19" bestFit="1" customWidth="1"/>
    <col min="5" max="5" width="9" style="19" bestFit="1" customWidth="1"/>
    <col min="6" max="6" width="10.25" style="19" bestFit="1" customWidth="1"/>
    <col min="7" max="7" width="8.375" style="19" bestFit="1" customWidth="1"/>
  </cols>
  <sheetData>
    <row r="1" spans="2:7" x14ac:dyDescent="0.3">
      <c r="B1" s="18" t="s">
        <v>7222</v>
      </c>
      <c r="C1" s="18" t="s">
        <v>7223</v>
      </c>
      <c r="D1" s="18" t="s">
        <v>7224</v>
      </c>
      <c r="E1" s="18" t="s">
        <v>7225</v>
      </c>
      <c r="F1" s="18" t="s">
        <v>7222</v>
      </c>
      <c r="G1" s="18" t="s">
        <v>7226</v>
      </c>
    </row>
    <row r="2" spans="2:7" x14ac:dyDescent="0.3">
      <c r="B2" s="18"/>
      <c r="C2" s="18"/>
      <c r="D2" s="18" t="s">
        <v>7227</v>
      </c>
      <c r="E2" s="18">
        <v>9999</v>
      </c>
      <c r="F2" s="18"/>
      <c r="G2" s="18"/>
    </row>
    <row r="3" spans="2:7" x14ac:dyDescent="0.3">
      <c r="B3" s="18"/>
      <c r="C3" s="18"/>
      <c r="D3" s="18" t="s">
        <v>7228</v>
      </c>
      <c r="E3" s="18">
        <v>335</v>
      </c>
      <c r="F3" s="18"/>
      <c r="G3" s="18"/>
    </row>
    <row r="4" spans="2:7" x14ac:dyDescent="0.3">
      <c r="B4" s="18" t="s">
        <v>7229</v>
      </c>
      <c r="C4" s="18" t="s">
        <v>7230</v>
      </c>
      <c r="D4" s="18" t="s">
        <v>7231</v>
      </c>
      <c r="E4" s="18">
        <v>396</v>
      </c>
      <c r="F4" s="18">
        <v>1</v>
      </c>
      <c r="G4" s="18">
        <v>401</v>
      </c>
    </row>
    <row r="5" spans="2:7" x14ac:dyDescent="0.3">
      <c r="B5" s="18" t="s">
        <v>7232</v>
      </c>
      <c r="C5" s="18" t="s">
        <v>7233</v>
      </c>
      <c r="D5" s="18" t="s">
        <v>7234</v>
      </c>
      <c r="E5" s="18">
        <v>306</v>
      </c>
      <c r="F5" s="18">
        <v>5</v>
      </c>
      <c r="G5" s="18">
        <v>19</v>
      </c>
    </row>
    <row r="6" spans="2:7" x14ac:dyDescent="0.3">
      <c r="B6" s="18" t="s">
        <v>7232</v>
      </c>
      <c r="C6" s="18" t="s">
        <v>7235</v>
      </c>
      <c r="D6" s="18" t="s">
        <v>7236</v>
      </c>
      <c r="E6" s="18">
        <v>320</v>
      </c>
      <c r="F6" s="18">
        <v>5</v>
      </c>
      <c r="G6" s="18">
        <v>310</v>
      </c>
    </row>
    <row r="7" spans="2:7" x14ac:dyDescent="0.3">
      <c r="B7" s="18" t="s">
        <v>7232</v>
      </c>
      <c r="C7" s="18" t="s">
        <v>7237</v>
      </c>
      <c r="D7" s="18" t="s">
        <v>7238</v>
      </c>
      <c r="E7" s="18">
        <v>325</v>
      </c>
      <c r="F7" s="18">
        <v>5</v>
      </c>
      <c r="G7" s="18">
        <v>338</v>
      </c>
    </row>
    <row r="8" spans="2:7" x14ac:dyDescent="0.3">
      <c r="B8" s="18" t="s">
        <v>7232</v>
      </c>
      <c r="C8" s="18" t="s">
        <v>7237</v>
      </c>
      <c r="D8" s="18" t="s">
        <v>7239</v>
      </c>
      <c r="E8" s="18">
        <v>354</v>
      </c>
      <c r="F8" s="18">
        <v>5</v>
      </c>
      <c r="G8" s="18">
        <v>338</v>
      </c>
    </row>
    <row r="9" spans="2:7" x14ac:dyDescent="0.3">
      <c r="B9" s="18" t="s">
        <v>7232</v>
      </c>
      <c r="C9" s="18" t="s">
        <v>7237</v>
      </c>
      <c r="D9" s="18" t="s">
        <v>7240</v>
      </c>
      <c r="E9" s="18">
        <v>504</v>
      </c>
      <c r="F9" s="18">
        <v>5</v>
      </c>
      <c r="G9" s="18">
        <v>338</v>
      </c>
    </row>
    <row r="10" spans="2:7" x14ac:dyDescent="0.3">
      <c r="B10" s="18" t="s">
        <v>7232</v>
      </c>
      <c r="C10" s="18" t="s">
        <v>7237</v>
      </c>
      <c r="D10" s="18" t="s">
        <v>7241</v>
      </c>
      <c r="E10" s="18">
        <v>355</v>
      </c>
      <c r="F10" s="18">
        <v>5</v>
      </c>
      <c r="G10" s="18">
        <v>338</v>
      </c>
    </row>
    <row r="11" spans="2:7" x14ac:dyDescent="0.3">
      <c r="B11" s="18" t="s">
        <v>6961</v>
      </c>
      <c r="C11" s="18" t="s">
        <v>6922</v>
      </c>
      <c r="D11" s="18" t="s">
        <v>7242</v>
      </c>
      <c r="E11" s="18">
        <v>369</v>
      </c>
      <c r="F11" s="18">
        <v>6</v>
      </c>
      <c r="G11" s="18">
        <v>21</v>
      </c>
    </row>
    <row r="12" spans="2:7" x14ac:dyDescent="0.3">
      <c r="B12" s="18" t="s">
        <v>6961</v>
      </c>
      <c r="C12" s="18" t="s">
        <v>6922</v>
      </c>
      <c r="D12" s="18" t="s">
        <v>7243</v>
      </c>
      <c r="E12" s="18">
        <v>317</v>
      </c>
      <c r="F12" s="18">
        <v>6</v>
      </c>
      <c r="G12" s="18">
        <v>21</v>
      </c>
    </row>
    <row r="13" spans="2:7" x14ac:dyDescent="0.3">
      <c r="B13" s="18" t="s">
        <v>6961</v>
      </c>
      <c r="C13" s="18" t="s">
        <v>6922</v>
      </c>
      <c r="D13" s="18" t="s">
        <v>7244</v>
      </c>
      <c r="E13" s="18">
        <v>1149</v>
      </c>
      <c r="F13" s="18">
        <v>6</v>
      </c>
      <c r="G13" s="18">
        <v>21</v>
      </c>
    </row>
    <row r="14" spans="2:7" x14ac:dyDescent="0.3">
      <c r="B14" s="18" t="s">
        <v>6961</v>
      </c>
      <c r="C14" s="18" t="s">
        <v>6922</v>
      </c>
      <c r="D14" s="18" t="s">
        <v>7245</v>
      </c>
      <c r="E14" s="18">
        <v>122</v>
      </c>
      <c r="F14" s="18">
        <v>6</v>
      </c>
      <c r="G14" s="18">
        <v>21</v>
      </c>
    </row>
    <row r="15" spans="2:7" x14ac:dyDescent="0.3">
      <c r="B15" s="18" t="s">
        <v>6961</v>
      </c>
      <c r="C15" s="18" t="s">
        <v>6922</v>
      </c>
      <c r="D15" s="18" t="s">
        <v>7246</v>
      </c>
      <c r="E15" s="18">
        <v>662</v>
      </c>
      <c r="F15" s="18">
        <v>6</v>
      </c>
      <c r="G15" s="18">
        <v>21</v>
      </c>
    </row>
    <row r="16" spans="2:7" x14ac:dyDescent="0.3">
      <c r="B16" s="18" t="s">
        <v>6961</v>
      </c>
      <c r="C16" s="18" t="s">
        <v>6922</v>
      </c>
      <c r="D16" s="18" t="s">
        <v>7247</v>
      </c>
      <c r="E16" s="18">
        <v>973</v>
      </c>
      <c r="F16" s="18">
        <v>6</v>
      </c>
      <c r="G16" s="18">
        <v>21</v>
      </c>
    </row>
    <row r="17" spans="2:7" x14ac:dyDescent="0.3">
      <c r="B17" s="18" t="s">
        <v>6961</v>
      </c>
      <c r="C17" s="18" t="s">
        <v>6922</v>
      </c>
      <c r="D17" s="18" t="s">
        <v>7248</v>
      </c>
      <c r="E17" s="18">
        <v>1514</v>
      </c>
      <c r="F17" s="18">
        <v>6</v>
      </c>
      <c r="G17" s="18">
        <v>21</v>
      </c>
    </row>
    <row r="18" spans="2:7" x14ac:dyDescent="0.3">
      <c r="B18" s="18" t="s">
        <v>6961</v>
      </c>
      <c r="C18" s="18" t="s">
        <v>6922</v>
      </c>
      <c r="D18" s="18" t="s">
        <v>7249</v>
      </c>
      <c r="E18" s="18">
        <v>751</v>
      </c>
      <c r="F18" s="18">
        <v>6</v>
      </c>
      <c r="G18" s="18">
        <v>21</v>
      </c>
    </row>
    <row r="19" spans="2:7" x14ac:dyDescent="0.3">
      <c r="B19" s="18" t="s">
        <v>6961</v>
      </c>
      <c r="C19" s="18" t="s">
        <v>6922</v>
      </c>
      <c r="D19" s="18" t="s">
        <v>7250</v>
      </c>
      <c r="E19" s="18">
        <v>133</v>
      </c>
      <c r="F19" s="18">
        <v>6</v>
      </c>
      <c r="G19" s="18">
        <v>21</v>
      </c>
    </row>
    <row r="20" spans="2:7" x14ac:dyDescent="0.3">
      <c r="B20" s="18" t="s">
        <v>6961</v>
      </c>
      <c r="C20" s="18" t="s">
        <v>6922</v>
      </c>
      <c r="D20" s="18" t="s">
        <v>7251</v>
      </c>
      <c r="E20" s="18">
        <v>1031</v>
      </c>
      <c r="F20" s="18">
        <v>6</v>
      </c>
      <c r="G20" s="18">
        <v>21</v>
      </c>
    </row>
    <row r="21" spans="2:7" x14ac:dyDescent="0.3">
      <c r="B21" s="18" t="s">
        <v>6961</v>
      </c>
      <c r="C21" s="18" t="s">
        <v>6922</v>
      </c>
      <c r="D21" s="18" t="s">
        <v>7252</v>
      </c>
      <c r="E21" s="18">
        <v>145</v>
      </c>
      <c r="F21" s="18">
        <v>6</v>
      </c>
      <c r="G21" s="18">
        <v>21</v>
      </c>
    </row>
    <row r="22" spans="2:7" x14ac:dyDescent="0.3">
      <c r="B22" s="18" t="s">
        <v>6961</v>
      </c>
      <c r="C22" s="18" t="s">
        <v>6922</v>
      </c>
      <c r="D22" s="18" t="s">
        <v>7253</v>
      </c>
      <c r="E22" s="18">
        <v>1586</v>
      </c>
      <c r="F22" s="18">
        <v>6</v>
      </c>
      <c r="G22" s="18">
        <v>21</v>
      </c>
    </row>
    <row r="23" spans="2:7" x14ac:dyDescent="0.3">
      <c r="B23" s="18" t="s">
        <v>6961</v>
      </c>
      <c r="C23" s="18" t="s">
        <v>6922</v>
      </c>
      <c r="D23" s="18" t="s">
        <v>7254</v>
      </c>
      <c r="E23" s="18">
        <v>200977</v>
      </c>
      <c r="F23" s="18">
        <v>6</v>
      </c>
      <c r="G23" s="18">
        <v>21</v>
      </c>
    </row>
    <row r="24" spans="2:7" x14ac:dyDescent="0.3">
      <c r="B24" s="18" t="s">
        <v>6961</v>
      </c>
      <c r="C24" s="18" t="s">
        <v>6922</v>
      </c>
      <c r="D24" s="18" t="s">
        <v>7255</v>
      </c>
      <c r="E24" s="18">
        <v>129</v>
      </c>
      <c r="F24" s="18">
        <v>6</v>
      </c>
      <c r="G24" s="18">
        <v>21</v>
      </c>
    </row>
    <row r="25" spans="2:7" x14ac:dyDescent="0.3">
      <c r="B25" s="18" t="s">
        <v>6961</v>
      </c>
      <c r="C25" s="18" t="s">
        <v>6922</v>
      </c>
      <c r="D25" s="18" t="s">
        <v>7256</v>
      </c>
      <c r="E25" s="18">
        <v>1009</v>
      </c>
      <c r="F25" s="18">
        <v>6</v>
      </c>
      <c r="G25" s="18">
        <v>21</v>
      </c>
    </row>
    <row r="26" spans="2:7" x14ac:dyDescent="0.3">
      <c r="B26" s="18" t="s">
        <v>6961</v>
      </c>
      <c r="C26" s="18" t="s">
        <v>6922</v>
      </c>
      <c r="D26" s="18" t="s">
        <v>7257</v>
      </c>
      <c r="E26" s="18">
        <v>1069</v>
      </c>
      <c r="F26" s="18">
        <v>6</v>
      </c>
      <c r="G26" s="18">
        <v>21</v>
      </c>
    </row>
    <row r="27" spans="2:7" x14ac:dyDescent="0.3">
      <c r="B27" s="18" t="s">
        <v>6961</v>
      </c>
      <c r="C27" s="18" t="s">
        <v>6922</v>
      </c>
      <c r="D27" s="18" t="s">
        <v>7258</v>
      </c>
      <c r="E27" s="18">
        <v>1193</v>
      </c>
      <c r="F27" s="18">
        <v>6</v>
      </c>
      <c r="G27" s="18">
        <v>21</v>
      </c>
    </row>
    <row r="28" spans="2:7" x14ac:dyDescent="0.3">
      <c r="B28" s="18" t="s">
        <v>6961</v>
      </c>
      <c r="C28" s="18" t="s">
        <v>6922</v>
      </c>
      <c r="D28" s="18" t="s">
        <v>7259</v>
      </c>
      <c r="E28" s="18">
        <v>788</v>
      </c>
      <c r="F28" s="18">
        <v>6</v>
      </c>
      <c r="G28" s="18">
        <v>21</v>
      </c>
    </row>
    <row r="29" spans="2:7" x14ac:dyDescent="0.3">
      <c r="B29" s="18" t="s">
        <v>6961</v>
      </c>
      <c r="C29" s="18" t="s">
        <v>6922</v>
      </c>
      <c r="D29" s="18" t="s">
        <v>7260</v>
      </c>
      <c r="E29" s="18">
        <v>326</v>
      </c>
      <c r="F29" s="18">
        <v>6</v>
      </c>
      <c r="G29" s="18">
        <v>21</v>
      </c>
    </row>
    <row r="30" spans="2:7" x14ac:dyDescent="0.3">
      <c r="B30" s="18" t="s">
        <v>6961</v>
      </c>
      <c r="C30" s="18" t="s">
        <v>6922</v>
      </c>
      <c r="D30" s="18" t="s">
        <v>7261</v>
      </c>
      <c r="E30" s="18">
        <v>1474</v>
      </c>
      <c r="F30" s="18">
        <v>6</v>
      </c>
      <c r="G30" s="18">
        <v>21</v>
      </c>
    </row>
    <row r="31" spans="2:7" x14ac:dyDescent="0.3">
      <c r="B31" s="18" t="s">
        <v>6961</v>
      </c>
      <c r="C31" s="18" t="s">
        <v>6922</v>
      </c>
      <c r="D31" s="18" t="s">
        <v>7262</v>
      </c>
      <c r="E31" s="18">
        <v>117</v>
      </c>
      <c r="F31" s="18">
        <v>6</v>
      </c>
      <c r="G31" s="18">
        <v>21</v>
      </c>
    </row>
    <row r="32" spans="2:7" x14ac:dyDescent="0.3">
      <c r="B32" s="18" t="s">
        <v>6961</v>
      </c>
      <c r="C32" s="18" t="s">
        <v>6922</v>
      </c>
      <c r="D32" s="18" t="s">
        <v>7263</v>
      </c>
      <c r="E32" s="18">
        <v>1269</v>
      </c>
      <c r="F32" s="18">
        <v>6</v>
      </c>
      <c r="G32" s="18">
        <v>21</v>
      </c>
    </row>
    <row r="33" spans="2:7" x14ac:dyDescent="0.3">
      <c r="B33" s="18" t="s">
        <v>6961</v>
      </c>
      <c r="C33" s="18" t="s">
        <v>6922</v>
      </c>
      <c r="D33" s="18" t="s">
        <v>7264</v>
      </c>
      <c r="E33" s="18">
        <v>200952</v>
      </c>
      <c r="F33" s="18">
        <v>6</v>
      </c>
      <c r="G33" s="18">
        <v>21</v>
      </c>
    </row>
    <row r="34" spans="2:7" x14ac:dyDescent="0.3">
      <c r="B34" s="18" t="s">
        <v>6961</v>
      </c>
      <c r="C34" s="18" t="s">
        <v>6922</v>
      </c>
      <c r="D34" s="18" t="s">
        <v>7265</v>
      </c>
      <c r="E34" s="18">
        <v>1160</v>
      </c>
      <c r="F34" s="18">
        <v>6</v>
      </c>
      <c r="G34" s="18">
        <v>21</v>
      </c>
    </row>
    <row r="35" spans="2:7" x14ac:dyDescent="0.3">
      <c r="B35" s="18" t="s">
        <v>6961</v>
      </c>
      <c r="C35" s="18" t="s">
        <v>6922</v>
      </c>
      <c r="D35" s="18" t="s">
        <v>7266</v>
      </c>
      <c r="E35" s="18">
        <v>1638</v>
      </c>
      <c r="F35" s="18">
        <v>6</v>
      </c>
      <c r="G35" s="18">
        <v>21</v>
      </c>
    </row>
    <row r="36" spans="2:7" x14ac:dyDescent="0.3">
      <c r="B36" s="18" t="s">
        <v>6961</v>
      </c>
      <c r="C36" s="18" t="s">
        <v>6922</v>
      </c>
      <c r="D36" s="18" t="s">
        <v>7267</v>
      </c>
      <c r="E36" s="18">
        <v>865</v>
      </c>
      <c r="F36" s="18">
        <v>6</v>
      </c>
      <c r="G36" s="18">
        <v>21</v>
      </c>
    </row>
    <row r="37" spans="2:7" x14ac:dyDescent="0.3">
      <c r="B37" s="18" t="s">
        <v>6961</v>
      </c>
      <c r="C37" s="18" t="s">
        <v>6922</v>
      </c>
      <c r="D37" s="18" t="s">
        <v>7268</v>
      </c>
      <c r="E37" s="18">
        <v>842</v>
      </c>
      <c r="F37" s="18">
        <v>6</v>
      </c>
      <c r="G37" s="18">
        <v>21</v>
      </c>
    </row>
    <row r="38" spans="2:7" x14ac:dyDescent="0.3">
      <c r="B38" s="18" t="s">
        <v>6961</v>
      </c>
      <c r="C38" s="18" t="s">
        <v>6922</v>
      </c>
      <c r="D38" s="18" t="s">
        <v>7269</v>
      </c>
      <c r="E38" s="18">
        <v>759</v>
      </c>
      <c r="F38" s="18">
        <v>6</v>
      </c>
      <c r="G38" s="18">
        <v>21</v>
      </c>
    </row>
    <row r="39" spans="2:7" x14ac:dyDescent="0.3">
      <c r="B39" s="18" t="s">
        <v>6961</v>
      </c>
      <c r="C39" s="18" t="s">
        <v>6922</v>
      </c>
      <c r="D39" s="18" t="s">
        <v>7270</v>
      </c>
      <c r="E39" s="18">
        <v>1457</v>
      </c>
      <c r="F39" s="18">
        <v>6</v>
      </c>
      <c r="G39" s="18">
        <v>21</v>
      </c>
    </row>
    <row r="40" spans="2:7" x14ac:dyDescent="0.3">
      <c r="B40" s="18" t="s">
        <v>6961</v>
      </c>
      <c r="C40" s="18" t="s">
        <v>6922</v>
      </c>
      <c r="D40" s="18" t="s">
        <v>7271</v>
      </c>
      <c r="E40" s="18">
        <v>1337</v>
      </c>
      <c r="F40" s="18">
        <v>6</v>
      </c>
      <c r="G40" s="18">
        <v>21</v>
      </c>
    </row>
    <row r="41" spans="2:7" x14ac:dyDescent="0.3">
      <c r="B41" s="18" t="s">
        <v>6961</v>
      </c>
      <c r="C41" s="18" t="s">
        <v>6922</v>
      </c>
      <c r="D41" s="18" t="s">
        <v>7272</v>
      </c>
      <c r="E41" s="18">
        <v>1543</v>
      </c>
      <c r="F41" s="18">
        <v>6</v>
      </c>
      <c r="G41" s="18">
        <v>21</v>
      </c>
    </row>
    <row r="42" spans="2:7" x14ac:dyDescent="0.3">
      <c r="B42" s="18" t="s">
        <v>6961</v>
      </c>
      <c r="C42" s="18" t="s">
        <v>6922</v>
      </c>
      <c r="D42" s="18" t="s">
        <v>7273</v>
      </c>
      <c r="E42" s="18">
        <v>990</v>
      </c>
      <c r="F42" s="18">
        <v>6</v>
      </c>
      <c r="G42" s="18">
        <v>21</v>
      </c>
    </row>
    <row r="43" spans="2:7" x14ac:dyDescent="0.3">
      <c r="B43" s="18" t="s">
        <v>6961</v>
      </c>
      <c r="C43" s="18" t="s">
        <v>6922</v>
      </c>
      <c r="D43" s="18" t="s">
        <v>7274</v>
      </c>
      <c r="E43" s="18">
        <v>131</v>
      </c>
      <c r="F43" s="18">
        <v>6</v>
      </c>
      <c r="G43" s="18">
        <v>21</v>
      </c>
    </row>
    <row r="44" spans="2:7" x14ac:dyDescent="0.3">
      <c r="B44" s="18" t="s">
        <v>6961</v>
      </c>
      <c r="C44" s="18" t="s">
        <v>6922</v>
      </c>
      <c r="D44" s="18" t="s">
        <v>7275</v>
      </c>
      <c r="E44" s="18">
        <v>160</v>
      </c>
      <c r="F44" s="18">
        <v>6</v>
      </c>
      <c r="G44" s="18">
        <v>21</v>
      </c>
    </row>
    <row r="45" spans="2:7" x14ac:dyDescent="0.3">
      <c r="B45" s="18" t="s">
        <v>6961</v>
      </c>
      <c r="C45" s="18" t="s">
        <v>6922</v>
      </c>
      <c r="D45" s="18" t="s">
        <v>7275</v>
      </c>
      <c r="E45" s="18">
        <v>1104</v>
      </c>
      <c r="F45" s="18">
        <v>6</v>
      </c>
      <c r="G45" s="18">
        <v>21</v>
      </c>
    </row>
    <row r="46" spans="2:7" x14ac:dyDescent="0.3">
      <c r="B46" s="18" t="s">
        <v>6961</v>
      </c>
      <c r="C46" s="18" t="s">
        <v>6922</v>
      </c>
      <c r="D46" s="18" t="s">
        <v>7276</v>
      </c>
      <c r="E46" s="18">
        <v>156</v>
      </c>
      <c r="F46" s="18">
        <v>6</v>
      </c>
      <c r="G46" s="18">
        <v>21</v>
      </c>
    </row>
    <row r="47" spans="2:7" x14ac:dyDescent="0.3">
      <c r="B47" s="18" t="s">
        <v>6961</v>
      </c>
      <c r="C47" s="18" t="s">
        <v>6922</v>
      </c>
      <c r="D47" s="18" t="s">
        <v>7277</v>
      </c>
      <c r="E47" s="18">
        <v>709</v>
      </c>
      <c r="F47" s="18">
        <v>6</v>
      </c>
      <c r="G47" s="18">
        <v>21</v>
      </c>
    </row>
    <row r="48" spans="2:7" x14ac:dyDescent="0.3">
      <c r="B48" s="18" t="s">
        <v>6961</v>
      </c>
      <c r="C48" s="18" t="s">
        <v>6922</v>
      </c>
      <c r="D48" s="18" t="s">
        <v>7278</v>
      </c>
      <c r="E48" s="18">
        <v>643</v>
      </c>
      <c r="F48" s="18">
        <v>6</v>
      </c>
      <c r="G48" s="18">
        <v>21</v>
      </c>
    </row>
    <row r="49" spans="2:7" x14ac:dyDescent="0.3">
      <c r="B49" s="18" t="s">
        <v>6961</v>
      </c>
      <c r="C49" s="18" t="s">
        <v>6922</v>
      </c>
      <c r="D49" s="18" t="s">
        <v>7279</v>
      </c>
      <c r="E49" s="18">
        <v>1057</v>
      </c>
      <c r="F49" s="18">
        <v>6</v>
      </c>
      <c r="G49" s="18">
        <v>21</v>
      </c>
    </row>
    <row r="50" spans="2:7" x14ac:dyDescent="0.3">
      <c r="B50" s="18" t="s">
        <v>6961</v>
      </c>
      <c r="C50" s="18" t="s">
        <v>6922</v>
      </c>
      <c r="D50" s="18" t="s">
        <v>7280</v>
      </c>
      <c r="E50" s="18">
        <v>698</v>
      </c>
      <c r="F50" s="18">
        <v>6</v>
      </c>
      <c r="G50" s="18">
        <v>21</v>
      </c>
    </row>
    <row r="51" spans="2:7" x14ac:dyDescent="0.3">
      <c r="B51" s="18" t="s">
        <v>6961</v>
      </c>
      <c r="C51" s="18" t="s">
        <v>6922</v>
      </c>
      <c r="D51" s="18" t="s">
        <v>7281</v>
      </c>
      <c r="E51" s="18">
        <v>1318</v>
      </c>
      <c r="F51" s="18">
        <v>6</v>
      </c>
      <c r="G51" s="18">
        <v>21</v>
      </c>
    </row>
    <row r="52" spans="2:7" x14ac:dyDescent="0.3">
      <c r="B52" s="18" t="s">
        <v>6961</v>
      </c>
      <c r="C52" s="18" t="s">
        <v>6922</v>
      </c>
      <c r="D52" s="18" t="s">
        <v>7282</v>
      </c>
      <c r="E52" s="18">
        <v>1073</v>
      </c>
      <c r="F52" s="18">
        <v>6</v>
      </c>
      <c r="G52" s="18">
        <v>21</v>
      </c>
    </row>
    <row r="53" spans="2:7" x14ac:dyDescent="0.3">
      <c r="B53" s="18" t="s">
        <v>6961</v>
      </c>
      <c r="C53" s="18" t="s">
        <v>6922</v>
      </c>
      <c r="D53" s="18" t="s">
        <v>7283</v>
      </c>
      <c r="E53" s="18">
        <v>1441</v>
      </c>
      <c r="F53" s="18">
        <v>6</v>
      </c>
      <c r="G53" s="18">
        <v>21</v>
      </c>
    </row>
    <row r="54" spans="2:7" x14ac:dyDescent="0.3">
      <c r="B54" s="18" t="s">
        <v>6961</v>
      </c>
      <c r="C54" s="18" t="s">
        <v>6922</v>
      </c>
      <c r="D54" s="18" t="s">
        <v>7284</v>
      </c>
      <c r="E54" s="18">
        <v>496</v>
      </c>
      <c r="F54" s="18">
        <v>6</v>
      </c>
      <c r="G54" s="18">
        <v>21</v>
      </c>
    </row>
    <row r="55" spans="2:7" x14ac:dyDescent="0.3">
      <c r="B55" s="18" t="s">
        <v>6961</v>
      </c>
      <c r="C55" s="18" t="s">
        <v>6922</v>
      </c>
      <c r="D55" s="18" t="s">
        <v>7285</v>
      </c>
      <c r="E55" s="18">
        <v>1198</v>
      </c>
      <c r="F55" s="18">
        <v>6</v>
      </c>
      <c r="G55" s="18">
        <v>21</v>
      </c>
    </row>
    <row r="56" spans="2:7" x14ac:dyDescent="0.3">
      <c r="B56" s="18" t="s">
        <v>6961</v>
      </c>
      <c r="C56" s="18" t="s">
        <v>6922</v>
      </c>
      <c r="D56" s="18" t="s">
        <v>7286</v>
      </c>
      <c r="E56" s="18">
        <v>766</v>
      </c>
      <c r="F56" s="18">
        <v>6</v>
      </c>
      <c r="G56" s="18">
        <v>21</v>
      </c>
    </row>
    <row r="57" spans="2:7" x14ac:dyDescent="0.3">
      <c r="B57" s="18" t="s">
        <v>6961</v>
      </c>
      <c r="C57" s="18" t="s">
        <v>6922</v>
      </c>
      <c r="D57" s="18" t="s">
        <v>7287</v>
      </c>
      <c r="E57" s="18">
        <v>1094</v>
      </c>
      <c r="F57" s="18">
        <v>6</v>
      </c>
      <c r="G57" s="18">
        <v>21</v>
      </c>
    </row>
    <row r="58" spans="2:7" x14ac:dyDescent="0.3">
      <c r="B58" s="18" t="s">
        <v>6961</v>
      </c>
      <c r="C58" s="18" t="s">
        <v>6922</v>
      </c>
      <c r="D58" s="18" t="s">
        <v>7288</v>
      </c>
      <c r="E58" s="18">
        <v>1107</v>
      </c>
      <c r="F58" s="18">
        <v>6</v>
      </c>
      <c r="G58" s="18">
        <v>21</v>
      </c>
    </row>
    <row r="59" spans="2:7" x14ac:dyDescent="0.3">
      <c r="B59" s="18" t="s">
        <v>6961</v>
      </c>
      <c r="C59" s="18" t="s">
        <v>6922</v>
      </c>
      <c r="D59" s="18" t="s">
        <v>7289</v>
      </c>
      <c r="E59" s="18">
        <v>970</v>
      </c>
      <c r="F59" s="18">
        <v>6</v>
      </c>
      <c r="G59" s="18">
        <v>21</v>
      </c>
    </row>
    <row r="60" spans="2:7" x14ac:dyDescent="0.3">
      <c r="B60" s="18" t="s">
        <v>6961</v>
      </c>
      <c r="C60" s="18" t="s">
        <v>6922</v>
      </c>
      <c r="D60" s="18" t="s">
        <v>7290</v>
      </c>
      <c r="E60" s="18">
        <v>1550</v>
      </c>
      <c r="F60" s="18">
        <v>6</v>
      </c>
      <c r="G60" s="18">
        <v>21</v>
      </c>
    </row>
    <row r="61" spans="2:7" x14ac:dyDescent="0.3">
      <c r="B61" s="18" t="s">
        <v>6961</v>
      </c>
      <c r="C61" s="18" t="s">
        <v>6922</v>
      </c>
      <c r="D61" s="18" t="s">
        <v>7291</v>
      </c>
      <c r="E61" s="18">
        <v>1516</v>
      </c>
      <c r="F61" s="18">
        <v>6</v>
      </c>
      <c r="G61" s="18">
        <v>21</v>
      </c>
    </row>
    <row r="62" spans="2:7" x14ac:dyDescent="0.3">
      <c r="B62" s="18" t="s">
        <v>6961</v>
      </c>
      <c r="C62" s="18" t="s">
        <v>6922</v>
      </c>
      <c r="D62" s="18" t="s">
        <v>7292</v>
      </c>
      <c r="E62" s="18">
        <v>1523</v>
      </c>
      <c r="F62" s="18">
        <v>6</v>
      </c>
      <c r="G62" s="18">
        <v>21</v>
      </c>
    </row>
    <row r="63" spans="2:7" x14ac:dyDescent="0.3">
      <c r="B63" s="18" t="s">
        <v>6961</v>
      </c>
      <c r="C63" s="18" t="s">
        <v>6922</v>
      </c>
      <c r="D63" s="18" t="s">
        <v>7293</v>
      </c>
      <c r="E63" s="18">
        <v>1303</v>
      </c>
      <c r="F63" s="18">
        <v>6</v>
      </c>
      <c r="G63" s="18">
        <v>21</v>
      </c>
    </row>
    <row r="64" spans="2:7" x14ac:dyDescent="0.3">
      <c r="B64" s="18" t="s">
        <v>6961</v>
      </c>
      <c r="C64" s="18" t="s">
        <v>6922</v>
      </c>
      <c r="D64" s="18" t="s">
        <v>7294</v>
      </c>
      <c r="E64" s="18">
        <v>879</v>
      </c>
      <c r="F64" s="18">
        <v>6</v>
      </c>
      <c r="G64" s="18">
        <v>21</v>
      </c>
    </row>
    <row r="65" spans="2:7" x14ac:dyDescent="0.3">
      <c r="B65" s="18" t="s">
        <v>6961</v>
      </c>
      <c r="C65" s="18" t="s">
        <v>6922</v>
      </c>
      <c r="D65" s="18" t="s">
        <v>7295</v>
      </c>
      <c r="E65" s="18">
        <v>851</v>
      </c>
      <c r="F65" s="18">
        <v>6</v>
      </c>
      <c r="G65" s="18">
        <v>21</v>
      </c>
    </row>
    <row r="66" spans="2:7" x14ac:dyDescent="0.3">
      <c r="B66" s="18" t="s">
        <v>6961</v>
      </c>
      <c r="C66" s="18" t="s">
        <v>6922</v>
      </c>
      <c r="D66" s="18" t="s">
        <v>7296</v>
      </c>
      <c r="E66" s="18">
        <v>950</v>
      </c>
      <c r="F66" s="18">
        <v>6</v>
      </c>
      <c r="G66" s="18">
        <v>21</v>
      </c>
    </row>
    <row r="67" spans="2:7" x14ac:dyDescent="0.3">
      <c r="B67" s="18" t="s">
        <v>6961</v>
      </c>
      <c r="C67" s="18" t="s">
        <v>6922</v>
      </c>
      <c r="D67" s="18" t="s">
        <v>7297</v>
      </c>
      <c r="E67" s="18">
        <v>1166</v>
      </c>
      <c r="F67" s="18">
        <v>6</v>
      </c>
      <c r="G67" s="18">
        <v>21</v>
      </c>
    </row>
    <row r="68" spans="2:7" x14ac:dyDescent="0.3">
      <c r="B68" s="18" t="s">
        <v>6961</v>
      </c>
      <c r="C68" s="18" t="s">
        <v>6922</v>
      </c>
      <c r="D68" s="18" t="s">
        <v>7298</v>
      </c>
      <c r="E68" s="18">
        <v>1562</v>
      </c>
      <c r="F68" s="18">
        <v>6</v>
      </c>
      <c r="G68" s="18">
        <v>21</v>
      </c>
    </row>
    <row r="69" spans="2:7" x14ac:dyDescent="0.3">
      <c r="B69" s="18" t="s">
        <v>6961</v>
      </c>
      <c r="C69" s="18" t="s">
        <v>6922</v>
      </c>
      <c r="D69" s="18" t="s">
        <v>7299</v>
      </c>
      <c r="E69" s="18">
        <v>201131</v>
      </c>
      <c r="F69" s="18">
        <v>6</v>
      </c>
      <c r="G69" s="18">
        <v>21</v>
      </c>
    </row>
    <row r="70" spans="2:7" x14ac:dyDescent="0.3">
      <c r="B70" s="18" t="s">
        <v>6961</v>
      </c>
      <c r="C70" s="18" t="s">
        <v>6922</v>
      </c>
      <c r="D70" s="18" t="s">
        <v>7300</v>
      </c>
      <c r="E70" s="18">
        <v>1515</v>
      </c>
      <c r="F70" s="18">
        <v>6</v>
      </c>
      <c r="G70" s="18">
        <v>21</v>
      </c>
    </row>
    <row r="71" spans="2:7" x14ac:dyDescent="0.3">
      <c r="B71" s="18" t="s">
        <v>6961</v>
      </c>
      <c r="C71" s="18" t="s">
        <v>6922</v>
      </c>
      <c r="D71" s="18" t="s">
        <v>7301</v>
      </c>
      <c r="E71" s="18">
        <v>1491</v>
      </c>
      <c r="F71" s="18">
        <v>6</v>
      </c>
      <c r="G71" s="18">
        <v>21</v>
      </c>
    </row>
    <row r="72" spans="2:7" x14ac:dyDescent="0.3">
      <c r="B72" s="18" t="s">
        <v>6961</v>
      </c>
      <c r="C72" s="18" t="s">
        <v>6922</v>
      </c>
      <c r="D72" s="18" t="s">
        <v>7302</v>
      </c>
      <c r="E72" s="18">
        <v>1388</v>
      </c>
      <c r="F72" s="18">
        <v>6</v>
      </c>
      <c r="G72" s="18">
        <v>21</v>
      </c>
    </row>
    <row r="73" spans="2:7" x14ac:dyDescent="0.3">
      <c r="B73" s="18" t="s">
        <v>6961</v>
      </c>
      <c r="C73" s="18" t="s">
        <v>6922</v>
      </c>
      <c r="D73" s="18" t="s">
        <v>7303</v>
      </c>
      <c r="E73" s="18">
        <v>1588</v>
      </c>
      <c r="F73" s="18">
        <v>6</v>
      </c>
      <c r="G73" s="18">
        <v>21</v>
      </c>
    </row>
    <row r="74" spans="2:7" x14ac:dyDescent="0.3">
      <c r="B74" s="18" t="s">
        <v>6961</v>
      </c>
      <c r="C74" s="18" t="s">
        <v>6922</v>
      </c>
      <c r="D74" s="18" t="s">
        <v>7304</v>
      </c>
      <c r="E74" s="18">
        <v>1352</v>
      </c>
      <c r="F74" s="18">
        <v>6</v>
      </c>
      <c r="G74" s="18">
        <v>21</v>
      </c>
    </row>
    <row r="75" spans="2:7" x14ac:dyDescent="0.3">
      <c r="B75" s="18" t="s">
        <v>6961</v>
      </c>
      <c r="C75" s="18" t="s">
        <v>6922</v>
      </c>
      <c r="D75" s="18" t="s">
        <v>7305</v>
      </c>
      <c r="E75" s="18">
        <v>211</v>
      </c>
      <c r="F75" s="18">
        <v>6</v>
      </c>
      <c r="G75" s="18">
        <v>21</v>
      </c>
    </row>
    <row r="76" spans="2:7" x14ac:dyDescent="0.3">
      <c r="B76" s="18" t="s">
        <v>6961</v>
      </c>
      <c r="C76" s="18" t="s">
        <v>6922</v>
      </c>
      <c r="D76" s="18" t="s">
        <v>7306</v>
      </c>
      <c r="E76" s="18">
        <v>127</v>
      </c>
      <c r="F76" s="18">
        <v>6</v>
      </c>
      <c r="G76" s="18">
        <v>21</v>
      </c>
    </row>
    <row r="77" spans="2:7" x14ac:dyDescent="0.3">
      <c r="B77" s="18" t="s">
        <v>6961</v>
      </c>
      <c r="C77" s="18" t="s">
        <v>6922</v>
      </c>
      <c r="D77" s="18" t="s">
        <v>7307</v>
      </c>
      <c r="E77" s="18">
        <v>963</v>
      </c>
      <c r="F77" s="18">
        <v>6</v>
      </c>
      <c r="G77" s="18">
        <v>21</v>
      </c>
    </row>
    <row r="78" spans="2:7" x14ac:dyDescent="0.3">
      <c r="B78" s="18" t="s">
        <v>6961</v>
      </c>
      <c r="C78" s="18" t="s">
        <v>6922</v>
      </c>
      <c r="D78" s="18" t="s">
        <v>7308</v>
      </c>
      <c r="E78" s="18">
        <v>656</v>
      </c>
      <c r="F78" s="18">
        <v>6</v>
      </c>
      <c r="G78" s="18">
        <v>21</v>
      </c>
    </row>
    <row r="79" spans="2:7" x14ac:dyDescent="0.3">
      <c r="B79" s="18" t="s">
        <v>6961</v>
      </c>
      <c r="C79" s="18" t="s">
        <v>6922</v>
      </c>
      <c r="D79" s="18" t="s">
        <v>7309</v>
      </c>
      <c r="E79" s="18">
        <v>1109</v>
      </c>
      <c r="F79" s="18">
        <v>6</v>
      </c>
      <c r="G79" s="18">
        <v>21</v>
      </c>
    </row>
    <row r="80" spans="2:7" x14ac:dyDescent="0.3">
      <c r="B80" s="18" t="s">
        <v>6961</v>
      </c>
      <c r="C80" s="18" t="s">
        <v>6922</v>
      </c>
      <c r="D80" s="18" t="s">
        <v>7310</v>
      </c>
      <c r="E80" s="18">
        <v>888</v>
      </c>
      <c r="F80" s="18">
        <v>6</v>
      </c>
      <c r="G80" s="18">
        <v>21</v>
      </c>
    </row>
    <row r="81" spans="2:7" x14ac:dyDescent="0.3">
      <c r="B81" s="18" t="s">
        <v>6961</v>
      </c>
      <c r="C81" s="18" t="s">
        <v>6922</v>
      </c>
      <c r="D81" s="18" t="s">
        <v>7311</v>
      </c>
      <c r="E81" s="18">
        <v>767</v>
      </c>
      <c r="F81" s="18">
        <v>6</v>
      </c>
      <c r="G81" s="18">
        <v>21</v>
      </c>
    </row>
    <row r="82" spans="2:7" x14ac:dyDescent="0.3">
      <c r="B82" s="18" t="s">
        <v>6961</v>
      </c>
      <c r="C82" s="18" t="s">
        <v>6922</v>
      </c>
      <c r="D82" s="18" t="s">
        <v>7312</v>
      </c>
      <c r="E82" s="18">
        <v>1268</v>
      </c>
      <c r="F82" s="18">
        <v>6</v>
      </c>
      <c r="G82" s="18">
        <v>21</v>
      </c>
    </row>
    <row r="83" spans="2:7" x14ac:dyDescent="0.3">
      <c r="B83" s="18" t="s">
        <v>6961</v>
      </c>
      <c r="C83" s="18" t="s">
        <v>6922</v>
      </c>
      <c r="D83" s="18" t="s">
        <v>7313</v>
      </c>
      <c r="E83" s="18">
        <v>952</v>
      </c>
      <c r="F83" s="18">
        <v>6</v>
      </c>
      <c r="G83" s="18">
        <v>21</v>
      </c>
    </row>
    <row r="84" spans="2:7" x14ac:dyDescent="0.3">
      <c r="B84" s="18" t="s">
        <v>6961</v>
      </c>
      <c r="C84" s="18" t="s">
        <v>6922</v>
      </c>
      <c r="D84" s="18" t="s">
        <v>7314</v>
      </c>
      <c r="E84" s="18">
        <v>984</v>
      </c>
      <c r="F84" s="18">
        <v>6</v>
      </c>
      <c r="G84" s="18">
        <v>21</v>
      </c>
    </row>
    <row r="85" spans="2:7" x14ac:dyDescent="0.3">
      <c r="B85" s="18" t="s">
        <v>6961</v>
      </c>
      <c r="C85" s="18" t="s">
        <v>6922</v>
      </c>
      <c r="D85" s="18" t="s">
        <v>7315</v>
      </c>
      <c r="E85" s="18">
        <v>1490</v>
      </c>
      <c r="F85" s="18">
        <v>6</v>
      </c>
      <c r="G85" s="18">
        <v>21</v>
      </c>
    </row>
    <row r="86" spans="2:7" x14ac:dyDescent="0.3">
      <c r="B86" s="18" t="s">
        <v>6961</v>
      </c>
      <c r="C86" s="18" t="s">
        <v>6922</v>
      </c>
      <c r="D86" s="18" t="s">
        <v>7316</v>
      </c>
      <c r="E86" s="18">
        <v>163</v>
      </c>
      <c r="F86" s="18">
        <v>6</v>
      </c>
      <c r="G86" s="18">
        <v>21</v>
      </c>
    </row>
    <row r="87" spans="2:7" x14ac:dyDescent="0.3">
      <c r="B87" s="18" t="s">
        <v>6961</v>
      </c>
      <c r="C87" s="18" t="s">
        <v>6922</v>
      </c>
      <c r="D87" s="18" t="s">
        <v>7317</v>
      </c>
      <c r="E87" s="18">
        <v>136</v>
      </c>
      <c r="F87" s="18">
        <v>6</v>
      </c>
      <c r="G87" s="18">
        <v>21</v>
      </c>
    </row>
    <row r="88" spans="2:7" x14ac:dyDescent="0.3">
      <c r="B88" s="18" t="s">
        <v>6961</v>
      </c>
      <c r="C88" s="18" t="s">
        <v>6922</v>
      </c>
      <c r="D88" s="18" t="s">
        <v>22</v>
      </c>
      <c r="E88" s="18">
        <v>1232</v>
      </c>
      <c r="F88" s="18">
        <v>6</v>
      </c>
      <c r="G88" s="18">
        <v>21</v>
      </c>
    </row>
    <row r="89" spans="2:7" x14ac:dyDescent="0.3">
      <c r="B89" s="18" t="s">
        <v>6961</v>
      </c>
      <c r="C89" s="18" t="s">
        <v>6922</v>
      </c>
      <c r="D89" s="18" t="s">
        <v>7318</v>
      </c>
      <c r="E89" s="18">
        <v>1321</v>
      </c>
      <c r="F89" s="18">
        <v>6</v>
      </c>
      <c r="G89" s="18">
        <v>21</v>
      </c>
    </row>
    <row r="90" spans="2:7" x14ac:dyDescent="0.3">
      <c r="B90" s="18" t="s">
        <v>6961</v>
      </c>
      <c r="C90" s="18" t="s">
        <v>6922</v>
      </c>
      <c r="D90" s="18" t="s">
        <v>7319</v>
      </c>
      <c r="E90" s="18">
        <v>201094</v>
      </c>
      <c r="F90" s="18">
        <v>6</v>
      </c>
      <c r="G90" s="18">
        <v>21</v>
      </c>
    </row>
    <row r="91" spans="2:7" x14ac:dyDescent="0.3">
      <c r="B91" s="18" t="s">
        <v>6961</v>
      </c>
      <c r="C91" s="18" t="s">
        <v>6922</v>
      </c>
      <c r="D91" s="18" t="s">
        <v>7320</v>
      </c>
      <c r="E91" s="18">
        <v>1359</v>
      </c>
      <c r="F91" s="18">
        <v>6</v>
      </c>
      <c r="G91" s="18">
        <v>21</v>
      </c>
    </row>
    <row r="92" spans="2:7" x14ac:dyDescent="0.3">
      <c r="B92" s="18" t="s">
        <v>6961</v>
      </c>
      <c r="C92" s="18" t="s">
        <v>6922</v>
      </c>
      <c r="D92" s="18" t="s">
        <v>7321</v>
      </c>
      <c r="E92" s="18">
        <v>200930</v>
      </c>
      <c r="F92" s="18">
        <v>6</v>
      </c>
      <c r="G92" s="18">
        <v>21</v>
      </c>
    </row>
    <row r="93" spans="2:7" x14ac:dyDescent="0.3">
      <c r="B93" s="18" t="s">
        <v>6961</v>
      </c>
      <c r="C93" s="18" t="s">
        <v>6922</v>
      </c>
      <c r="D93" s="18" t="s">
        <v>7322</v>
      </c>
      <c r="E93" s="18">
        <v>1416</v>
      </c>
      <c r="F93" s="18">
        <v>6</v>
      </c>
      <c r="G93" s="18">
        <v>21</v>
      </c>
    </row>
    <row r="94" spans="2:7" x14ac:dyDescent="0.3">
      <c r="B94" s="18" t="s">
        <v>6961</v>
      </c>
      <c r="C94" s="18" t="s">
        <v>6922</v>
      </c>
      <c r="D94" s="18" t="s">
        <v>7323</v>
      </c>
      <c r="E94" s="18">
        <v>1642</v>
      </c>
      <c r="F94" s="18">
        <v>6</v>
      </c>
      <c r="G94" s="18">
        <v>21</v>
      </c>
    </row>
    <row r="95" spans="2:7" x14ac:dyDescent="0.3">
      <c r="B95" s="18" t="s">
        <v>6961</v>
      </c>
      <c r="C95" s="18" t="s">
        <v>6922</v>
      </c>
      <c r="D95" s="18" t="s">
        <v>7324</v>
      </c>
      <c r="E95" s="18">
        <v>1653</v>
      </c>
      <c r="F95" s="18">
        <v>6</v>
      </c>
      <c r="G95" s="18">
        <v>21</v>
      </c>
    </row>
    <row r="96" spans="2:7" x14ac:dyDescent="0.3">
      <c r="B96" s="18" t="s">
        <v>6961</v>
      </c>
      <c r="C96" s="18" t="s">
        <v>6922</v>
      </c>
      <c r="D96" s="18" t="s">
        <v>7325</v>
      </c>
      <c r="E96" s="18">
        <v>1643</v>
      </c>
      <c r="F96" s="18">
        <v>6</v>
      </c>
      <c r="G96" s="18">
        <v>21</v>
      </c>
    </row>
    <row r="97" spans="2:7" x14ac:dyDescent="0.3">
      <c r="B97" s="18" t="s">
        <v>6961</v>
      </c>
      <c r="C97" s="18" t="s">
        <v>6922</v>
      </c>
      <c r="D97" s="18" t="s">
        <v>7326</v>
      </c>
      <c r="E97" s="18">
        <v>162</v>
      </c>
      <c r="F97" s="18">
        <v>6</v>
      </c>
      <c r="G97" s="18">
        <v>21</v>
      </c>
    </row>
    <row r="98" spans="2:7" x14ac:dyDescent="0.3">
      <c r="B98" s="18" t="s">
        <v>6961</v>
      </c>
      <c r="C98" s="18" t="s">
        <v>6922</v>
      </c>
      <c r="D98" s="18" t="s">
        <v>7327</v>
      </c>
      <c r="E98" s="18">
        <v>845</v>
      </c>
      <c r="F98" s="18">
        <v>6</v>
      </c>
      <c r="G98" s="18">
        <v>21</v>
      </c>
    </row>
    <row r="99" spans="2:7" x14ac:dyDescent="0.3">
      <c r="B99" s="18" t="s">
        <v>6961</v>
      </c>
      <c r="C99" s="18" t="s">
        <v>6922</v>
      </c>
      <c r="D99" s="18" t="s">
        <v>7328</v>
      </c>
      <c r="E99" s="18">
        <v>1511</v>
      </c>
      <c r="F99" s="18">
        <v>6</v>
      </c>
      <c r="G99" s="18">
        <v>21</v>
      </c>
    </row>
    <row r="100" spans="2:7" x14ac:dyDescent="0.3">
      <c r="B100" s="18" t="s">
        <v>6961</v>
      </c>
      <c r="C100" s="18" t="s">
        <v>6922</v>
      </c>
      <c r="D100" s="18" t="s">
        <v>7329</v>
      </c>
      <c r="E100" s="18">
        <v>1590</v>
      </c>
      <c r="F100" s="18">
        <v>6</v>
      </c>
      <c r="G100" s="18">
        <v>21</v>
      </c>
    </row>
    <row r="101" spans="2:7" x14ac:dyDescent="0.3">
      <c r="B101" s="18" t="s">
        <v>6961</v>
      </c>
      <c r="C101" s="18" t="s">
        <v>6922</v>
      </c>
      <c r="D101" s="18" t="s">
        <v>7330</v>
      </c>
      <c r="E101" s="18">
        <v>1421</v>
      </c>
      <c r="F101" s="18">
        <v>6</v>
      </c>
      <c r="G101" s="18">
        <v>21</v>
      </c>
    </row>
    <row r="102" spans="2:7" x14ac:dyDescent="0.3">
      <c r="B102" s="18" t="s">
        <v>6961</v>
      </c>
      <c r="C102" s="18" t="s">
        <v>6922</v>
      </c>
      <c r="D102" s="18" t="s">
        <v>7331</v>
      </c>
      <c r="E102" s="18">
        <v>875</v>
      </c>
      <c r="F102" s="18">
        <v>6</v>
      </c>
      <c r="G102" s="18">
        <v>21</v>
      </c>
    </row>
    <row r="103" spans="2:7" x14ac:dyDescent="0.3">
      <c r="B103" s="18" t="s">
        <v>6961</v>
      </c>
      <c r="C103" s="18" t="s">
        <v>6922</v>
      </c>
      <c r="D103" s="18" t="s">
        <v>7332</v>
      </c>
      <c r="E103" s="18">
        <v>1393</v>
      </c>
      <c r="F103" s="18">
        <v>6</v>
      </c>
      <c r="G103" s="18">
        <v>21</v>
      </c>
    </row>
    <row r="104" spans="2:7" x14ac:dyDescent="0.3">
      <c r="B104" s="18" t="s">
        <v>6961</v>
      </c>
      <c r="C104" s="18" t="s">
        <v>6922</v>
      </c>
      <c r="D104" s="18" t="s">
        <v>7333</v>
      </c>
      <c r="E104" s="18">
        <v>557</v>
      </c>
      <c r="F104" s="18">
        <v>6</v>
      </c>
      <c r="G104" s="18">
        <v>21</v>
      </c>
    </row>
    <row r="105" spans="2:7" x14ac:dyDescent="0.3">
      <c r="B105" s="18" t="s">
        <v>6961</v>
      </c>
      <c r="C105" s="18" t="s">
        <v>6922</v>
      </c>
      <c r="D105" s="18" t="s">
        <v>7334</v>
      </c>
      <c r="E105" s="18">
        <v>200963</v>
      </c>
      <c r="F105" s="18">
        <v>6</v>
      </c>
      <c r="G105" s="18">
        <v>21</v>
      </c>
    </row>
    <row r="106" spans="2:7" x14ac:dyDescent="0.3">
      <c r="B106" s="18" t="s">
        <v>6961</v>
      </c>
      <c r="C106" s="18" t="s">
        <v>6922</v>
      </c>
      <c r="D106" s="18" t="s">
        <v>7335</v>
      </c>
      <c r="E106" s="18">
        <v>121</v>
      </c>
      <c r="F106" s="18">
        <v>6</v>
      </c>
      <c r="G106" s="18">
        <v>21</v>
      </c>
    </row>
    <row r="107" spans="2:7" x14ac:dyDescent="0.3">
      <c r="B107" s="18" t="s">
        <v>6961</v>
      </c>
      <c r="C107" s="18" t="s">
        <v>6922</v>
      </c>
      <c r="D107" s="18" t="s">
        <v>7336</v>
      </c>
      <c r="E107" s="18">
        <v>953</v>
      </c>
      <c r="F107" s="18">
        <v>6</v>
      </c>
      <c r="G107" s="18">
        <v>21</v>
      </c>
    </row>
    <row r="108" spans="2:7" x14ac:dyDescent="0.3">
      <c r="B108" s="18" t="s">
        <v>6961</v>
      </c>
      <c r="C108" s="18" t="s">
        <v>6922</v>
      </c>
      <c r="D108" s="18" t="s">
        <v>7337</v>
      </c>
      <c r="E108" s="18">
        <v>124</v>
      </c>
      <c r="F108" s="18">
        <v>6</v>
      </c>
      <c r="G108" s="18">
        <v>21</v>
      </c>
    </row>
    <row r="109" spans="2:7" x14ac:dyDescent="0.3">
      <c r="B109" s="18" t="s">
        <v>6961</v>
      </c>
      <c r="C109" s="18" t="s">
        <v>6922</v>
      </c>
      <c r="D109" s="18" t="s">
        <v>7338</v>
      </c>
      <c r="E109" s="18">
        <v>200989</v>
      </c>
      <c r="F109" s="18">
        <v>6</v>
      </c>
      <c r="G109" s="18">
        <v>21</v>
      </c>
    </row>
    <row r="110" spans="2:7" x14ac:dyDescent="0.3">
      <c r="B110" s="18" t="s">
        <v>6961</v>
      </c>
      <c r="C110" s="18" t="s">
        <v>6922</v>
      </c>
      <c r="D110" s="18" t="s">
        <v>7339</v>
      </c>
      <c r="E110" s="18">
        <v>151</v>
      </c>
      <c r="F110" s="18">
        <v>6</v>
      </c>
      <c r="G110" s="18">
        <v>21</v>
      </c>
    </row>
    <row r="111" spans="2:7" x14ac:dyDescent="0.3">
      <c r="B111" s="18" t="s">
        <v>6961</v>
      </c>
      <c r="C111" s="18" t="s">
        <v>6922</v>
      </c>
      <c r="D111" s="18" t="s">
        <v>7340</v>
      </c>
      <c r="E111" s="18">
        <v>201001</v>
      </c>
      <c r="F111" s="18">
        <v>6</v>
      </c>
      <c r="G111" s="18">
        <v>21</v>
      </c>
    </row>
    <row r="112" spans="2:7" x14ac:dyDescent="0.3">
      <c r="B112" s="18" t="s">
        <v>6961</v>
      </c>
      <c r="C112" s="18" t="s">
        <v>6922</v>
      </c>
      <c r="D112" s="18" t="s">
        <v>7341</v>
      </c>
      <c r="E112" s="18">
        <v>1064</v>
      </c>
      <c r="F112" s="18">
        <v>6</v>
      </c>
      <c r="G112" s="18">
        <v>21</v>
      </c>
    </row>
    <row r="113" spans="2:7" x14ac:dyDescent="0.3">
      <c r="B113" s="18" t="s">
        <v>6961</v>
      </c>
      <c r="C113" s="18" t="s">
        <v>6922</v>
      </c>
      <c r="D113" s="18" t="s">
        <v>7342</v>
      </c>
      <c r="E113" s="18">
        <v>672</v>
      </c>
      <c r="F113" s="18">
        <v>6</v>
      </c>
      <c r="G113" s="18">
        <v>21</v>
      </c>
    </row>
    <row r="114" spans="2:7" x14ac:dyDescent="0.3">
      <c r="B114" s="18" t="s">
        <v>6961</v>
      </c>
      <c r="C114" s="18" t="s">
        <v>6922</v>
      </c>
      <c r="D114" s="18" t="s">
        <v>7343</v>
      </c>
      <c r="E114" s="18">
        <v>1371</v>
      </c>
      <c r="F114" s="18">
        <v>6</v>
      </c>
      <c r="G114" s="18">
        <v>21</v>
      </c>
    </row>
    <row r="115" spans="2:7" x14ac:dyDescent="0.3">
      <c r="B115" s="18" t="s">
        <v>6961</v>
      </c>
      <c r="C115" s="18" t="s">
        <v>6922</v>
      </c>
      <c r="D115" s="18" t="s">
        <v>7344</v>
      </c>
      <c r="E115" s="18">
        <v>1159</v>
      </c>
      <c r="F115" s="18">
        <v>6</v>
      </c>
      <c r="G115" s="18">
        <v>21</v>
      </c>
    </row>
    <row r="116" spans="2:7" x14ac:dyDescent="0.3">
      <c r="B116" s="18" t="s">
        <v>6961</v>
      </c>
      <c r="C116" s="18" t="s">
        <v>6922</v>
      </c>
      <c r="D116" s="18" t="s">
        <v>7345</v>
      </c>
      <c r="E116" s="18">
        <v>1522</v>
      </c>
      <c r="F116" s="18">
        <v>6</v>
      </c>
      <c r="G116" s="18">
        <v>21</v>
      </c>
    </row>
    <row r="117" spans="2:7" x14ac:dyDescent="0.3">
      <c r="B117" s="18" t="s">
        <v>6961</v>
      </c>
      <c r="C117" s="18" t="s">
        <v>6922</v>
      </c>
      <c r="D117" s="18" t="s">
        <v>7346</v>
      </c>
      <c r="E117" s="18">
        <v>1224</v>
      </c>
      <c r="F117" s="18">
        <v>6</v>
      </c>
      <c r="G117" s="18">
        <v>21</v>
      </c>
    </row>
    <row r="118" spans="2:7" x14ac:dyDescent="0.3">
      <c r="B118" s="18" t="s">
        <v>6961</v>
      </c>
      <c r="C118" s="18" t="s">
        <v>6922</v>
      </c>
      <c r="D118" s="18" t="s">
        <v>7347</v>
      </c>
      <c r="E118" s="18">
        <v>800</v>
      </c>
      <c r="F118" s="18">
        <v>6</v>
      </c>
      <c r="G118" s="18">
        <v>21</v>
      </c>
    </row>
    <row r="119" spans="2:7" x14ac:dyDescent="0.3">
      <c r="B119" s="18" t="s">
        <v>6961</v>
      </c>
      <c r="C119" s="18" t="s">
        <v>6922</v>
      </c>
      <c r="D119" s="18" t="s">
        <v>7348</v>
      </c>
      <c r="E119" s="18">
        <v>1390</v>
      </c>
      <c r="F119" s="18">
        <v>6</v>
      </c>
      <c r="G119" s="18">
        <v>21</v>
      </c>
    </row>
    <row r="120" spans="2:7" x14ac:dyDescent="0.3">
      <c r="B120" s="18" t="s">
        <v>6961</v>
      </c>
      <c r="C120" s="18" t="s">
        <v>6922</v>
      </c>
      <c r="D120" s="18" t="s">
        <v>7349</v>
      </c>
      <c r="E120" s="18">
        <v>357</v>
      </c>
      <c r="F120" s="18">
        <v>6</v>
      </c>
      <c r="G120" s="18">
        <v>21</v>
      </c>
    </row>
    <row r="121" spans="2:7" x14ac:dyDescent="0.3">
      <c r="B121" s="18" t="s">
        <v>6961</v>
      </c>
      <c r="C121" s="18" t="s">
        <v>6922</v>
      </c>
      <c r="D121" s="18" t="s">
        <v>7350</v>
      </c>
      <c r="E121" s="18">
        <v>819</v>
      </c>
      <c r="F121" s="18">
        <v>6</v>
      </c>
      <c r="G121" s="18">
        <v>21</v>
      </c>
    </row>
    <row r="122" spans="2:7" x14ac:dyDescent="0.3">
      <c r="B122" s="18" t="s">
        <v>6961</v>
      </c>
      <c r="C122" s="18" t="s">
        <v>6922</v>
      </c>
      <c r="D122" s="18" t="s">
        <v>7351</v>
      </c>
      <c r="E122" s="18">
        <v>1510</v>
      </c>
      <c r="F122" s="18">
        <v>6</v>
      </c>
      <c r="G122" s="18">
        <v>21</v>
      </c>
    </row>
    <row r="123" spans="2:7" x14ac:dyDescent="0.3">
      <c r="B123" s="18" t="s">
        <v>6961</v>
      </c>
      <c r="C123" s="18" t="s">
        <v>6922</v>
      </c>
      <c r="D123" s="18" t="s">
        <v>7352</v>
      </c>
      <c r="E123" s="18">
        <v>843</v>
      </c>
      <c r="F123" s="18">
        <v>6</v>
      </c>
      <c r="G123" s="18">
        <v>21</v>
      </c>
    </row>
    <row r="124" spans="2:7" x14ac:dyDescent="0.3">
      <c r="B124" s="18" t="s">
        <v>6961</v>
      </c>
      <c r="C124" s="18" t="s">
        <v>6922</v>
      </c>
      <c r="D124" s="18" t="s">
        <v>7353</v>
      </c>
      <c r="E124" s="18">
        <v>1634</v>
      </c>
      <c r="F124" s="18">
        <v>6</v>
      </c>
      <c r="G124" s="18">
        <v>21</v>
      </c>
    </row>
    <row r="125" spans="2:7" x14ac:dyDescent="0.3">
      <c r="B125" s="18" t="s">
        <v>6961</v>
      </c>
      <c r="C125" s="18" t="s">
        <v>6922</v>
      </c>
      <c r="D125" s="18" t="s">
        <v>7354</v>
      </c>
      <c r="E125" s="18">
        <v>1225</v>
      </c>
      <c r="F125" s="18">
        <v>6</v>
      </c>
      <c r="G125" s="18">
        <v>21</v>
      </c>
    </row>
    <row r="126" spans="2:7" x14ac:dyDescent="0.3">
      <c r="B126" s="18" t="s">
        <v>6961</v>
      </c>
      <c r="C126" s="18" t="s">
        <v>6922</v>
      </c>
      <c r="D126" s="18" t="s">
        <v>7355</v>
      </c>
      <c r="E126" s="18">
        <v>972</v>
      </c>
      <c r="F126" s="18">
        <v>6</v>
      </c>
      <c r="G126" s="18">
        <v>21</v>
      </c>
    </row>
    <row r="127" spans="2:7" x14ac:dyDescent="0.3">
      <c r="B127" s="18" t="s">
        <v>6961</v>
      </c>
      <c r="C127" s="18" t="s">
        <v>6922</v>
      </c>
      <c r="D127" s="18" t="s">
        <v>7356</v>
      </c>
      <c r="E127" s="18">
        <v>201130</v>
      </c>
      <c r="F127" s="18">
        <v>6</v>
      </c>
      <c r="G127" s="18">
        <v>21</v>
      </c>
    </row>
    <row r="128" spans="2:7" x14ac:dyDescent="0.3">
      <c r="B128" s="18" t="s">
        <v>6961</v>
      </c>
      <c r="C128" s="18" t="s">
        <v>6922</v>
      </c>
      <c r="D128" s="18" t="s">
        <v>7357</v>
      </c>
      <c r="E128" s="18">
        <v>1483</v>
      </c>
      <c r="F128" s="18">
        <v>6</v>
      </c>
      <c r="G128" s="18">
        <v>21</v>
      </c>
    </row>
    <row r="129" spans="2:7" x14ac:dyDescent="0.3">
      <c r="B129" s="18" t="s">
        <v>6961</v>
      </c>
      <c r="C129" s="18" t="s">
        <v>6922</v>
      </c>
      <c r="D129" s="18" t="s">
        <v>7358</v>
      </c>
      <c r="E129" s="18">
        <v>857</v>
      </c>
      <c r="F129" s="18">
        <v>6</v>
      </c>
      <c r="G129" s="18">
        <v>21</v>
      </c>
    </row>
    <row r="130" spans="2:7" x14ac:dyDescent="0.3">
      <c r="B130" s="18" t="s">
        <v>6961</v>
      </c>
      <c r="C130" s="18" t="s">
        <v>6922</v>
      </c>
      <c r="D130" s="18" t="s">
        <v>7359</v>
      </c>
      <c r="E130" s="18">
        <v>397</v>
      </c>
      <c r="F130" s="18">
        <v>6</v>
      </c>
      <c r="G130" s="18">
        <v>21</v>
      </c>
    </row>
    <row r="131" spans="2:7" x14ac:dyDescent="0.3">
      <c r="B131" s="18" t="s">
        <v>6961</v>
      </c>
      <c r="C131" s="18" t="s">
        <v>6922</v>
      </c>
      <c r="D131" s="18" t="s">
        <v>7360</v>
      </c>
      <c r="E131" s="18">
        <v>677</v>
      </c>
      <c r="F131" s="18">
        <v>6</v>
      </c>
      <c r="G131" s="18">
        <v>21</v>
      </c>
    </row>
    <row r="132" spans="2:7" x14ac:dyDescent="0.3">
      <c r="B132" s="18" t="s">
        <v>6961</v>
      </c>
      <c r="C132" s="18" t="s">
        <v>6922</v>
      </c>
      <c r="D132" s="18" t="s">
        <v>6923</v>
      </c>
      <c r="E132" s="18">
        <v>1599</v>
      </c>
      <c r="F132" s="18">
        <v>6</v>
      </c>
      <c r="G132" s="18">
        <v>21</v>
      </c>
    </row>
    <row r="133" spans="2:7" x14ac:dyDescent="0.3">
      <c r="B133" s="18" t="s">
        <v>6961</v>
      </c>
      <c r="C133" s="18" t="s">
        <v>6922</v>
      </c>
      <c r="D133" s="18" t="s">
        <v>7361</v>
      </c>
      <c r="E133" s="18">
        <v>1192</v>
      </c>
      <c r="F133" s="18">
        <v>6</v>
      </c>
      <c r="G133" s="18">
        <v>21</v>
      </c>
    </row>
    <row r="134" spans="2:7" x14ac:dyDescent="0.3">
      <c r="B134" s="18" t="s">
        <v>6961</v>
      </c>
      <c r="C134" s="18" t="s">
        <v>6922</v>
      </c>
      <c r="D134" s="18" t="s">
        <v>7362</v>
      </c>
      <c r="E134" s="18">
        <v>1338</v>
      </c>
      <c r="F134" s="18">
        <v>6</v>
      </c>
      <c r="G134" s="18">
        <v>21</v>
      </c>
    </row>
    <row r="135" spans="2:7" x14ac:dyDescent="0.3">
      <c r="B135" s="18" t="s">
        <v>6961</v>
      </c>
      <c r="C135" s="18" t="s">
        <v>6922</v>
      </c>
      <c r="D135" s="18" t="s">
        <v>7363</v>
      </c>
      <c r="E135" s="18">
        <v>1508</v>
      </c>
      <c r="F135" s="18">
        <v>6</v>
      </c>
      <c r="G135" s="18">
        <v>21</v>
      </c>
    </row>
    <row r="136" spans="2:7" x14ac:dyDescent="0.3">
      <c r="B136" s="18" t="s">
        <v>6961</v>
      </c>
      <c r="C136" s="18" t="s">
        <v>6922</v>
      </c>
      <c r="D136" s="18" t="s">
        <v>7364</v>
      </c>
      <c r="E136" s="18">
        <v>667</v>
      </c>
      <c r="F136" s="18">
        <v>6</v>
      </c>
      <c r="G136" s="18">
        <v>21</v>
      </c>
    </row>
    <row r="137" spans="2:7" x14ac:dyDescent="0.3">
      <c r="B137" s="18" t="s">
        <v>6961</v>
      </c>
      <c r="C137" s="18" t="s">
        <v>6922</v>
      </c>
      <c r="D137" s="18" t="s">
        <v>101</v>
      </c>
      <c r="E137" s="18">
        <v>982</v>
      </c>
      <c r="F137" s="18">
        <v>6</v>
      </c>
      <c r="G137" s="18">
        <v>21</v>
      </c>
    </row>
    <row r="138" spans="2:7" x14ac:dyDescent="0.3">
      <c r="B138" s="18" t="s">
        <v>6961</v>
      </c>
      <c r="C138" s="18" t="s">
        <v>6922</v>
      </c>
      <c r="D138" s="18" t="s">
        <v>7365</v>
      </c>
      <c r="E138" s="18">
        <v>1267</v>
      </c>
      <c r="F138" s="18">
        <v>6</v>
      </c>
      <c r="G138" s="18">
        <v>21</v>
      </c>
    </row>
    <row r="139" spans="2:7" x14ac:dyDescent="0.3">
      <c r="B139" s="18" t="s">
        <v>6961</v>
      </c>
      <c r="C139" s="18" t="s">
        <v>6922</v>
      </c>
      <c r="D139" s="18" t="s">
        <v>7366</v>
      </c>
      <c r="E139" s="18">
        <v>642</v>
      </c>
      <c r="F139" s="18">
        <v>6</v>
      </c>
      <c r="G139" s="18">
        <v>21</v>
      </c>
    </row>
    <row r="140" spans="2:7" x14ac:dyDescent="0.3">
      <c r="B140" s="18" t="s">
        <v>6961</v>
      </c>
      <c r="C140" s="18" t="s">
        <v>6922</v>
      </c>
      <c r="D140" s="18" t="s">
        <v>7367</v>
      </c>
      <c r="E140" s="18">
        <v>166</v>
      </c>
      <c r="F140" s="18">
        <v>6</v>
      </c>
      <c r="G140" s="18">
        <v>21</v>
      </c>
    </row>
    <row r="141" spans="2:7" x14ac:dyDescent="0.3">
      <c r="B141" s="18" t="s">
        <v>6961</v>
      </c>
      <c r="C141" s="18" t="s">
        <v>6922</v>
      </c>
      <c r="D141" s="18" t="s">
        <v>7368</v>
      </c>
      <c r="E141" s="18">
        <v>603</v>
      </c>
      <c r="F141" s="18">
        <v>6</v>
      </c>
      <c r="G141" s="18">
        <v>21</v>
      </c>
    </row>
    <row r="142" spans="2:7" x14ac:dyDescent="0.3">
      <c r="B142" s="18" t="s">
        <v>6961</v>
      </c>
      <c r="C142" s="18" t="s">
        <v>6922</v>
      </c>
      <c r="D142" s="18" t="s">
        <v>7369</v>
      </c>
      <c r="E142" s="18">
        <v>1601</v>
      </c>
      <c r="F142" s="18">
        <v>6</v>
      </c>
      <c r="G142" s="18">
        <v>21</v>
      </c>
    </row>
    <row r="143" spans="2:7" x14ac:dyDescent="0.3">
      <c r="B143" s="18" t="s">
        <v>6961</v>
      </c>
      <c r="C143" s="18" t="s">
        <v>6922</v>
      </c>
      <c r="D143" s="18" t="s">
        <v>7370</v>
      </c>
      <c r="E143" s="18">
        <v>1372</v>
      </c>
      <c r="F143" s="18">
        <v>6</v>
      </c>
      <c r="G143" s="18">
        <v>21</v>
      </c>
    </row>
    <row r="144" spans="2:7" x14ac:dyDescent="0.3">
      <c r="B144" s="18" t="s">
        <v>6961</v>
      </c>
      <c r="C144" s="18" t="s">
        <v>6922</v>
      </c>
      <c r="D144" s="18" t="s">
        <v>7371</v>
      </c>
      <c r="E144" s="18">
        <v>201020</v>
      </c>
      <c r="F144" s="18">
        <v>6</v>
      </c>
      <c r="G144" s="18">
        <v>21</v>
      </c>
    </row>
    <row r="145" spans="2:7" x14ac:dyDescent="0.3">
      <c r="B145" s="18" t="s">
        <v>6961</v>
      </c>
      <c r="C145" s="18" t="s">
        <v>6922</v>
      </c>
      <c r="D145" s="18" t="s">
        <v>7372</v>
      </c>
      <c r="E145" s="18">
        <v>1386</v>
      </c>
      <c r="F145" s="18">
        <v>6</v>
      </c>
      <c r="G145" s="18">
        <v>21</v>
      </c>
    </row>
    <row r="146" spans="2:7" x14ac:dyDescent="0.3">
      <c r="B146" s="18" t="s">
        <v>6961</v>
      </c>
      <c r="C146" s="18" t="s">
        <v>6922</v>
      </c>
      <c r="D146" s="18" t="s">
        <v>7373</v>
      </c>
      <c r="E146" s="18">
        <v>1677</v>
      </c>
      <c r="F146" s="18">
        <v>6</v>
      </c>
      <c r="G146" s="18">
        <v>21</v>
      </c>
    </row>
    <row r="147" spans="2:7" x14ac:dyDescent="0.3">
      <c r="B147" s="18" t="s">
        <v>6961</v>
      </c>
      <c r="C147" s="18" t="s">
        <v>6922</v>
      </c>
      <c r="D147" s="18" t="s">
        <v>7374</v>
      </c>
      <c r="E147" s="18">
        <v>473</v>
      </c>
      <c r="F147" s="18">
        <v>6</v>
      </c>
      <c r="G147" s="18">
        <v>21</v>
      </c>
    </row>
    <row r="148" spans="2:7" x14ac:dyDescent="0.3">
      <c r="B148" s="18" t="s">
        <v>6961</v>
      </c>
      <c r="C148" s="18" t="s">
        <v>6922</v>
      </c>
      <c r="D148" s="18" t="s">
        <v>7375</v>
      </c>
      <c r="E148" s="18">
        <v>1387</v>
      </c>
      <c r="F148" s="18">
        <v>6</v>
      </c>
      <c r="G148" s="18">
        <v>21</v>
      </c>
    </row>
    <row r="149" spans="2:7" x14ac:dyDescent="0.3">
      <c r="B149" s="18" t="s">
        <v>6961</v>
      </c>
      <c r="C149" s="18" t="s">
        <v>6922</v>
      </c>
      <c r="D149" s="18" t="s">
        <v>7376</v>
      </c>
      <c r="E149" s="18">
        <v>1376</v>
      </c>
      <c r="F149" s="18">
        <v>6</v>
      </c>
      <c r="G149" s="18">
        <v>21</v>
      </c>
    </row>
    <row r="150" spans="2:7" x14ac:dyDescent="0.3">
      <c r="B150" s="18" t="s">
        <v>6961</v>
      </c>
      <c r="C150" s="18" t="s">
        <v>6922</v>
      </c>
      <c r="D150" s="18" t="s">
        <v>7377</v>
      </c>
      <c r="E150" s="18">
        <v>164</v>
      </c>
      <c r="F150" s="18">
        <v>6</v>
      </c>
      <c r="G150" s="18">
        <v>21</v>
      </c>
    </row>
    <row r="151" spans="2:7" x14ac:dyDescent="0.3">
      <c r="B151" s="18" t="s">
        <v>6961</v>
      </c>
      <c r="C151" s="18" t="s">
        <v>6922</v>
      </c>
      <c r="D151" s="18" t="s">
        <v>7378</v>
      </c>
      <c r="E151" s="18">
        <v>1206</v>
      </c>
      <c r="F151" s="18">
        <v>6</v>
      </c>
      <c r="G151" s="18">
        <v>21</v>
      </c>
    </row>
    <row r="152" spans="2:7" x14ac:dyDescent="0.3">
      <c r="B152" s="18" t="s">
        <v>6961</v>
      </c>
      <c r="C152" s="18" t="s">
        <v>6922</v>
      </c>
      <c r="D152" s="18" t="s">
        <v>7379</v>
      </c>
      <c r="E152" s="18">
        <v>1131</v>
      </c>
      <c r="F152" s="18">
        <v>6</v>
      </c>
      <c r="G152" s="18">
        <v>21</v>
      </c>
    </row>
    <row r="153" spans="2:7" x14ac:dyDescent="0.3">
      <c r="B153" s="18" t="s">
        <v>6961</v>
      </c>
      <c r="C153" s="18" t="s">
        <v>6922</v>
      </c>
      <c r="D153" s="18" t="s">
        <v>7380</v>
      </c>
      <c r="E153" s="18">
        <v>1358</v>
      </c>
      <c r="F153" s="18">
        <v>6</v>
      </c>
      <c r="G153" s="18">
        <v>21</v>
      </c>
    </row>
    <row r="154" spans="2:7" x14ac:dyDescent="0.3">
      <c r="B154" s="18" t="s">
        <v>6961</v>
      </c>
      <c r="C154" s="18" t="s">
        <v>6922</v>
      </c>
      <c r="D154" s="18" t="s">
        <v>6933</v>
      </c>
      <c r="E154" s="18">
        <v>1375</v>
      </c>
      <c r="F154" s="18">
        <v>6</v>
      </c>
      <c r="G154" s="18">
        <v>21</v>
      </c>
    </row>
    <row r="155" spans="2:7" x14ac:dyDescent="0.3">
      <c r="B155" s="18" t="s">
        <v>6961</v>
      </c>
      <c r="C155" s="18" t="s">
        <v>6922</v>
      </c>
      <c r="D155" s="18" t="s">
        <v>7381</v>
      </c>
      <c r="E155" s="18">
        <v>1011</v>
      </c>
      <c r="F155" s="18">
        <v>6</v>
      </c>
      <c r="G155" s="18">
        <v>21</v>
      </c>
    </row>
    <row r="156" spans="2:7" x14ac:dyDescent="0.3">
      <c r="B156" s="18" t="s">
        <v>6961</v>
      </c>
      <c r="C156" s="18" t="s">
        <v>6922</v>
      </c>
      <c r="D156" s="18" t="s">
        <v>7382</v>
      </c>
      <c r="E156" s="18">
        <v>1568</v>
      </c>
      <c r="F156" s="18">
        <v>6</v>
      </c>
      <c r="G156" s="18">
        <v>21</v>
      </c>
    </row>
    <row r="157" spans="2:7" x14ac:dyDescent="0.3">
      <c r="B157" s="18" t="s">
        <v>6961</v>
      </c>
      <c r="C157" s="18" t="s">
        <v>6922</v>
      </c>
      <c r="D157" s="18" t="s">
        <v>7383</v>
      </c>
      <c r="E157" s="18">
        <v>488</v>
      </c>
      <c r="F157" s="18">
        <v>6</v>
      </c>
      <c r="G157" s="18">
        <v>21</v>
      </c>
    </row>
    <row r="158" spans="2:7" x14ac:dyDescent="0.3">
      <c r="B158" s="18" t="s">
        <v>6961</v>
      </c>
      <c r="C158" s="18" t="s">
        <v>6922</v>
      </c>
      <c r="D158" s="18" t="s">
        <v>7384</v>
      </c>
      <c r="E158" s="18">
        <v>1065</v>
      </c>
      <c r="F158" s="18">
        <v>6</v>
      </c>
      <c r="G158" s="18">
        <v>21</v>
      </c>
    </row>
    <row r="159" spans="2:7" x14ac:dyDescent="0.3">
      <c r="B159" s="18" t="s">
        <v>6961</v>
      </c>
      <c r="C159" s="18" t="s">
        <v>6922</v>
      </c>
      <c r="D159" s="18" t="s">
        <v>7385</v>
      </c>
      <c r="E159" s="18">
        <v>200973</v>
      </c>
      <c r="F159" s="18">
        <v>6</v>
      </c>
      <c r="G159" s="18">
        <v>21</v>
      </c>
    </row>
    <row r="160" spans="2:7" x14ac:dyDescent="0.3">
      <c r="B160" s="18" t="s">
        <v>6961</v>
      </c>
      <c r="C160" s="18" t="s">
        <v>6922</v>
      </c>
      <c r="D160" s="18" t="s">
        <v>7386</v>
      </c>
      <c r="E160" s="18">
        <v>1664</v>
      </c>
      <c r="F160" s="18">
        <v>6</v>
      </c>
      <c r="G160" s="18">
        <v>21</v>
      </c>
    </row>
    <row r="161" spans="2:7" x14ac:dyDescent="0.3">
      <c r="B161" s="18" t="s">
        <v>6961</v>
      </c>
      <c r="C161" s="18" t="s">
        <v>6922</v>
      </c>
      <c r="D161" s="18" t="s">
        <v>7387</v>
      </c>
      <c r="E161" s="18">
        <v>1132</v>
      </c>
      <c r="F161" s="18">
        <v>6</v>
      </c>
      <c r="G161" s="18">
        <v>21</v>
      </c>
    </row>
    <row r="162" spans="2:7" x14ac:dyDescent="0.3">
      <c r="B162" s="18" t="s">
        <v>6961</v>
      </c>
      <c r="C162" s="18" t="s">
        <v>6922</v>
      </c>
      <c r="D162" s="18" t="s">
        <v>7388</v>
      </c>
      <c r="E162" s="18">
        <v>791</v>
      </c>
      <c r="F162" s="18">
        <v>6</v>
      </c>
      <c r="G162" s="18">
        <v>21</v>
      </c>
    </row>
    <row r="163" spans="2:7" x14ac:dyDescent="0.3">
      <c r="B163" s="18" t="s">
        <v>6961</v>
      </c>
      <c r="C163" s="18" t="s">
        <v>6922</v>
      </c>
      <c r="D163" s="18" t="s">
        <v>7389</v>
      </c>
      <c r="E163" s="18">
        <v>351</v>
      </c>
      <c r="F163" s="18">
        <v>6</v>
      </c>
      <c r="G163" s="18">
        <v>21</v>
      </c>
    </row>
    <row r="164" spans="2:7" x14ac:dyDescent="0.3">
      <c r="B164" s="18" t="s">
        <v>6961</v>
      </c>
      <c r="C164" s="18" t="s">
        <v>6922</v>
      </c>
      <c r="D164" s="18" t="s">
        <v>7390</v>
      </c>
      <c r="E164" s="18">
        <v>1446</v>
      </c>
      <c r="F164" s="18">
        <v>6</v>
      </c>
      <c r="G164" s="18">
        <v>21</v>
      </c>
    </row>
    <row r="165" spans="2:7" x14ac:dyDescent="0.3">
      <c r="B165" s="18" t="s">
        <v>6961</v>
      </c>
      <c r="C165" s="18" t="s">
        <v>6922</v>
      </c>
      <c r="D165" s="18" t="s">
        <v>7391</v>
      </c>
      <c r="E165" s="18">
        <v>201005</v>
      </c>
      <c r="F165" s="18">
        <v>6</v>
      </c>
      <c r="G165" s="18">
        <v>21</v>
      </c>
    </row>
    <row r="166" spans="2:7" x14ac:dyDescent="0.3">
      <c r="B166" s="18" t="s">
        <v>6961</v>
      </c>
      <c r="C166" s="18" t="s">
        <v>6922</v>
      </c>
      <c r="D166" s="18" t="s">
        <v>7392</v>
      </c>
      <c r="E166" s="18">
        <v>1066</v>
      </c>
      <c r="F166" s="18">
        <v>6</v>
      </c>
      <c r="G166" s="18">
        <v>21</v>
      </c>
    </row>
    <row r="167" spans="2:7" x14ac:dyDescent="0.3">
      <c r="B167" s="18" t="s">
        <v>6961</v>
      </c>
      <c r="C167" s="18" t="s">
        <v>6922</v>
      </c>
      <c r="D167" s="18" t="s">
        <v>7392</v>
      </c>
      <c r="E167" s="18">
        <v>169</v>
      </c>
      <c r="F167" s="18">
        <v>6</v>
      </c>
      <c r="G167" s="18">
        <v>21</v>
      </c>
    </row>
    <row r="168" spans="2:7" x14ac:dyDescent="0.3">
      <c r="B168" s="18" t="s">
        <v>6961</v>
      </c>
      <c r="C168" s="18" t="s">
        <v>6922</v>
      </c>
      <c r="D168" s="18" t="s">
        <v>7393</v>
      </c>
      <c r="E168" s="18">
        <v>200953</v>
      </c>
      <c r="F168" s="18">
        <v>6</v>
      </c>
      <c r="G168" s="18">
        <v>21</v>
      </c>
    </row>
    <row r="169" spans="2:7" x14ac:dyDescent="0.3">
      <c r="B169" s="18" t="s">
        <v>6961</v>
      </c>
      <c r="C169" s="18" t="s">
        <v>6922</v>
      </c>
      <c r="D169" s="18" t="s">
        <v>7394</v>
      </c>
      <c r="E169" s="18">
        <v>641</v>
      </c>
      <c r="F169" s="18">
        <v>6</v>
      </c>
      <c r="G169" s="18">
        <v>21</v>
      </c>
    </row>
    <row r="170" spans="2:7" x14ac:dyDescent="0.3">
      <c r="B170" s="18" t="s">
        <v>6961</v>
      </c>
      <c r="C170" s="18" t="s">
        <v>6922</v>
      </c>
      <c r="D170" s="18" t="s">
        <v>7395</v>
      </c>
      <c r="E170" s="18">
        <v>153</v>
      </c>
      <c r="F170" s="18">
        <v>6</v>
      </c>
      <c r="G170" s="18">
        <v>21</v>
      </c>
    </row>
    <row r="171" spans="2:7" x14ac:dyDescent="0.3">
      <c r="B171" s="18" t="s">
        <v>6961</v>
      </c>
      <c r="C171" s="18" t="s">
        <v>6922</v>
      </c>
      <c r="D171" s="18" t="s">
        <v>7396</v>
      </c>
      <c r="E171" s="18">
        <v>969</v>
      </c>
      <c r="F171" s="18">
        <v>6</v>
      </c>
      <c r="G171" s="18">
        <v>21</v>
      </c>
    </row>
    <row r="172" spans="2:7" x14ac:dyDescent="0.3">
      <c r="B172" s="18" t="s">
        <v>6961</v>
      </c>
      <c r="C172" s="18" t="s">
        <v>6922</v>
      </c>
      <c r="D172" s="18" t="s">
        <v>7397</v>
      </c>
      <c r="E172" s="18">
        <v>144</v>
      </c>
      <c r="F172" s="18">
        <v>6</v>
      </c>
      <c r="G172" s="18">
        <v>21</v>
      </c>
    </row>
    <row r="173" spans="2:7" x14ac:dyDescent="0.3">
      <c r="B173" s="18" t="s">
        <v>6961</v>
      </c>
      <c r="C173" s="18" t="s">
        <v>6922</v>
      </c>
      <c r="D173" s="18" t="s">
        <v>7398</v>
      </c>
      <c r="E173" s="18">
        <v>1651</v>
      </c>
      <c r="F173" s="18">
        <v>6</v>
      </c>
      <c r="G173" s="18">
        <v>21</v>
      </c>
    </row>
    <row r="174" spans="2:7" x14ac:dyDescent="0.3">
      <c r="B174" s="18" t="s">
        <v>6961</v>
      </c>
      <c r="C174" s="18" t="s">
        <v>6922</v>
      </c>
      <c r="D174" s="18" t="s">
        <v>7399</v>
      </c>
      <c r="E174" s="18">
        <v>200979</v>
      </c>
      <c r="F174" s="18">
        <v>6</v>
      </c>
      <c r="G174" s="18">
        <v>21</v>
      </c>
    </row>
    <row r="175" spans="2:7" x14ac:dyDescent="0.3">
      <c r="B175" s="18" t="s">
        <v>6961</v>
      </c>
      <c r="C175" s="18" t="s">
        <v>6922</v>
      </c>
      <c r="D175" s="18" t="s">
        <v>7400</v>
      </c>
      <c r="E175" s="18">
        <v>1134</v>
      </c>
      <c r="F175" s="18">
        <v>6</v>
      </c>
      <c r="G175" s="18">
        <v>21</v>
      </c>
    </row>
    <row r="176" spans="2:7" x14ac:dyDescent="0.3">
      <c r="B176" s="18" t="s">
        <v>6961</v>
      </c>
      <c r="C176" s="18" t="s">
        <v>6922</v>
      </c>
      <c r="D176" s="18" t="s">
        <v>7401</v>
      </c>
      <c r="E176" s="18">
        <v>954</v>
      </c>
      <c r="F176" s="18">
        <v>6</v>
      </c>
      <c r="G176" s="18">
        <v>21</v>
      </c>
    </row>
    <row r="177" spans="2:7" x14ac:dyDescent="0.3">
      <c r="B177" s="18" t="s">
        <v>6961</v>
      </c>
      <c r="C177" s="18" t="s">
        <v>6922</v>
      </c>
      <c r="D177" s="18" t="s">
        <v>7402</v>
      </c>
      <c r="E177" s="18">
        <v>1611</v>
      </c>
      <c r="F177" s="18">
        <v>6</v>
      </c>
      <c r="G177" s="18">
        <v>21</v>
      </c>
    </row>
    <row r="178" spans="2:7" x14ac:dyDescent="0.3">
      <c r="B178" s="18" t="s">
        <v>6961</v>
      </c>
      <c r="C178" s="18" t="s">
        <v>6922</v>
      </c>
      <c r="D178" s="18" t="s">
        <v>7403</v>
      </c>
      <c r="E178" s="18">
        <v>1362</v>
      </c>
      <c r="F178" s="18">
        <v>6</v>
      </c>
      <c r="G178" s="18">
        <v>21</v>
      </c>
    </row>
    <row r="179" spans="2:7" x14ac:dyDescent="0.3">
      <c r="B179" s="18" t="s">
        <v>6961</v>
      </c>
      <c r="C179" s="18" t="s">
        <v>6922</v>
      </c>
      <c r="D179" s="18" t="s">
        <v>7404</v>
      </c>
      <c r="E179" s="18">
        <v>201006</v>
      </c>
      <c r="F179" s="18">
        <v>6</v>
      </c>
      <c r="G179" s="18">
        <v>21</v>
      </c>
    </row>
    <row r="180" spans="2:7" x14ac:dyDescent="0.3">
      <c r="B180" s="18" t="s">
        <v>6961</v>
      </c>
      <c r="C180" s="18" t="s">
        <v>6922</v>
      </c>
      <c r="D180" s="18" t="s">
        <v>7405</v>
      </c>
      <c r="E180" s="18">
        <v>859</v>
      </c>
      <c r="F180" s="18">
        <v>6</v>
      </c>
      <c r="G180" s="18">
        <v>21</v>
      </c>
    </row>
    <row r="181" spans="2:7" x14ac:dyDescent="0.3">
      <c r="B181" s="18" t="s">
        <v>6961</v>
      </c>
      <c r="C181" s="18" t="s">
        <v>6922</v>
      </c>
      <c r="D181" s="18" t="s">
        <v>7406</v>
      </c>
      <c r="E181" s="18">
        <v>1440</v>
      </c>
      <c r="F181" s="18">
        <v>6</v>
      </c>
      <c r="G181" s="18">
        <v>21</v>
      </c>
    </row>
    <row r="182" spans="2:7" x14ac:dyDescent="0.3">
      <c r="B182" s="18" t="s">
        <v>6961</v>
      </c>
      <c r="C182" s="18" t="s">
        <v>6922</v>
      </c>
      <c r="D182" s="18" t="s">
        <v>7407</v>
      </c>
      <c r="E182" s="18">
        <v>1624</v>
      </c>
      <c r="F182" s="18">
        <v>6</v>
      </c>
      <c r="G182" s="18">
        <v>21</v>
      </c>
    </row>
    <row r="183" spans="2:7" x14ac:dyDescent="0.3">
      <c r="B183" s="18" t="s">
        <v>6961</v>
      </c>
      <c r="C183" s="18" t="s">
        <v>6922</v>
      </c>
      <c r="D183" s="18" t="s">
        <v>7408</v>
      </c>
      <c r="E183" s="18">
        <v>665</v>
      </c>
      <c r="F183" s="18">
        <v>6</v>
      </c>
      <c r="G183" s="18">
        <v>21</v>
      </c>
    </row>
    <row r="184" spans="2:7" x14ac:dyDescent="0.3">
      <c r="B184" s="18" t="s">
        <v>6961</v>
      </c>
      <c r="C184" s="18" t="s">
        <v>6922</v>
      </c>
      <c r="D184" s="18" t="s">
        <v>7409</v>
      </c>
      <c r="E184" s="18">
        <v>736</v>
      </c>
      <c r="F184" s="18">
        <v>6</v>
      </c>
      <c r="G184" s="18">
        <v>21</v>
      </c>
    </row>
    <row r="185" spans="2:7" x14ac:dyDescent="0.3">
      <c r="B185" s="18" t="s">
        <v>6961</v>
      </c>
      <c r="C185" s="18" t="s">
        <v>6922</v>
      </c>
      <c r="D185" s="18" t="s">
        <v>7410</v>
      </c>
      <c r="E185" s="18">
        <v>874</v>
      </c>
      <c r="F185" s="18">
        <v>6</v>
      </c>
      <c r="G185" s="18">
        <v>21</v>
      </c>
    </row>
    <row r="186" spans="2:7" x14ac:dyDescent="0.3">
      <c r="B186" s="18" t="s">
        <v>6961</v>
      </c>
      <c r="C186" s="18" t="s">
        <v>6922</v>
      </c>
      <c r="D186" s="18" t="s">
        <v>7411</v>
      </c>
      <c r="E186" s="18">
        <v>696</v>
      </c>
      <c r="F186" s="18">
        <v>6</v>
      </c>
      <c r="G186" s="18">
        <v>21</v>
      </c>
    </row>
    <row r="187" spans="2:7" x14ac:dyDescent="0.3">
      <c r="B187" s="18" t="s">
        <v>6961</v>
      </c>
      <c r="C187" s="18" t="s">
        <v>6922</v>
      </c>
      <c r="D187" s="18" t="s">
        <v>7412</v>
      </c>
      <c r="E187" s="18">
        <v>475</v>
      </c>
      <c r="F187" s="18">
        <v>6</v>
      </c>
      <c r="G187" s="18">
        <v>21</v>
      </c>
    </row>
    <row r="188" spans="2:7" x14ac:dyDescent="0.3">
      <c r="B188" s="18" t="s">
        <v>6961</v>
      </c>
      <c r="C188" s="18" t="s">
        <v>6922</v>
      </c>
      <c r="D188" s="18" t="s">
        <v>7413</v>
      </c>
      <c r="E188" s="18">
        <v>1151</v>
      </c>
      <c r="F188" s="18">
        <v>6</v>
      </c>
      <c r="G188" s="18">
        <v>21</v>
      </c>
    </row>
    <row r="189" spans="2:7" x14ac:dyDescent="0.3">
      <c r="B189" s="18" t="s">
        <v>6961</v>
      </c>
      <c r="C189" s="18" t="s">
        <v>6922</v>
      </c>
      <c r="D189" s="18" t="s">
        <v>7414</v>
      </c>
      <c r="E189" s="18">
        <v>708</v>
      </c>
      <c r="F189" s="18">
        <v>6</v>
      </c>
      <c r="G189" s="18">
        <v>21</v>
      </c>
    </row>
    <row r="190" spans="2:7" x14ac:dyDescent="0.3">
      <c r="B190" s="18" t="s">
        <v>6961</v>
      </c>
      <c r="C190" s="18" t="s">
        <v>6922</v>
      </c>
      <c r="D190" s="18" t="s">
        <v>7415</v>
      </c>
      <c r="E190" s="18">
        <v>1068</v>
      </c>
      <c r="F190" s="18">
        <v>6</v>
      </c>
      <c r="G190" s="18">
        <v>21</v>
      </c>
    </row>
    <row r="191" spans="2:7" x14ac:dyDescent="0.3">
      <c r="B191" s="18" t="s">
        <v>6961</v>
      </c>
      <c r="C191" s="18" t="s">
        <v>6922</v>
      </c>
      <c r="D191" s="18" t="s">
        <v>7416</v>
      </c>
      <c r="E191" s="18">
        <v>1317</v>
      </c>
      <c r="F191" s="18">
        <v>6</v>
      </c>
      <c r="G191" s="18">
        <v>21</v>
      </c>
    </row>
    <row r="192" spans="2:7" x14ac:dyDescent="0.3">
      <c r="B192" s="18" t="s">
        <v>6961</v>
      </c>
      <c r="C192" s="18" t="s">
        <v>6922</v>
      </c>
      <c r="D192" s="18" t="s">
        <v>7417</v>
      </c>
      <c r="E192" s="18">
        <v>150</v>
      </c>
      <c r="F192" s="18">
        <v>6</v>
      </c>
      <c r="G192" s="18">
        <v>21</v>
      </c>
    </row>
    <row r="193" spans="2:7" x14ac:dyDescent="0.3">
      <c r="B193" s="18" t="s">
        <v>6961</v>
      </c>
      <c r="C193" s="18" t="s">
        <v>6922</v>
      </c>
      <c r="D193" s="18" t="s">
        <v>7418</v>
      </c>
      <c r="E193" s="18">
        <v>201076</v>
      </c>
      <c r="F193" s="18">
        <v>6</v>
      </c>
      <c r="G193" s="18">
        <v>21</v>
      </c>
    </row>
    <row r="194" spans="2:7" x14ac:dyDescent="0.3">
      <c r="B194" s="18" t="s">
        <v>6961</v>
      </c>
      <c r="C194" s="18" t="s">
        <v>6922</v>
      </c>
      <c r="D194" s="18" t="s">
        <v>7419</v>
      </c>
      <c r="E194" s="18">
        <v>798</v>
      </c>
      <c r="F194" s="18">
        <v>6</v>
      </c>
      <c r="G194" s="18">
        <v>21</v>
      </c>
    </row>
    <row r="195" spans="2:7" x14ac:dyDescent="0.3">
      <c r="B195" s="18" t="s">
        <v>6961</v>
      </c>
      <c r="C195" s="18" t="s">
        <v>6922</v>
      </c>
      <c r="D195" s="18" t="s">
        <v>7420</v>
      </c>
      <c r="E195" s="18">
        <v>1316</v>
      </c>
      <c r="F195" s="18">
        <v>6</v>
      </c>
      <c r="G195" s="18">
        <v>21</v>
      </c>
    </row>
    <row r="196" spans="2:7" x14ac:dyDescent="0.3">
      <c r="B196" s="18" t="s">
        <v>6961</v>
      </c>
      <c r="C196" s="18" t="s">
        <v>6922</v>
      </c>
      <c r="D196" s="18" t="s">
        <v>7421</v>
      </c>
      <c r="E196" s="18">
        <v>992</v>
      </c>
      <c r="F196" s="18">
        <v>6</v>
      </c>
      <c r="G196" s="18">
        <v>21</v>
      </c>
    </row>
    <row r="197" spans="2:7" x14ac:dyDescent="0.3">
      <c r="B197" s="18" t="s">
        <v>6961</v>
      </c>
      <c r="C197" s="18" t="s">
        <v>6922</v>
      </c>
      <c r="D197" s="18" t="s">
        <v>7422</v>
      </c>
      <c r="E197" s="18">
        <v>142</v>
      </c>
      <c r="F197" s="18">
        <v>6</v>
      </c>
      <c r="G197" s="18">
        <v>21</v>
      </c>
    </row>
    <row r="198" spans="2:7" x14ac:dyDescent="0.3">
      <c r="B198" s="18" t="s">
        <v>6961</v>
      </c>
      <c r="C198" s="18" t="s">
        <v>6922</v>
      </c>
      <c r="D198" s="18" t="s">
        <v>7423</v>
      </c>
      <c r="E198" s="18">
        <v>200983</v>
      </c>
      <c r="F198" s="18">
        <v>6</v>
      </c>
      <c r="G198" s="18">
        <v>21</v>
      </c>
    </row>
    <row r="199" spans="2:7" x14ac:dyDescent="0.3">
      <c r="B199" s="18" t="s">
        <v>6961</v>
      </c>
      <c r="C199" s="18" t="s">
        <v>6922</v>
      </c>
      <c r="D199" s="18" t="s">
        <v>7424</v>
      </c>
      <c r="E199" s="18">
        <v>441</v>
      </c>
      <c r="F199" s="18">
        <v>6</v>
      </c>
      <c r="G199" s="18">
        <v>21</v>
      </c>
    </row>
    <row r="200" spans="2:7" x14ac:dyDescent="0.3">
      <c r="B200" s="18" t="s">
        <v>6961</v>
      </c>
      <c r="C200" s="18" t="s">
        <v>6922</v>
      </c>
      <c r="D200" s="18" t="s">
        <v>7425</v>
      </c>
      <c r="E200" s="18">
        <v>1476</v>
      </c>
      <c r="F200" s="18">
        <v>6</v>
      </c>
      <c r="G200" s="18">
        <v>21</v>
      </c>
    </row>
    <row r="201" spans="2:7" x14ac:dyDescent="0.3">
      <c r="B201" s="18" t="s">
        <v>6961</v>
      </c>
      <c r="C201" s="18" t="s">
        <v>6922</v>
      </c>
      <c r="D201" s="18" t="s">
        <v>7426</v>
      </c>
      <c r="E201" s="18">
        <v>352</v>
      </c>
      <c r="F201" s="18">
        <v>6</v>
      </c>
      <c r="G201" s="18">
        <v>21</v>
      </c>
    </row>
    <row r="202" spans="2:7" x14ac:dyDescent="0.3">
      <c r="B202" s="18" t="s">
        <v>6961</v>
      </c>
      <c r="C202" s="18" t="s">
        <v>6922</v>
      </c>
      <c r="D202" s="18" t="s">
        <v>7427</v>
      </c>
      <c r="E202" s="18">
        <v>159</v>
      </c>
      <c r="F202" s="18">
        <v>6</v>
      </c>
      <c r="G202" s="18">
        <v>21</v>
      </c>
    </row>
    <row r="203" spans="2:7" x14ac:dyDescent="0.3">
      <c r="B203" s="18" t="s">
        <v>6961</v>
      </c>
      <c r="C203" s="18" t="s">
        <v>6922</v>
      </c>
      <c r="D203" s="18" t="s">
        <v>7428</v>
      </c>
      <c r="E203" s="18">
        <v>962</v>
      </c>
      <c r="F203" s="18">
        <v>6</v>
      </c>
      <c r="G203" s="18">
        <v>21</v>
      </c>
    </row>
    <row r="204" spans="2:7" x14ac:dyDescent="0.3">
      <c r="B204" s="18" t="s">
        <v>6961</v>
      </c>
      <c r="C204" s="18" t="s">
        <v>6922</v>
      </c>
      <c r="D204" s="18" t="s">
        <v>7429</v>
      </c>
      <c r="E204" s="18">
        <v>713</v>
      </c>
      <c r="F204" s="18">
        <v>6</v>
      </c>
      <c r="G204" s="18">
        <v>21</v>
      </c>
    </row>
    <row r="205" spans="2:7" x14ac:dyDescent="0.3">
      <c r="B205" s="18" t="s">
        <v>6961</v>
      </c>
      <c r="C205" s="18" t="s">
        <v>6922</v>
      </c>
      <c r="D205" s="18" t="s">
        <v>7430</v>
      </c>
      <c r="E205" s="18">
        <v>292</v>
      </c>
      <c r="F205" s="18">
        <v>6</v>
      </c>
      <c r="G205" s="18">
        <v>21</v>
      </c>
    </row>
    <row r="206" spans="2:7" x14ac:dyDescent="0.3">
      <c r="B206" s="18" t="s">
        <v>6961</v>
      </c>
      <c r="C206" s="18" t="s">
        <v>6922</v>
      </c>
      <c r="D206" s="18" t="s">
        <v>7431</v>
      </c>
      <c r="E206" s="18">
        <v>578</v>
      </c>
      <c r="F206" s="18">
        <v>6</v>
      </c>
      <c r="G206" s="18">
        <v>21</v>
      </c>
    </row>
    <row r="207" spans="2:7" x14ac:dyDescent="0.3">
      <c r="B207" s="18" t="s">
        <v>6961</v>
      </c>
      <c r="C207" s="18" t="s">
        <v>6922</v>
      </c>
      <c r="D207" s="18" t="s">
        <v>7432</v>
      </c>
      <c r="E207" s="18">
        <v>165</v>
      </c>
      <c r="F207" s="18">
        <v>6</v>
      </c>
      <c r="G207" s="18">
        <v>21</v>
      </c>
    </row>
    <row r="208" spans="2:7" x14ac:dyDescent="0.3">
      <c r="B208" s="18" t="s">
        <v>6961</v>
      </c>
      <c r="C208" s="18" t="s">
        <v>6922</v>
      </c>
      <c r="D208" s="18" t="s">
        <v>7433</v>
      </c>
      <c r="E208" s="18">
        <v>149</v>
      </c>
      <c r="F208" s="18">
        <v>6</v>
      </c>
      <c r="G208" s="18">
        <v>21</v>
      </c>
    </row>
    <row r="209" spans="2:7" x14ac:dyDescent="0.3">
      <c r="B209" s="18" t="s">
        <v>6961</v>
      </c>
      <c r="C209" s="18" t="s">
        <v>6922</v>
      </c>
      <c r="D209" s="18" t="s">
        <v>7434</v>
      </c>
      <c r="E209" s="18">
        <v>1455</v>
      </c>
      <c r="F209" s="18">
        <v>6</v>
      </c>
      <c r="G209" s="18">
        <v>21</v>
      </c>
    </row>
    <row r="210" spans="2:7" x14ac:dyDescent="0.3">
      <c r="B210" s="18" t="s">
        <v>6961</v>
      </c>
      <c r="C210" s="18" t="s">
        <v>6922</v>
      </c>
      <c r="D210" s="18" t="s">
        <v>7435</v>
      </c>
      <c r="E210" s="18">
        <v>308</v>
      </c>
      <c r="F210" s="18">
        <v>6</v>
      </c>
      <c r="G210" s="18">
        <v>21</v>
      </c>
    </row>
    <row r="211" spans="2:7" x14ac:dyDescent="0.3">
      <c r="B211" s="18" t="s">
        <v>6961</v>
      </c>
      <c r="C211" s="18" t="s">
        <v>6922</v>
      </c>
      <c r="D211" s="18" t="s">
        <v>7436</v>
      </c>
      <c r="E211" s="18">
        <v>577</v>
      </c>
      <c r="F211" s="18">
        <v>6</v>
      </c>
      <c r="G211" s="18">
        <v>21</v>
      </c>
    </row>
    <row r="212" spans="2:7" x14ac:dyDescent="0.3">
      <c r="B212" s="18" t="s">
        <v>6961</v>
      </c>
      <c r="C212" s="18" t="s">
        <v>6922</v>
      </c>
      <c r="D212" s="18" t="s">
        <v>7437</v>
      </c>
      <c r="E212" s="18">
        <v>693</v>
      </c>
      <c r="F212" s="18">
        <v>6</v>
      </c>
      <c r="G212" s="18">
        <v>21</v>
      </c>
    </row>
    <row r="213" spans="2:7" x14ac:dyDescent="0.3">
      <c r="B213" s="18" t="s">
        <v>6961</v>
      </c>
      <c r="C213" s="18" t="s">
        <v>6922</v>
      </c>
      <c r="D213" s="18" t="s">
        <v>7438</v>
      </c>
      <c r="E213" s="18">
        <v>688</v>
      </c>
      <c r="F213" s="18">
        <v>6</v>
      </c>
      <c r="G213" s="18">
        <v>21</v>
      </c>
    </row>
    <row r="214" spans="2:7" x14ac:dyDescent="0.3">
      <c r="B214" s="18" t="s">
        <v>6961</v>
      </c>
      <c r="C214" s="18" t="s">
        <v>6922</v>
      </c>
      <c r="D214" s="18" t="s">
        <v>7439</v>
      </c>
      <c r="E214" s="18">
        <v>309</v>
      </c>
      <c r="F214" s="18">
        <v>6</v>
      </c>
      <c r="G214" s="18">
        <v>21</v>
      </c>
    </row>
    <row r="215" spans="2:7" x14ac:dyDescent="0.3">
      <c r="B215" s="18" t="s">
        <v>6961</v>
      </c>
      <c r="C215" s="18" t="s">
        <v>6922</v>
      </c>
      <c r="D215" s="18" t="s">
        <v>7440</v>
      </c>
      <c r="E215" s="18">
        <v>1373</v>
      </c>
      <c r="F215" s="18">
        <v>6</v>
      </c>
      <c r="G215" s="18">
        <v>21</v>
      </c>
    </row>
    <row r="216" spans="2:7" x14ac:dyDescent="0.3">
      <c r="B216" s="18" t="s">
        <v>6961</v>
      </c>
      <c r="C216" s="18" t="s">
        <v>6922</v>
      </c>
      <c r="D216" s="18" t="s">
        <v>7090</v>
      </c>
      <c r="E216" s="18">
        <v>1536</v>
      </c>
      <c r="F216" s="18">
        <v>6</v>
      </c>
      <c r="G216" s="18">
        <v>21</v>
      </c>
    </row>
    <row r="217" spans="2:7" x14ac:dyDescent="0.3">
      <c r="B217" s="18" t="s">
        <v>6961</v>
      </c>
      <c r="C217" s="18" t="s">
        <v>6922</v>
      </c>
      <c r="D217" s="18" t="s">
        <v>7441</v>
      </c>
      <c r="E217" s="18">
        <v>1553</v>
      </c>
      <c r="F217" s="18">
        <v>6</v>
      </c>
      <c r="G217" s="18">
        <v>21</v>
      </c>
    </row>
    <row r="218" spans="2:7" x14ac:dyDescent="0.3">
      <c r="B218" s="18" t="s">
        <v>6961</v>
      </c>
      <c r="C218" s="18" t="s">
        <v>6922</v>
      </c>
      <c r="D218" s="18" t="s">
        <v>7442</v>
      </c>
      <c r="E218" s="18">
        <v>1325</v>
      </c>
      <c r="F218" s="18">
        <v>6</v>
      </c>
      <c r="G218" s="18">
        <v>21</v>
      </c>
    </row>
    <row r="219" spans="2:7" x14ac:dyDescent="0.3">
      <c r="B219" s="18" t="s">
        <v>6961</v>
      </c>
      <c r="C219" s="18" t="s">
        <v>6922</v>
      </c>
      <c r="D219" s="18" t="s">
        <v>7443</v>
      </c>
      <c r="E219" s="18">
        <v>123</v>
      </c>
      <c r="F219" s="18">
        <v>6</v>
      </c>
      <c r="G219" s="18">
        <v>21</v>
      </c>
    </row>
    <row r="220" spans="2:7" x14ac:dyDescent="0.3">
      <c r="B220" s="18" t="s">
        <v>6961</v>
      </c>
      <c r="C220" s="18" t="s">
        <v>6922</v>
      </c>
      <c r="D220" s="18" t="s">
        <v>7444</v>
      </c>
      <c r="E220" s="18">
        <v>310</v>
      </c>
      <c r="F220" s="18">
        <v>6</v>
      </c>
      <c r="G220" s="18">
        <v>21</v>
      </c>
    </row>
    <row r="221" spans="2:7" x14ac:dyDescent="0.3">
      <c r="B221" s="18" t="s">
        <v>6961</v>
      </c>
      <c r="C221" s="18" t="s">
        <v>6922</v>
      </c>
      <c r="D221" s="18" t="s">
        <v>7445</v>
      </c>
      <c r="E221" s="18">
        <v>350</v>
      </c>
      <c r="F221" s="18">
        <v>6</v>
      </c>
      <c r="G221" s="18">
        <v>21</v>
      </c>
    </row>
    <row r="222" spans="2:7" x14ac:dyDescent="0.3">
      <c r="B222" s="18" t="s">
        <v>6961</v>
      </c>
      <c r="C222" s="18" t="s">
        <v>6922</v>
      </c>
      <c r="D222" s="18" t="s">
        <v>7446</v>
      </c>
      <c r="E222" s="18">
        <v>1453</v>
      </c>
      <c r="F222" s="18">
        <v>6</v>
      </c>
      <c r="G222" s="18">
        <v>21</v>
      </c>
    </row>
    <row r="223" spans="2:7" x14ac:dyDescent="0.3">
      <c r="B223" s="18" t="s">
        <v>6961</v>
      </c>
      <c r="C223" s="18" t="s">
        <v>6922</v>
      </c>
      <c r="D223" s="18" t="s">
        <v>7447</v>
      </c>
      <c r="E223" s="18">
        <v>140</v>
      </c>
      <c r="F223" s="18">
        <v>6</v>
      </c>
      <c r="G223" s="18">
        <v>21</v>
      </c>
    </row>
    <row r="224" spans="2:7" x14ac:dyDescent="0.3">
      <c r="B224" s="18" t="s">
        <v>6961</v>
      </c>
      <c r="C224" s="18" t="s">
        <v>6922</v>
      </c>
      <c r="D224" s="18" t="s">
        <v>7448</v>
      </c>
      <c r="E224" s="18">
        <v>1223</v>
      </c>
      <c r="F224" s="18">
        <v>6</v>
      </c>
      <c r="G224" s="18">
        <v>21</v>
      </c>
    </row>
    <row r="225" spans="2:7" x14ac:dyDescent="0.3">
      <c r="B225" s="18" t="s">
        <v>6961</v>
      </c>
      <c r="C225" s="18" t="s">
        <v>6922</v>
      </c>
      <c r="D225" s="18" t="s">
        <v>7449</v>
      </c>
      <c r="E225" s="18">
        <v>1020</v>
      </c>
      <c r="F225" s="18">
        <v>6</v>
      </c>
      <c r="G225" s="18">
        <v>21</v>
      </c>
    </row>
    <row r="226" spans="2:7" x14ac:dyDescent="0.3">
      <c r="B226" s="18" t="s">
        <v>6961</v>
      </c>
      <c r="C226" s="18" t="s">
        <v>6922</v>
      </c>
      <c r="D226" s="18" t="s">
        <v>7450</v>
      </c>
      <c r="E226" s="18">
        <v>1007</v>
      </c>
      <c r="F226" s="18">
        <v>6</v>
      </c>
      <c r="G226" s="18">
        <v>21</v>
      </c>
    </row>
    <row r="227" spans="2:7" x14ac:dyDescent="0.3">
      <c r="B227" s="18" t="s">
        <v>6961</v>
      </c>
      <c r="C227" s="18" t="s">
        <v>6922</v>
      </c>
      <c r="D227" s="18" t="s">
        <v>7451</v>
      </c>
      <c r="E227" s="18">
        <v>878</v>
      </c>
      <c r="F227" s="18">
        <v>6</v>
      </c>
      <c r="G227" s="18">
        <v>21</v>
      </c>
    </row>
    <row r="228" spans="2:7" x14ac:dyDescent="0.3">
      <c r="B228" s="18" t="s">
        <v>6961</v>
      </c>
      <c r="C228" s="18" t="s">
        <v>6922</v>
      </c>
      <c r="D228" s="18" t="s">
        <v>7452</v>
      </c>
      <c r="E228" s="18">
        <v>1117</v>
      </c>
      <c r="F228" s="18">
        <v>6</v>
      </c>
      <c r="G228" s="18">
        <v>21</v>
      </c>
    </row>
    <row r="229" spans="2:7" x14ac:dyDescent="0.3">
      <c r="B229" s="18" t="s">
        <v>6961</v>
      </c>
      <c r="C229" s="18" t="s">
        <v>6922</v>
      </c>
      <c r="D229" s="18" t="s">
        <v>7453</v>
      </c>
      <c r="E229" s="18">
        <v>1201</v>
      </c>
      <c r="F229" s="18">
        <v>6</v>
      </c>
      <c r="G229" s="18">
        <v>21</v>
      </c>
    </row>
    <row r="230" spans="2:7" x14ac:dyDescent="0.3">
      <c r="B230" s="18" t="s">
        <v>6961</v>
      </c>
      <c r="C230" s="18" t="s">
        <v>6922</v>
      </c>
      <c r="D230" s="18" t="s">
        <v>7454</v>
      </c>
      <c r="E230" s="18">
        <v>1137</v>
      </c>
      <c r="F230" s="18">
        <v>6</v>
      </c>
      <c r="G230" s="18">
        <v>21</v>
      </c>
    </row>
    <row r="231" spans="2:7" x14ac:dyDescent="0.3">
      <c r="B231" s="18" t="s">
        <v>6961</v>
      </c>
      <c r="C231" s="18" t="s">
        <v>6922</v>
      </c>
      <c r="D231" s="18" t="s">
        <v>7455</v>
      </c>
      <c r="E231" s="18">
        <v>991</v>
      </c>
      <c r="F231" s="18">
        <v>6</v>
      </c>
      <c r="G231" s="18">
        <v>21</v>
      </c>
    </row>
    <row r="232" spans="2:7" x14ac:dyDescent="0.3">
      <c r="B232" s="18" t="s">
        <v>6961</v>
      </c>
      <c r="C232" s="18" t="s">
        <v>6922</v>
      </c>
      <c r="D232" s="18" t="s">
        <v>7456</v>
      </c>
      <c r="E232" s="18">
        <v>118</v>
      </c>
      <c r="F232" s="18">
        <v>6</v>
      </c>
      <c r="G232" s="18">
        <v>21</v>
      </c>
    </row>
    <row r="233" spans="2:7" x14ac:dyDescent="0.3">
      <c r="B233" s="18" t="s">
        <v>6961</v>
      </c>
      <c r="C233" s="18" t="s">
        <v>6922</v>
      </c>
      <c r="D233" s="18" t="s">
        <v>7457</v>
      </c>
      <c r="E233" s="18">
        <v>949</v>
      </c>
      <c r="F233" s="18">
        <v>6</v>
      </c>
      <c r="G233" s="18">
        <v>21</v>
      </c>
    </row>
    <row r="234" spans="2:7" x14ac:dyDescent="0.3">
      <c r="B234" s="18" t="s">
        <v>6961</v>
      </c>
      <c r="C234" s="18" t="s">
        <v>6922</v>
      </c>
      <c r="D234" s="18" t="s">
        <v>7458</v>
      </c>
      <c r="E234" s="18">
        <v>1204</v>
      </c>
      <c r="F234" s="18">
        <v>6</v>
      </c>
      <c r="G234" s="18">
        <v>21</v>
      </c>
    </row>
    <row r="235" spans="2:7" x14ac:dyDescent="0.3">
      <c r="B235" s="18" t="s">
        <v>6961</v>
      </c>
      <c r="C235" s="18" t="s">
        <v>6922</v>
      </c>
      <c r="D235" s="18" t="s">
        <v>7459</v>
      </c>
      <c r="E235" s="18">
        <v>610</v>
      </c>
      <c r="F235" s="18">
        <v>6</v>
      </c>
      <c r="G235" s="18">
        <v>21</v>
      </c>
    </row>
    <row r="236" spans="2:7" x14ac:dyDescent="0.3">
      <c r="B236" s="18" t="s">
        <v>6961</v>
      </c>
      <c r="C236" s="18" t="s">
        <v>6922</v>
      </c>
      <c r="D236" s="18" t="s">
        <v>7460</v>
      </c>
      <c r="E236" s="18">
        <v>590</v>
      </c>
      <c r="F236" s="18">
        <v>6</v>
      </c>
      <c r="G236" s="18">
        <v>21</v>
      </c>
    </row>
    <row r="237" spans="2:7" x14ac:dyDescent="0.3">
      <c r="B237" s="18" t="s">
        <v>6961</v>
      </c>
      <c r="C237" s="18" t="s">
        <v>6922</v>
      </c>
      <c r="D237" s="18" t="s">
        <v>7461</v>
      </c>
      <c r="E237" s="18">
        <v>147</v>
      </c>
      <c r="F237" s="18">
        <v>6</v>
      </c>
      <c r="G237" s="18">
        <v>21</v>
      </c>
    </row>
    <row r="238" spans="2:7" x14ac:dyDescent="0.3">
      <c r="B238" s="18" t="s">
        <v>6961</v>
      </c>
      <c r="C238" s="18" t="s">
        <v>6922</v>
      </c>
      <c r="D238" s="18" t="s">
        <v>7462</v>
      </c>
      <c r="E238" s="18">
        <v>699</v>
      </c>
      <c r="F238" s="18">
        <v>6</v>
      </c>
      <c r="G238" s="18">
        <v>21</v>
      </c>
    </row>
    <row r="239" spans="2:7" x14ac:dyDescent="0.3">
      <c r="B239" s="18" t="s">
        <v>6961</v>
      </c>
      <c r="C239" s="18" t="s">
        <v>6922</v>
      </c>
      <c r="D239" s="18" t="s">
        <v>7463</v>
      </c>
      <c r="E239" s="18">
        <v>311</v>
      </c>
      <c r="F239" s="18">
        <v>6</v>
      </c>
      <c r="G239" s="18">
        <v>21</v>
      </c>
    </row>
    <row r="240" spans="2:7" x14ac:dyDescent="0.3">
      <c r="B240" s="18" t="s">
        <v>6961</v>
      </c>
      <c r="C240" s="18" t="s">
        <v>6922</v>
      </c>
      <c r="D240" s="18" t="s">
        <v>7464</v>
      </c>
      <c r="E240" s="18">
        <v>589</v>
      </c>
      <c r="F240" s="18">
        <v>6</v>
      </c>
      <c r="G240" s="18">
        <v>21</v>
      </c>
    </row>
    <row r="241" spans="2:7" x14ac:dyDescent="0.3">
      <c r="B241" s="18" t="s">
        <v>6961</v>
      </c>
      <c r="C241" s="18" t="s">
        <v>6922</v>
      </c>
      <c r="D241" s="18" t="s">
        <v>7465</v>
      </c>
      <c r="E241" s="18">
        <v>1521</v>
      </c>
      <c r="F241" s="18">
        <v>6</v>
      </c>
      <c r="G241" s="18">
        <v>21</v>
      </c>
    </row>
    <row r="242" spans="2:7" x14ac:dyDescent="0.3">
      <c r="B242" s="18" t="s">
        <v>6961</v>
      </c>
      <c r="C242" s="18" t="s">
        <v>6922</v>
      </c>
      <c r="D242" s="18" t="s">
        <v>7466</v>
      </c>
      <c r="E242" s="18">
        <v>1394</v>
      </c>
      <c r="F242" s="18">
        <v>6</v>
      </c>
      <c r="G242" s="18">
        <v>21</v>
      </c>
    </row>
    <row r="243" spans="2:7" x14ac:dyDescent="0.3">
      <c r="B243" s="18" t="s">
        <v>6961</v>
      </c>
      <c r="C243" s="18" t="s">
        <v>6922</v>
      </c>
      <c r="D243" s="18" t="s">
        <v>7467</v>
      </c>
      <c r="E243" s="18">
        <v>1028</v>
      </c>
      <c r="F243" s="18">
        <v>6</v>
      </c>
      <c r="G243" s="18">
        <v>21</v>
      </c>
    </row>
    <row r="244" spans="2:7" x14ac:dyDescent="0.3">
      <c r="B244" s="18" t="s">
        <v>6961</v>
      </c>
      <c r="C244" s="18" t="s">
        <v>6922</v>
      </c>
      <c r="D244" s="18" t="s">
        <v>7468</v>
      </c>
      <c r="E244" s="18">
        <v>1662</v>
      </c>
      <c r="F244" s="18">
        <v>6</v>
      </c>
      <c r="G244" s="18">
        <v>21</v>
      </c>
    </row>
    <row r="245" spans="2:7" x14ac:dyDescent="0.3">
      <c r="B245" s="18" t="s">
        <v>6961</v>
      </c>
      <c r="C245" s="18" t="s">
        <v>6922</v>
      </c>
      <c r="D245" s="18" t="s">
        <v>7469</v>
      </c>
      <c r="E245" s="18">
        <v>126</v>
      </c>
      <c r="F245" s="18">
        <v>6</v>
      </c>
      <c r="G245" s="18">
        <v>21</v>
      </c>
    </row>
    <row r="246" spans="2:7" x14ac:dyDescent="0.3">
      <c r="B246" s="18" t="s">
        <v>6961</v>
      </c>
      <c r="C246" s="18" t="s">
        <v>6922</v>
      </c>
      <c r="D246" s="18" t="s">
        <v>7470</v>
      </c>
      <c r="E246" s="18">
        <v>1357</v>
      </c>
      <c r="F246" s="18">
        <v>6</v>
      </c>
      <c r="G246" s="18">
        <v>21</v>
      </c>
    </row>
    <row r="247" spans="2:7" x14ac:dyDescent="0.3">
      <c r="B247" s="18" t="s">
        <v>6961</v>
      </c>
      <c r="C247" s="18" t="s">
        <v>6922</v>
      </c>
      <c r="D247" s="18" t="s">
        <v>7471</v>
      </c>
      <c r="E247" s="18">
        <v>200987</v>
      </c>
      <c r="F247" s="18">
        <v>6</v>
      </c>
      <c r="G247" s="18">
        <v>21</v>
      </c>
    </row>
    <row r="248" spans="2:7" x14ac:dyDescent="0.3">
      <c r="B248" s="18" t="s">
        <v>6961</v>
      </c>
      <c r="C248" s="18" t="s">
        <v>6922</v>
      </c>
      <c r="D248" s="18" t="s">
        <v>7472</v>
      </c>
      <c r="E248" s="18">
        <v>1106</v>
      </c>
      <c r="F248" s="18">
        <v>6</v>
      </c>
      <c r="G248" s="18">
        <v>21</v>
      </c>
    </row>
    <row r="249" spans="2:7" x14ac:dyDescent="0.3">
      <c r="B249" s="18" t="s">
        <v>6961</v>
      </c>
      <c r="C249" s="18" t="s">
        <v>6922</v>
      </c>
      <c r="D249" s="18" t="s">
        <v>7473</v>
      </c>
      <c r="E249" s="18">
        <v>1133</v>
      </c>
      <c r="F249" s="18">
        <v>6</v>
      </c>
      <c r="G249" s="18">
        <v>21</v>
      </c>
    </row>
    <row r="250" spans="2:7" x14ac:dyDescent="0.3">
      <c r="B250" s="18" t="s">
        <v>6961</v>
      </c>
      <c r="C250" s="18" t="s">
        <v>6922</v>
      </c>
      <c r="D250" s="18" t="s">
        <v>7474</v>
      </c>
      <c r="E250" s="18">
        <v>158</v>
      </c>
      <c r="F250" s="18">
        <v>6</v>
      </c>
      <c r="G250" s="18">
        <v>21</v>
      </c>
    </row>
    <row r="251" spans="2:7" x14ac:dyDescent="0.3">
      <c r="B251" s="18" t="s">
        <v>6961</v>
      </c>
      <c r="C251" s="18" t="s">
        <v>6922</v>
      </c>
      <c r="D251" s="18" t="s">
        <v>7475</v>
      </c>
      <c r="E251" s="18">
        <v>1047</v>
      </c>
      <c r="F251" s="18">
        <v>6</v>
      </c>
      <c r="G251" s="18">
        <v>21</v>
      </c>
    </row>
    <row r="252" spans="2:7" x14ac:dyDescent="0.3">
      <c r="B252" s="18" t="s">
        <v>6961</v>
      </c>
      <c r="C252" s="18" t="s">
        <v>6922</v>
      </c>
      <c r="D252" s="18" t="s">
        <v>7476</v>
      </c>
      <c r="E252" s="18">
        <v>725</v>
      </c>
      <c r="F252" s="18">
        <v>6</v>
      </c>
      <c r="G252" s="18">
        <v>21</v>
      </c>
    </row>
    <row r="253" spans="2:7" x14ac:dyDescent="0.3">
      <c r="B253" s="18" t="s">
        <v>6961</v>
      </c>
      <c r="C253" s="18" t="s">
        <v>6922</v>
      </c>
      <c r="D253" s="18" t="s">
        <v>7477</v>
      </c>
      <c r="E253" s="18">
        <v>1097</v>
      </c>
      <c r="F253" s="18">
        <v>6</v>
      </c>
      <c r="G253" s="18">
        <v>21</v>
      </c>
    </row>
    <row r="254" spans="2:7" x14ac:dyDescent="0.3">
      <c r="B254" s="18" t="s">
        <v>6961</v>
      </c>
      <c r="C254" s="18" t="s">
        <v>6922</v>
      </c>
      <c r="D254" s="18" t="s">
        <v>7478</v>
      </c>
      <c r="E254" s="18">
        <v>1587</v>
      </c>
      <c r="F254" s="18">
        <v>6</v>
      </c>
      <c r="G254" s="18">
        <v>21</v>
      </c>
    </row>
    <row r="255" spans="2:7" x14ac:dyDescent="0.3">
      <c r="B255" s="18" t="s">
        <v>6961</v>
      </c>
      <c r="C255" s="18" t="s">
        <v>6922</v>
      </c>
      <c r="D255" s="18" t="s">
        <v>7479</v>
      </c>
      <c r="E255" s="18">
        <v>749</v>
      </c>
      <c r="F255" s="18">
        <v>6</v>
      </c>
      <c r="G255" s="18">
        <v>21</v>
      </c>
    </row>
    <row r="256" spans="2:7" x14ac:dyDescent="0.3">
      <c r="B256" s="18" t="s">
        <v>6961</v>
      </c>
      <c r="C256" s="18" t="s">
        <v>6922</v>
      </c>
      <c r="D256" s="18" t="s">
        <v>7480</v>
      </c>
      <c r="E256" s="18">
        <v>442</v>
      </c>
      <c r="F256" s="18">
        <v>6</v>
      </c>
      <c r="G256" s="18">
        <v>21</v>
      </c>
    </row>
    <row r="257" spans="2:7" x14ac:dyDescent="0.3">
      <c r="B257" s="18" t="s">
        <v>6961</v>
      </c>
      <c r="C257" s="18" t="s">
        <v>6922</v>
      </c>
      <c r="D257" s="18" t="s">
        <v>7481</v>
      </c>
      <c r="E257" s="18">
        <v>727</v>
      </c>
      <c r="F257" s="18">
        <v>6</v>
      </c>
      <c r="G257" s="18">
        <v>21</v>
      </c>
    </row>
    <row r="258" spans="2:7" x14ac:dyDescent="0.3">
      <c r="B258" s="18" t="s">
        <v>6961</v>
      </c>
      <c r="C258" s="18" t="s">
        <v>6922</v>
      </c>
      <c r="D258" s="18" t="s">
        <v>7482</v>
      </c>
      <c r="E258" s="18">
        <v>1130</v>
      </c>
      <c r="F258" s="18">
        <v>6</v>
      </c>
      <c r="G258" s="18">
        <v>21</v>
      </c>
    </row>
    <row r="259" spans="2:7" x14ac:dyDescent="0.3">
      <c r="B259" s="18" t="s">
        <v>6961</v>
      </c>
      <c r="C259" s="18" t="s">
        <v>6922</v>
      </c>
      <c r="D259" s="18" t="s">
        <v>7483</v>
      </c>
      <c r="E259" s="18">
        <v>1026</v>
      </c>
      <c r="F259" s="18">
        <v>6</v>
      </c>
      <c r="G259" s="18">
        <v>21</v>
      </c>
    </row>
    <row r="260" spans="2:7" x14ac:dyDescent="0.3">
      <c r="B260" s="18" t="s">
        <v>6961</v>
      </c>
      <c r="C260" s="18" t="s">
        <v>6922</v>
      </c>
      <c r="D260" s="18" t="s">
        <v>7484</v>
      </c>
      <c r="E260" s="18">
        <v>1398</v>
      </c>
      <c r="F260" s="18">
        <v>6</v>
      </c>
      <c r="G260" s="18">
        <v>21</v>
      </c>
    </row>
    <row r="261" spans="2:7" x14ac:dyDescent="0.3">
      <c r="B261" s="18" t="s">
        <v>6961</v>
      </c>
      <c r="C261" s="18" t="s">
        <v>6922</v>
      </c>
      <c r="D261" s="18" t="s">
        <v>7485</v>
      </c>
      <c r="E261" s="18">
        <v>801</v>
      </c>
      <c r="F261" s="18">
        <v>6</v>
      </c>
      <c r="G261" s="18">
        <v>21</v>
      </c>
    </row>
    <row r="262" spans="2:7" x14ac:dyDescent="0.3">
      <c r="B262" s="18" t="s">
        <v>6961</v>
      </c>
      <c r="C262" s="18" t="s">
        <v>6922</v>
      </c>
      <c r="D262" s="18" t="s">
        <v>7486</v>
      </c>
      <c r="E262" s="18">
        <v>1561</v>
      </c>
      <c r="F262" s="18">
        <v>6</v>
      </c>
      <c r="G262" s="18">
        <v>21</v>
      </c>
    </row>
    <row r="263" spans="2:7" x14ac:dyDescent="0.3">
      <c r="B263" s="18" t="s">
        <v>6961</v>
      </c>
      <c r="C263" s="18" t="s">
        <v>6922</v>
      </c>
      <c r="D263" s="18" t="s">
        <v>7487</v>
      </c>
      <c r="E263" s="18">
        <v>651</v>
      </c>
      <c r="F263" s="18">
        <v>6</v>
      </c>
      <c r="G263" s="18">
        <v>21</v>
      </c>
    </row>
    <row r="264" spans="2:7" x14ac:dyDescent="0.3">
      <c r="B264" s="18" t="s">
        <v>6961</v>
      </c>
      <c r="C264" s="18" t="s">
        <v>6922</v>
      </c>
      <c r="D264" s="18" t="s">
        <v>7488</v>
      </c>
      <c r="E264" s="18">
        <v>116</v>
      </c>
      <c r="F264" s="18">
        <v>6</v>
      </c>
      <c r="G264" s="18">
        <v>21</v>
      </c>
    </row>
    <row r="265" spans="2:7" x14ac:dyDescent="0.3">
      <c r="B265" s="18" t="s">
        <v>6961</v>
      </c>
      <c r="C265" s="18" t="s">
        <v>6922</v>
      </c>
      <c r="D265" s="18" t="s">
        <v>7489</v>
      </c>
      <c r="E265" s="18">
        <v>134</v>
      </c>
      <c r="F265" s="18">
        <v>6</v>
      </c>
      <c r="G265" s="18">
        <v>21</v>
      </c>
    </row>
    <row r="266" spans="2:7" x14ac:dyDescent="0.3">
      <c r="B266" s="18" t="s">
        <v>6961</v>
      </c>
      <c r="C266" s="18" t="s">
        <v>6922</v>
      </c>
      <c r="D266" s="18" t="s">
        <v>7490</v>
      </c>
      <c r="E266" s="18">
        <v>161</v>
      </c>
      <c r="F266" s="18">
        <v>6</v>
      </c>
      <c r="G266" s="18">
        <v>21</v>
      </c>
    </row>
    <row r="267" spans="2:7" x14ac:dyDescent="0.3">
      <c r="B267" s="18" t="s">
        <v>6961</v>
      </c>
      <c r="C267" s="18" t="s">
        <v>6922</v>
      </c>
      <c r="D267" s="18" t="s">
        <v>7491</v>
      </c>
      <c r="E267" s="18">
        <v>1597</v>
      </c>
      <c r="F267" s="18">
        <v>6</v>
      </c>
      <c r="G267" s="18">
        <v>21</v>
      </c>
    </row>
    <row r="268" spans="2:7" x14ac:dyDescent="0.3">
      <c r="B268" s="18" t="s">
        <v>6961</v>
      </c>
      <c r="C268" s="18" t="s">
        <v>6922</v>
      </c>
      <c r="D268" s="18" t="s">
        <v>7492</v>
      </c>
      <c r="E268" s="18">
        <v>1628</v>
      </c>
      <c r="F268" s="18">
        <v>6</v>
      </c>
      <c r="G268" s="18">
        <v>21</v>
      </c>
    </row>
    <row r="269" spans="2:7" x14ac:dyDescent="0.3">
      <c r="B269" s="18" t="s">
        <v>6961</v>
      </c>
      <c r="C269" s="18" t="s">
        <v>6922</v>
      </c>
      <c r="D269" s="18" t="s">
        <v>7493</v>
      </c>
      <c r="E269" s="18">
        <v>543</v>
      </c>
      <c r="F269" s="18">
        <v>6</v>
      </c>
      <c r="G269" s="18">
        <v>21</v>
      </c>
    </row>
    <row r="270" spans="2:7" x14ac:dyDescent="0.3">
      <c r="B270" s="18" t="s">
        <v>6961</v>
      </c>
      <c r="C270" s="18" t="s">
        <v>6922</v>
      </c>
      <c r="D270" s="18" t="s">
        <v>7494</v>
      </c>
      <c r="E270" s="18">
        <v>465</v>
      </c>
      <c r="F270" s="18">
        <v>6</v>
      </c>
      <c r="G270" s="18">
        <v>21</v>
      </c>
    </row>
    <row r="271" spans="2:7" x14ac:dyDescent="0.3">
      <c r="B271" s="18" t="s">
        <v>6961</v>
      </c>
      <c r="C271" s="18" t="s">
        <v>6922</v>
      </c>
      <c r="D271" s="18" t="s">
        <v>7495</v>
      </c>
      <c r="E271" s="18">
        <v>752</v>
      </c>
      <c r="F271" s="18">
        <v>6</v>
      </c>
      <c r="G271" s="18">
        <v>21</v>
      </c>
    </row>
    <row r="272" spans="2:7" x14ac:dyDescent="0.3">
      <c r="B272" s="18" t="s">
        <v>6961</v>
      </c>
      <c r="C272" s="18" t="s">
        <v>6922</v>
      </c>
      <c r="D272" s="18" t="s">
        <v>7496</v>
      </c>
      <c r="E272" s="18">
        <v>200954</v>
      </c>
      <c r="F272" s="18">
        <v>6</v>
      </c>
      <c r="G272" s="18">
        <v>21</v>
      </c>
    </row>
    <row r="273" spans="2:7" x14ac:dyDescent="0.3">
      <c r="B273" s="18" t="s">
        <v>6961</v>
      </c>
      <c r="C273" s="18" t="s">
        <v>6922</v>
      </c>
      <c r="D273" s="18" t="s">
        <v>7497</v>
      </c>
      <c r="E273" s="18">
        <v>313</v>
      </c>
      <c r="F273" s="18">
        <v>6</v>
      </c>
      <c r="G273" s="18">
        <v>21</v>
      </c>
    </row>
    <row r="274" spans="2:7" x14ac:dyDescent="0.3">
      <c r="B274" s="18" t="s">
        <v>6961</v>
      </c>
      <c r="C274" s="18" t="s">
        <v>6922</v>
      </c>
      <c r="D274" s="18" t="s">
        <v>7498</v>
      </c>
      <c r="E274" s="18">
        <v>170</v>
      </c>
      <c r="F274" s="18">
        <v>6</v>
      </c>
      <c r="G274" s="18">
        <v>21</v>
      </c>
    </row>
    <row r="275" spans="2:7" x14ac:dyDescent="0.3">
      <c r="B275" s="18" t="s">
        <v>6961</v>
      </c>
      <c r="C275" s="18" t="s">
        <v>6922</v>
      </c>
      <c r="D275" s="18" t="s">
        <v>7499</v>
      </c>
      <c r="E275" s="18">
        <v>314</v>
      </c>
      <c r="F275" s="18">
        <v>6</v>
      </c>
      <c r="G275" s="18">
        <v>21</v>
      </c>
    </row>
    <row r="276" spans="2:7" x14ac:dyDescent="0.3">
      <c r="B276" s="18" t="s">
        <v>6961</v>
      </c>
      <c r="C276" s="18" t="s">
        <v>6922</v>
      </c>
      <c r="D276" s="18" t="s">
        <v>7500</v>
      </c>
      <c r="E276" s="18">
        <v>1063</v>
      </c>
      <c r="F276" s="18">
        <v>6</v>
      </c>
      <c r="G276" s="18">
        <v>21</v>
      </c>
    </row>
    <row r="277" spans="2:7" x14ac:dyDescent="0.3">
      <c r="B277" s="18" t="s">
        <v>6961</v>
      </c>
      <c r="C277" s="18" t="s">
        <v>6922</v>
      </c>
      <c r="D277" s="18" t="s">
        <v>7501</v>
      </c>
      <c r="E277" s="18">
        <v>714</v>
      </c>
      <c r="F277" s="18">
        <v>6</v>
      </c>
      <c r="G277" s="18">
        <v>21</v>
      </c>
    </row>
    <row r="278" spans="2:7" x14ac:dyDescent="0.3">
      <c r="B278" s="18" t="s">
        <v>6961</v>
      </c>
      <c r="C278" s="18" t="s">
        <v>6922</v>
      </c>
      <c r="D278" s="18" t="s">
        <v>7502</v>
      </c>
      <c r="E278" s="18">
        <v>712</v>
      </c>
      <c r="F278" s="18">
        <v>6</v>
      </c>
      <c r="G278" s="18">
        <v>21</v>
      </c>
    </row>
    <row r="279" spans="2:7" x14ac:dyDescent="0.3">
      <c r="B279" s="18" t="s">
        <v>6961</v>
      </c>
      <c r="C279" s="18" t="s">
        <v>6922</v>
      </c>
      <c r="D279" s="18" t="s">
        <v>7503</v>
      </c>
      <c r="E279" s="18">
        <v>1308</v>
      </c>
      <c r="F279" s="18">
        <v>6</v>
      </c>
      <c r="G279" s="18">
        <v>21</v>
      </c>
    </row>
    <row r="280" spans="2:7" x14ac:dyDescent="0.3">
      <c r="B280" s="18" t="s">
        <v>6961</v>
      </c>
      <c r="C280" s="18" t="s">
        <v>6922</v>
      </c>
      <c r="D280" s="18" t="s">
        <v>7504</v>
      </c>
      <c r="E280" s="18">
        <v>1667</v>
      </c>
      <c r="F280" s="18">
        <v>6</v>
      </c>
      <c r="G280" s="18">
        <v>21</v>
      </c>
    </row>
    <row r="281" spans="2:7" x14ac:dyDescent="0.3">
      <c r="B281" s="18" t="s">
        <v>6961</v>
      </c>
      <c r="C281" s="18" t="s">
        <v>6922</v>
      </c>
      <c r="D281" s="18" t="s">
        <v>7505</v>
      </c>
      <c r="E281" s="18">
        <v>1479</v>
      </c>
      <c r="F281" s="18">
        <v>6</v>
      </c>
      <c r="G281" s="18">
        <v>21</v>
      </c>
    </row>
    <row r="282" spans="2:7" x14ac:dyDescent="0.3">
      <c r="B282" s="18" t="s">
        <v>6961</v>
      </c>
      <c r="C282" s="18" t="s">
        <v>6922</v>
      </c>
      <c r="D282" s="18" t="s">
        <v>7506</v>
      </c>
      <c r="E282" s="18">
        <v>1391</v>
      </c>
      <c r="F282" s="18">
        <v>6</v>
      </c>
      <c r="G282" s="18">
        <v>21</v>
      </c>
    </row>
    <row r="283" spans="2:7" x14ac:dyDescent="0.3">
      <c r="B283" s="18" t="s">
        <v>6961</v>
      </c>
      <c r="C283" s="18" t="s">
        <v>6922</v>
      </c>
      <c r="D283" s="18" t="s">
        <v>7507</v>
      </c>
      <c r="E283" s="18">
        <v>580</v>
      </c>
      <c r="F283" s="18">
        <v>6</v>
      </c>
      <c r="G283" s="18">
        <v>21</v>
      </c>
    </row>
    <row r="284" spans="2:7" x14ac:dyDescent="0.3">
      <c r="B284" s="18" t="s">
        <v>6961</v>
      </c>
      <c r="C284" s="18" t="s">
        <v>6922</v>
      </c>
      <c r="D284" s="18" t="s">
        <v>7508</v>
      </c>
      <c r="E284" s="18">
        <v>139</v>
      </c>
      <c r="F284" s="18">
        <v>6</v>
      </c>
      <c r="G284" s="18">
        <v>21</v>
      </c>
    </row>
    <row r="285" spans="2:7" x14ac:dyDescent="0.3">
      <c r="B285" s="18" t="s">
        <v>6961</v>
      </c>
      <c r="C285" s="18" t="s">
        <v>6922</v>
      </c>
      <c r="D285" s="18" t="s">
        <v>7509</v>
      </c>
      <c r="E285" s="18">
        <v>1413</v>
      </c>
      <c r="F285" s="18">
        <v>6</v>
      </c>
      <c r="G285" s="18">
        <v>21</v>
      </c>
    </row>
    <row r="286" spans="2:7" x14ac:dyDescent="0.3">
      <c r="B286" s="18" t="s">
        <v>6961</v>
      </c>
      <c r="C286" s="18" t="s">
        <v>6922</v>
      </c>
      <c r="D286" s="18" t="s">
        <v>7510</v>
      </c>
      <c r="E286" s="18">
        <v>200964</v>
      </c>
      <c r="F286" s="18">
        <v>6</v>
      </c>
      <c r="G286" s="18">
        <v>21</v>
      </c>
    </row>
    <row r="287" spans="2:7" x14ac:dyDescent="0.3">
      <c r="B287" s="18" t="s">
        <v>6961</v>
      </c>
      <c r="C287" s="18" t="s">
        <v>6922</v>
      </c>
      <c r="D287" s="18" t="s">
        <v>7511</v>
      </c>
      <c r="E287" s="18">
        <v>495</v>
      </c>
      <c r="F287" s="18">
        <v>6</v>
      </c>
      <c r="G287" s="18">
        <v>21</v>
      </c>
    </row>
    <row r="288" spans="2:7" x14ac:dyDescent="0.3">
      <c r="B288" s="18" t="s">
        <v>6961</v>
      </c>
      <c r="C288" s="18" t="s">
        <v>6922</v>
      </c>
      <c r="D288" s="18" t="s">
        <v>7512</v>
      </c>
      <c r="E288" s="18">
        <v>353</v>
      </c>
      <c r="F288" s="18">
        <v>6</v>
      </c>
      <c r="G288" s="18">
        <v>21</v>
      </c>
    </row>
    <row r="289" spans="2:7" x14ac:dyDescent="0.3">
      <c r="B289" s="18" t="s">
        <v>6961</v>
      </c>
      <c r="C289" s="18" t="s">
        <v>6922</v>
      </c>
      <c r="D289" s="18" t="s">
        <v>7513</v>
      </c>
      <c r="E289" s="18">
        <v>364</v>
      </c>
      <c r="F289" s="18">
        <v>6</v>
      </c>
      <c r="G289" s="18">
        <v>21</v>
      </c>
    </row>
    <row r="290" spans="2:7" x14ac:dyDescent="0.3">
      <c r="B290" s="18" t="s">
        <v>6961</v>
      </c>
      <c r="C290" s="18" t="s">
        <v>6922</v>
      </c>
      <c r="D290" s="18" t="s">
        <v>6990</v>
      </c>
      <c r="E290" s="18">
        <v>1520</v>
      </c>
      <c r="F290" s="18">
        <v>6</v>
      </c>
      <c r="G290" s="18">
        <v>21</v>
      </c>
    </row>
    <row r="291" spans="2:7" x14ac:dyDescent="0.3">
      <c r="B291" s="18" t="s">
        <v>6961</v>
      </c>
      <c r="C291" s="18" t="s">
        <v>6922</v>
      </c>
      <c r="D291" s="18" t="s">
        <v>7514</v>
      </c>
      <c r="E291" s="18">
        <v>200975</v>
      </c>
      <c r="F291" s="18">
        <v>6</v>
      </c>
      <c r="G291" s="18">
        <v>21</v>
      </c>
    </row>
    <row r="292" spans="2:7" x14ac:dyDescent="0.3">
      <c r="B292" s="18" t="s">
        <v>6961</v>
      </c>
      <c r="C292" s="18" t="s">
        <v>6922</v>
      </c>
      <c r="D292" s="18" t="s">
        <v>7515</v>
      </c>
      <c r="E292" s="18">
        <v>200978</v>
      </c>
      <c r="F292" s="18">
        <v>6</v>
      </c>
      <c r="G292" s="18">
        <v>21</v>
      </c>
    </row>
    <row r="293" spans="2:7" x14ac:dyDescent="0.3">
      <c r="B293" s="18" t="s">
        <v>6961</v>
      </c>
      <c r="C293" s="18" t="s">
        <v>6922</v>
      </c>
      <c r="D293" s="18" t="s">
        <v>7516</v>
      </c>
      <c r="E293" s="18">
        <v>148</v>
      </c>
      <c r="F293" s="18">
        <v>6</v>
      </c>
      <c r="G293" s="18">
        <v>21</v>
      </c>
    </row>
    <row r="294" spans="2:7" x14ac:dyDescent="0.3">
      <c r="B294" s="18" t="s">
        <v>6961</v>
      </c>
      <c r="C294" s="18" t="s">
        <v>6922</v>
      </c>
      <c r="D294" s="18" t="s">
        <v>7517</v>
      </c>
      <c r="E294" s="18">
        <v>315</v>
      </c>
      <c r="F294" s="18">
        <v>6</v>
      </c>
      <c r="G294" s="18">
        <v>21</v>
      </c>
    </row>
    <row r="295" spans="2:7" x14ac:dyDescent="0.3">
      <c r="B295" s="18" t="s">
        <v>6961</v>
      </c>
      <c r="C295" s="18" t="s">
        <v>6922</v>
      </c>
      <c r="D295" s="18" t="s">
        <v>7518</v>
      </c>
      <c r="E295" s="18">
        <v>1105</v>
      </c>
      <c r="F295" s="18">
        <v>6</v>
      </c>
      <c r="G295" s="18">
        <v>21</v>
      </c>
    </row>
    <row r="296" spans="2:7" x14ac:dyDescent="0.3">
      <c r="B296" s="18" t="s">
        <v>6961</v>
      </c>
      <c r="C296" s="18" t="s">
        <v>6922</v>
      </c>
      <c r="D296" s="18" t="s">
        <v>7519</v>
      </c>
      <c r="E296" s="18">
        <v>200935</v>
      </c>
      <c r="F296" s="18">
        <v>6</v>
      </c>
      <c r="G296" s="18">
        <v>21</v>
      </c>
    </row>
    <row r="297" spans="2:7" x14ac:dyDescent="0.3">
      <c r="B297" s="18" t="s">
        <v>6961</v>
      </c>
      <c r="C297" s="18" t="s">
        <v>6922</v>
      </c>
      <c r="D297" s="18" t="s">
        <v>7520</v>
      </c>
      <c r="E297" s="18">
        <v>1022</v>
      </c>
      <c r="F297" s="18">
        <v>6</v>
      </c>
      <c r="G297" s="18">
        <v>21</v>
      </c>
    </row>
    <row r="298" spans="2:7" x14ac:dyDescent="0.3">
      <c r="B298" s="18" t="s">
        <v>6961</v>
      </c>
      <c r="C298" s="18" t="s">
        <v>6922</v>
      </c>
      <c r="D298" s="18" t="s">
        <v>7521</v>
      </c>
      <c r="E298" s="18">
        <v>633</v>
      </c>
      <c r="F298" s="18">
        <v>6</v>
      </c>
      <c r="G298" s="18">
        <v>21</v>
      </c>
    </row>
    <row r="299" spans="2:7" x14ac:dyDescent="0.3">
      <c r="B299" s="18" t="s">
        <v>6961</v>
      </c>
      <c r="C299" s="18" t="s">
        <v>6922</v>
      </c>
      <c r="D299" s="18" t="s">
        <v>7522</v>
      </c>
      <c r="E299" s="18">
        <v>860</v>
      </c>
      <c r="F299" s="18">
        <v>6</v>
      </c>
      <c r="G299" s="18">
        <v>21</v>
      </c>
    </row>
    <row r="300" spans="2:7" x14ac:dyDescent="0.3">
      <c r="B300" s="18" t="s">
        <v>6961</v>
      </c>
      <c r="C300" s="18" t="s">
        <v>6922</v>
      </c>
      <c r="D300" s="18" t="s">
        <v>7523</v>
      </c>
      <c r="E300" s="18">
        <v>961</v>
      </c>
      <c r="F300" s="18">
        <v>6</v>
      </c>
      <c r="G300" s="18">
        <v>21</v>
      </c>
    </row>
    <row r="301" spans="2:7" x14ac:dyDescent="0.3">
      <c r="B301" s="18" t="s">
        <v>6961</v>
      </c>
      <c r="C301" s="18" t="s">
        <v>6922</v>
      </c>
      <c r="D301" s="18" t="s">
        <v>7524</v>
      </c>
      <c r="E301" s="18">
        <v>449</v>
      </c>
      <c r="F301" s="18">
        <v>6</v>
      </c>
      <c r="G301" s="18">
        <v>21</v>
      </c>
    </row>
    <row r="302" spans="2:7" x14ac:dyDescent="0.3">
      <c r="B302" s="18" t="s">
        <v>6961</v>
      </c>
      <c r="C302" s="18" t="s">
        <v>6922</v>
      </c>
      <c r="D302" s="18" t="s">
        <v>7525</v>
      </c>
      <c r="E302" s="18">
        <v>579</v>
      </c>
      <c r="F302" s="18">
        <v>6</v>
      </c>
      <c r="G302" s="18">
        <v>21</v>
      </c>
    </row>
    <row r="303" spans="2:7" x14ac:dyDescent="0.3">
      <c r="B303" s="18" t="s">
        <v>6961</v>
      </c>
      <c r="C303" s="18" t="s">
        <v>6922</v>
      </c>
      <c r="D303" s="18" t="s">
        <v>7526</v>
      </c>
      <c r="E303" s="18">
        <v>1389</v>
      </c>
      <c r="F303" s="18">
        <v>6</v>
      </c>
      <c r="G303" s="18">
        <v>21</v>
      </c>
    </row>
    <row r="304" spans="2:7" x14ac:dyDescent="0.3">
      <c r="B304" s="18" t="s">
        <v>6961</v>
      </c>
      <c r="C304" s="18" t="s">
        <v>6922</v>
      </c>
      <c r="D304" s="18" t="s">
        <v>7527</v>
      </c>
      <c r="E304" s="18">
        <v>1129</v>
      </c>
      <c r="F304" s="18">
        <v>6</v>
      </c>
      <c r="G304" s="18">
        <v>21</v>
      </c>
    </row>
    <row r="305" spans="2:7" x14ac:dyDescent="0.3">
      <c r="B305" s="18" t="s">
        <v>6961</v>
      </c>
      <c r="C305" s="18" t="s">
        <v>6922</v>
      </c>
      <c r="D305" s="18" t="s">
        <v>7528</v>
      </c>
      <c r="E305" s="18">
        <v>293</v>
      </c>
      <c r="F305" s="18">
        <v>6</v>
      </c>
      <c r="G305" s="18">
        <v>21</v>
      </c>
    </row>
    <row r="306" spans="2:7" x14ac:dyDescent="0.3">
      <c r="B306" s="18" t="s">
        <v>6961</v>
      </c>
      <c r="C306" s="18" t="s">
        <v>6922</v>
      </c>
      <c r="D306" s="18" t="s">
        <v>7529</v>
      </c>
      <c r="E306" s="18">
        <v>959</v>
      </c>
      <c r="F306" s="18">
        <v>6</v>
      </c>
      <c r="G306" s="18">
        <v>21</v>
      </c>
    </row>
    <row r="307" spans="2:7" x14ac:dyDescent="0.3">
      <c r="B307" s="18" t="s">
        <v>6961</v>
      </c>
      <c r="C307" s="18" t="s">
        <v>6922</v>
      </c>
      <c r="D307" s="18" t="s">
        <v>7530</v>
      </c>
      <c r="E307" s="18">
        <v>146</v>
      </c>
      <c r="F307" s="18">
        <v>6</v>
      </c>
      <c r="G307" s="18">
        <v>21</v>
      </c>
    </row>
    <row r="308" spans="2:7" x14ac:dyDescent="0.3">
      <c r="B308" s="18" t="s">
        <v>6961</v>
      </c>
      <c r="C308" s="18" t="s">
        <v>6922</v>
      </c>
      <c r="D308" s="18" t="s">
        <v>7531</v>
      </c>
      <c r="E308" s="18">
        <v>768</v>
      </c>
      <c r="F308" s="18">
        <v>6</v>
      </c>
      <c r="G308" s="18">
        <v>21</v>
      </c>
    </row>
    <row r="309" spans="2:7" x14ac:dyDescent="0.3">
      <c r="B309" s="18" t="s">
        <v>6961</v>
      </c>
      <c r="C309" s="18" t="s">
        <v>6922</v>
      </c>
      <c r="D309" s="18" t="s">
        <v>7532</v>
      </c>
      <c r="E309" s="18">
        <v>1053</v>
      </c>
      <c r="F309" s="18">
        <v>6</v>
      </c>
      <c r="G309" s="18">
        <v>21</v>
      </c>
    </row>
    <row r="310" spans="2:7" x14ac:dyDescent="0.3">
      <c r="B310" s="18" t="s">
        <v>6961</v>
      </c>
      <c r="C310" s="18" t="s">
        <v>6922</v>
      </c>
      <c r="D310" s="18" t="s">
        <v>7533</v>
      </c>
      <c r="E310" s="18">
        <v>152</v>
      </c>
      <c r="F310" s="18">
        <v>6</v>
      </c>
      <c r="G310" s="18">
        <v>21</v>
      </c>
    </row>
    <row r="311" spans="2:7" x14ac:dyDescent="0.3">
      <c r="B311" s="18" t="s">
        <v>6961</v>
      </c>
      <c r="C311" s="18" t="s">
        <v>6922</v>
      </c>
      <c r="D311" s="18" t="s">
        <v>7534</v>
      </c>
      <c r="E311" s="18">
        <v>668</v>
      </c>
      <c r="F311" s="18">
        <v>6</v>
      </c>
      <c r="G311" s="18">
        <v>21</v>
      </c>
    </row>
    <row r="312" spans="2:7" x14ac:dyDescent="0.3">
      <c r="B312" s="18" t="s">
        <v>6961</v>
      </c>
      <c r="C312" s="18" t="s">
        <v>6922</v>
      </c>
      <c r="D312" s="18" t="s">
        <v>7535</v>
      </c>
      <c r="E312" s="18">
        <v>135</v>
      </c>
      <c r="F312" s="18">
        <v>6</v>
      </c>
      <c r="G312" s="18">
        <v>21</v>
      </c>
    </row>
    <row r="313" spans="2:7" x14ac:dyDescent="0.3">
      <c r="B313" s="18" t="s">
        <v>6961</v>
      </c>
      <c r="C313" s="18" t="s">
        <v>6922</v>
      </c>
      <c r="D313" s="18" t="s">
        <v>7536</v>
      </c>
      <c r="E313" s="18">
        <v>128</v>
      </c>
      <c r="F313" s="18">
        <v>6</v>
      </c>
      <c r="G313" s="18">
        <v>21</v>
      </c>
    </row>
    <row r="314" spans="2:7" x14ac:dyDescent="0.3">
      <c r="B314" s="18" t="s">
        <v>6961</v>
      </c>
      <c r="C314" s="18" t="s">
        <v>6922</v>
      </c>
      <c r="D314" s="18" t="s">
        <v>7537</v>
      </c>
      <c r="E314" s="18">
        <v>702</v>
      </c>
      <c r="F314" s="18">
        <v>6</v>
      </c>
      <c r="G314" s="18">
        <v>21</v>
      </c>
    </row>
    <row r="315" spans="2:7" x14ac:dyDescent="0.3">
      <c r="B315" s="18" t="s">
        <v>6961</v>
      </c>
      <c r="C315" s="18" t="s">
        <v>6922</v>
      </c>
      <c r="D315" s="18" t="s">
        <v>7538</v>
      </c>
      <c r="E315" s="18">
        <v>776</v>
      </c>
      <c r="F315" s="18">
        <v>6</v>
      </c>
      <c r="G315" s="18">
        <v>21</v>
      </c>
    </row>
    <row r="316" spans="2:7" x14ac:dyDescent="0.3">
      <c r="B316" s="18" t="s">
        <v>6961</v>
      </c>
      <c r="C316" s="18" t="s">
        <v>6922</v>
      </c>
      <c r="D316" s="18" t="s">
        <v>7538</v>
      </c>
      <c r="E316" s="18">
        <v>777</v>
      </c>
      <c r="F316" s="18">
        <v>6</v>
      </c>
      <c r="G316" s="18">
        <v>21</v>
      </c>
    </row>
    <row r="317" spans="2:7" x14ac:dyDescent="0.3">
      <c r="B317" s="18" t="s">
        <v>6961</v>
      </c>
      <c r="C317" s="18" t="s">
        <v>6922</v>
      </c>
      <c r="D317" s="18" t="s">
        <v>7539</v>
      </c>
      <c r="E317" s="18">
        <v>1025</v>
      </c>
      <c r="F317" s="18">
        <v>6</v>
      </c>
      <c r="G317" s="18">
        <v>21</v>
      </c>
    </row>
    <row r="318" spans="2:7" x14ac:dyDescent="0.3">
      <c r="B318" s="18" t="s">
        <v>6961</v>
      </c>
      <c r="C318" s="18" t="s">
        <v>6922</v>
      </c>
      <c r="D318" s="18" t="s">
        <v>7540</v>
      </c>
      <c r="E318" s="18">
        <v>863</v>
      </c>
      <c r="F318" s="18">
        <v>6</v>
      </c>
      <c r="G318" s="18">
        <v>21</v>
      </c>
    </row>
    <row r="319" spans="2:7" x14ac:dyDescent="0.3">
      <c r="B319" s="18" t="s">
        <v>6961</v>
      </c>
      <c r="C319" s="18" t="s">
        <v>6922</v>
      </c>
      <c r="D319" s="18" t="s">
        <v>7541</v>
      </c>
      <c r="E319" s="18">
        <v>497</v>
      </c>
      <c r="F319" s="18">
        <v>6</v>
      </c>
      <c r="G319" s="18">
        <v>21</v>
      </c>
    </row>
    <row r="320" spans="2:7" x14ac:dyDescent="0.3">
      <c r="B320" s="18" t="s">
        <v>6961</v>
      </c>
      <c r="C320" s="18" t="s">
        <v>6922</v>
      </c>
      <c r="D320" s="18" t="s">
        <v>7542</v>
      </c>
      <c r="E320" s="18">
        <v>130</v>
      </c>
      <c r="F320" s="18">
        <v>6</v>
      </c>
      <c r="G320" s="18">
        <v>21</v>
      </c>
    </row>
    <row r="321" spans="2:7" x14ac:dyDescent="0.3">
      <c r="B321" s="18" t="s">
        <v>6961</v>
      </c>
      <c r="C321" s="18" t="s">
        <v>6922</v>
      </c>
      <c r="D321" s="18" t="s">
        <v>7543</v>
      </c>
      <c r="E321" s="18">
        <v>373</v>
      </c>
      <c r="F321" s="18">
        <v>6</v>
      </c>
      <c r="G321" s="18">
        <v>21</v>
      </c>
    </row>
    <row r="322" spans="2:7" x14ac:dyDescent="0.3">
      <c r="B322" s="18" t="s">
        <v>6961</v>
      </c>
      <c r="C322" s="18" t="s">
        <v>6922</v>
      </c>
      <c r="D322" s="18" t="s">
        <v>7544</v>
      </c>
      <c r="E322" s="18">
        <v>389</v>
      </c>
      <c r="F322" s="18">
        <v>6</v>
      </c>
      <c r="G322" s="18">
        <v>21</v>
      </c>
    </row>
    <row r="323" spans="2:7" x14ac:dyDescent="0.3">
      <c r="B323" s="18" t="s">
        <v>6961</v>
      </c>
      <c r="C323" s="18" t="s">
        <v>6922</v>
      </c>
      <c r="D323" s="18" t="s">
        <v>7545</v>
      </c>
      <c r="E323" s="18">
        <v>1145</v>
      </c>
      <c r="F323" s="18">
        <v>6</v>
      </c>
      <c r="G323" s="18">
        <v>21</v>
      </c>
    </row>
    <row r="324" spans="2:7" x14ac:dyDescent="0.3">
      <c r="B324" s="18" t="s">
        <v>6961</v>
      </c>
      <c r="C324" s="18" t="s">
        <v>6922</v>
      </c>
      <c r="D324" s="18" t="s">
        <v>7546</v>
      </c>
      <c r="E324" s="18">
        <v>679</v>
      </c>
      <c r="F324" s="18">
        <v>6</v>
      </c>
      <c r="G324" s="18">
        <v>21</v>
      </c>
    </row>
    <row r="325" spans="2:7" x14ac:dyDescent="0.3">
      <c r="B325" s="18" t="s">
        <v>6961</v>
      </c>
      <c r="C325" s="18" t="s">
        <v>6922</v>
      </c>
      <c r="D325" s="18" t="s">
        <v>7547</v>
      </c>
      <c r="E325" s="18">
        <v>701</v>
      </c>
      <c r="F325" s="18">
        <v>6</v>
      </c>
      <c r="G325" s="18">
        <v>21</v>
      </c>
    </row>
    <row r="326" spans="2:7" x14ac:dyDescent="0.3">
      <c r="B326" s="18" t="s">
        <v>6961</v>
      </c>
      <c r="C326" s="18" t="s">
        <v>6922</v>
      </c>
      <c r="D326" s="18" t="s">
        <v>7548</v>
      </c>
      <c r="E326" s="18">
        <v>201058</v>
      </c>
      <c r="F326" s="18">
        <v>6</v>
      </c>
      <c r="G326" s="18">
        <v>21</v>
      </c>
    </row>
    <row r="327" spans="2:7" x14ac:dyDescent="0.3">
      <c r="B327" s="18" t="s">
        <v>6961</v>
      </c>
      <c r="C327" s="18" t="s">
        <v>6922</v>
      </c>
      <c r="D327" s="18" t="s">
        <v>7549</v>
      </c>
      <c r="E327" s="18">
        <v>955</v>
      </c>
      <c r="F327" s="18">
        <v>6</v>
      </c>
      <c r="G327" s="18">
        <v>21</v>
      </c>
    </row>
    <row r="328" spans="2:7" x14ac:dyDescent="0.3">
      <c r="B328" s="18" t="s">
        <v>6961</v>
      </c>
      <c r="C328" s="18" t="s">
        <v>6922</v>
      </c>
      <c r="D328" s="18" t="s">
        <v>7550</v>
      </c>
      <c r="E328" s="18">
        <v>1447</v>
      </c>
      <c r="F328" s="18">
        <v>6</v>
      </c>
      <c r="G328" s="18">
        <v>21</v>
      </c>
    </row>
    <row r="329" spans="2:7" x14ac:dyDescent="0.3">
      <c r="B329" s="18" t="s">
        <v>6961</v>
      </c>
      <c r="C329" s="18" t="s">
        <v>6922</v>
      </c>
      <c r="D329" s="18" t="s">
        <v>7551</v>
      </c>
      <c r="E329" s="18">
        <v>887</v>
      </c>
      <c r="F329" s="18">
        <v>6</v>
      </c>
      <c r="G329" s="18">
        <v>21</v>
      </c>
    </row>
    <row r="330" spans="2:7" x14ac:dyDescent="0.3">
      <c r="B330" s="18" t="s">
        <v>6961</v>
      </c>
      <c r="C330" s="18" t="s">
        <v>6922</v>
      </c>
      <c r="D330" s="18" t="s">
        <v>7552</v>
      </c>
      <c r="E330" s="18">
        <v>877</v>
      </c>
      <c r="F330" s="18">
        <v>6</v>
      </c>
      <c r="G330" s="18">
        <v>21</v>
      </c>
    </row>
    <row r="331" spans="2:7" x14ac:dyDescent="0.3">
      <c r="B331" s="18" t="s">
        <v>6961</v>
      </c>
      <c r="C331" s="18" t="s">
        <v>6922</v>
      </c>
      <c r="D331" s="18" t="s">
        <v>7553</v>
      </c>
      <c r="E331" s="18">
        <v>200988</v>
      </c>
      <c r="F331" s="18">
        <v>6</v>
      </c>
      <c r="G331" s="18">
        <v>21</v>
      </c>
    </row>
    <row r="332" spans="2:7" x14ac:dyDescent="0.3">
      <c r="B332" s="18" t="s">
        <v>6961</v>
      </c>
      <c r="C332" s="18" t="s">
        <v>6922</v>
      </c>
      <c r="D332" s="18" t="s">
        <v>7554</v>
      </c>
      <c r="E332" s="18">
        <v>399</v>
      </c>
      <c r="F332" s="18">
        <v>6</v>
      </c>
      <c r="G332" s="18">
        <v>21</v>
      </c>
    </row>
    <row r="333" spans="2:7" x14ac:dyDescent="0.3">
      <c r="B333" s="18" t="s">
        <v>6961</v>
      </c>
      <c r="C333" s="18" t="s">
        <v>6922</v>
      </c>
      <c r="D333" s="18" t="s">
        <v>7555</v>
      </c>
      <c r="E333" s="18">
        <v>141</v>
      </c>
      <c r="F333" s="18">
        <v>6</v>
      </c>
      <c r="G333" s="18">
        <v>21</v>
      </c>
    </row>
    <row r="334" spans="2:7" x14ac:dyDescent="0.3">
      <c r="B334" s="18" t="s">
        <v>6961</v>
      </c>
      <c r="C334" s="18" t="s">
        <v>6922</v>
      </c>
      <c r="D334" s="18" t="s">
        <v>7556</v>
      </c>
      <c r="E334" s="18">
        <v>1666</v>
      </c>
      <c r="F334" s="18">
        <v>6</v>
      </c>
      <c r="G334" s="18">
        <v>21</v>
      </c>
    </row>
    <row r="335" spans="2:7" x14ac:dyDescent="0.3">
      <c r="B335" s="18" t="s">
        <v>6961</v>
      </c>
      <c r="C335" s="18" t="s">
        <v>6922</v>
      </c>
      <c r="D335" s="18" t="s">
        <v>7557</v>
      </c>
      <c r="E335" s="18">
        <v>125</v>
      </c>
      <c r="F335" s="18">
        <v>6</v>
      </c>
      <c r="G335" s="18">
        <v>21</v>
      </c>
    </row>
    <row r="336" spans="2:7" x14ac:dyDescent="0.3">
      <c r="B336" s="18" t="s">
        <v>6961</v>
      </c>
      <c r="C336" s="18" t="s">
        <v>6922</v>
      </c>
      <c r="D336" s="18" t="s">
        <v>7558</v>
      </c>
      <c r="E336" s="18">
        <v>132</v>
      </c>
      <c r="F336" s="18">
        <v>6</v>
      </c>
      <c r="G336" s="18">
        <v>21</v>
      </c>
    </row>
    <row r="337" spans="2:7" x14ac:dyDescent="0.3">
      <c r="B337" s="18" t="s">
        <v>6961</v>
      </c>
      <c r="C337" s="18" t="s">
        <v>6922</v>
      </c>
      <c r="D337" s="18" t="s">
        <v>7559</v>
      </c>
      <c r="E337" s="18">
        <v>957</v>
      </c>
      <c r="F337" s="18">
        <v>6</v>
      </c>
      <c r="G337" s="18">
        <v>21</v>
      </c>
    </row>
    <row r="338" spans="2:7" x14ac:dyDescent="0.3">
      <c r="B338" s="18" t="s">
        <v>6961</v>
      </c>
      <c r="C338" s="18" t="s">
        <v>6922</v>
      </c>
      <c r="D338" s="18" t="s">
        <v>7560</v>
      </c>
      <c r="E338" s="18">
        <v>989</v>
      </c>
      <c r="F338" s="18">
        <v>6</v>
      </c>
      <c r="G338" s="18">
        <v>21</v>
      </c>
    </row>
    <row r="339" spans="2:7" x14ac:dyDescent="0.3">
      <c r="B339" s="18" t="s">
        <v>6961</v>
      </c>
      <c r="C339" s="18" t="s">
        <v>6922</v>
      </c>
      <c r="D339" s="18" t="s">
        <v>7561</v>
      </c>
      <c r="E339" s="18">
        <v>1152</v>
      </c>
      <c r="F339" s="18">
        <v>6</v>
      </c>
      <c r="G339" s="18">
        <v>21</v>
      </c>
    </row>
    <row r="340" spans="2:7" x14ac:dyDescent="0.3">
      <c r="B340" s="18" t="s">
        <v>6961</v>
      </c>
      <c r="C340" s="18" t="s">
        <v>6922</v>
      </c>
      <c r="D340" s="18" t="s">
        <v>7562</v>
      </c>
      <c r="E340" s="18">
        <v>1396</v>
      </c>
      <c r="F340" s="18">
        <v>6</v>
      </c>
      <c r="G340" s="18">
        <v>21</v>
      </c>
    </row>
    <row r="341" spans="2:7" x14ac:dyDescent="0.3">
      <c r="B341" s="18" t="s">
        <v>6961</v>
      </c>
      <c r="C341" s="18" t="s">
        <v>6922</v>
      </c>
      <c r="D341" s="18" t="s">
        <v>7563</v>
      </c>
      <c r="E341" s="18">
        <v>1056</v>
      </c>
      <c r="F341" s="18">
        <v>6</v>
      </c>
      <c r="G341" s="18">
        <v>21</v>
      </c>
    </row>
    <row r="342" spans="2:7" x14ac:dyDescent="0.3">
      <c r="B342" s="18" t="s">
        <v>6961</v>
      </c>
      <c r="C342" s="18" t="s">
        <v>6922</v>
      </c>
      <c r="D342" s="18" t="s">
        <v>7564</v>
      </c>
      <c r="E342" s="18">
        <v>1146</v>
      </c>
      <c r="F342" s="18">
        <v>6</v>
      </c>
      <c r="G342" s="18">
        <v>21</v>
      </c>
    </row>
    <row r="343" spans="2:7" x14ac:dyDescent="0.3">
      <c r="B343" s="18" t="s">
        <v>6961</v>
      </c>
      <c r="C343" s="18" t="s">
        <v>6922</v>
      </c>
      <c r="D343" s="18" t="s">
        <v>7565</v>
      </c>
      <c r="E343" s="18">
        <v>1623</v>
      </c>
      <c r="F343" s="18">
        <v>6</v>
      </c>
      <c r="G343" s="18">
        <v>21</v>
      </c>
    </row>
    <row r="344" spans="2:7" x14ac:dyDescent="0.3">
      <c r="B344" s="18" t="s">
        <v>6961</v>
      </c>
      <c r="C344" s="18" t="s">
        <v>6922</v>
      </c>
      <c r="D344" s="18" t="s">
        <v>7566</v>
      </c>
      <c r="E344" s="18">
        <v>201045</v>
      </c>
      <c r="F344" s="18">
        <v>6</v>
      </c>
      <c r="G344" s="18">
        <v>21</v>
      </c>
    </row>
    <row r="345" spans="2:7" x14ac:dyDescent="0.3">
      <c r="B345" s="18" t="s">
        <v>6961</v>
      </c>
      <c r="C345" s="18" t="s">
        <v>6922</v>
      </c>
      <c r="D345" s="18" t="s">
        <v>7567</v>
      </c>
      <c r="E345" s="18">
        <v>1627</v>
      </c>
      <c r="F345" s="18">
        <v>6</v>
      </c>
      <c r="G345" s="18">
        <v>21</v>
      </c>
    </row>
    <row r="346" spans="2:7" x14ac:dyDescent="0.3">
      <c r="B346" s="18" t="s">
        <v>6961</v>
      </c>
      <c r="C346" s="18" t="s">
        <v>6922</v>
      </c>
      <c r="D346" s="18" t="s">
        <v>7568</v>
      </c>
      <c r="E346" s="18">
        <v>1135</v>
      </c>
      <c r="F346" s="18">
        <v>6</v>
      </c>
      <c r="G346" s="18">
        <v>21</v>
      </c>
    </row>
    <row r="347" spans="2:7" x14ac:dyDescent="0.3">
      <c r="B347" s="18" t="s">
        <v>6961</v>
      </c>
      <c r="C347" s="18" t="s">
        <v>6922</v>
      </c>
      <c r="D347" s="18" t="s">
        <v>7569</v>
      </c>
      <c r="E347" s="18">
        <v>356</v>
      </c>
      <c r="F347" s="18">
        <v>6</v>
      </c>
      <c r="G347" s="18">
        <v>21</v>
      </c>
    </row>
    <row r="348" spans="2:7" x14ac:dyDescent="0.3">
      <c r="B348" s="18" t="s">
        <v>6961</v>
      </c>
      <c r="C348" s="18" t="s">
        <v>6922</v>
      </c>
      <c r="D348" s="18" t="s">
        <v>7570</v>
      </c>
      <c r="E348" s="18">
        <v>157</v>
      </c>
      <c r="F348" s="18">
        <v>6</v>
      </c>
      <c r="G348" s="18">
        <v>21</v>
      </c>
    </row>
    <row r="349" spans="2:7" x14ac:dyDescent="0.3">
      <c r="B349" s="18" t="s">
        <v>6961</v>
      </c>
      <c r="C349" s="18" t="s">
        <v>6922</v>
      </c>
      <c r="D349" s="18" t="s">
        <v>7571</v>
      </c>
      <c r="E349" s="18">
        <v>1157</v>
      </c>
      <c r="F349" s="18">
        <v>6</v>
      </c>
      <c r="G349" s="18">
        <v>21</v>
      </c>
    </row>
    <row r="350" spans="2:7" x14ac:dyDescent="0.3">
      <c r="B350" s="18" t="s">
        <v>6961</v>
      </c>
      <c r="C350" s="18" t="s">
        <v>6922</v>
      </c>
      <c r="D350" s="18" t="s">
        <v>7572</v>
      </c>
      <c r="E350" s="18">
        <v>200948</v>
      </c>
      <c r="F350" s="18">
        <v>6</v>
      </c>
      <c r="G350" s="18">
        <v>21</v>
      </c>
    </row>
    <row r="351" spans="2:7" x14ac:dyDescent="0.3">
      <c r="B351" s="18" t="s">
        <v>6961</v>
      </c>
      <c r="C351" s="18" t="s">
        <v>6922</v>
      </c>
      <c r="D351" s="18" t="s">
        <v>7573</v>
      </c>
      <c r="E351" s="18">
        <v>1622</v>
      </c>
      <c r="F351" s="18">
        <v>6</v>
      </c>
      <c r="G351" s="18">
        <v>21</v>
      </c>
    </row>
    <row r="352" spans="2:7" x14ac:dyDescent="0.3">
      <c r="B352" s="18" t="s">
        <v>6961</v>
      </c>
      <c r="C352" s="18" t="s">
        <v>6922</v>
      </c>
      <c r="D352" s="18" t="s">
        <v>7574</v>
      </c>
      <c r="E352" s="18">
        <v>1055</v>
      </c>
      <c r="F352" s="18">
        <v>6</v>
      </c>
      <c r="G352" s="18">
        <v>21</v>
      </c>
    </row>
    <row r="353" spans="2:7" x14ac:dyDescent="0.3">
      <c r="B353" s="18" t="s">
        <v>6961</v>
      </c>
      <c r="C353" s="18" t="s">
        <v>6922</v>
      </c>
      <c r="D353" s="18" t="s">
        <v>7575</v>
      </c>
      <c r="E353" s="18">
        <v>319</v>
      </c>
      <c r="F353" s="18">
        <v>6</v>
      </c>
      <c r="G353" s="18">
        <v>21</v>
      </c>
    </row>
    <row r="354" spans="2:7" x14ac:dyDescent="0.3">
      <c r="B354" s="18" t="s">
        <v>6961</v>
      </c>
      <c r="C354" s="18" t="s">
        <v>6922</v>
      </c>
      <c r="D354" s="18" t="s">
        <v>7576</v>
      </c>
      <c r="E354" s="18">
        <v>995</v>
      </c>
      <c r="F354" s="18">
        <v>6</v>
      </c>
      <c r="G354" s="18">
        <v>21</v>
      </c>
    </row>
    <row r="355" spans="2:7" x14ac:dyDescent="0.3">
      <c r="B355" s="18" t="s">
        <v>6961</v>
      </c>
      <c r="C355" s="18" t="s">
        <v>6922</v>
      </c>
      <c r="D355" s="18" t="s">
        <v>7577</v>
      </c>
      <c r="E355" s="18">
        <v>200960</v>
      </c>
      <c r="F355" s="18">
        <v>6</v>
      </c>
      <c r="G355" s="18">
        <v>21</v>
      </c>
    </row>
    <row r="356" spans="2:7" x14ac:dyDescent="0.3">
      <c r="B356" s="18" t="s">
        <v>6961</v>
      </c>
      <c r="C356" s="18" t="s">
        <v>6922</v>
      </c>
      <c r="D356" s="18" t="s">
        <v>7578</v>
      </c>
      <c r="E356" s="18">
        <v>167</v>
      </c>
      <c r="F356" s="18">
        <v>6</v>
      </c>
      <c r="G356" s="18">
        <v>21</v>
      </c>
    </row>
    <row r="357" spans="2:7" x14ac:dyDescent="0.3">
      <c r="B357" s="18" t="s">
        <v>6961</v>
      </c>
      <c r="C357" s="18" t="s">
        <v>6922</v>
      </c>
      <c r="D357" s="18" t="s">
        <v>7579</v>
      </c>
      <c r="E357" s="18">
        <v>1657</v>
      </c>
      <c r="F357" s="18">
        <v>6</v>
      </c>
      <c r="G357" s="18">
        <v>21</v>
      </c>
    </row>
    <row r="358" spans="2:7" x14ac:dyDescent="0.3">
      <c r="B358" s="18" t="s">
        <v>6961</v>
      </c>
      <c r="C358" s="18" t="s">
        <v>6922</v>
      </c>
      <c r="D358" s="18" t="s">
        <v>7580</v>
      </c>
      <c r="E358" s="18">
        <v>137</v>
      </c>
      <c r="F358" s="18">
        <v>6</v>
      </c>
      <c r="G358" s="18">
        <v>21</v>
      </c>
    </row>
    <row r="359" spans="2:7" x14ac:dyDescent="0.3">
      <c r="B359" s="18" t="s">
        <v>6961</v>
      </c>
      <c r="C359" s="18" t="s">
        <v>6922</v>
      </c>
      <c r="D359" s="18" t="s">
        <v>7581</v>
      </c>
      <c r="E359" s="18">
        <v>676</v>
      </c>
      <c r="F359" s="18">
        <v>6</v>
      </c>
      <c r="G359" s="18">
        <v>21</v>
      </c>
    </row>
    <row r="360" spans="2:7" x14ac:dyDescent="0.3">
      <c r="B360" s="18" t="s">
        <v>6961</v>
      </c>
      <c r="C360" s="18" t="s">
        <v>6922</v>
      </c>
      <c r="D360" s="18" t="s">
        <v>7582</v>
      </c>
      <c r="E360" s="18">
        <v>1030</v>
      </c>
      <c r="F360" s="18">
        <v>6</v>
      </c>
      <c r="G360" s="18">
        <v>21</v>
      </c>
    </row>
    <row r="361" spans="2:7" x14ac:dyDescent="0.3">
      <c r="B361" s="18" t="s">
        <v>6961</v>
      </c>
      <c r="C361" s="18" t="s">
        <v>6922</v>
      </c>
      <c r="D361" s="18" t="s">
        <v>7583</v>
      </c>
      <c r="E361" s="18">
        <v>527</v>
      </c>
      <c r="F361" s="18">
        <v>6</v>
      </c>
      <c r="G361" s="18">
        <v>21</v>
      </c>
    </row>
    <row r="362" spans="2:7" x14ac:dyDescent="0.3">
      <c r="B362" s="18" t="s">
        <v>6961</v>
      </c>
      <c r="C362" s="18" t="s">
        <v>6922</v>
      </c>
      <c r="D362" s="18" t="s">
        <v>7584</v>
      </c>
      <c r="E362" s="18">
        <v>155</v>
      </c>
      <c r="F362" s="18">
        <v>6</v>
      </c>
      <c r="G362" s="18">
        <v>21</v>
      </c>
    </row>
    <row r="363" spans="2:7" x14ac:dyDescent="0.3">
      <c r="B363" s="18" t="s">
        <v>6961</v>
      </c>
      <c r="C363" s="18" t="s">
        <v>6922</v>
      </c>
      <c r="D363" s="18" t="s">
        <v>7585</v>
      </c>
      <c r="E363" s="18">
        <v>1556</v>
      </c>
      <c r="F363" s="18">
        <v>6</v>
      </c>
      <c r="G363" s="18">
        <v>21</v>
      </c>
    </row>
    <row r="364" spans="2:7" x14ac:dyDescent="0.3">
      <c r="B364" s="18" t="s">
        <v>6961</v>
      </c>
      <c r="C364" s="18" t="s">
        <v>6922</v>
      </c>
      <c r="D364" s="18" t="s">
        <v>7586</v>
      </c>
      <c r="E364" s="18">
        <v>614</v>
      </c>
      <c r="F364" s="18">
        <v>6</v>
      </c>
      <c r="G364" s="18">
        <v>21</v>
      </c>
    </row>
    <row r="365" spans="2:7" x14ac:dyDescent="0.3">
      <c r="B365" s="18" t="s">
        <v>6961</v>
      </c>
      <c r="C365" s="18" t="s">
        <v>6922</v>
      </c>
      <c r="D365" s="18" t="s">
        <v>7587</v>
      </c>
      <c r="E365" s="18">
        <v>632</v>
      </c>
      <c r="F365" s="18">
        <v>6</v>
      </c>
      <c r="G365" s="18">
        <v>21</v>
      </c>
    </row>
    <row r="366" spans="2:7" x14ac:dyDescent="0.3">
      <c r="B366" s="18" t="s">
        <v>6961</v>
      </c>
      <c r="C366" s="18" t="s">
        <v>6922</v>
      </c>
      <c r="D366" s="18" t="s">
        <v>7588</v>
      </c>
      <c r="E366" s="18">
        <v>742</v>
      </c>
      <c r="F366" s="18">
        <v>6</v>
      </c>
      <c r="G366" s="18">
        <v>21</v>
      </c>
    </row>
    <row r="367" spans="2:7" x14ac:dyDescent="0.3">
      <c r="B367" s="18" t="s">
        <v>6961</v>
      </c>
      <c r="C367" s="18" t="s">
        <v>6922</v>
      </c>
      <c r="D367" s="18" t="s">
        <v>7589</v>
      </c>
      <c r="E367" s="18">
        <v>120</v>
      </c>
      <c r="F367" s="18">
        <v>6</v>
      </c>
      <c r="G367" s="18">
        <v>21</v>
      </c>
    </row>
    <row r="368" spans="2:7" x14ac:dyDescent="0.3">
      <c r="B368" s="18" t="s">
        <v>6961</v>
      </c>
      <c r="C368" s="18" t="s">
        <v>6922</v>
      </c>
      <c r="D368" s="18" t="s">
        <v>7590</v>
      </c>
      <c r="E368" s="18">
        <v>1608</v>
      </c>
      <c r="F368" s="18">
        <v>6</v>
      </c>
      <c r="G368" s="18">
        <v>21</v>
      </c>
    </row>
    <row r="369" spans="2:7" x14ac:dyDescent="0.3">
      <c r="B369" s="18" t="s">
        <v>6961</v>
      </c>
      <c r="C369" s="18" t="s">
        <v>6922</v>
      </c>
      <c r="D369" s="18" t="s">
        <v>7591</v>
      </c>
      <c r="E369" s="18">
        <v>1136</v>
      </c>
      <c r="F369" s="18">
        <v>6</v>
      </c>
      <c r="G369" s="18">
        <v>21</v>
      </c>
    </row>
    <row r="370" spans="2:7" x14ac:dyDescent="0.3">
      <c r="B370" s="18" t="s">
        <v>6961</v>
      </c>
      <c r="C370" s="18" t="s">
        <v>6922</v>
      </c>
      <c r="D370" s="18" t="s">
        <v>7592</v>
      </c>
      <c r="E370" s="18">
        <v>1484</v>
      </c>
      <c r="F370" s="18">
        <v>6</v>
      </c>
      <c r="G370" s="18">
        <v>21</v>
      </c>
    </row>
    <row r="371" spans="2:7" x14ac:dyDescent="0.3">
      <c r="B371" s="18" t="s">
        <v>6961</v>
      </c>
      <c r="C371" s="18" t="s">
        <v>6922</v>
      </c>
      <c r="D371" s="18" t="s">
        <v>7593</v>
      </c>
      <c r="E371" s="18">
        <v>1006</v>
      </c>
      <c r="F371" s="18">
        <v>6</v>
      </c>
      <c r="G371" s="18">
        <v>21</v>
      </c>
    </row>
    <row r="372" spans="2:7" x14ac:dyDescent="0.3">
      <c r="B372" s="18" t="s">
        <v>6961</v>
      </c>
      <c r="C372" s="18" t="s">
        <v>6922</v>
      </c>
      <c r="D372" s="18" t="s">
        <v>7594</v>
      </c>
      <c r="E372" s="18">
        <v>1158</v>
      </c>
      <c r="F372" s="18">
        <v>6</v>
      </c>
      <c r="G372" s="18">
        <v>21</v>
      </c>
    </row>
    <row r="373" spans="2:7" x14ac:dyDescent="0.3">
      <c r="B373" s="18" t="s">
        <v>6961</v>
      </c>
      <c r="C373" s="18" t="s">
        <v>6922</v>
      </c>
      <c r="D373" s="18" t="s">
        <v>7595</v>
      </c>
      <c r="E373" s="18">
        <v>1363</v>
      </c>
      <c r="F373" s="18">
        <v>6</v>
      </c>
      <c r="G373" s="18">
        <v>21</v>
      </c>
    </row>
    <row r="374" spans="2:7" x14ac:dyDescent="0.3">
      <c r="B374" s="18" t="s">
        <v>6961</v>
      </c>
      <c r="C374" s="18" t="s">
        <v>6922</v>
      </c>
      <c r="D374" s="18" t="s">
        <v>7596</v>
      </c>
      <c r="E374" s="18">
        <v>1554</v>
      </c>
      <c r="F374" s="18">
        <v>6</v>
      </c>
      <c r="G374" s="18">
        <v>21</v>
      </c>
    </row>
    <row r="375" spans="2:7" x14ac:dyDescent="0.3">
      <c r="B375" s="18" t="s">
        <v>6961</v>
      </c>
      <c r="C375" s="18" t="s">
        <v>6922</v>
      </c>
      <c r="D375" s="18" t="s">
        <v>7597</v>
      </c>
      <c r="E375" s="18">
        <v>1092</v>
      </c>
      <c r="F375" s="18">
        <v>6</v>
      </c>
      <c r="G375" s="18">
        <v>21</v>
      </c>
    </row>
    <row r="376" spans="2:7" x14ac:dyDescent="0.3">
      <c r="B376" s="18" t="s">
        <v>6961</v>
      </c>
      <c r="C376" s="18" t="s">
        <v>6922</v>
      </c>
      <c r="D376" s="18" t="s">
        <v>7598</v>
      </c>
      <c r="E376" s="18">
        <v>200966</v>
      </c>
      <c r="F376" s="18">
        <v>6</v>
      </c>
      <c r="G376" s="18">
        <v>21</v>
      </c>
    </row>
    <row r="377" spans="2:7" x14ac:dyDescent="0.3">
      <c r="B377" s="18" t="s">
        <v>6961</v>
      </c>
      <c r="C377" s="18" t="s">
        <v>6922</v>
      </c>
      <c r="D377" s="18" t="s">
        <v>7599</v>
      </c>
      <c r="E377" s="18">
        <v>1607</v>
      </c>
      <c r="F377" s="18">
        <v>6</v>
      </c>
      <c r="G377" s="18">
        <v>21</v>
      </c>
    </row>
    <row r="378" spans="2:7" x14ac:dyDescent="0.3">
      <c r="B378" s="18" t="s">
        <v>6961</v>
      </c>
      <c r="C378" s="18" t="s">
        <v>6922</v>
      </c>
      <c r="D378" s="18" t="s">
        <v>7600</v>
      </c>
      <c r="E378" s="18">
        <v>154</v>
      </c>
      <c r="F378" s="18">
        <v>6</v>
      </c>
      <c r="G378" s="18">
        <v>21</v>
      </c>
    </row>
    <row r="379" spans="2:7" x14ac:dyDescent="0.3">
      <c r="B379" s="18" t="s">
        <v>6961</v>
      </c>
      <c r="C379" s="18" t="s">
        <v>6922</v>
      </c>
      <c r="D379" s="18" t="s">
        <v>7601</v>
      </c>
      <c r="E379" s="18">
        <v>119</v>
      </c>
      <c r="F379" s="18">
        <v>6</v>
      </c>
      <c r="G379" s="18">
        <v>21</v>
      </c>
    </row>
    <row r="380" spans="2:7" x14ac:dyDescent="0.3">
      <c r="B380" s="18" t="s">
        <v>6961</v>
      </c>
      <c r="C380" s="18" t="s">
        <v>6922</v>
      </c>
      <c r="D380" s="18" t="s">
        <v>7602</v>
      </c>
      <c r="E380" s="18">
        <v>1290</v>
      </c>
      <c r="F380" s="18">
        <v>6</v>
      </c>
      <c r="G380" s="18">
        <v>21</v>
      </c>
    </row>
    <row r="381" spans="2:7" x14ac:dyDescent="0.3">
      <c r="B381" s="18" t="s">
        <v>6961</v>
      </c>
      <c r="C381" s="18" t="s">
        <v>6922</v>
      </c>
      <c r="D381" s="18" t="s">
        <v>7603</v>
      </c>
      <c r="E381" s="18">
        <v>1537</v>
      </c>
      <c r="F381" s="18">
        <v>6</v>
      </c>
      <c r="G381" s="18">
        <v>21</v>
      </c>
    </row>
    <row r="382" spans="2:7" x14ac:dyDescent="0.3">
      <c r="B382" s="18" t="s">
        <v>6961</v>
      </c>
      <c r="C382" s="18" t="s">
        <v>6922</v>
      </c>
      <c r="D382" s="18" t="s">
        <v>7604</v>
      </c>
      <c r="E382" s="18">
        <v>1412</v>
      </c>
      <c r="F382" s="18">
        <v>6</v>
      </c>
      <c r="G382" s="18">
        <v>21</v>
      </c>
    </row>
    <row r="383" spans="2:7" x14ac:dyDescent="0.3">
      <c r="B383" s="18" t="s">
        <v>6961</v>
      </c>
      <c r="C383" s="18" t="s">
        <v>6922</v>
      </c>
      <c r="D383" s="18" t="s">
        <v>6971</v>
      </c>
      <c r="E383" s="18">
        <v>200972</v>
      </c>
      <c r="F383" s="18">
        <v>6</v>
      </c>
      <c r="G383" s="18">
        <v>21</v>
      </c>
    </row>
    <row r="384" spans="2:7" x14ac:dyDescent="0.3">
      <c r="B384" s="18" t="s">
        <v>6961</v>
      </c>
      <c r="C384" s="18" t="s">
        <v>6922</v>
      </c>
      <c r="D384" s="18" t="s">
        <v>6979</v>
      </c>
      <c r="E384" s="18">
        <v>200984</v>
      </c>
      <c r="F384" s="18">
        <v>6</v>
      </c>
      <c r="G384" s="18">
        <v>21</v>
      </c>
    </row>
    <row r="385" spans="2:7" x14ac:dyDescent="0.3">
      <c r="B385" s="18" t="s">
        <v>6961</v>
      </c>
      <c r="C385" s="18" t="s">
        <v>6922</v>
      </c>
      <c r="D385" s="18" t="s">
        <v>7605</v>
      </c>
      <c r="E385" s="18">
        <v>997</v>
      </c>
      <c r="F385" s="18">
        <v>6</v>
      </c>
      <c r="G385" s="18">
        <v>21</v>
      </c>
    </row>
    <row r="386" spans="2:7" x14ac:dyDescent="0.3">
      <c r="B386" s="18" t="s">
        <v>6961</v>
      </c>
      <c r="C386" s="18" t="s">
        <v>6922</v>
      </c>
      <c r="D386" s="18" t="s">
        <v>7606</v>
      </c>
      <c r="E386" s="18">
        <v>143</v>
      </c>
      <c r="F386" s="18">
        <v>6</v>
      </c>
      <c r="G386" s="18">
        <v>21</v>
      </c>
    </row>
    <row r="387" spans="2:7" x14ac:dyDescent="0.3">
      <c r="B387" s="18" t="s">
        <v>6961</v>
      </c>
      <c r="C387" s="18" t="s">
        <v>6922</v>
      </c>
      <c r="D387" s="18" t="s">
        <v>7607</v>
      </c>
      <c r="E387" s="18">
        <v>1008</v>
      </c>
      <c r="F387" s="18">
        <v>6</v>
      </c>
      <c r="G387" s="18">
        <v>21</v>
      </c>
    </row>
    <row r="388" spans="2:7" x14ac:dyDescent="0.3">
      <c r="B388" s="18" t="s">
        <v>6961</v>
      </c>
      <c r="C388" s="18" t="s">
        <v>6922</v>
      </c>
      <c r="D388" s="18" t="s">
        <v>7608</v>
      </c>
      <c r="E388" s="18">
        <v>1406</v>
      </c>
      <c r="F388" s="18">
        <v>6</v>
      </c>
      <c r="G388" s="18">
        <v>21</v>
      </c>
    </row>
    <row r="389" spans="2:7" x14ac:dyDescent="0.3">
      <c r="B389" s="18" t="s">
        <v>6961</v>
      </c>
      <c r="C389" s="18" t="s">
        <v>6922</v>
      </c>
      <c r="D389" s="18" t="s">
        <v>7609</v>
      </c>
      <c r="E389" s="18">
        <v>1311</v>
      </c>
      <c r="F389" s="18">
        <v>6</v>
      </c>
      <c r="G389" s="18">
        <v>21</v>
      </c>
    </row>
    <row r="390" spans="2:7" x14ac:dyDescent="0.3">
      <c r="B390" s="18" t="s">
        <v>6961</v>
      </c>
      <c r="C390" s="18" t="s">
        <v>6922</v>
      </c>
      <c r="D390" s="18" t="s">
        <v>7610</v>
      </c>
      <c r="E390" s="18">
        <v>138</v>
      </c>
      <c r="F390" s="18">
        <v>6</v>
      </c>
      <c r="G390" s="18">
        <v>21</v>
      </c>
    </row>
    <row r="391" spans="2:7" x14ac:dyDescent="0.3">
      <c r="B391" s="18" t="s">
        <v>6961</v>
      </c>
      <c r="C391" s="18" t="s">
        <v>6922</v>
      </c>
      <c r="D391" s="18" t="s">
        <v>7611</v>
      </c>
      <c r="E391" s="18">
        <v>785</v>
      </c>
      <c r="F391" s="18">
        <v>6</v>
      </c>
      <c r="G391" s="18">
        <v>21</v>
      </c>
    </row>
    <row r="392" spans="2:7" x14ac:dyDescent="0.3">
      <c r="B392" s="18" t="s">
        <v>6961</v>
      </c>
      <c r="C392" s="18" t="s">
        <v>6922</v>
      </c>
      <c r="D392" s="18" t="s">
        <v>7612</v>
      </c>
      <c r="E392" s="18">
        <v>988</v>
      </c>
      <c r="F392" s="18">
        <v>6</v>
      </c>
      <c r="G392" s="18">
        <v>21</v>
      </c>
    </row>
    <row r="393" spans="2:7" x14ac:dyDescent="0.3">
      <c r="B393" s="18" t="s">
        <v>6961</v>
      </c>
      <c r="C393" s="18" t="s">
        <v>6922</v>
      </c>
      <c r="D393" s="18" t="s">
        <v>7613</v>
      </c>
      <c r="E393" s="18">
        <v>697</v>
      </c>
      <c r="F393" s="18">
        <v>6</v>
      </c>
      <c r="G393" s="18">
        <v>21</v>
      </c>
    </row>
    <row r="394" spans="2:7" x14ac:dyDescent="0.3">
      <c r="B394" s="18" t="s">
        <v>6961</v>
      </c>
      <c r="C394" s="18" t="s">
        <v>6922</v>
      </c>
      <c r="D394" s="18" t="s">
        <v>7614</v>
      </c>
      <c r="E394" s="18">
        <v>855</v>
      </c>
      <c r="F394" s="18">
        <v>6</v>
      </c>
      <c r="G394" s="18">
        <v>21</v>
      </c>
    </row>
    <row r="395" spans="2:7" x14ac:dyDescent="0.3">
      <c r="B395" s="18" t="s">
        <v>6961</v>
      </c>
      <c r="C395" s="18" t="s">
        <v>6922</v>
      </c>
      <c r="D395" s="18" t="s">
        <v>7615</v>
      </c>
      <c r="E395" s="18">
        <v>996</v>
      </c>
      <c r="F395" s="18">
        <v>6</v>
      </c>
      <c r="G395" s="18">
        <v>21</v>
      </c>
    </row>
    <row r="396" spans="2:7" x14ac:dyDescent="0.3">
      <c r="B396" s="18" t="s">
        <v>6961</v>
      </c>
      <c r="C396" s="18" t="s">
        <v>6922</v>
      </c>
      <c r="D396" s="18" t="s">
        <v>7616</v>
      </c>
      <c r="E396" s="18">
        <v>168</v>
      </c>
      <c r="F396" s="18">
        <v>6</v>
      </c>
      <c r="G396" s="18">
        <v>21</v>
      </c>
    </row>
    <row r="397" spans="2:7" x14ac:dyDescent="0.3">
      <c r="B397" s="18" t="s">
        <v>6961</v>
      </c>
      <c r="C397" s="18" t="s">
        <v>6922</v>
      </c>
      <c r="D397" s="18" t="s">
        <v>7617</v>
      </c>
      <c r="E397" s="18">
        <v>455</v>
      </c>
      <c r="F397" s="18">
        <v>6</v>
      </c>
      <c r="G397" s="18">
        <v>21</v>
      </c>
    </row>
    <row r="398" spans="2:7" x14ac:dyDescent="0.3">
      <c r="B398" s="18" t="s">
        <v>6961</v>
      </c>
      <c r="C398" s="18" t="s">
        <v>6922</v>
      </c>
      <c r="D398" s="18" t="s">
        <v>7618</v>
      </c>
      <c r="E398" s="18">
        <v>726</v>
      </c>
      <c r="F398" s="18">
        <v>6</v>
      </c>
      <c r="G398" s="18">
        <v>21</v>
      </c>
    </row>
    <row r="399" spans="2:7" x14ac:dyDescent="0.3">
      <c r="B399" s="18" t="s">
        <v>6961</v>
      </c>
      <c r="C399" s="18" t="s">
        <v>6922</v>
      </c>
      <c r="D399" s="18" t="s">
        <v>7619</v>
      </c>
      <c r="E399" s="18">
        <v>765</v>
      </c>
      <c r="F399" s="18">
        <v>6</v>
      </c>
      <c r="G399" s="18">
        <v>21</v>
      </c>
    </row>
    <row r="400" spans="2:7" x14ac:dyDescent="0.3">
      <c r="B400" s="18" t="s">
        <v>6961</v>
      </c>
      <c r="C400" s="18" t="s">
        <v>6922</v>
      </c>
      <c r="D400" s="18" t="s">
        <v>7620</v>
      </c>
      <c r="E400" s="18">
        <v>707</v>
      </c>
      <c r="F400" s="18">
        <v>6</v>
      </c>
      <c r="G400" s="18">
        <v>21</v>
      </c>
    </row>
    <row r="401" spans="2:7" x14ac:dyDescent="0.3">
      <c r="B401" s="18" t="s">
        <v>6961</v>
      </c>
      <c r="C401" s="18" t="s">
        <v>6922</v>
      </c>
      <c r="D401" s="18" t="s">
        <v>7621</v>
      </c>
      <c r="E401" s="18">
        <v>370</v>
      </c>
      <c r="F401" s="18">
        <v>6</v>
      </c>
      <c r="G401" s="18">
        <v>21</v>
      </c>
    </row>
    <row r="402" spans="2:7" x14ac:dyDescent="0.3">
      <c r="B402" s="18" t="s">
        <v>6961</v>
      </c>
      <c r="C402" s="18" t="s">
        <v>6922</v>
      </c>
      <c r="D402" s="18" t="s">
        <v>7622</v>
      </c>
      <c r="E402" s="18">
        <v>789</v>
      </c>
      <c r="F402" s="18">
        <v>6</v>
      </c>
      <c r="G402" s="18">
        <v>21</v>
      </c>
    </row>
    <row r="403" spans="2:7" x14ac:dyDescent="0.3">
      <c r="B403" s="18" t="s">
        <v>6961</v>
      </c>
      <c r="C403" s="18" t="s">
        <v>6922</v>
      </c>
      <c r="D403" s="18" t="s">
        <v>7623</v>
      </c>
      <c r="E403" s="18">
        <v>787</v>
      </c>
      <c r="F403" s="18">
        <v>6</v>
      </c>
      <c r="G403" s="18">
        <v>21</v>
      </c>
    </row>
    <row r="404" spans="2:7" x14ac:dyDescent="0.3">
      <c r="B404" s="18" t="s">
        <v>6961</v>
      </c>
      <c r="C404" s="18" t="s">
        <v>6922</v>
      </c>
      <c r="D404" s="18" t="s">
        <v>7624</v>
      </c>
      <c r="E404" s="18">
        <v>956</v>
      </c>
      <c r="F404" s="18">
        <v>6</v>
      </c>
      <c r="G404" s="18">
        <v>21</v>
      </c>
    </row>
    <row r="405" spans="2:7" x14ac:dyDescent="0.3">
      <c r="B405" s="18" t="s">
        <v>6961</v>
      </c>
      <c r="C405" s="18" t="s">
        <v>6922</v>
      </c>
      <c r="D405" s="18" t="s">
        <v>7625</v>
      </c>
      <c r="E405" s="18">
        <v>1297</v>
      </c>
      <c r="F405" s="18">
        <v>6</v>
      </c>
      <c r="G405" s="18">
        <v>21</v>
      </c>
    </row>
    <row r="406" spans="2:7" x14ac:dyDescent="0.3">
      <c r="B406" s="18" t="s">
        <v>6961</v>
      </c>
      <c r="C406" s="18" t="s">
        <v>6922</v>
      </c>
      <c r="D406" s="18" t="s">
        <v>7626</v>
      </c>
      <c r="E406" s="18">
        <v>1566</v>
      </c>
      <c r="F406" s="18">
        <v>6</v>
      </c>
      <c r="G406" s="18">
        <v>21</v>
      </c>
    </row>
    <row r="407" spans="2:7" x14ac:dyDescent="0.3">
      <c r="B407" s="18" t="s">
        <v>6961</v>
      </c>
      <c r="C407" s="18" t="s">
        <v>6922</v>
      </c>
      <c r="D407" s="18" t="s">
        <v>7627</v>
      </c>
      <c r="E407" s="18">
        <v>1493</v>
      </c>
      <c r="F407" s="18">
        <v>6</v>
      </c>
      <c r="G407" s="18">
        <v>21</v>
      </c>
    </row>
    <row r="408" spans="2:7" x14ac:dyDescent="0.3">
      <c r="B408" s="18" t="s">
        <v>6961</v>
      </c>
      <c r="C408" s="18" t="s">
        <v>6922</v>
      </c>
      <c r="D408" s="18" t="s">
        <v>7628</v>
      </c>
      <c r="E408" s="18">
        <v>201067</v>
      </c>
      <c r="F408" s="18">
        <v>6</v>
      </c>
      <c r="G408" s="18">
        <v>21</v>
      </c>
    </row>
    <row r="409" spans="2:7" x14ac:dyDescent="0.3">
      <c r="B409" s="18" t="s">
        <v>6961</v>
      </c>
      <c r="C409" s="18" t="s">
        <v>6922</v>
      </c>
      <c r="D409" s="18" t="s">
        <v>7629</v>
      </c>
      <c r="E409" s="18">
        <v>964</v>
      </c>
      <c r="F409" s="18">
        <v>6</v>
      </c>
      <c r="G409" s="18">
        <v>21</v>
      </c>
    </row>
    <row r="410" spans="2:7" x14ac:dyDescent="0.3">
      <c r="B410" s="18" t="s">
        <v>6961</v>
      </c>
      <c r="C410" s="18" t="s">
        <v>6922</v>
      </c>
      <c r="D410" s="18" t="s">
        <v>7630</v>
      </c>
      <c r="E410" s="18">
        <v>1598</v>
      </c>
      <c r="F410" s="18">
        <v>6</v>
      </c>
      <c r="G410" s="18">
        <v>21</v>
      </c>
    </row>
    <row r="411" spans="2:7" x14ac:dyDescent="0.3">
      <c r="B411" s="18" t="s">
        <v>6961</v>
      </c>
      <c r="C411" s="18" t="s">
        <v>6922</v>
      </c>
      <c r="D411" s="18" t="s">
        <v>7631</v>
      </c>
      <c r="E411" s="18">
        <v>1029</v>
      </c>
      <c r="F411" s="18">
        <v>6</v>
      </c>
      <c r="G411" s="18">
        <v>21</v>
      </c>
    </row>
    <row r="412" spans="2:7" x14ac:dyDescent="0.3">
      <c r="B412" s="18" t="s">
        <v>6961</v>
      </c>
      <c r="C412" s="18" t="s">
        <v>6922</v>
      </c>
      <c r="D412" s="18" t="s">
        <v>7632</v>
      </c>
      <c r="E412" s="18">
        <v>461</v>
      </c>
      <c r="F412" s="18">
        <v>6</v>
      </c>
      <c r="G412" s="18">
        <v>21</v>
      </c>
    </row>
    <row r="413" spans="2:7" x14ac:dyDescent="0.3">
      <c r="B413" s="18" t="s">
        <v>6961</v>
      </c>
      <c r="C413" s="18" t="s">
        <v>6922</v>
      </c>
      <c r="D413" s="18" t="s">
        <v>7633</v>
      </c>
      <c r="E413" s="18">
        <v>323</v>
      </c>
      <c r="F413" s="18">
        <v>6</v>
      </c>
      <c r="G413" s="18">
        <v>21</v>
      </c>
    </row>
    <row r="414" spans="2:7" x14ac:dyDescent="0.3">
      <c r="B414" s="18" t="s">
        <v>6961</v>
      </c>
      <c r="C414" s="18" t="s">
        <v>6922</v>
      </c>
      <c r="D414" s="18" t="s">
        <v>6987</v>
      </c>
      <c r="E414" s="18">
        <v>1620</v>
      </c>
      <c r="F414" s="18">
        <v>6</v>
      </c>
      <c r="G414" s="18">
        <v>21</v>
      </c>
    </row>
    <row r="415" spans="2:7" x14ac:dyDescent="0.3">
      <c r="B415" s="18" t="s">
        <v>6961</v>
      </c>
      <c r="C415" s="18" t="s">
        <v>6922</v>
      </c>
      <c r="D415" s="18" t="s">
        <v>7634</v>
      </c>
      <c r="E415" s="18">
        <v>201066</v>
      </c>
      <c r="F415" s="18">
        <v>6</v>
      </c>
      <c r="G415" s="18">
        <v>21</v>
      </c>
    </row>
    <row r="416" spans="2:7" x14ac:dyDescent="0.3">
      <c r="B416" s="18" t="s">
        <v>6961</v>
      </c>
      <c r="C416" s="18" t="s">
        <v>6922</v>
      </c>
      <c r="D416" s="18" t="s">
        <v>7635</v>
      </c>
      <c r="E416" s="18">
        <v>743</v>
      </c>
      <c r="F416" s="18">
        <v>6</v>
      </c>
      <c r="G416" s="18">
        <v>21</v>
      </c>
    </row>
    <row r="417" spans="2:7" x14ac:dyDescent="0.3">
      <c r="B417" s="18" t="s">
        <v>6961</v>
      </c>
      <c r="C417" s="18" t="s">
        <v>6922</v>
      </c>
      <c r="D417" s="18" t="s">
        <v>7636</v>
      </c>
      <c r="E417" s="18">
        <v>958</v>
      </c>
      <c r="F417" s="18">
        <v>6</v>
      </c>
      <c r="G417" s="18">
        <v>21</v>
      </c>
    </row>
    <row r="418" spans="2:7" x14ac:dyDescent="0.3">
      <c r="B418" s="18" t="s">
        <v>6961</v>
      </c>
      <c r="C418" s="18" t="s">
        <v>6922</v>
      </c>
      <c r="D418" s="18" t="s">
        <v>7637</v>
      </c>
      <c r="E418" s="18">
        <v>1544</v>
      </c>
      <c r="F418" s="18">
        <v>6</v>
      </c>
      <c r="G418" s="18">
        <v>21</v>
      </c>
    </row>
    <row r="419" spans="2:7" x14ac:dyDescent="0.3">
      <c r="B419" s="18" t="s">
        <v>6961</v>
      </c>
      <c r="C419" s="18" t="s">
        <v>6922</v>
      </c>
      <c r="D419" s="18" t="s">
        <v>7638</v>
      </c>
      <c r="E419" s="18">
        <v>289</v>
      </c>
      <c r="F419" s="18">
        <v>6</v>
      </c>
      <c r="G419" s="18">
        <v>21</v>
      </c>
    </row>
    <row r="420" spans="2:7" x14ac:dyDescent="0.3">
      <c r="B420" s="18" t="s">
        <v>6961</v>
      </c>
      <c r="C420" s="18" t="s">
        <v>6922</v>
      </c>
      <c r="D420" s="18" t="s">
        <v>7639</v>
      </c>
      <c r="E420" s="18">
        <v>1323</v>
      </c>
      <c r="F420" s="18">
        <v>6</v>
      </c>
      <c r="G420" s="18">
        <v>21</v>
      </c>
    </row>
    <row r="421" spans="2:7" x14ac:dyDescent="0.3">
      <c r="B421" s="18" t="s">
        <v>6961</v>
      </c>
      <c r="C421" s="18" t="s">
        <v>6922</v>
      </c>
      <c r="D421" s="18" t="s">
        <v>7640</v>
      </c>
      <c r="E421" s="18">
        <v>330</v>
      </c>
      <c r="F421" s="18">
        <v>6</v>
      </c>
      <c r="G421" s="18">
        <v>21</v>
      </c>
    </row>
    <row r="422" spans="2:7" x14ac:dyDescent="0.3">
      <c r="B422" s="18" t="s">
        <v>6961</v>
      </c>
      <c r="C422" s="18" t="s">
        <v>6922</v>
      </c>
      <c r="D422" s="18" t="s">
        <v>7641</v>
      </c>
      <c r="E422" s="18">
        <v>1138</v>
      </c>
      <c r="F422" s="18">
        <v>6</v>
      </c>
      <c r="G422" s="18">
        <v>21</v>
      </c>
    </row>
    <row r="423" spans="2:7" x14ac:dyDescent="0.3">
      <c r="B423" s="18" t="s">
        <v>7642</v>
      </c>
      <c r="C423" s="18" t="s">
        <v>7642</v>
      </c>
      <c r="D423" s="18" t="s">
        <v>7642</v>
      </c>
      <c r="E423" s="18">
        <v>329</v>
      </c>
      <c r="F423" s="18">
        <v>69</v>
      </c>
      <c r="G423" s="18">
        <v>319</v>
      </c>
    </row>
    <row r="424" spans="2:7" x14ac:dyDescent="0.3">
      <c r="B424" s="18" t="s">
        <v>7643</v>
      </c>
      <c r="C424" s="18" t="s">
        <v>7644</v>
      </c>
      <c r="D424" s="18" t="s">
        <v>7645</v>
      </c>
      <c r="E424" s="18">
        <v>471</v>
      </c>
      <c r="F424" s="18">
        <v>213</v>
      </c>
      <c r="G424" s="18">
        <v>210</v>
      </c>
    </row>
    <row r="425" spans="2:7" x14ac:dyDescent="0.3">
      <c r="B425" s="18" t="s">
        <v>7643</v>
      </c>
      <c r="C425" s="18" t="s">
        <v>7644</v>
      </c>
      <c r="D425" s="18" t="s">
        <v>7646</v>
      </c>
      <c r="E425" s="18">
        <v>303</v>
      </c>
      <c r="F425" s="18">
        <v>213</v>
      </c>
      <c r="G425" s="18">
        <v>210</v>
      </c>
    </row>
    <row r="426" spans="2:7" x14ac:dyDescent="0.3">
      <c r="B426" s="18" t="s">
        <v>7647</v>
      </c>
      <c r="C426" s="18" t="s">
        <v>7648</v>
      </c>
      <c r="D426" s="18" t="s">
        <v>7649</v>
      </c>
      <c r="E426" s="18">
        <v>324</v>
      </c>
      <c r="F426" s="18">
        <v>427</v>
      </c>
      <c r="G426" s="18">
        <v>428</v>
      </c>
    </row>
    <row r="427" spans="2:7" x14ac:dyDescent="0.3">
      <c r="B427" s="18" t="s">
        <v>22</v>
      </c>
      <c r="C427" s="18"/>
      <c r="D427" s="18" t="s">
        <v>7650</v>
      </c>
      <c r="E427" s="18">
        <v>1208</v>
      </c>
      <c r="F427" s="18">
        <v>809</v>
      </c>
      <c r="G427" s="18"/>
    </row>
    <row r="428" spans="2:7" x14ac:dyDescent="0.3">
      <c r="B428" s="18" t="s">
        <v>22</v>
      </c>
      <c r="C428" s="18" t="s">
        <v>23</v>
      </c>
      <c r="D428" s="18" t="s">
        <v>106</v>
      </c>
      <c r="E428" s="18">
        <v>1349</v>
      </c>
      <c r="F428" s="18">
        <v>809</v>
      </c>
      <c r="G428" s="18">
        <v>810</v>
      </c>
    </row>
    <row r="429" spans="2:7" x14ac:dyDescent="0.3">
      <c r="B429" s="18" t="s">
        <v>22</v>
      </c>
      <c r="C429" s="18" t="s">
        <v>23</v>
      </c>
      <c r="D429" s="18" t="s">
        <v>529</v>
      </c>
      <c r="E429" s="18">
        <v>201053</v>
      </c>
      <c r="F429" s="18">
        <v>809</v>
      </c>
      <c r="G429" s="18">
        <v>810</v>
      </c>
    </row>
    <row r="430" spans="2:7" x14ac:dyDescent="0.3">
      <c r="B430" s="18" t="s">
        <v>22</v>
      </c>
      <c r="C430" s="18" t="s">
        <v>23</v>
      </c>
      <c r="D430" s="18" t="s">
        <v>7651</v>
      </c>
      <c r="E430" s="18">
        <v>201128</v>
      </c>
      <c r="F430" s="18">
        <v>809</v>
      </c>
      <c r="G430" s="18">
        <v>810</v>
      </c>
    </row>
    <row r="431" spans="2:7" x14ac:dyDescent="0.3">
      <c r="B431" s="18" t="s">
        <v>22</v>
      </c>
      <c r="C431" s="18" t="s">
        <v>23</v>
      </c>
      <c r="D431" s="18" t="s">
        <v>7652</v>
      </c>
      <c r="E431" s="18">
        <v>201088</v>
      </c>
      <c r="F431" s="18">
        <v>809</v>
      </c>
      <c r="G431" s="18">
        <v>810</v>
      </c>
    </row>
    <row r="432" spans="2:7" x14ac:dyDescent="0.3">
      <c r="B432" s="18" t="s">
        <v>22</v>
      </c>
      <c r="C432" s="18" t="s">
        <v>23</v>
      </c>
      <c r="D432" s="18" t="s">
        <v>236</v>
      </c>
      <c r="E432" s="18">
        <v>201052</v>
      </c>
      <c r="F432" s="18">
        <v>809</v>
      </c>
      <c r="G432" s="18">
        <v>810</v>
      </c>
    </row>
    <row r="433" spans="2:7" x14ac:dyDescent="0.3">
      <c r="B433" s="18" t="s">
        <v>22</v>
      </c>
      <c r="C433" s="18" t="s">
        <v>23</v>
      </c>
      <c r="D433" s="18" t="s">
        <v>7653</v>
      </c>
      <c r="E433" s="18">
        <v>201096</v>
      </c>
      <c r="F433" s="18">
        <v>809</v>
      </c>
      <c r="G433" s="18">
        <v>810</v>
      </c>
    </row>
    <row r="434" spans="2:7" x14ac:dyDescent="0.3">
      <c r="B434" s="18" t="s">
        <v>22</v>
      </c>
      <c r="C434" s="18" t="s">
        <v>23</v>
      </c>
      <c r="D434" s="18" t="s">
        <v>7654</v>
      </c>
      <c r="E434" s="18">
        <v>201138</v>
      </c>
      <c r="F434" s="18">
        <v>809</v>
      </c>
      <c r="G434" s="18">
        <v>810</v>
      </c>
    </row>
    <row r="435" spans="2:7" x14ac:dyDescent="0.3">
      <c r="B435" s="18" t="s">
        <v>22</v>
      </c>
      <c r="C435" s="18" t="s">
        <v>23</v>
      </c>
      <c r="D435" s="18" t="s">
        <v>7655</v>
      </c>
      <c r="E435" s="18">
        <v>201063</v>
      </c>
      <c r="F435" s="18">
        <v>809</v>
      </c>
      <c r="G435" s="18">
        <v>810</v>
      </c>
    </row>
    <row r="436" spans="2:7" x14ac:dyDescent="0.3">
      <c r="B436" s="18" t="s">
        <v>22</v>
      </c>
      <c r="C436" s="18" t="s">
        <v>23</v>
      </c>
      <c r="D436" s="18" t="s">
        <v>86</v>
      </c>
      <c r="E436" s="18">
        <v>201021</v>
      </c>
      <c r="F436" s="18">
        <v>809</v>
      </c>
      <c r="G436" s="18">
        <v>810</v>
      </c>
    </row>
    <row r="437" spans="2:7" x14ac:dyDescent="0.3">
      <c r="B437" s="18" t="s">
        <v>22</v>
      </c>
      <c r="C437" s="18" t="s">
        <v>23</v>
      </c>
      <c r="D437" s="18" t="s">
        <v>7656</v>
      </c>
      <c r="E437" s="18">
        <v>201133</v>
      </c>
      <c r="F437" s="18">
        <v>809</v>
      </c>
      <c r="G437" s="18">
        <v>810</v>
      </c>
    </row>
    <row r="438" spans="2:7" x14ac:dyDescent="0.3">
      <c r="B438" s="18" t="s">
        <v>22</v>
      </c>
      <c r="C438" s="18" t="s">
        <v>23</v>
      </c>
      <c r="D438" s="18" t="s">
        <v>486</v>
      </c>
      <c r="E438" s="18">
        <v>201115</v>
      </c>
      <c r="F438" s="18">
        <v>809</v>
      </c>
      <c r="G438" s="18">
        <v>810</v>
      </c>
    </row>
    <row r="439" spans="2:7" x14ac:dyDescent="0.3">
      <c r="B439" s="18" t="s">
        <v>22</v>
      </c>
      <c r="C439" s="18" t="s">
        <v>23</v>
      </c>
      <c r="D439" s="18" t="s">
        <v>24</v>
      </c>
      <c r="E439" s="18">
        <v>201032</v>
      </c>
      <c r="F439" s="18">
        <v>809</v>
      </c>
      <c r="G439" s="18">
        <v>810</v>
      </c>
    </row>
    <row r="440" spans="2:7" x14ac:dyDescent="0.3">
      <c r="B440" s="18" t="s">
        <v>22</v>
      </c>
      <c r="C440" s="18" t="s">
        <v>23</v>
      </c>
      <c r="D440" s="18" t="s">
        <v>428</v>
      </c>
      <c r="E440" s="18">
        <v>201062</v>
      </c>
      <c r="F440" s="18">
        <v>809</v>
      </c>
      <c r="G440" s="18">
        <v>810</v>
      </c>
    </row>
    <row r="441" spans="2:7" x14ac:dyDescent="0.3">
      <c r="B441" s="18" t="s">
        <v>22</v>
      </c>
      <c r="C441" s="18" t="s">
        <v>7657</v>
      </c>
      <c r="D441" s="18" t="s">
        <v>7658</v>
      </c>
      <c r="E441" s="18">
        <v>1310</v>
      </c>
      <c r="F441" s="18">
        <v>809</v>
      </c>
      <c r="G441" s="18">
        <v>822</v>
      </c>
    </row>
    <row r="442" spans="2:7" x14ac:dyDescent="0.3">
      <c r="B442" s="18" t="s">
        <v>22</v>
      </c>
      <c r="C442" s="18" t="s">
        <v>7657</v>
      </c>
      <c r="D442" s="18" t="s">
        <v>7659</v>
      </c>
      <c r="E442" s="18">
        <v>1309</v>
      </c>
      <c r="F442" s="18">
        <v>809</v>
      </c>
      <c r="G442" s="18">
        <v>822</v>
      </c>
    </row>
    <row r="443" spans="2:7" x14ac:dyDescent="0.3">
      <c r="B443" s="18" t="s">
        <v>22</v>
      </c>
      <c r="C443" s="18" t="s">
        <v>7657</v>
      </c>
      <c r="D443" s="18" t="s">
        <v>7660</v>
      </c>
      <c r="E443" s="18">
        <v>1448</v>
      </c>
      <c r="F443" s="18">
        <v>809</v>
      </c>
      <c r="G443" s="18">
        <v>822</v>
      </c>
    </row>
    <row r="444" spans="2:7" x14ac:dyDescent="0.3">
      <c r="B444" s="18" t="s">
        <v>22</v>
      </c>
      <c r="C444" s="18" t="s">
        <v>7661</v>
      </c>
      <c r="D444" s="18" t="s">
        <v>7662</v>
      </c>
      <c r="E444" s="18">
        <v>201050</v>
      </c>
      <c r="F444" s="18">
        <v>809</v>
      </c>
      <c r="G444" s="18">
        <v>920</v>
      </c>
    </row>
    <row r="445" spans="2:7" x14ac:dyDescent="0.3">
      <c r="B445" s="18" t="s">
        <v>22</v>
      </c>
      <c r="C445" s="18" t="s">
        <v>7661</v>
      </c>
      <c r="D445" s="18" t="s">
        <v>7663</v>
      </c>
      <c r="E445" s="18">
        <v>201087</v>
      </c>
      <c r="F445" s="18">
        <v>809</v>
      </c>
      <c r="G445" s="18">
        <v>920</v>
      </c>
    </row>
    <row r="446" spans="2:7" x14ac:dyDescent="0.3">
      <c r="B446" s="18" t="s">
        <v>22</v>
      </c>
      <c r="C446" s="18" t="s">
        <v>679</v>
      </c>
      <c r="D446" s="18" t="s">
        <v>680</v>
      </c>
      <c r="E446" s="18">
        <v>200938</v>
      </c>
      <c r="F446" s="18">
        <v>809</v>
      </c>
      <c r="G446" s="18">
        <v>980</v>
      </c>
    </row>
    <row r="447" spans="2:7" x14ac:dyDescent="0.3">
      <c r="B447" s="18" t="s">
        <v>22</v>
      </c>
      <c r="C447" s="18" t="s">
        <v>679</v>
      </c>
      <c r="D447" s="18" t="s">
        <v>7664</v>
      </c>
      <c r="E447" s="18">
        <v>1656</v>
      </c>
      <c r="F447" s="18">
        <v>809</v>
      </c>
      <c r="G447" s="18">
        <v>980</v>
      </c>
    </row>
    <row r="448" spans="2:7" x14ac:dyDescent="0.3">
      <c r="B448" s="18" t="s">
        <v>22</v>
      </c>
      <c r="C448" s="18" t="s">
        <v>7665</v>
      </c>
      <c r="D448" s="18" t="s">
        <v>7666</v>
      </c>
      <c r="E448" s="18">
        <v>1481</v>
      </c>
      <c r="F448" s="18">
        <v>809</v>
      </c>
      <c r="G448" s="18">
        <v>1213</v>
      </c>
    </row>
    <row r="449" spans="2:7" x14ac:dyDescent="0.3">
      <c r="B449" s="18" t="s">
        <v>41</v>
      </c>
      <c r="C449" s="18"/>
      <c r="D449" s="18" t="s">
        <v>7667</v>
      </c>
      <c r="E449" s="18">
        <v>336</v>
      </c>
      <c r="F449" s="18">
        <v>926</v>
      </c>
      <c r="G449" s="18"/>
    </row>
    <row r="450" spans="2:7" x14ac:dyDescent="0.3">
      <c r="B450" s="18" t="s">
        <v>41</v>
      </c>
      <c r="C450" s="18" t="s">
        <v>525</v>
      </c>
      <c r="D450" s="18" t="s">
        <v>526</v>
      </c>
      <c r="E450" s="18">
        <v>200999</v>
      </c>
      <c r="F450" s="18">
        <v>926</v>
      </c>
      <c r="G450" s="18">
        <v>954</v>
      </c>
    </row>
    <row r="451" spans="2:7" x14ac:dyDescent="0.3">
      <c r="B451" s="18" t="s">
        <v>41</v>
      </c>
      <c r="C451" s="18" t="s">
        <v>42</v>
      </c>
      <c r="D451" s="18" t="s">
        <v>704</v>
      </c>
      <c r="E451" s="18">
        <v>1616</v>
      </c>
      <c r="F451" s="18">
        <v>926</v>
      </c>
      <c r="G451" s="18">
        <v>964</v>
      </c>
    </row>
    <row r="452" spans="2:7" x14ac:dyDescent="0.3">
      <c r="B452" s="18" t="s">
        <v>41</v>
      </c>
      <c r="C452" s="18" t="s">
        <v>42</v>
      </c>
      <c r="D452" s="18" t="s">
        <v>43</v>
      </c>
      <c r="E452" s="18">
        <v>200998</v>
      </c>
      <c r="F452" s="18">
        <v>926</v>
      </c>
      <c r="G452" s="18">
        <v>964</v>
      </c>
    </row>
    <row r="453" spans="2:7" x14ac:dyDescent="0.3">
      <c r="B453" s="18" t="s">
        <v>41</v>
      </c>
      <c r="C453" s="18" t="s">
        <v>56</v>
      </c>
      <c r="D453" s="18" t="s">
        <v>7668</v>
      </c>
      <c r="E453" s="18">
        <v>201099</v>
      </c>
      <c r="F453" s="18">
        <v>926</v>
      </c>
      <c r="G453" s="18">
        <v>1207</v>
      </c>
    </row>
    <row r="454" spans="2:7" x14ac:dyDescent="0.3">
      <c r="B454" s="18" t="s">
        <v>41</v>
      </c>
      <c r="C454" s="18" t="s">
        <v>56</v>
      </c>
      <c r="D454" s="18" t="s">
        <v>464</v>
      </c>
      <c r="E454" s="18">
        <v>201071</v>
      </c>
      <c r="F454" s="18">
        <v>926</v>
      </c>
      <c r="G454" s="18">
        <v>1207</v>
      </c>
    </row>
    <row r="455" spans="2:7" x14ac:dyDescent="0.3">
      <c r="B455" s="18" t="s">
        <v>41</v>
      </c>
      <c r="C455" s="18" t="s">
        <v>56</v>
      </c>
      <c r="D455" s="18" t="s">
        <v>62</v>
      </c>
      <c r="E455" s="18">
        <v>201037</v>
      </c>
      <c r="F455" s="18">
        <v>926</v>
      </c>
      <c r="G455" s="18">
        <v>1207</v>
      </c>
    </row>
    <row r="456" spans="2:7" x14ac:dyDescent="0.3">
      <c r="B456" s="18" t="s">
        <v>41</v>
      </c>
      <c r="C456" s="18" t="s">
        <v>56</v>
      </c>
      <c r="D456" s="18" t="s">
        <v>91</v>
      </c>
      <c r="E456" s="18">
        <v>201104</v>
      </c>
      <c r="F456" s="18">
        <v>926</v>
      </c>
      <c r="G456" s="18">
        <v>1207</v>
      </c>
    </row>
    <row r="457" spans="2:7" x14ac:dyDescent="0.3">
      <c r="B457" s="18" t="s">
        <v>41</v>
      </c>
      <c r="C457" s="18" t="s">
        <v>56</v>
      </c>
      <c r="D457" s="18" t="s">
        <v>64</v>
      </c>
      <c r="E457" s="18">
        <v>201011</v>
      </c>
      <c r="F457" s="18">
        <v>926</v>
      </c>
      <c r="G457" s="18">
        <v>1207</v>
      </c>
    </row>
    <row r="458" spans="2:7" x14ac:dyDescent="0.3">
      <c r="B458" s="18" t="s">
        <v>41</v>
      </c>
      <c r="C458" s="18" t="s">
        <v>56</v>
      </c>
      <c r="D458" s="18" t="s">
        <v>156</v>
      </c>
      <c r="E458" s="18">
        <v>201103</v>
      </c>
      <c r="F458" s="18">
        <v>926</v>
      </c>
      <c r="G458" s="18">
        <v>1207</v>
      </c>
    </row>
    <row r="459" spans="2:7" x14ac:dyDescent="0.3">
      <c r="B459" s="18" t="s">
        <v>41</v>
      </c>
      <c r="C459" s="18" t="s">
        <v>56</v>
      </c>
      <c r="D459" s="18" t="s">
        <v>57</v>
      </c>
      <c r="E459" s="18">
        <v>200982</v>
      </c>
      <c r="F459" s="18">
        <v>926</v>
      </c>
      <c r="G459" s="18">
        <v>1207</v>
      </c>
    </row>
    <row r="460" spans="2:7" x14ac:dyDescent="0.3">
      <c r="B460" s="18" t="s">
        <v>41</v>
      </c>
      <c r="C460" s="18" t="s">
        <v>56</v>
      </c>
      <c r="D460" s="18" t="s">
        <v>253</v>
      </c>
      <c r="E460" s="18">
        <v>1328</v>
      </c>
      <c r="F460" s="18">
        <v>926</v>
      </c>
      <c r="G460" s="18">
        <v>1207</v>
      </c>
    </row>
    <row r="461" spans="2:7" x14ac:dyDescent="0.3">
      <c r="B461" s="18" t="s">
        <v>16</v>
      </c>
      <c r="C461" s="18"/>
      <c r="D461" s="18" t="s">
        <v>7669</v>
      </c>
      <c r="E461" s="18">
        <v>337</v>
      </c>
      <c r="F461" s="18">
        <v>927</v>
      </c>
      <c r="G461" s="18"/>
    </row>
    <row r="462" spans="2:7" x14ac:dyDescent="0.3">
      <c r="B462" s="18" t="s">
        <v>16</v>
      </c>
      <c r="C462" s="18" t="s">
        <v>1570</v>
      </c>
      <c r="D462" s="18" t="s">
        <v>7670</v>
      </c>
      <c r="E462" s="18">
        <v>1613</v>
      </c>
      <c r="F462" s="18">
        <v>927</v>
      </c>
      <c r="G462" s="18">
        <v>965</v>
      </c>
    </row>
    <row r="463" spans="2:7" x14ac:dyDescent="0.3">
      <c r="B463" s="18" t="s">
        <v>16</v>
      </c>
      <c r="C463" s="18" t="s">
        <v>1570</v>
      </c>
      <c r="D463" s="18" t="s">
        <v>1571</v>
      </c>
      <c r="E463" s="18">
        <v>201061</v>
      </c>
      <c r="F463" s="18">
        <v>927</v>
      </c>
      <c r="G463" s="18">
        <v>965</v>
      </c>
    </row>
    <row r="464" spans="2:7" x14ac:dyDescent="0.3">
      <c r="B464" s="18" t="s">
        <v>16</v>
      </c>
      <c r="C464" s="18" t="s">
        <v>17</v>
      </c>
      <c r="D464" s="18" t="s">
        <v>290</v>
      </c>
      <c r="E464" s="18">
        <v>556</v>
      </c>
      <c r="F464" s="18">
        <v>927</v>
      </c>
      <c r="G464" s="18">
        <v>1200</v>
      </c>
    </row>
    <row r="465" spans="2:7" x14ac:dyDescent="0.3">
      <c r="B465" s="18" t="s">
        <v>16</v>
      </c>
      <c r="C465" s="18" t="s">
        <v>17</v>
      </c>
      <c r="D465" s="18" t="s">
        <v>66</v>
      </c>
      <c r="E465" s="18">
        <v>33</v>
      </c>
      <c r="F465" s="18">
        <v>927</v>
      </c>
      <c r="G465" s="18">
        <v>1200</v>
      </c>
    </row>
    <row r="466" spans="2:7" x14ac:dyDescent="0.3">
      <c r="B466" s="18" t="s">
        <v>16</v>
      </c>
      <c r="C466" s="18" t="s">
        <v>17</v>
      </c>
      <c r="D466" s="18" t="s">
        <v>53</v>
      </c>
      <c r="E466" s="18">
        <v>201080</v>
      </c>
      <c r="F466" s="18">
        <v>927</v>
      </c>
      <c r="G466" s="18">
        <v>1200</v>
      </c>
    </row>
    <row r="467" spans="2:7" x14ac:dyDescent="0.3">
      <c r="B467" s="18" t="s">
        <v>16</v>
      </c>
      <c r="C467" s="18" t="s">
        <v>17</v>
      </c>
      <c r="D467" s="18" t="s">
        <v>93</v>
      </c>
      <c r="E467" s="18">
        <v>930</v>
      </c>
      <c r="F467" s="18">
        <v>927</v>
      </c>
      <c r="G467" s="18">
        <v>1200</v>
      </c>
    </row>
    <row r="468" spans="2:7" x14ac:dyDescent="0.3">
      <c r="B468" s="18" t="s">
        <v>16</v>
      </c>
      <c r="C468" s="18" t="s">
        <v>17</v>
      </c>
      <c r="D468" s="18" t="s">
        <v>49</v>
      </c>
      <c r="E468" s="18">
        <v>201114</v>
      </c>
      <c r="F468" s="18">
        <v>927</v>
      </c>
      <c r="G468" s="18">
        <v>1200</v>
      </c>
    </row>
    <row r="469" spans="2:7" x14ac:dyDescent="0.3">
      <c r="B469" s="18" t="s">
        <v>16</v>
      </c>
      <c r="C469" s="18" t="s">
        <v>17</v>
      </c>
      <c r="D469" s="18" t="s">
        <v>18</v>
      </c>
      <c r="E469" s="18">
        <v>201116</v>
      </c>
      <c r="F469" s="18">
        <v>927</v>
      </c>
      <c r="G469" s="18">
        <v>1200</v>
      </c>
    </row>
    <row r="470" spans="2:7" x14ac:dyDescent="0.3">
      <c r="B470" s="18" t="s">
        <v>16</v>
      </c>
      <c r="C470" s="18" t="s">
        <v>17</v>
      </c>
      <c r="D470" s="18" t="s">
        <v>446</v>
      </c>
      <c r="E470" s="18">
        <v>566</v>
      </c>
      <c r="F470" s="18">
        <v>927</v>
      </c>
      <c r="G470" s="18">
        <v>1200</v>
      </c>
    </row>
    <row r="471" spans="2:7" x14ac:dyDescent="0.3">
      <c r="B471" s="18" t="s">
        <v>16</v>
      </c>
      <c r="C471" s="18" t="s">
        <v>17</v>
      </c>
      <c r="D471" s="18" t="s">
        <v>7671</v>
      </c>
      <c r="E471" s="18">
        <v>201105</v>
      </c>
      <c r="F471" s="18">
        <v>927</v>
      </c>
      <c r="G471" s="18">
        <v>1200</v>
      </c>
    </row>
    <row r="472" spans="2:7" x14ac:dyDescent="0.3">
      <c r="B472" s="18" t="s">
        <v>16</v>
      </c>
      <c r="C472" s="18" t="s">
        <v>17</v>
      </c>
      <c r="D472" s="18" t="s">
        <v>78</v>
      </c>
      <c r="E472" s="18">
        <v>57</v>
      </c>
      <c r="F472" s="18">
        <v>927</v>
      </c>
      <c r="G472" s="18">
        <v>1200</v>
      </c>
    </row>
    <row r="473" spans="2:7" x14ac:dyDescent="0.3">
      <c r="B473" s="18" t="s">
        <v>16</v>
      </c>
      <c r="C473" s="18" t="s">
        <v>17</v>
      </c>
      <c r="D473" s="18" t="s">
        <v>437</v>
      </c>
      <c r="E473" s="18">
        <v>201118</v>
      </c>
      <c r="F473" s="18">
        <v>927</v>
      </c>
      <c r="G473" s="18">
        <v>1200</v>
      </c>
    </row>
    <row r="474" spans="2:7" x14ac:dyDescent="0.3">
      <c r="B474" s="18" t="s">
        <v>16</v>
      </c>
      <c r="C474" s="18" t="s">
        <v>17</v>
      </c>
      <c r="D474" s="18" t="s">
        <v>229</v>
      </c>
      <c r="E474" s="18">
        <v>560</v>
      </c>
      <c r="F474" s="18">
        <v>927</v>
      </c>
      <c r="G474" s="18">
        <v>1200</v>
      </c>
    </row>
    <row r="475" spans="2:7" x14ac:dyDescent="0.3">
      <c r="B475" s="18" t="s">
        <v>16</v>
      </c>
      <c r="C475" s="18" t="s">
        <v>17</v>
      </c>
      <c r="D475" s="18" t="s">
        <v>96</v>
      </c>
      <c r="E475" s="18">
        <v>1271</v>
      </c>
      <c r="F475" s="18">
        <v>927</v>
      </c>
      <c r="G475" s="18">
        <v>1200</v>
      </c>
    </row>
    <row r="476" spans="2:7" x14ac:dyDescent="0.3">
      <c r="B476" s="18" t="s">
        <v>16</v>
      </c>
      <c r="C476" s="18" t="s">
        <v>17</v>
      </c>
      <c r="D476" s="18" t="s">
        <v>29</v>
      </c>
      <c r="E476" s="18">
        <v>1496</v>
      </c>
      <c r="F476" s="18">
        <v>927</v>
      </c>
      <c r="G476" s="18">
        <v>1200</v>
      </c>
    </row>
    <row r="477" spans="2:7" x14ac:dyDescent="0.3">
      <c r="B477" s="18" t="s">
        <v>16</v>
      </c>
      <c r="C477" s="18" t="s">
        <v>17</v>
      </c>
      <c r="D477" s="18" t="s">
        <v>100</v>
      </c>
      <c r="E477" s="18">
        <v>201038</v>
      </c>
      <c r="F477" s="18">
        <v>927</v>
      </c>
      <c r="G477" s="18">
        <v>1200</v>
      </c>
    </row>
    <row r="478" spans="2:7" x14ac:dyDescent="0.3">
      <c r="B478" s="18" t="s">
        <v>16</v>
      </c>
      <c r="C478" s="18" t="s">
        <v>17</v>
      </c>
      <c r="D478" s="18" t="s">
        <v>170</v>
      </c>
      <c r="E478" s="18">
        <v>1530</v>
      </c>
      <c r="F478" s="18">
        <v>927</v>
      </c>
      <c r="G478" s="18">
        <v>1200</v>
      </c>
    </row>
    <row r="479" spans="2:7" x14ac:dyDescent="0.3">
      <c r="B479" s="18" t="s">
        <v>16</v>
      </c>
      <c r="C479" s="18" t="s">
        <v>17</v>
      </c>
      <c r="D479" s="18" t="s">
        <v>262</v>
      </c>
      <c r="E479" s="18">
        <v>1594</v>
      </c>
      <c r="F479" s="18">
        <v>927</v>
      </c>
      <c r="G479" s="18">
        <v>1200</v>
      </c>
    </row>
    <row r="480" spans="2:7" x14ac:dyDescent="0.3">
      <c r="B480" s="18" t="s">
        <v>16</v>
      </c>
      <c r="C480" s="18" t="s">
        <v>17</v>
      </c>
      <c r="D480" s="18" t="s">
        <v>353</v>
      </c>
      <c r="E480" s="18">
        <v>201108</v>
      </c>
      <c r="F480" s="18">
        <v>927</v>
      </c>
      <c r="G480" s="18">
        <v>1200</v>
      </c>
    </row>
    <row r="481" spans="2:7" x14ac:dyDescent="0.3">
      <c r="B481" s="18" t="s">
        <v>16</v>
      </c>
      <c r="C481" s="18" t="s">
        <v>17</v>
      </c>
      <c r="D481" s="18" t="s">
        <v>7672</v>
      </c>
      <c r="E481" s="18">
        <v>201117</v>
      </c>
      <c r="F481" s="18">
        <v>927</v>
      </c>
      <c r="G481" s="18">
        <v>1200</v>
      </c>
    </row>
    <row r="482" spans="2:7" x14ac:dyDescent="0.3">
      <c r="B482" s="18" t="s">
        <v>16</v>
      </c>
      <c r="C482" s="18" t="s">
        <v>17</v>
      </c>
      <c r="D482" s="18" t="s">
        <v>244</v>
      </c>
      <c r="E482" s="18">
        <v>817</v>
      </c>
      <c r="F482" s="18">
        <v>927</v>
      </c>
      <c r="G482" s="18">
        <v>1200</v>
      </c>
    </row>
    <row r="483" spans="2:7" x14ac:dyDescent="0.3">
      <c r="B483" s="18" t="s">
        <v>16</v>
      </c>
      <c r="C483" s="18" t="s">
        <v>17</v>
      </c>
      <c r="D483" s="18" t="s">
        <v>137</v>
      </c>
      <c r="E483" s="18">
        <v>1012</v>
      </c>
      <c r="F483" s="18">
        <v>927</v>
      </c>
      <c r="G483" s="18">
        <v>1200</v>
      </c>
    </row>
    <row r="484" spans="2:7" x14ac:dyDescent="0.3">
      <c r="B484" s="18" t="s">
        <v>16</v>
      </c>
      <c r="C484" s="18" t="s">
        <v>17</v>
      </c>
      <c r="D484" s="18" t="s">
        <v>371</v>
      </c>
      <c r="E484" s="18">
        <v>551</v>
      </c>
      <c r="F484" s="18">
        <v>927</v>
      </c>
      <c r="G484" s="18">
        <v>1200</v>
      </c>
    </row>
    <row r="485" spans="2:7" x14ac:dyDescent="0.3">
      <c r="B485" s="18" t="s">
        <v>8</v>
      </c>
      <c r="C485" s="18"/>
      <c r="D485" s="18" t="s">
        <v>7673</v>
      </c>
      <c r="E485" s="18">
        <v>10</v>
      </c>
      <c r="F485" s="18">
        <v>928</v>
      </c>
      <c r="G485" s="18"/>
    </row>
    <row r="486" spans="2:7" x14ac:dyDescent="0.3">
      <c r="B486" s="18" t="s">
        <v>8</v>
      </c>
      <c r="C486" s="18"/>
      <c r="D486" s="18" t="s">
        <v>7674</v>
      </c>
      <c r="E486" s="18">
        <v>20</v>
      </c>
      <c r="F486" s="18">
        <v>928</v>
      </c>
      <c r="G486" s="18"/>
    </row>
    <row r="487" spans="2:7" x14ac:dyDescent="0.3">
      <c r="B487" s="18" t="s">
        <v>8</v>
      </c>
      <c r="C487" s="18" t="s">
        <v>167</v>
      </c>
      <c r="D487" s="18" t="s">
        <v>168</v>
      </c>
      <c r="E487" s="18">
        <v>2</v>
      </c>
      <c r="F487" s="18">
        <v>928</v>
      </c>
      <c r="G487" s="18">
        <v>935</v>
      </c>
    </row>
    <row r="488" spans="2:7" x14ac:dyDescent="0.3">
      <c r="B488" s="18" t="s">
        <v>8</v>
      </c>
      <c r="C488" s="18" t="s">
        <v>7675</v>
      </c>
      <c r="D488" s="18" t="s">
        <v>7676</v>
      </c>
      <c r="E488" s="18">
        <v>880</v>
      </c>
      <c r="F488" s="18">
        <v>928</v>
      </c>
      <c r="G488" s="18">
        <v>936</v>
      </c>
    </row>
    <row r="489" spans="2:7" x14ac:dyDescent="0.3">
      <c r="B489" s="18" t="s">
        <v>8</v>
      </c>
      <c r="C489" s="18" t="s">
        <v>7675</v>
      </c>
      <c r="D489" s="18" t="s">
        <v>7677</v>
      </c>
      <c r="E489" s="18">
        <v>1048</v>
      </c>
      <c r="F489" s="18">
        <v>928</v>
      </c>
      <c r="G489" s="18">
        <v>936</v>
      </c>
    </row>
    <row r="490" spans="2:7" x14ac:dyDescent="0.3">
      <c r="B490" s="18" t="s">
        <v>8</v>
      </c>
      <c r="C490" s="18" t="s">
        <v>7678</v>
      </c>
      <c r="D490" s="18" t="s">
        <v>7679</v>
      </c>
      <c r="E490" s="18">
        <v>395</v>
      </c>
      <c r="F490" s="18">
        <v>928</v>
      </c>
      <c r="G490" s="18">
        <v>938</v>
      </c>
    </row>
    <row r="491" spans="2:7" x14ac:dyDescent="0.3">
      <c r="B491" s="18" t="s">
        <v>8</v>
      </c>
      <c r="C491" s="18" t="s">
        <v>604</v>
      </c>
      <c r="D491" s="18" t="s">
        <v>7680</v>
      </c>
      <c r="E491" s="18">
        <v>1591</v>
      </c>
      <c r="F491" s="18">
        <v>928</v>
      </c>
      <c r="G491" s="18">
        <v>958</v>
      </c>
    </row>
    <row r="492" spans="2:7" x14ac:dyDescent="0.3">
      <c r="B492" s="18" t="s">
        <v>8</v>
      </c>
      <c r="C492" s="18" t="s">
        <v>604</v>
      </c>
      <c r="D492" s="18" t="s">
        <v>7681</v>
      </c>
      <c r="E492" s="18">
        <v>201055</v>
      </c>
      <c r="F492" s="18">
        <v>928</v>
      </c>
      <c r="G492" s="18">
        <v>958</v>
      </c>
    </row>
    <row r="493" spans="2:7" x14ac:dyDescent="0.3">
      <c r="B493" s="18" t="s">
        <v>8</v>
      </c>
      <c r="C493" s="18" t="s">
        <v>604</v>
      </c>
      <c r="D493" s="18" t="s">
        <v>605</v>
      </c>
      <c r="E493" s="18">
        <v>1525</v>
      </c>
      <c r="F493" s="18">
        <v>928</v>
      </c>
      <c r="G493" s="18">
        <v>958</v>
      </c>
    </row>
    <row r="494" spans="2:7" x14ac:dyDescent="0.3">
      <c r="B494" s="18" t="s">
        <v>8</v>
      </c>
      <c r="C494" s="18" t="s">
        <v>604</v>
      </c>
      <c r="D494" s="18" t="s">
        <v>7682</v>
      </c>
      <c r="E494" s="18">
        <v>200985</v>
      </c>
      <c r="F494" s="18">
        <v>928</v>
      </c>
      <c r="G494" s="18">
        <v>958</v>
      </c>
    </row>
    <row r="495" spans="2:7" x14ac:dyDescent="0.3">
      <c r="B495" s="18" t="s">
        <v>8</v>
      </c>
      <c r="C495" s="18" t="s">
        <v>604</v>
      </c>
      <c r="D495" s="18" t="s">
        <v>7683</v>
      </c>
      <c r="E495" s="18">
        <v>200932</v>
      </c>
      <c r="F495" s="18">
        <v>928</v>
      </c>
      <c r="G495" s="18">
        <v>958</v>
      </c>
    </row>
    <row r="496" spans="2:7" x14ac:dyDescent="0.3">
      <c r="B496" s="18" t="s">
        <v>8</v>
      </c>
      <c r="C496" s="18" t="s">
        <v>604</v>
      </c>
      <c r="D496" s="18" t="s">
        <v>7684</v>
      </c>
      <c r="E496" s="18">
        <v>201092</v>
      </c>
      <c r="F496" s="18">
        <v>928</v>
      </c>
      <c r="G496" s="18">
        <v>958</v>
      </c>
    </row>
    <row r="497" spans="2:7" x14ac:dyDescent="0.3">
      <c r="B497" s="18" t="s">
        <v>8</v>
      </c>
      <c r="C497" s="18" t="s">
        <v>604</v>
      </c>
      <c r="D497" s="18" t="s">
        <v>7685</v>
      </c>
      <c r="E497" s="18">
        <v>201026</v>
      </c>
      <c r="F497" s="18">
        <v>928</v>
      </c>
      <c r="G497" s="18">
        <v>958</v>
      </c>
    </row>
    <row r="498" spans="2:7" x14ac:dyDescent="0.3">
      <c r="B498" s="18" t="s">
        <v>8</v>
      </c>
      <c r="C498" s="18" t="s">
        <v>83</v>
      </c>
      <c r="D498" s="18" t="s">
        <v>84</v>
      </c>
      <c r="E498" s="18">
        <v>1632</v>
      </c>
      <c r="F498" s="18">
        <v>928</v>
      </c>
      <c r="G498" s="18">
        <v>960</v>
      </c>
    </row>
    <row r="499" spans="2:7" x14ac:dyDescent="0.3">
      <c r="B499" s="18" t="s">
        <v>8</v>
      </c>
      <c r="C499" s="18" t="s">
        <v>83</v>
      </c>
      <c r="D499" s="18" t="s">
        <v>7686</v>
      </c>
      <c r="E499" s="18">
        <v>200976</v>
      </c>
      <c r="F499" s="18">
        <v>928</v>
      </c>
      <c r="G499" s="18">
        <v>960</v>
      </c>
    </row>
    <row r="500" spans="2:7" x14ac:dyDescent="0.3">
      <c r="B500" s="18" t="s">
        <v>8</v>
      </c>
      <c r="C500" s="18" t="s">
        <v>83</v>
      </c>
      <c r="D500" s="18" t="s">
        <v>7687</v>
      </c>
      <c r="E500" s="18">
        <v>200931</v>
      </c>
      <c r="F500" s="18">
        <v>928</v>
      </c>
      <c r="G500" s="18">
        <v>960</v>
      </c>
    </row>
    <row r="501" spans="2:7" x14ac:dyDescent="0.3">
      <c r="B501" s="18" t="s">
        <v>8</v>
      </c>
      <c r="C501" s="18" t="s">
        <v>223</v>
      </c>
      <c r="D501" s="18" t="s">
        <v>7688</v>
      </c>
      <c r="E501" s="18">
        <v>1617</v>
      </c>
      <c r="F501" s="18">
        <v>928</v>
      </c>
      <c r="G501" s="18">
        <v>966</v>
      </c>
    </row>
    <row r="502" spans="2:7" x14ac:dyDescent="0.3">
      <c r="B502" s="18" t="s">
        <v>8</v>
      </c>
      <c r="C502" s="18" t="s">
        <v>223</v>
      </c>
      <c r="D502" s="18" t="s">
        <v>224</v>
      </c>
      <c r="E502" s="18">
        <v>201008</v>
      </c>
      <c r="F502" s="18">
        <v>928</v>
      </c>
      <c r="G502" s="18">
        <v>966</v>
      </c>
    </row>
    <row r="503" spans="2:7" x14ac:dyDescent="0.3">
      <c r="B503" s="18" t="s">
        <v>8</v>
      </c>
      <c r="C503" s="18" t="s">
        <v>223</v>
      </c>
      <c r="D503" s="18" t="s">
        <v>7689</v>
      </c>
      <c r="E503" s="18">
        <v>1625</v>
      </c>
      <c r="F503" s="18">
        <v>928</v>
      </c>
      <c r="G503" s="18">
        <v>966</v>
      </c>
    </row>
    <row r="504" spans="2:7" x14ac:dyDescent="0.3">
      <c r="B504" s="18" t="s">
        <v>8</v>
      </c>
      <c r="C504" s="18" t="s">
        <v>223</v>
      </c>
      <c r="D504" s="18" t="s">
        <v>1261</v>
      </c>
      <c r="E504" s="18">
        <v>1659</v>
      </c>
      <c r="F504" s="18">
        <v>928</v>
      </c>
      <c r="G504" s="18">
        <v>966</v>
      </c>
    </row>
    <row r="505" spans="2:7" x14ac:dyDescent="0.3">
      <c r="B505" s="18" t="s">
        <v>8</v>
      </c>
      <c r="C505" s="18" t="s">
        <v>223</v>
      </c>
      <c r="D505" s="18" t="s">
        <v>269</v>
      </c>
      <c r="E505" s="18">
        <v>201031</v>
      </c>
      <c r="F505" s="18">
        <v>928</v>
      </c>
      <c r="G505" s="18">
        <v>966</v>
      </c>
    </row>
    <row r="506" spans="2:7" x14ac:dyDescent="0.3">
      <c r="B506" s="18" t="s">
        <v>8</v>
      </c>
      <c r="C506" s="18" t="s">
        <v>223</v>
      </c>
      <c r="D506" s="18" t="s">
        <v>7690</v>
      </c>
      <c r="E506" s="18">
        <v>201033</v>
      </c>
      <c r="F506" s="18">
        <v>928</v>
      </c>
      <c r="G506" s="18">
        <v>966</v>
      </c>
    </row>
    <row r="507" spans="2:7" x14ac:dyDescent="0.3">
      <c r="B507" s="18" t="s">
        <v>8</v>
      </c>
      <c r="C507" s="18" t="s">
        <v>223</v>
      </c>
      <c r="D507" s="18" t="s">
        <v>986</v>
      </c>
      <c r="E507" s="18">
        <v>201098</v>
      </c>
      <c r="F507" s="18">
        <v>928</v>
      </c>
      <c r="G507" s="18">
        <v>966</v>
      </c>
    </row>
    <row r="508" spans="2:7" x14ac:dyDescent="0.3">
      <c r="B508" s="18" t="s">
        <v>8</v>
      </c>
      <c r="C508" s="18" t="s">
        <v>223</v>
      </c>
      <c r="D508" s="18" t="s">
        <v>612</v>
      </c>
      <c r="E508" s="18">
        <v>201129</v>
      </c>
      <c r="F508" s="18">
        <v>928</v>
      </c>
      <c r="G508" s="18">
        <v>966</v>
      </c>
    </row>
    <row r="509" spans="2:7" x14ac:dyDescent="0.3">
      <c r="B509" s="18" t="s">
        <v>8</v>
      </c>
      <c r="C509" s="18" t="s">
        <v>13</v>
      </c>
      <c r="D509" s="18" t="s">
        <v>59</v>
      </c>
      <c r="E509" s="18">
        <v>9</v>
      </c>
      <c r="F509" s="18">
        <v>928</v>
      </c>
      <c r="G509" s="18">
        <v>1184</v>
      </c>
    </row>
    <row r="510" spans="2:7" x14ac:dyDescent="0.3">
      <c r="B510" s="18" t="s">
        <v>8</v>
      </c>
      <c r="C510" s="18" t="s">
        <v>13</v>
      </c>
      <c r="D510" s="18" t="s">
        <v>7691</v>
      </c>
      <c r="E510" s="18">
        <v>201123</v>
      </c>
      <c r="F510" s="18">
        <v>928</v>
      </c>
      <c r="G510" s="18">
        <v>1184</v>
      </c>
    </row>
    <row r="511" spans="2:7" x14ac:dyDescent="0.3">
      <c r="B511" s="18" t="s">
        <v>8</v>
      </c>
      <c r="C511" s="18" t="s">
        <v>13</v>
      </c>
      <c r="D511" s="18" t="s">
        <v>51</v>
      </c>
      <c r="E511" s="18">
        <v>1274</v>
      </c>
      <c r="F511" s="18">
        <v>928</v>
      </c>
      <c r="G511" s="18">
        <v>1184</v>
      </c>
    </row>
    <row r="512" spans="2:7" x14ac:dyDescent="0.3">
      <c r="B512" s="18" t="s">
        <v>8</v>
      </c>
      <c r="C512" s="18" t="s">
        <v>13</v>
      </c>
      <c r="D512" s="18" t="s">
        <v>127</v>
      </c>
      <c r="E512" s="18">
        <v>201029</v>
      </c>
      <c r="F512" s="18">
        <v>928</v>
      </c>
      <c r="G512" s="18">
        <v>1184</v>
      </c>
    </row>
    <row r="513" spans="2:7" x14ac:dyDescent="0.3">
      <c r="B513" s="18" t="s">
        <v>8</v>
      </c>
      <c r="C513" s="18" t="s">
        <v>13</v>
      </c>
      <c r="D513" s="18" t="s">
        <v>7692</v>
      </c>
      <c r="E513" s="18">
        <v>201041</v>
      </c>
      <c r="F513" s="18">
        <v>928</v>
      </c>
      <c r="G513" s="18">
        <v>1184</v>
      </c>
    </row>
    <row r="514" spans="2:7" x14ac:dyDescent="0.3">
      <c r="B514" s="18" t="s">
        <v>8</v>
      </c>
      <c r="C514" s="18" t="s">
        <v>13</v>
      </c>
      <c r="D514" s="18" t="s">
        <v>102</v>
      </c>
      <c r="E514" s="18">
        <v>917</v>
      </c>
      <c r="F514" s="18">
        <v>928</v>
      </c>
      <c r="G514" s="18">
        <v>1184</v>
      </c>
    </row>
    <row r="515" spans="2:7" x14ac:dyDescent="0.3">
      <c r="B515" s="18" t="s">
        <v>8</v>
      </c>
      <c r="C515" s="18" t="s">
        <v>13</v>
      </c>
      <c r="D515" s="18" t="s">
        <v>7693</v>
      </c>
      <c r="E515" s="18">
        <v>201039</v>
      </c>
      <c r="F515" s="18">
        <v>928</v>
      </c>
      <c r="G515" s="18">
        <v>1184</v>
      </c>
    </row>
    <row r="516" spans="2:7" x14ac:dyDescent="0.3">
      <c r="B516" s="18" t="s">
        <v>8</v>
      </c>
      <c r="C516" s="18" t="s">
        <v>13</v>
      </c>
      <c r="D516" s="18" t="s">
        <v>115</v>
      </c>
      <c r="E516" s="18">
        <v>1548</v>
      </c>
      <c r="F516" s="18">
        <v>928</v>
      </c>
      <c r="G516" s="18">
        <v>1184</v>
      </c>
    </row>
    <row r="517" spans="2:7" x14ac:dyDescent="0.3">
      <c r="B517" s="18" t="s">
        <v>8</v>
      </c>
      <c r="C517" s="18" t="s">
        <v>13</v>
      </c>
      <c r="D517" s="18" t="s">
        <v>7694</v>
      </c>
      <c r="E517" s="18">
        <v>200981</v>
      </c>
      <c r="F517" s="18">
        <v>928</v>
      </c>
      <c r="G517" s="18">
        <v>1184</v>
      </c>
    </row>
    <row r="518" spans="2:7" x14ac:dyDescent="0.3">
      <c r="B518" s="18" t="s">
        <v>8</v>
      </c>
      <c r="C518" s="18" t="s">
        <v>13</v>
      </c>
      <c r="D518" s="18" t="s">
        <v>217</v>
      </c>
      <c r="E518" s="18">
        <v>201027</v>
      </c>
      <c r="F518" s="18">
        <v>928</v>
      </c>
      <c r="G518" s="18">
        <v>1184</v>
      </c>
    </row>
    <row r="519" spans="2:7" x14ac:dyDescent="0.3">
      <c r="B519" s="18" t="s">
        <v>8</v>
      </c>
      <c r="C519" s="18" t="s">
        <v>13</v>
      </c>
      <c r="D519" s="18" t="s">
        <v>118</v>
      </c>
      <c r="E519" s="18">
        <v>201004</v>
      </c>
      <c r="F519" s="18">
        <v>928</v>
      </c>
      <c r="G519" s="18">
        <v>1184</v>
      </c>
    </row>
    <row r="520" spans="2:7" x14ac:dyDescent="0.3">
      <c r="B520" s="18" t="s">
        <v>8</v>
      </c>
      <c r="C520" s="18" t="s">
        <v>13</v>
      </c>
      <c r="D520" s="18" t="s">
        <v>7695</v>
      </c>
      <c r="E520" s="18">
        <v>201111</v>
      </c>
      <c r="F520" s="18">
        <v>928</v>
      </c>
      <c r="G520" s="18">
        <v>1184</v>
      </c>
    </row>
    <row r="521" spans="2:7" x14ac:dyDescent="0.3">
      <c r="B521" s="18" t="s">
        <v>8</v>
      </c>
      <c r="C521" s="18" t="s">
        <v>13</v>
      </c>
      <c r="D521" s="18" t="s">
        <v>7696</v>
      </c>
      <c r="E521" s="18">
        <v>915</v>
      </c>
      <c r="F521" s="18">
        <v>928</v>
      </c>
      <c r="G521" s="18">
        <v>1184</v>
      </c>
    </row>
    <row r="522" spans="2:7" x14ac:dyDescent="0.3">
      <c r="B522" s="18" t="s">
        <v>8</v>
      </c>
      <c r="C522" s="18" t="s">
        <v>13</v>
      </c>
      <c r="D522" s="18" t="s">
        <v>7697</v>
      </c>
      <c r="E522" s="18">
        <v>201042</v>
      </c>
      <c r="F522" s="18">
        <v>928</v>
      </c>
      <c r="G522" s="18">
        <v>1184</v>
      </c>
    </row>
    <row r="523" spans="2:7" x14ac:dyDescent="0.3">
      <c r="B523" s="18" t="s">
        <v>8</v>
      </c>
      <c r="C523" s="18" t="s">
        <v>13</v>
      </c>
      <c r="D523" s="18" t="s">
        <v>7698</v>
      </c>
      <c r="E523" s="18">
        <v>1639</v>
      </c>
      <c r="F523" s="18">
        <v>928</v>
      </c>
      <c r="G523" s="18">
        <v>1184</v>
      </c>
    </row>
    <row r="524" spans="2:7" x14ac:dyDescent="0.3">
      <c r="B524" s="18" t="s">
        <v>8</v>
      </c>
      <c r="C524" s="18" t="s">
        <v>13</v>
      </c>
      <c r="D524" s="18" t="s">
        <v>7699</v>
      </c>
      <c r="E524" s="18">
        <v>1443</v>
      </c>
      <c r="F524" s="18">
        <v>928</v>
      </c>
      <c r="G524" s="18">
        <v>1184</v>
      </c>
    </row>
    <row r="525" spans="2:7" x14ac:dyDescent="0.3">
      <c r="B525" s="18" t="s">
        <v>8</v>
      </c>
      <c r="C525" s="18" t="s">
        <v>13</v>
      </c>
      <c r="D525" s="18" t="s">
        <v>810</v>
      </c>
      <c r="E525" s="18">
        <v>201100</v>
      </c>
      <c r="F525" s="18">
        <v>928</v>
      </c>
      <c r="G525" s="18">
        <v>1184</v>
      </c>
    </row>
    <row r="526" spans="2:7" x14ac:dyDescent="0.3">
      <c r="B526" s="18" t="s">
        <v>8</v>
      </c>
      <c r="C526" s="18" t="s">
        <v>13</v>
      </c>
      <c r="D526" s="18" t="s">
        <v>7700</v>
      </c>
      <c r="E526" s="18">
        <v>201091</v>
      </c>
      <c r="F526" s="18">
        <v>928</v>
      </c>
      <c r="G526" s="18">
        <v>1184</v>
      </c>
    </row>
    <row r="527" spans="2:7" x14ac:dyDescent="0.3">
      <c r="B527" s="18" t="s">
        <v>8</v>
      </c>
      <c r="C527" s="18" t="s">
        <v>13</v>
      </c>
      <c r="D527" s="18" t="s">
        <v>7701</v>
      </c>
      <c r="E527" s="18">
        <v>201077</v>
      </c>
      <c r="F527" s="18">
        <v>928</v>
      </c>
      <c r="G527" s="18">
        <v>1184</v>
      </c>
    </row>
    <row r="528" spans="2:7" x14ac:dyDescent="0.3">
      <c r="B528" s="18" t="s">
        <v>8</v>
      </c>
      <c r="C528" s="18" t="s">
        <v>13</v>
      </c>
      <c r="D528" s="18" t="s">
        <v>7702</v>
      </c>
      <c r="E528" s="18">
        <v>200990</v>
      </c>
      <c r="F528" s="18">
        <v>928</v>
      </c>
      <c r="G528" s="18">
        <v>1184</v>
      </c>
    </row>
    <row r="529" spans="2:7" x14ac:dyDescent="0.3">
      <c r="B529" s="18" t="s">
        <v>8</v>
      </c>
      <c r="C529" s="18" t="s">
        <v>13</v>
      </c>
      <c r="D529" s="18" t="s">
        <v>7703</v>
      </c>
      <c r="E529" s="18">
        <v>201110</v>
      </c>
      <c r="F529" s="18">
        <v>928</v>
      </c>
      <c r="G529" s="18">
        <v>1184</v>
      </c>
    </row>
    <row r="530" spans="2:7" x14ac:dyDescent="0.3">
      <c r="B530" s="18" t="s">
        <v>8</v>
      </c>
      <c r="C530" s="18" t="s">
        <v>13</v>
      </c>
      <c r="D530" s="18" t="s">
        <v>374</v>
      </c>
      <c r="E530" s="18">
        <v>201022</v>
      </c>
      <c r="F530" s="18">
        <v>928</v>
      </c>
      <c r="G530" s="18">
        <v>1184</v>
      </c>
    </row>
    <row r="531" spans="2:7" x14ac:dyDescent="0.3">
      <c r="B531" s="18" t="s">
        <v>8</v>
      </c>
      <c r="C531" s="18" t="s">
        <v>13</v>
      </c>
      <c r="D531" s="18" t="s">
        <v>14</v>
      </c>
      <c r="E531" s="18">
        <v>914</v>
      </c>
      <c r="F531" s="18">
        <v>928</v>
      </c>
      <c r="G531" s="18">
        <v>1184</v>
      </c>
    </row>
    <row r="532" spans="2:7" x14ac:dyDescent="0.3">
      <c r="B532" s="18" t="s">
        <v>8</v>
      </c>
      <c r="C532" s="18" t="s">
        <v>13</v>
      </c>
      <c r="D532" s="18" t="s">
        <v>7704</v>
      </c>
      <c r="E532" s="18">
        <v>201082</v>
      </c>
      <c r="F532" s="18">
        <v>928</v>
      </c>
      <c r="G532" s="18">
        <v>1184</v>
      </c>
    </row>
    <row r="533" spans="2:7" x14ac:dyDescent="0.3">
      <c r="B533" s="18" t="s">
        <v>8</v>
      </c>
      <c r="C533" s="18" t="s">
        <v>13</v>
      </c>
      <c r="D533" s="18" t="s">
        <v>661</v>
      </c>
      <c r="E533" s="18">
        <v>200969</v>
      </c>
      <c r="F533" s="18">
        <v>928</v>
      </c>
      <c r="G533" s="18">
        <v>1184</v>
      </c>
    </row>
    <row r="534" spans="2:7" x14ac:dyDescent="0.3">
      <c r="B534" s="18" t="s">
        <v>8</v>
      </c>
      <c r="C534" s="18" t="s">
        <v>13</v>
      </c>
      <c r="D534" s="18" t="s">
        <v>1088</v>
      </c>
      <c r="E534" s="18">
        <v>201047</v>
      </c>
      <c r="F534" s="18">
        <v>928</v>
      </c>
      <c r="G534" s="18">
        <v>1184</v>
      </c>
    </row>
    <row r="535" spans="2:7" x14ac:dyDescent="0.3">
      <c r="B535" s="18" t="s">
        <v>8</v>
      </c>
      <c r="C535" s="18" t="s">
        <v>13</v>
      </c>
      <c r="D535" s="18" t="s">
        <v>7705</v>
      </c>
      <c r="E535" s="18">
        <v>201054</v>
      </c>
      <c r="F535" s="18">
        <v>928</v>
      </c>
      <c r="G535" s="18">
        <v>1184</v>
      </c>
    </row>
    <row r="536" spans="2:7" x14ac:dyDescent="0.3">
      <c r="B536" s="18" t="s">
        <v>8</v>
      </c>
      <c r="C536" s="18" t="s">
        <v>13</v>
      </c>
      <c r="D536" s="18" t="s">
        <v>7706</v>
      </c>
      <c r="E536" s="18">
        <v>201101</v>
      </c>
      <c r="F536" s="18">
        <v>928</v>
      </c>
      <c r="G536" s="18">
        <v>1184</v>
      </c>
    </row>
    <row r="537" spans="2:7" x14ac:dyDescent="0.3">
      <c r="B537" s="18" t="s">
        <v>8</v>
      </c>
      <c r="C537" s="18" t="s">
        <v>13</v>
      </c>
      <c r="D537" s="18" t="s">
        <v>7707</v>
      </c>
      <c r="E537" s="18">
        <v>201016</v>
      </c>
      <c r="F537" s="18">
        <v>928</v>
      </c>
      <c r="G537" s="18">
        <v>1184</v>
      </c>
    </row>
    <row r="538" spans="2:7" x14ac:dyDescent="0.3">
      <c r="B538" s="18" t="s">
        <v>8</v>
      </c>
      <c r="C538" s="18" t="s">
        <v>13</v>
      </c>
      <c r="D538" s="18" t="s">
        <v>7708</v>
      </c>
      <c r="E538" s="18">
        <v>200957</v>
      </c>
      <c r="F538" s="18">
        <v>928</v>
      </c>
      <c r="G538" s="18">
        <v>1184</v>
      </c>
    </row>
    <row r="539" spans="2:7" x14ac:dyDescent="0.3">
      <c r="B539" s="18" t="s">
        <v>8</v>
      </c>
      <c r="C539" s="18" t="s">
        <v>13</v>
      </c>
      <c r="D539" s="18" t="s">
        <v>335</v>
      </c>
      <c r="E539" s="18">
        <v>201090</v>
      </c>
      <c r="F539" s="18">
        <v>928</v>
      </c>
      <c r="G539" s="18">
        <v>1184</v>
      </c>
    </row>
    <row r="540" spans="2:7" x14ac:dyDescent="0.3">
      <c r="B540" s="18" t="s">
        <v>8</v>
      </c>
      <c r="C540" s="18" t="s">
        <v>13</v>
      </c>
      <c r="D540" s="18" t="s">
        <v>7709</v>
      </c>
      <c r="E540" s="18">
        <v>200939</v>
      </c>
      <c r="F540" s="18">
        <v>928</v>
      </c>
      <c r="G540" s="18">
        <v>1184</v>
      </c>
    </row>
    <row r="541" spans="2:7" x14ac:dyDescent="0.3">
      <c r="B541" s="18" t="s">
        <v>8</v>
      </c>
      <c r="C541" s="18" t="s">
        <v>9</v>
      </c>
      <c r="D541" s="18" t="s">
        <v>35</v>
      </c>
      <c r="E541" s="18">
        <v>51</v>
      </c>
      <c r="F541" s="18">
        <v>928</v>
      </c>
      <c r="G541" s="18">
        <v>1202</v>
      </c>
    </row>
    <row r="542" spans="2:7" x14ac:dyDescent="0.3">
      <c r="B542" s="18" t="s">
        <v>8</v>
      </c>
      <c r="C542" s="18" t="s">
        <v>9</v>
      </c>
      <c r="D542" s="18" t="s">
        <v>10</v>
      </c>
      <c r="E542" s="18">
        <v>939</v>
      </c>
      <c r="F542" s="18">
        <v>928</v>
      </c>
      <c r="G542" s="18">
        <v>1202</v>
      </c>
    </row>
    <row r="543" spans="2:7" x14ac:dyDescent="0.3">
      <c r="B543" s="18" t="s">
        <v>8</v>
      </c>
      <c r="C543" s="18" t="s">
        <v>9</v>
      </c>
      <c r="D543" s="18" t="s">
        <v>47</v>
      </c>
      <c r="E543" s="18">
        <v>898</v>
      </c>
      <c r="F543" s="18">
        <v>928</v>
      </c>
      <c r="G543" s="18">
        <v>1202</v>
      </c>
    </row>
    <row r="544" spans="2:7" x14ac:dyDescent="0.3">
      <c r="B544" s="18" t="s">
        <v>8</v>
      </c>
      <c r="C544" s="18" t="s">
        <v>9</v>
      </c>
      <c r="D544" s="18" t="s">
        <v>110</v>
      </c>
      <c r="E544" s="18">
        <v>929</v>
      </c>
      <c r="F544" s="18">
        <v>928</v>
      </c>
      <c r="G544" s="18">
        <v>1202</v>
      </c>
    </row>
    <row r="545" spans="2:7" x14ac:dyDescent="0.3">
      <c r="B545" s="18" t="s">
        <v>8</v>
      </c>
      <c r="C545" s="18" t="s">
        <v>9</v>
      </c>
      <c r="D545" s="18" t="s">
        <v>477</v>
      </c>
      <c r="E545" s="18">
        <v>201112</v>
      </c>
      <c r="F545" s="18">
        <v>928</v>
      </c>
      <c r="G545" s="18">
        <v>1202</v>
      </c>
    </row>
    <row r="546" spans="2:7" x14ac:dyDescent="0.3">
      <c r="B546" s="18" t="s">
        <v>8</v>
      </c>
      <c r="C546" s="18" t="s">
        <v>9</v>
      </c>
      <c r="D546" s="18" t="s">
        <v>31</v>
      </c>
      <c r="E546" s="18">
        <v>1040</v>
      </c>
      <c r="F546" s="18">
        <v>928</v>
      </c>
      <c r="G546" s="18">
        <v>1202</v>
      </c>
    </row>
    <row r="547" spans="2:7" x14ac:dyDescent="0.3">
      <c r="B547" s="18" t="s">
        <v>8</v>
      </c>
      <c r="C547" s="18" t="s">
        <v>9</v>
      </c>
      <c r="D547" s="18" t="s">
        <v>37</v>
      </c>
      <c r="E547" s="18">
        <v>81</v>
      </c>
      <c r="F547" s="18">
        <v>928</v>
      </c>
      <c r="G547" s="18">
        <v>1202</v>
      </c>
    </row>
    <row r="548" spans="2:7" x14ac:dyDescent="0.3">
      <c r="B548" s="18" t="s">
        <v>8</v>
      </c>
      <c r="C548" s="18" t="s">
        <v>9</v>
      </c>
      <c r="D548" s="18" t="s">
        <v>142</v>
      </c>
      <c r="E548" s="18">
        <v>652</v>
      </c>
      <c r="F548" s="18">
        <v>928</v>
      </c>
      <c r="G548" s="18">
        <v>1202</v>
      </c>
    </row>
    <row r="549" spans="2:7" x14ac:dyDescent="0.3">
      <c r="B549" s="18" t="s">
        <v>8</v>
      </c>
      <c r="C549" s="18" t="s">
        <v>9</v>
      </c>
      <c r="D549" s="18" t="s">
        <v>45</v>
      </c>
      <c r="E549" s="18">
        <v>26</v>
      </c>
      <c r="F549" s="18">
        <v>928</v>
      </c>
      <c r="G549" s="18">
        <v>1202</v>
      </c>
    </row>
    <row r="550" spans="2:7" x14ac:dyDescent="0.3">
      <c r="B550" s="18" t="s">
        <v>8</v>
      </c>
      <c r="C550" s="18" t="s">
        <v>9</v>
      </c>
      <c r="D550" s="18" t="s">
        <v>75</v>
      </c>
      <c r="E550" s="18">
        <v>50</v>
      </c>
      <c r="F550" s="18">
        <v>928</v>
      </c>
      <c r="G550" s="18">
        <v>1202</v>
      </c>
    </row>
    <row r="551" spans="2:7" x14ac:dyDescent="0.3">
      <c r="B551" s="18" t="s">
        <v>8</v>
      </c>
      <c r="C551" s="18" t="s">
        <v>9</v>
      </c>
      <c r="D551" s="18" t="s">
        <v>391</v>
      </c>
      <c r="E551" s="18">
        <v>1216</v>
      </c>
      <c r="F551" s="18">
        <v>928</v>
      </c>
      <c r="G551" s="18">
        <v>1202</v>
      </c>
    </row>
    <row r="552" spans="2:7" x14ac:dyDescent="0.3">
      <c r="B552" s="18" t="s">
        <v>8</v>
      </c>
      <c r="C552" s="18" t="s">
        <v>9</v>
      </c>
      <c r="D552" s="18" t="s">
        <v>20</v>
      </c>
      <c r="E552" s="18">
        <v>938</v>
      </c>
      <c r="F552" s="18">
        <v>928</v>
      </c>
      <c r="G552" s="18">
        <v>1202</v>
      </c>
    </row>
    <row r="553" spans="2:7" x14ac:dyDescent="0.3">
      <c r="B553" s="18" t="s">
        <v>8</v>
      </c>
      <c r="C553" s="18" t="s">
        <v>9</v>
      </c>
      <c r="D553" s="18" t="s">
        <v>104</v>
      </c>
      <c r="E553" s="18">
        <v>201009</v>
      </c>
      <c r="F553" s="18">
        <v>928</v>
      </c>
      <c r="G553" s="18">
        <v>1202</v>
      </c>
    </row>
    <row r="554" spans="2:7" x14ac:dyDescent="0.3">
      <c r="B554" s="18" t="s">
        <v>8</v>
      </c>
      <c r="C554" s="18" t="s">
        <v>9</v>
      </c>
      <c r="D554" s="18" t="s">
        <v>310</v>
      </c>
      <c r="E554" s="18">
        <v>201113</v>
      </c>
      <c r="F554" s="18">
        <v>928</v>
      </c>
      <c r="G554" s="18">
        <v>1202</v>
      </c>
    </row>
    <row r="555" spans="2:7" x14ac:dyDescent="0.3">
      <c r="B555" s="18" t="s">
        <v>8</v>
      </c>
      <c r="C555" s="18" t="s">
        <v>9</v>
      </c>
      <c r="D555" s="18" t="s">
        <v>220</v>
      </c>
      <c r="E555" s="18">
        <v>1211</v>
      </c>
      <c r="F555" s="18">
        <v>928</v>
      </c>
      <c r="G555" s="18">
        <v>1202</v>
      </c>
    </row>
    <row r="556" spans="2:7" x14ac:dyDescent="0.3">
      <c r="B556" s="18" t="s">
        <v>8</v>
      </c>
      <c r="C556" s="18" t="s">
        <v>9</v>
      </c>
      <c r="D556" s="18" t="s">
        <v>33</v>
      </c>
      <c r="E556" s="18">
        <v>933</v>
      </c>
      <c r="F556" s="18">
        <v>928</v>
      </c>
      <c r="G556" s="18">
        <v>1202</v>
      </c>
    </row>
    <row r="557" spans="2:7" x14ac:dyDescent="0.3">
      <c r="B557" s="18" t="s">
        <v>8</v>
      </c>
      <c r="C557" s="18" t="s">
        <v>9</v>
      </c>
      <c r="D557" s="18" t="s">
        <v>39</v>
      </c>
      <c r="E557" s="18">
        <v>25</v>
      </c>
      <c r="F557" s="18">
        <v>928</v>
      </c>
      <c r="G557" s="18">
        <v>1202</v>
      </c>
    </row>
    <row r="558" spans="2:7" x14ac:dyDescent="0.3">
      <c r="B558" s="18" t="s">
        <v>8</v>
      </c>
      <c r="C558" s="18" t="s">
        <v>9</v>
      </c>
      <c r="D558" s="18" t="s">
        <v>122</v>
      </c>
      <c r="E558" s="18">
        <v>251</v>
      </c>
      <c r="F558" s="18">
        <v>928</v>
      </c>
      <c r="G558" s="18">
        <v>1202</v>
      </c>
    </row>
    <row r="559" spans="2:7" x14ac:dyDescent="0.3">
      <c r="B559" s="18" t="s">
        <v>8</v>
      </c>
      <c r="C559" s="18" t="s">
        <v>9</v>
      </c>
      <c r="D559" s="18" t="s">
        <v>73</v>
      </c>
      <c r="E559" s="18">
        <v>895</v>
      </c>
      <c r="F559" s="18">
        <v>928</v>
      </c>
      <c r="G559" s="18">
        <v>1202</v>
      </c>
    </row>
    <row r="560" spans="2:7" x14ac:dyDescent="0.3">
      <c r="B560" s="18" t="s">
        <v>8</v>
      </c>
      <c r="C560" s="18" t="s">
        <v>9</v>
      </c>
      <c r="D560" s="18" t="s">
        <v>27</v>
      </c>
      <c r="E560" s="18">
        <v>806</v>
      </c>
      <c r="F560" s="18">
        <v>928</v>
      </c>
      <c r="G560" s="18">
        <v>1202</v>
      </c>
    </row>
    <row r="561" spans="2:7" x14ac:dyDescent="0.3">
      <c r="B561" s="18" t="s">
        <v>8</v>
      </c>
      <c r="C561" s="18" t="s">
        <v>7710</v>
      </c>
      <c r="D561" s="18" t="s">
        <v>7711</v>
      </c>
      <c r="E561" s="18">
        <v>201044</v>
      </c>
      <c r="F561" s="18">
        <v>928</v>
      </c>
      <c r="G561" s="18">
        <v>1215</v>
      </c>
    </row>
    <row r="562" spans="2:7" x14ac:dyDescent="0.3">
      <c r="B562" s="18" t="s">
        <v>7712</v>
      </c>
      <c r="C562" s="18"/>
      <c r="D562" s="18" t="s">
        <v>7713</v>
      </c>
      <c r="E562" s="18">
        <v>339</v>
      </c>
      <c r="F562" s="18">
        <v>929</v>
      </c>
      <c r="G562" s="18"/>
    </row>
    <row r="563" spans="2:7" x14ac:dyDescent="0.3">
      <c r="B563" s="18" t="s">
        <v>7712</v>
      </c>
      <c r="C563" s="18"/>
      <c r="D563" s="18" t="s">
        <v>7714</v>
      </c>
      <c r="E563" s="18">
        <v>338</v>
      </c>
      <c r="F563" s="18">
        <v>929</v>
      </c>
      <c r="G563" s="18"/>
    </row>
    <row r="564" spans="2:7" x14ac:dyDescent="0.3">
      <c r="B564" s="18" t="s">
        <v>7712</v>
      </c>
      <c r="C564" s="18" t="s">
        <v>7715</v>
      </c>
      <c r="D564" s="18" t="s">
        <v>7716</v>
      </c>
      <c r="E564" s="18">
        <v>1196</v>
      </c>
      <c r="F564" s="18">
        <v>929</v>
      </c>
      <c r="G564" s="18">
        <v>1327</v>
      </c>
    </row>
    <row r="565" spans="2:7" x14ac:dyDescent="0.3">
      <c r="B565" s="18" t="s">
        <v>7712</v>
      </c>
      <c r="C565" s="18" t="s">
        <v>7715</v>
      </c>
      <c r="D565" s="18" t="s">
        <v>7717</v>
      </c>
      <c r="E565" s="18">
        <v>591</v>
      </c>
      <c r="F565" s="18">
        <v>929</v>
      </c>
      <c r="G565" s="18">
        <v>1327</v>
      </c>
    </row>
    <row r="566" spans="2:7" x14ac:dyDescent="0.3">
      <c r="B566" s="18" t="s">
        <v>7712</v>
      </c>
      <c r="C566" s="18" t="s">
        <v>7715</v>
      </c>
      <c r="D566" s="18" t="s">
        <v>7718</v>
      </c>
      <c r="E566" s="18">
        <v>39</v>
      </c>
      <c r="F566" s="18">
        <v>929</v>
      </c>
      <c r="G566" s="18">
        <v>1327</v>
      </c>
    </row>
    <row r="567" spans="2:7" x14ac:dyDescent="0.3">
      <c r="B567" s="18" t="s">
        <v>7712</v>
      </c>
      <c r="C567" s="18" t="s">
        <v>7715</v>
      </c>
      <c r="D567" s="18" t="s">
        <v>7719</v>
      </c>
      <c r="E567" s="18">
        <v>913</v>
      </c>
      <c r="F567" s="18">
        <v>929</v>
      </c>
      <c r="G567" s="18">
        <v>1327</v>
      </c>
    </row>
    <row r="568" spans="2:7" x14ac:dyDescent="0.3">
      <c r="B568" s="18" t="s">
        <v>7712</v>
      </c>
      <c r="C568" s="18" t="s">
        <v>7715</v>
      </c>
      <c r="D568" s="18" t="s">
        <v>7720</v>
      </c>
      <c r="E568" s="18">
        <v>611</v>
      </c>
      <c r="F568" s="18">
        <v>929</v>
      </c>
      <c r="G568" s="18">
        <v>1327</v>
      </c>
    </row>
    <row r="569" spans="2:7" x14ac:dyDescent="0.3">
      <c r="B569" s="18" t="s">
        <v>7712</v>
      </c>
      <c r="C569" s="18" t="s">
        <v>7715</v>
      </c>
      <c r="D569" s="18" t="s">
        <v>7721</v>
      </c>
      <c r="E569" s="18">
        <v>201135</v>
      </c>
      <c r="F569" s="18">
        <v>929</v>
      </c>
      <c r="G569" s="18">
        <v>1327</v>
      </c>
    </row>
    <row r="570" spans="2:7" x14ac:dyDescent="0.3">
      <c r="B570" s="18" t="s">
        <v>7712</v>
      </c>
      <c r="C570" s="18" t="s">
        <v>7722</v>
      </c>
      <c r="D570" s="18" t="s">
        <v>7723</v>
      </c>
      <c r="E570" s="18">
        <v>374</v>
      </c>
      <c r="F570" s="18">
        <v>929</v>
      </c>
      <c r="G570" s="18">
        <v>1328</v>
      </c>
    </row>
    <row r="571" spans="2:7" x14ac:dyDescent="0.3">
      <c r="B571" s="18" t="s">
        <v>7712</v>
      </c>
      <c r="C571" s="18" t="s">
        <v>7722</v>
      </c>
      <c r="D571" s="18" t="s">
        <v>7724</v>
      </c>
      <c r="E571" s="18">
        <v>971</v>
      </c>
      <c r="F571" s="18">
        <v>929</v>
      </c>
      <c r="G571" s="18">
        <v>1328</v>
      </c>
    </row>
    <row r="572" spans="2:7" x14ac:dyDescent="0.3">
      <c r="B572" s="18" t="s">
        <v>7712</v>
      </c>
      <c r="C572" s="18" t="s">
        <v>7722</v>
      </c>
      <c r="D572" s="18" t="s">
        <v>7725</v>
      </c>
      <c r="E572" s="18">
        <v>201072</v>
      </c>
      <c r="F572" s="18">
        <v>929</v>
      </c>
      <c r="G572" s="18">
        <v>1328</v>
      </c>
    </row>
    <row r="573" spans="2:7" x14ac:dyDescent="0.3">
      <c r="B573" s="18" t="s">
        <v>7712</v>
      </c>
      <c r="C573" s="18" t="s">
        <v>7722</v>
      </c>
      <c r="D573" s="18" t="s">
        <v>7726</v>
      </c>
      <c r="E573" s="18">
        <v>1113</v>
      </c>
      <c r="F573" s="18">
        <v>929</v>
      </c>
      <c r="G573" s="18">
        <v>1328</v>
      </c>
    </row>
    <row r="574" spans="2:7" x14ac:dyDescent="0.3">
      <c r="B574" s="18" t="s">
        <v>7712</v>
      </c>
      <c r="C574" s="18" t="s">
        <v>7727</v>
      </c>
      <c r="D574" s="18" t="s">
        <v>7728</v>
      </c>
      <c r="E574" s="18">
        <v>11</v>
      </c>
      <c r="F574" s="18">
        <v>929</v>
      </c>
      <c r="G574" s="18">
        <v>1329</v>
      </c>
    </row>
    <row r="575" spans="2:7" x14ac:dyDescent="0.3">
      <c r="B575" s="18" t="s">
        <v>7712</v>
      </c>
      <c r="C575" s="18" t="s">
        <v>7727</v>
      </c>
      <c r="D575" s="18" t="s">
        <v>7729</v>
      </c>
      <c r="E575" s="18">
        <v>960</v>
      </c>
      <c r="F575" s="18">
        <v>929</v>
      </c>
      <c r="G575" s="18">
        <v>1329</v>
      </c>
    </row>
    <row r="576" spans="2:7" x14ac:dyDescent="0.3">
      <c r="B576" s="18" t="s">
        <v>7712</v>
      </c>
      <c r="C576" s="18" t="s">
        <v>7727</v>
      </c>
      <c r="D576" s="18" t="s">
        <v>7730</v>
      </c>
      <c r="E576" s="18">
        <v>201095</v>
      </c>
      <c r="F576" s="18">
        <v>929</v>
      </c>
      <c r="G576" s="18">
        <v>1329</v>
      </c>
    </row>
    <row r="577" spans="2:7" x14ac:dyDescent="0.3">
      <c r="B577" s="18" t="s">
        <v>7712</v>
      </c>
      <c r="C577" s="18" t="s">
        <v>7727</v>
      </c>
      <c r="D577" s="18" t="s">
        <v>7731</v>
      </c>
      <c r="E577" s="18">
        <v>1049</v>
      </c>
      <c r="F577" s="18">
        <v>929</v>
      </c>
      <c r="G577" s="18">
        <v>1329</v>
      </c>
    </row>
    <row r="578" spans="2:7" x14ac:dyDescent="0.3">
      <c r="B578" s="18" t="s">
        <v>7712</v>
      </c>
      <c r="C578" s="18" t="s">
        <v>7732</v>
      </c>
      <c r="D578" s="18" t="s">
        <v>7733</v>
      </c>
      <c r="E578" s="18">
        <v>1640</v>
      </c>
      <c r="F578" s="18">
        <v>929</v>
      </c>
      <c r="G578" s="18">
        <v>1330</v>
      </c>
    </row>
    <row r="579" spans="2:7" x14ac:dyDescent="0.3">
      <c r="B579" s="18" t="s">
        <v>7712</v>
      </c>
      <c r="C579" s="18" t="s">
        <v>7734</v>
      </c>
      <c r="D579" s="18" t="s">
        <v>7735</v>
      </c>
      <c r="E579" s="18">
        <v>12</v>
      </c>
      <c r="F579" s="18">
        <v>929</v>
      </c>
      <c r="G579" s="18">
        <v>1331</v>
      </c>
    </row>
    <row r="580" spans="2:7" x14ac:dyDescent="0.3">
      <c r="B580" s="18" t="s">
        <v>7712</v>
      </c>
      <c r="C580" s="18" t="s">
        <v>7734</v>
      </c>
      <c r="D580" s="18" t="s">
        <v>7736</v>
      </c>
      <c r="E580" s="18">
        <v>201125</v>
      </c>
      <c r="F580" s="18">
        <v>929</v>
      </c>
      <c r="G580" s="18">
        <v>1331</v>
      </c>
    </row>
    <row r="581" spans="2:7" x14ac:dyDescent="0.3">
      <c r="B581" s="18" t="s">
        <v>7712</v>
      </c>
      <c r="C581" s="18" t="s">
        <v>7734</v>
      </c>
      <c r="D581" s="18" t="s">
        <v>7737</v>
      </c>
      <c r="E581" s="18">
        <v>1153</v>
      </c>
      <c r="F581" s="18">
        <v>929</v>
      </c>
      <c r="G581" s="18">
        <v>1331</v>
      </c>
    </row>
    <row r="582" spans="2:7" x14ac:dyDescent="0.3">
      <c r="B582" s="18" t="s">
        <v>7738</v>
      </c>
      <c r="C582" s="18"/>
      <c r="D582" s="18" t="s">
        <v>7739</v>
      </c>
      <c r="E582" s="18">
        <v>1535</v>
      </c>
      <c r="F582" s="18">
        <v>930</v>
      </c>
      <c r="G582" s="18"/>
    </row>
    <row r="583" spans="2:7" x14ac:dyDescent="0.3">
      <c r="B583" s="18" t="s">
        <v>7738</v>
      </c>
      <c r="C583" s="18" t="s">
        <v>7740</v>
      </c>
      <c r="D583" s="18" t="s">
        <v>7741</v>
      </c>
      <c r="E583" s="18">
        <v>585</v>
      </c>
      <c r="F583" s="18">
        <v>930</v>
      </c>
      <c r="G583" s="18">
        <v>1190</v>
      </c>
    </row>
    <row r="584" spans="2:7" x14ac:dyDescent="0.3">
      <c r="B584" s="18" t="s">
        <v>7738</v>
      </c>
      <c r="C584" s="18" t="s">
        <v>7740</v>
      </c>
      <c r="D584" s="18" t="s">
        <v>7742</v>
      </c>
      <c r="E584" s="18">
        <v>201079</v>
      </c>
      <c r="F584" s="18">
        <v>930</v>
      </c>
      <c r="G584" s="18">
        <v>1190</v>
      </c>
    </row>
    <row r="585" spans="2:7" x14ac:dyDescent="0.3">
      <c r="B585" s="18" t="s">
        <v>7738</v>
      </c>
      <c r="C585" s="18" t="s">
        <v>7740</v>
      </c>
      <c r="D585" s="18" t="s">
        <v>7743</v>
      </c>
      <c r="E585" s="18">
        <v>1306</v>
      </c>
      <c r="F585" s="18">
        <v>930</v>
      </c>
      <c r="G585" s="18">
        <v>1190</v>
      </c>
    </row>
    <row r="586" spans="2:7" x14ac:dyDescent="0.3">
      <c r="B586" s="18" t="s">
        <v>7738</v>
      </c>
      <c r="C586" s="18" t="s">
        <v>7740</v>
      </c>
      <c r="D586" s="18" t="s">
        <v>7744</v>
      </c>
      <c r="E586" s="18">
        <v>1262</v>
      </c>
      <c r="F586" s="18">
        <v>930</v>
      </c>
      <c r="G586" s="18">
        <v>1190</v>
      </c>
    </row>
    <row r="587" spans="2:7" x14ac:dyDescent="0.3">
      <c r="B587" s="18" t="s">
        <v>7738</v>
      </c>
      <c r="C587" s="18" t="s">
        <v>7740</v>
      </c>
      <c r="D587" s="18" t="s">
        <v>7745</v>
      </c>
      <c r="E587" s="18">
        <v>201126</v>
      </c>
      <c r="F587" s="18">
        <v>930</v>
      </c>
      <c r="G587" s="18">
        <v>1190</v>
      </c>
    </row>
    <row r="588" spans="2:7" x14ac:dyDescent="0.3">
      <c r="B588" s="18" t="s">
        <v>7738</v>
      </c>
      <c r="C588" s="18" t="s">
        <v>7740</v>
      </c>
      <c r="D588" s="18" t="s">
        <v>7746</v>
      </c>
      <c r="E588" s="18">
        <v>904</v>
      </c>
      <c r="F588" s="18">
        <v>930</v>
      </c>
      <c r="G588" s="18">
        <v>1190</v>
      </c>
    </row>
    <row r="589" spans="2:7" x14ac:dyDescent="0.3">
      <c r="B589" s="18" t="s">
        <v>7738</v>
      </c>
      <c r="C589" s="18" t="s">
        <v>7740</v>
      </c>
      <c r="D589" s="18" t="s">
        <v>7747</v>
      </c>
      <c r="E589" s="18">
        <v>1454</v>
      </c>
      <c r="F589" s="18">
        <v>930</v>
      </c>
      <c r="G589" s="18">
        <v>1190</v>
      </c>
    </row>
    <row r="590" spans="2:7" x14ac:dyDescent="0.3">
      <c r="B590" s="18" t="s">
        <v>7738</v>
      </c>
      <c r="C590" s="18" t="s">
        <v>7740</v>
      </c>
      <c r="D590" s="18" t="s">
        <v>7748</v>
      </c>
      <c r="E590" s="18">
        <v>201075</v>
      </c>
      <c r="F590" s="18">
        <v>930</v>
      </c>
      <c r="G590" s="18">
        <v>1190</v>
      </c>
    </row>
    <row r="591" spans="2:7" x14ac:dyDescent="0.3">
      <c r="B591" s="18" t="s">
        <v>7738</v>
      </c>
      <c r="C591" s="18" t="s">
        <v>7740</v>
      </c>
      <c r="D591" s="18" t="s">
        <v>7749</v>
      </c>
      <c r="E591" s="18">
        <v>201043</v>
      </c>
      <c r="F591" s="18">
        <v>930</v>
      </c>
      <c r="G591" s="18">
        <v>1190</v>
      </c>
    </row>
    <row r="592" spans="2:7" x14ac:dyDescent="0.3">
      <c r="B592" s="18" t="s">
        <v>7738</v>
      </c>
      <c r="C592" s="18" t="s">
        <v>7750</v>
      </c>
      <c r="D592" s="18" t="s">
        <v>7751</v>
      </c>
      <c r="E592" s="18">
        <v>587</v>
      </c>
      <c r="F592" s="18">
        <v>930</v>
      </c>
      <c r="G592" s="18">
        <v>1312</v>
      </c>
    </row>
    <row r="593" spans="2:7" x14ac:dyDescent="0.3">
      <c r="B593" s="18" t="s">
        <v>7738</v>
      </c>
      <c r="C593" s="18" t="s">
        <v>7750</v>
      </c>
      <c r="D593" s="18" t="s">
        <v>7752</v>
      </c>
      <c r="E593" s="18">
        <v>1222</v>
      </c>
      <c r="F593" s="18">
        <v>930</v>
      </c>
      <c r="G593" s="18">
        <v>1312</v>
      </c>
    </row>
    <row r="594" spans="2:7" x14ac:dyDescent="0.3">
      <c r="B594" s="18" t="s">
        <v>7738</v>
      </c>
      <c r="C594" s="18" t="s">
        <v>7750</v>
      </c>
      <c r="D594" s="18" t="s">
        <v>7753</v>
      </c>
      <c r="E594" s="18">
        <v>201127</v>
      </c>
      <c r="F594" s="18">
        <v>930</v>
      </c>
      <c r="G594" s="18">
        <v>1312</v>
      </c>
    </row>
    <row r="595" spans="2:7" x14ac:dyDescent="0.3">
      <c r="B595" s="18" t="s">
        <v>7738</v>
      </c>
      <c r="C595" s="18" t="s">
        <v>7750</v>
      </c>
      <c r="D595" s="18" t="s">
        <v>7754</v>
      </c>
      <c r="E595" s="18">
        <v>1299</v>
      </c>
      <c r="F595" s="18">
        <v>930</v>
      </c>
      <c r="G595" s="18">
        <v>1312</v>
      </c>
    </row>
    <row r="596" spans="2:7" x14ac:dyDescent="0.3">
      <c r="B596" s="18" t="s">
        <v>7755</v>
      </c>
      <c r="C596" s="18"/>
      <c r="D596" s="18" t="s">
        <v>7756</v>
      </c>
      <c r="E596" s="18">
        <v>881</v>
      </c>
      <c r="F596" s="18">
        <v>931</v>
      </c>
      <c r="G596" s="18"/>
    </row>
    <row r="597" spans="2:7" x14ac:dyDescent="0.3">
      <c r="B597" s="18" t="s">
        <v>7757</v>
      </c>
      <c r="C597" s="18"/>
      <c r="D597" s="18" t="s">
        <v>7758</v>
      </c>
      <c r="E597" s="18">
        <v>1023</v>
      </c>
      <c r="F597" s="18">
        <v>1186</v>
      </c>
      <c r="G597" s="18"/>
    </row>
    <row r="598" spans="2:7" x14ac:dyDescent="0.3">
      <c r="B598" s="18" t="s">
        <v>7757</v>
      </c>
      <c r="C598" s="18" t="s">
        <v>7759</v>
      </c>
      <c r="D598" s="18" t="s">
        <v>7760</v>
      </c>
      <c r="E598" s="18">
        <v>658</v>
      </c>
      <c r="F598" s="18">
        <v>1186</v>
      </c>
      <c r="G598" s="18">
        <v>1187</v>
      </c>
    </row>
    <row r="599" spans="2:7" x14ac:dyDescent="0.3">
      <c r="B599" s="18" t="s">
        <v>7757</v>
      </c>
      <c r="C599" s="18" t="s">
        <v>7759</v>
      </c>
      <c r="D599" s="18" t="s">
        <v>7761</v>
      </c>
      <c r="E599" s="18">
        <v>201057</v>
      </c>
      <c r="F599" s="18">
        <v>1186</v>
      </c>
      <c r="G599" s="18">
        <v>1187</v>
      </c>
    </row>
    <row r="600" spans="2:7" x14ac:dyDescent="0.3">
      <c r="B600" s="18" t="s">
        <v>7757</v>
      </c>
      <c r="C600" s="18" t="s">
        <v>7759</v>
      </c>
      <c r="D600" s="18" t="s">
        <v>7762</v>
      </c>
      <c r="E600" s="18">
        <v>1415</v>
      </c>
      <c r="F600" s="18">
        <v>1186</v>
      </c>
      <c r="G600" s="18">
        <v>1187</v>
      </c>
    </row>
    <row r="601" spans="2:7" x14ac:dyDescent="0.3">
      <c r="B601" s="18" t="s">
        <v>7757</v>
      </c>
      <c r="C601" s="18" t="s">
        <v>7759</v>
      </c>
      <c r="D601" s="18" t="s">
        <v>7763</v>
      </c>
      <c r="E601" s="18">
        <v>201007</v>
      </c>
      <c r="F601" s="18">
        <v>1186</v>
      </c>
      <c r="G601" s="18">
        <v>1187</v>
      </c>
    </row>
    <row r="602" spans="2:7" x14ac:dyDescent="0.3">
      <c r="B602" s="18" t="s">
        <v>7757</v>
      </c>
      <c r="C602" s="18" t="s">
        <v>7759</v>
      </c>
      <c r="D602" s="18" t="s">
        <v>7764</v>
      </c>
      <c r="E602" s="18">
        <v>1360</v>
      </c>
      <c r="F602" s="18">
        <v>1186</v>
      </c>
      <c r="G602" s="18">
        <v>1187</v>
      </c>
    </row>
    <row r="603" spans="2:7" x14ac:dyDescent="0.3">
      <c r="B603" s="18" t="s">
        <v>7757</v>
      </c>
      <c r="C603" s="18" t="s">
        <v>7759</v>
      </c>
      <c r="D603" s="18" t="s">
        <v>7765</v>
      </c>
      <c r="E603" s="18">
        <v>201132</v>
      </c>
      <c r="F603" s="18">
        <v>1186</v>
      </c>
      <c r="G603" s="18">
        <v>1187</v>
      </c>
    </row>
    <row r="604" spans="2:7" x14ac:dyDescent="0.3">
      <c r="B604" s="18" t="s">
        <v>7757</v>
      </c>
      <c r="C604" s="18" t="s">
        <v>7766</v>
      </c>
      <c r="D604" s="18" t="s">
        <v>7767</v>
      </c>
      <c r="E604" s="18">
        <v>1524</v>
      </c>
      <c r="F604" s="18">
        <v>1186</v>
      </c>
      <c r="G604" s="18">
        <v>1188</v>
      </c>
    </row>
    <row r="605" spans="2:7" x14ac:dyDescent="0.3">
      <c r="B605" s="18" t="s">
        <v>7757</v>
      </c>
      <c r="C605" s="18" t="s">
        <v>7766</v>
      </c>
      <c r="D605" s="18" t="s">
        <v>7768</v>
      </c>
      <c r="E605" s="18">
        <v>1534</v>
      </c>
      <c r="F605" s="18">
        <v>1186</v>
      </c>
      <c r="G605" s="18">
        <v>1188</v>
      </c>
    </row>
    <row r="606" spans="2:7" x14ac:dyDescent="0.3">
      <c r="B606" s="18" t="s">
        <v>7757</v>
      </c>
      <c r="C606" s="18" t="s">
        <v>7766</v>
      </c>
      <c r="D606" s="18" t="s">
        <v>7769</v>
      </c>
      <c r="E606" s="18">
        <v>1266</v>
      </c>
      <c r="F606" s="18">
        <v>1186</v>
      </c>
      <c r="G606" s="18">
        <v>1188</v>
      </c>
    </row>
    <row r="607" spans="2:7" x14ac:dyDescent="0.3">
      <c r="B607" s="18" t="s">
        <v>7757</v>
      </c>
      <c r="C607" s="18" t="s">
        <v>7766</v>
      </c>
      <c r="D607" s="18" t="s">
        <v>7770</v>
      </c>
      <c r="E607" s="18">
        <v>1478</v>
      </c>
      <c r="F607" s="18">
        <v>1186</v>
      </c>
      <c r="G607" s="18">
        <v>1188</v>
      </c>
    </row>
    <row r="608" spans="2:7" x14ac:dyDescent="0.3">
      <c r="B608" s="18" t="s">
        <v>7757</v>
      </c>
      <c r="C608" s="18" t="s">
        <v>7766</v>
      </c>
      <c r="D608" s="18" t="s">
        <v>7771</v>
      </c>
      <c r="E608" s="18">
        <v>200934</v>
      </c>
      <c r="F608" s="18">
        <v>1186</v>
      </c>
      <c r="G608" s="18">
        <v>1188</v>
      </c>
    </row>
    <row r="609" spans="2:7" x14ac:dyDescent="0.3">
      <c r="B609" s="18" t="s">
        <v>7757</v>
      </c>
      <c r="C609" s="18" t="s">
        <v>7772</v>
      </c>
      <c r="D609" s="18" t="s">
        <v>7773</v>
      </c>
      <c r="E609" s="18">
        <v>1411</v>
      </c>
      <c r="F609" s="18">
        <v>1186</v>
      </c>
      <c r="G609" s="18">
        <v>1189</v>
      </c>
    </row>
    <row r="610" spans="2:7" x14ac:dyDescent="0.3">
      <c r="B610" s="18" t="s">
        <v>176</v>
      </c>
      <c r="C610" s="18" t="s">
        <v>177</v>
      </c>
      <c r="D610" s="18" t="s">
        <v>7774</v>
      </c>
      <c r="E610" s="18">
        <v>201015</v>
      </c>
      <c r="F610" s="18">
        <v>1204</v>
      </c>
      <c r="G610" s="18">
        <v>1205</v>
      </c>
    </row>
    <row r="611" spans="2:7" x14ac:dyDescent="0.3">
      <c r="B611" s="18" t="s">
        <v>176</v>
      </c>
      <c r="C611" s="18" t="s">
        <v>177</v>
      </c>
      <c r="D611" s="18" t="s">
        <v>7775</v>
      </c>
      <c r="E611" s="18">
        <v>201069</v>
      </c>
      <c r="F611" s="18">
        <v>1204</v>
      </c>
      <c r="G611" s="18">
        <v>1205</v>
      </c>
    </row>
    <row r="612" spans="2:7" x14ac:dyDescent="0.3">
      <c r="B612" s="18" t="s">
        <v>176</v>
      </c>
      <c r="C612" s="18" t="s">
        <v>177</v>
      </c>
      <c r="D612" s="18" t="s">
        <v>7776</v>
      </c>
      <c r="E612" s="18">
        <v>201102</v>
      </c>
      <c r="F612" s="18">
        <v>1204</v>
      </c>
      <c r="G612" s="18">
        <v>1205</v>
      </c>
    </row>
    <row r="613" spans="2:7" x14ac:dyDescent="0.3">
      <c r="B613" s="18" t="s">
        <v>176</v>
      </c>
      <c r="C613" s="18" t="s">
        <v>177</v>
      </c>
      <c r="D613" s="18" t="s">
        <v>1334</v>
      </c>
      <c r="E613" s="18">
        <v>201109</v>
      </c>
      <c r="F613" s="18">
        <v>1204</v>
      </c>
      <c r="G613" s="18">
        <v>1205</v>
      </c>
    </row>
    <row r="614" spans="2:7" x14ac:dyDescent="0.3">
      <c r="B614" s="18" t="s">
        <v>176</v>
      </c>
      <c r="C614" s="18" t="s">
        <v>177</v>
      </c>
      <c r="D614" s="18" t="s">
        <v>7777</v>
      </c>
      <c r="E614" s="18">
        <v>201068</v>
      </c>
      <c r="F614" s="18">
        <v>1204</v>
      </c>
      <c r="G614" s="18">
        <v>1205</v>
      </c>
    </row>
    <row r="615" spans="2:7" x14ac:dyDescent="0.3">
      <c r="B615" s="18" t="s">
        <v>176</v>
      </c>
      <c r="C615" s="18" t="s">
        <v>177</v>
      </c>
      <c r="D615" s="18" t="s">
        <v>7778</v>
      </c>
      <c r="E615" s="18">
        <v>201119</v>
      </c>
      <c r="F615" s="18">
        <v>1204</v>
      </c>
      <c r="G615" s="18">
        <v>1205</v>
      </c>
    </row>
    <row r="616" spans="2:7" x14ac:dyDescent="0.3">
      <c r="B616" s="18" t="s">
        <v>176</v>
      </c>
      <c r="C616" s="18" t="s">
        <v>177</v>
      </c>
      <c r="D616" s="18" t="s">
        <v>7779</v>
      </c>
      <c r="E616" s="18">
        <v>201083</v>
      </c>
      <c r="F616" s="18">
        <v>1204</v>
      </c>
      <c r="G616" s="18">
        <v>1205</v>
      </c>
    </row>
    <row r="617" spans="2:7" x14ac:dyDescent="0.3">
      <c r="B617" s="18" t="s">
        <v>176</v>
      </c>
      <c r="C617" s="18" t="s">
        <v>177</v>
      </c>
      <c r="D617" s="18" t="s">
        <v>7780</v>
      </c>
      <c r="E617" s="18">
        <v>201081</v>
      </c>
      <c r="F617" s="18">
        <v>1204</v>
      </c>
      <c r="G617" s="18">
        <v>1205</v>
      </c>
    </row>
    <row r="618" spans="2:7" x14ac:dyDescent="0.3">
      <c r="B618" s="18" t="s">
        <v>176</v>
      </c>
      <c r="C618" s="18" t="s">
        <v>177</v>
      </c>
      <c r="D618" s="18" t="s">
        <v>7781</v>
      </c>
      <c r="E618" s="18">
        <v>201017</v>
      </c>
      <c r="F618" s="18">
        <v>1204</v>
      </c>
      <c r="G618" s="18">
        <v>1205</v>
      </c>
    </row>
    <row r="619" spans="2:7" x14ac:dyDescent="0.3">
      <c r="B619" s="18" t="s">
        <v>176</v>
      </c>
      <c r="C619" s="18" t="s">
        <v>177</v>
      </c>
      <c r="D619" s="18" t="s">
        <v>7782</v>
      </c>
      <c r="E619" s="18">
        <v>201121</v>
      </c>
      <c r="F619" s="18">
        <v>1204</v>
      </c>
      <c r="G619" s="18">
        <v>1205</v>
      </c>
    </row>
    <row r="620" spans="2:7" x14ac:dyDescent="0.3">
      <c r="B620" s="18" t="s">
        <v>176</v>
      </c>
      <c r="C620" s="18" t="s">
        <v>177</v>
      </c>
      <c r="D620" s="18" t="s">
        <v>7783</v>
      </c>
      <c r="E620" s="18">
        <v>201064</v>
      </c>
      <c r="F620" s="18">
        <v>1204</v>
      </c>
      <c r="G620" s="18">
        <v>1205</v>
      </c>
    </row>
    <row r="621" spans="2:7" x14ac:dyDescent="0.3">
      <c r="B621" s="18" t="s">
        <v>176</v>
      </c>
      <c r="C621" s="18" t="s">
        <v>177</v>
      </c>
      <c r="D621" s="18" t="s">
        <v>7784</v>
      </c>
      <c r="E621" s="18">
        <v>201122</v>
      </c>
      <c r="F621" s="18">
        <v>1204</v>
      </c>
      <c r="G621" s="18">
        <v>1205</v>
      </c>
    </row>
    <row r="622" spans="2:7" x14ac:dyDescent="0.3">
      <c r="B622" s="18" t="s">
        <v>176</v>
      </c>
      <c r="C622" s="18" t="s">
        <v>177</v>
      </c>
      <c r="D622" s="18" t="s">
        <v>7785</v>
      </c>
      <c r="E622" s="18">
        <v>201018</v>
      </c>
      <c r="F622" s="18">
        <v>1204</v>
      </c>
      <c r="G622" s="18">
        <v>1205</v>
      </c>
    </row>
    <row r="623" spans="2:7" x14ac:dyDescent="0.3">
      <c r="B623" s="18" t="s">
        <v>176</v>
      </c>
      <c r="C623" s="18" t="s">
        <v>177</v>
      </c>
      <c r="D623" s="18" t="s">
        <v>178</v>
      </c>
      <c r="E623" s="18">
        <v>201073</v>
      </c>
      <c r="F623" s="18">
        <v>1204</v>
      </c>
      <c r="G623" s="18">
        <v>1205</v>
      </c>
    </row>
    <row r="624" spans="2:7" x14ac:dyDescent="0.3">
      <c r="B624" s="18" t="s">
        <v>176</v>
      </c>
      <c r="C624" s="18" t="s">
        <v>177</v>
      </c>
      <c r="D624" s="18" t="s">
        <v>7786</v>
      </c>
      <c r="E624" s="18">
        <v>201024</v>
      </c>
      <c r="F624" s="18">
        <v>1204</v>
      </c>
      <c r="G624" s="18">
        <v>1205</v>
      </c>
    </row>
    <row r="625" spans="2:7" x14ac:dyDescent="0.3">
      <c r="B625" s="18" t="s">
        <v>7787</v>
      </c>
      <c r="C625" s="18"/>
      <c r="D625" s="18" t="s">
        <v>7788</v>
      </c>
      <c r="E625" s="18">
        <v>201056</v>
      </c>
      <c r="F625" s="18">
        <v>1216</v>
      </c>
      <c r="G625" s="18"/>
    </row>
    <row r="626" spans="2:7" x14ac:dyDescent="0.3">
      <c r="B626" s="18" t="s">
        <v>7787</v>
      </c>
      <c r="C626" s="18" t="s">
        <v>7789</v>
      </c>
      <c r="D626" s="18" t="s">
        <v>7790</v>
      </c>
      <c r="E626" s="18">
        <v>14</v>
      </c>
      <c r="F626" s="18">
        <v>1216</v>
      </c>
      <c r="G626" s="18">
        <v>1217</v>
      </c>
    </row>
    <row r="627" spans="2:7" x14ac:dyDescent="0.3">
      <c r="B627" s="18" t="s">
        <v>7787</v>
      </c>
      <c r="C627" s="18" t="s">
        <v>7789</v>
      </c>
      <c r="D627" s="18" t="s">
        <v>7791</v>
      </c>
      <c r="E627" s="18">
        <v>200961</v>
      </c>
      <c r="F627" s="18">
        <v>1216</v>
      </c>
      <c r="G627" s="18">
        <v>1217</v>
      </c>
    </row>
    <row r="628" spans="2:7" x14ac:dyDescent="0.3">
      <c r="B628" s="18" t="s">
        <v>7787</v>
      </c>
      <c r="C628" s="18" t="s">
        <v>7789</v>
      </c>
      <c r="D628" s="18" t="s">
        <v>7792</v>
      </c>
      <c r="E628" s="18">
        <v>1161</v>
      </c>
      <c r="F628" s="18">
        <v>1216</v>
      </c>
      <c r="G628" s="18">
        <v>1217</v>
      </c>
    </row>
    <row r="629" spans="2:7" x14ac:dyDescent="0.3">
      <c r="B629" s="18" t="s">
        <v>7787</v>
      </c>
      <c r="C629" s="18" t="s">
        <v>7789</v>
      </c>
      <c r="D629" s="18" t="s">
        <v>7793</v>
      </c>
      <c r="E629" s="18">
        <v>201019</v>
      </c>
      <c r="F629" s="18">
        <v>1216</v>
      </c>
      <c r="G629" s="18">
        <v>1217</v>
      </c>
    </row>
    <row r="630" spans="2:7" x14ac:dyDescent="0.3">
      <c r="B630" s="18" t="s">
        <v>7787</v>
      </c>
      <c r="C630" s="18" t="s">
        <v>7789</v>
      </c>
      <c r="D630" s="18" t="s">
        <v>7794</v>
      </c>
      <c r="E630" s="18">
        <v>201074</v>
      </c>
      <c r="F630" s="18">
        <v>1216</v>
      </c>
      <c r="G630" s="18">
        <v>1217</v>
      </c>
    </row>
    <row r="631" spans="2:7" x14ac:dyDescent="0.3">
      <c r="B631" s="18" t="s">
        <v>7787</v>
      </c>
      <c r="C631" s="18" t="s">
        <v>7795</v>
      </c>
      <c r="D631" s="18" t="s">
        <v>7796</v>
      </c>
      <c r="E631" s="18">
        <v>1614</v>
      </c>
      <c r="F631" s="18">
        <v>1216</v>
      </c>
      <c r="G631" s="18">
        <v>1334</v>
      </c>
    </row>
    <row r="632" spans="2:7" x14ac:dyDescent="0.3">
      <c r="B632" s="18" t="s">
        <v>7787</v>
      </c>
      <c r="C632" s="18" t="s">
        <v>7795</v>
      </c>
      <c r="D632" s="18" t="s">
        <v>7797</v>
      </c>
      <c r="E632" s="18">
        <v>201036</v>
      </c>
      <c r="F632" s="18">
        <v>1216</v>
      </c>
      <c r="G632" s="18">
        <v>1334</v>
      </c>
    </row>
    <row r="633" spans="2:7" x14ac:dyDescent="0.3">
      <c r="B633" s="18" t="s">
        <v>7787</v>
      </c>
      <c r="C633" s="18" t="s">
        <v>7795</v>
      </c>
      <c r="D633" s="18" t="s">
        <v>7798</v>
      </c>
      <c r="E633" s="18">
        <v>201136</v>
      </c>
      <c r="F633" s="18">
        <v>1216</v>
      </c>
      <c r="G633" s="18">
        <v>1334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7"/>
  <sheetViews>
    <sheetView workbookViewId="0">
      <selection activeCell="H11" sqref="H11"/>
    </sheetView>
  </sheetViews>
  <sheetFormatPr defaultRowHeight="16.5" x14ac:dyDescent="0.3"/>
  <cols>
    <col min="2" max="2" width="11.5" bestFit="1" customWidth="1"/>
    <col min="3" max="3" width="15.5" bestFit="1" customWidth="1"/>
    <col min="4" max="4" width="23.875" bestFit="1" customWidth="1"/>
    <col min="5" max="5" width="6.5" bestFit="1" customWidth="1"/>
    <col min="6" max="6" width="18.875" bestFit="1" customWidth="1"/>
    <col min="7" max="7" width="23.75" bestFit="1" customWidth="1"/>
    <col min="8" max="8" width="109" bestFit="1" customWidth="1"/>
  </cols>
  <sheetData>
    <row r="2" spans="2:8" x14ac:dyDescent="0.3">
      <c r="B2" s="2" t="s">
        <v>6886</v>
      </c>
      <c r="C2" s="2" t="s">
        <v>6887</v>
      </c>
      <c r="D2" s="2" t="s">
        <v>7</v>
      </c>
      <c r="E2" s="2" t="s">
        <v>3</v>
      </c>
      <c r="F2" s="2" t="s">
        <v>6888</v>
      </c>
      <c r="G2" s="3" t="s">
        <v>6889</v>
      </c>
      <c r="H2" s="2" t="s">
        <v>6890</v>
      </c>
    </row>
    <row r="3" spans="2:8" x14ac:dyDescent="0.3">
      <c r="B3" s="4" t="s">
        <v>8</v>
      </c>
      <c r="C3" s="4" t="s">
        <v>35</v>
      </c>
      <c r="D3" s="4" t="s">
        <v>1517</v>
      </c>
      <c r="E3" s="5" t="s">
        <v>6891</v>
      </c>
      <c r="F3" s="4" t="s">
        <v>6892</v>
      </c>
      <c r="G3" s="6" t="str">
        <f>CONCATENATE(E3,F3)</f>
        <v>NAVERskdusdkqk</v>
      </c>
      <c r="H3" s="7" t="s">
        <v>6893</v>
      </c>
    </row>
    <row r="4" spans="2:8" x14ac:dyDescent="0.3">
      <c r="B4" s="4" t="s">
        <v>8</v>
      </c>
      <c r="C4" s="4" t="s">
        <v>35</v>
      </c>
      <c r="D4" s="4" t="s">
        <v>1215</v>
      </c>
      <c r="E4" s="5" t="s">
        <v>6894</v>
      </c>
      <c r="F4" s="4" t="s">
        <v>6895</v>
      </c>
      <c r="G4" s="6" t="str">
        <f t="shared" ref="G4:G67" si="0">CONCATENATE(E4,F4)</f>
        <v>NAVERnaurylaw1004</v>
      </c>
      <c r="H4" s="7" t="s">
        <v>6896</v>
      </c>
    </row>
    <row r="5" spans="2:8" x14ac:dyDescent="0.3">
      <c r="B5" s="4" t="s">
        <v>8</v>
      </c>
      <c r="C5" s="4" t="s">
        <v>35</v>
      </c>
      <c r="D5" s="4" t="s">
        <v>407</v>
      </c>
      <c r="E5" s="5" t="s">
        <v>6897</v>
      </c>
      <c r="F5" s="4" t="s">
        <v>6898</v>
      </c>
      <c r="G5" s="6" t="str">
        <f t="shared" si="0"/>
        <v>NAVERdaeshinlaw</v>
      </c>
      <c r="H5" s="7" t="s">
        <v>6896</v>
      </c>
    </row>
    <row r="6" spans="2:8" x14ac:dyDescent="0.3">
      <c r="B6" s="4" t="s">
        <v>8</v>
      </c>
      <c r="C6" s="4" t="s">
        <v>6899</v>
      </c>
      <c r="D6" s="4" t="s">
        <v>1784</v>
      </c>
      <c r="E6" s="5" t="s">
        <v>6891</v>
      </c>
      <c r="F6" s="4" t="s">
        <v>6900</v>
      </c>
      <c r="G6" s="6" t="str">
        <f t="shared" si="0"/>
        <v>NAVERyjt2146</v>
      </c>
      <c r="H6" s="8" t="s">
        <v>6901</v>
      </c>
    </row>
    <row r="7" spans="2:8" x14ac:dyDescent="0.3">
      <c r="B7" s="4" t="s">
        <v>8</v>
      </c>
      <c r="C7" s="4" t="s">
        <v>10</v>
      </c>
      <c r="D7" s="4" t="s">
        <v>6902</v>
      </c>
      <c r="E7" s="5" t="s">
        <v>6891</v>
      </c>
      <c r="F7" s="4" t="s">
        <v>6903</v>
      </c>
      <c r="G7" s="6" t="str">
        <f t="shared" si="0"/>
        <v>NAVERlerder78</v>
      </c>
      <c r="H7" s="7" t="s">
        <v>6904</v>
      </c>
    </row>
    <row r="8" spans="2:8" ht="120" x14ac:dyDescent="0.3">
      <c r="B8" s="4" t="s">
        <v>8</v>
      </c>
      <c r="C8" s="4" t="s">
        <v>31</v>
      </c>
      <c r="D8" s="4" t="s">
        <v>411</v>
      </c>
      <c r="E8" s="5" t="s">
        <v>6897</v>
      </c>
      <c r="F8" s="4" t="s">
        <v>6905</v>
      </c>
      <c r="G8" s="6" t="str">
        <f t="shared" si="0"/>
        <v>NAVERdagachidaegu</v>
      </c>
      <c r="H8" s="9" t="s">
        <v>6906</v>
      </c>
    </row>
    <row r="9" spans="2:8" x14ac:dyDescent="0.3">
      <c r="B9" s="4" t="s">
        <v>8</v>
      </c>
      <c r="C9" s="4" t="s">
        <v>37</v>
      </c>
      <c r="D9" s="4" t="s">
        <v>1227</v>
      </c>
      <c r="E9" s="5" t="s">
        <v>6897</v>
      </c>
      <c r="F9" s="4" t="s">
        <v>6907</v>
      </c>
      <c r="G9" s="6" t="str">
        <f t="shared" si="0"/>
        <v>NAVERnewk2s</v>
      </c>
      <c r="H9" s="7" t="s">
        <v>6908</v>
      </c>
    </row>
    <row r="10" spans="2:8" x14ac:dyDescent="0.3">
      <c r="B10" s="4" t="s">
        <v>8</v>
      </c>
      <c r="C10" s="4" t="s">
        <v>45</v>
      </c>
      <c r="D10" s="4" t="s">
        <v>1083</v>
      </c>
      <c r="E10" s="5" t="s">
        <v>6897</v>
      </c>
      <c r="F10" s="4" t="s">
        <v>6909</v>
      </c>
      <c r="G10" s="6" t="str">
        <f t="shared" si="0"/>
        <v>NAVERlim51366</v>
      </c>
      <c r="H10" s="7" t="s">
        <v>6910</v>
      </c>
    </row>
    <row r="11" spans="2:8" x14ac:dyDescent="0.3">
      <c r="B11" s="4" t="s">
        <v>8</v>
      </c>
      <c r="C11" s="4" t="s">
        <v>45</v>
      </c>
      <c r="D11" s="4" t="s">
        <v>1084</v>
      </c>
      <c r="E11" s="5" t="s">
        <v>6897</v>
      </c>
      <c r="F11" s="4" t="s">
        <v>6911</v>
      </c>
      <c r="G11" s="6" t="str">
        <f t="shared" si="0"/>
        <v>NAVERlim513666</v>
      </c>
      <c r="H11" s="7" t="s">
        <v>6910</v>
      </c>
    </row>
    <row r="12" spans="2:8" x14ac:dyDescent="0.3">
      <c r="B12" s="4" t="s">
        <v>8</v>
      </c>
      <c r="C12" s="4" t="s">
        <v>20</v>
      </c>
      <c r="D12" s="4" t="s">
        <v>1015</v>
      </c>
      <c r="E12" s="5" t="s">
        <v>6894</v>
      </c>
      <c r="F12" s="4" t="s">
        <v>6912</v>
      </c>
      <c r="G12" s="6" t="str">
        <f t="shared" si="0"/>
        <v>NAVERkoolman</v>
      </c>
      <c r="H12" s="7" t="s">
        <v>6913</v>
      </c>
    </row>
    <row r="13" spans="2:8" x14ac:dyDescent="0.3">
      <c r="B13" s="4" t="s">
        <v>8</v>
      </c>
      <c r="C13" s="4" t="s">
        <v>14</v>
      </c>
      <c r="D13" s="4" t="s">
        <v>461</v>
      </c>
      <c r="E13" s="5" t="s">
        <v>6897</v>
      </c>
      <c r="F13" s="4" t="s">
        <v>6914</v>
      </c>
      <c r="G13" s="6" t="str">
        <f t="shared" si="0"/>
        <v>NAVERdnjfem19</v>
      </c>
      <c r="H13" s="8" t="s">
        <v>6915</v>
      </c>
    </row>
    <row r="14" spans="2:8" x14ac:dyDescent="0.3">
      <c r="B14" s="4" t="s">
        <v>8</v>
      </c>
      <c r="C14" s="4" t="s">
        <v>33</v>
      </c>
      <c r="D14" s="4" t="s">
        <v>6916</v>
      </c>
      <c r="E14" s="5" t="s">
        <v>6897</v>
      </c>
      <c r="F14" s="4" t="s">
        <v>6917</v>
      </c>
      <c r="G14" s="6" t="str">
        <f t="shared" si="0"/>
        <v>NAVERkag8587</v>
      </c>
      <c r="H14" s="7" t="s">
        <v>6918</v>
      </c>
    </row>
    <row r="15" spans="2:8" x14ac:dyDescent="0.3">
      <c r="B15" s="4" t="s">
        <v>8</v>
      </c>
      <c r="C15" s="4" t="s">
        <v>73</v>
      </c>
      <c r="D15" s="4" t="s">
        <v>660</v>
      </c>
      <c r="E15" s="5" t="s">
        <v>6891</v>
      </c>
      <c r="F15" s="4" t="s">
        <v>6919</v>
      </c>
      <c r="G15" s="6" t="str">
        <f t="shared" si="0"/>
        <v>NAVERgreenbay</v>
      </c>
      <c r="H15" s="7" t="s">
        <v>6918</v>
      </c>
    </row>
    <row r="16" spans="2:8" ht="120" x14ac:dyDescent="0.3">
      <c r="B16" s="4" t="s">
        <v>8</v>
      </c>
      <c r="C16" s="4" t="s">
        <v>27</v>
      </c>
      <c r="D16" s="4" t="s">
        <v>1558</v>
      </c>
      <c r="E16" s="5" t="s">
        <v>6894</v>
      </c>
      <c r="F16" s="4" t="s">
        <v>6920</v>
      </c>
      <c r="G16" s="6" t="str">
        <f t="shared" si="0"/>
        <v>NAVERsos1326</v>
      </c>
      <c r="H16" s="9" t="s">
        <v>6921</v>
      </c>
    </row>
    <row r="17" spans="2:8" x14ac:dyDescent="0.3">
      <c r="B17" s="4" t="s">
        <v>6922</v>
      </c>
      <c r="C17" s="4" t="s">
        <v>6923</v>
      </c>
      <c r="D17" s="4" t="s">
        <v>6924</v>
      </c>
      <c r="E17" s="5" t="s">
        <v>6897</v>
      </c>
      <c r="F17" s="4" t="s">
        <v>6925</v>
      </c>
      <c r="G17" s="6" t="str">
        <f t="shared" si="0"/>
        <v>NAVERmuinbox</v>
      </c>
      <c r="H17" s="4" t="s">
        <v>6926</v>
      </c>
    </row>
    <row r="18" spans="2:8" x14ac:dyDescent="0.3">
      <c r="B18" s="4" t="s">
        <v>6922</v>
      </c>
      <c r="C18" s="4" t="s">
        <v>6923</v>
      </c>
      <c r="D18" s="4" t="s">
        <v>6927</v>
      </c>
      <c r="E18" s="5" t="s">
        <v>6891</v>
      </c>
      <c r="F18" s="4" t="s">
        <v>6928</v>
      </c>
      <c r="G18" s="6" t="str">
        <f t="shared" si="0"/>
        <v>NAVERserontech</v>
      </c>
      <c r="H18" s="4" t="s">
        <v>6926</v>
      </c>
    </row>
    <row r="19" spans="2:8" x14ac:dyDescent="0.3">
      <c r="B19" s="4" t="s">
        <v>6922</v>
      </c>
      <c r="C19" s="4" t="s">
        <v>6923</v>
      </c>
      <c r="D19" s="4" t="s">
        <v>6929</v>
      </c>
      <c r="E19" s="5" t="s">
        <v>6897</v>
      </c>
      <c r="F19" s="4" t="s">
        <v>6930</v>
      </c>
      <c r="G19" s="6" t="str">
        <f t="shared" si="0"/>
        <v>NAVERskct2472</v>
      </c>
      <c r="H19" s="4" t="s">
        <v>6926</v>
      </c>
    </row>
    <row r="20" spans="2:8" x14ac:dyDescent="0.3">
      <c r="B20" s="4" t="s">
        <v>6922</v>
      </c>
      <c r="C20" s="4" t="s">
        <v>6923</v>
      </c>
      <c r="D20" s="4" t="s">
        <v>6931</v>
      </c>
      <c r="E20" s="5" t="s">
        <v>6891</v>
      </c>
      <c r="F20" s="4" t="s">
        <v>6932</v>
      </c>
      <c r="G20" s="6" t="str">
        <f t="shared" si="0"/>
        <v>NAVERfalmouth</v>
      </c>
      <c r="H20" s="4" t="s">
        <v>6926</v>
      </c>
    </row>
    <row r="21" spans="2:8" x14ac:dyDescent="0.3">
      <c r="B21" s="4" t="s">
        <v>6922</v>
      </c>
      <c r="C21" s="4" t="s">
        <v>6933</v>
      </c>
      <c r="D21" s="4" t="s">
        <v>6934</v>
      </c>
      <c r="E21" s="5" t="s">
        <v>6891</v>
      </c>
      <c r="F21" s="4" t="s">
        <v>6935</v>
      </c>
      <c r="G21" s="6" t="str">
        <f t="shared" si="0"/>
        <v>NAVERthesame0520:naver</v>
      </c>
      <c r="H21" s="4" t="s">
        <v>6936</v>
      </c>
    </row>
    <row r="22" spans="2:8" x14ac:dyDescent="0.3">
      <c r="B22" s="4" t="s">
        <v>6922</v>
      </c>
      <c r="C22" s="4" t="s">
        <v>6933</v>
      </c>
      <c r="D22" s="4" t="s">
        <v>6937</v>
      </c>
      <c r="E22" s="5" t="s">
        <v>6891</v>
      </c>
      <c r="F22" s="4" t="s">
        <v>6938</v>
      </c>
      <c r="G22" s="6" t="str">
        <f t="shared" si="0"/>
        <v>NAVERss781103</v>
      </c>
      <c r="H22" s="4" t="s">
        <v>6936</v>
      </c>
    </row>
    <row r="23" spans="2:8" x14ac:dyDescent="0.3">
      <c r="B23" s="4" t="s">
        <v>6922</v>
      </c>
      <c r="C23" s="4" t="s">
        <v>6933</v>
      </c>
      <c r="D23" s="4" t="s">
        <v>6939</v>
      </c>
      <c r="E23" s="5" t="s">
        <v>6891</v>
      </c>
      <c r="F23" s="4" t="s">
        <v>6940</v>
      </c>
      <c r="G23" s="6" t="str">
        <f t="shared" si="0"/>
        <v>NAVERguess815</v>
      </c>
      <c r="H23" s="4" t="s">
        <v>6936</v>
      </c>
    </row>
    <row r="24" spans="2:8" x14ac:dyDescent="0.3">
      <c r="B24" s="4" t="s">
        <v>6922</v>
      </c>
      <c r="C24" s="4" t="s">
        <v>6933</v>
      </c>
      <c r="D24" s="4" t="s">
        <v>6941</v>
      </c>
      <c r="E24" s="5" t="s">
        <v>6891</v>
      </c>
      <c r="F24" s="4" t="s">
        <v>6942</v>
      </c>
      <c r="G24" s="6" t="str">
        <f t="shared" si="0"/>
        <v>NAVERhsung2011</v>
      </c>
      <c r="H24" s="4" t="s">
        <v>6936</v>
      </c>
    </row>
    <row r="25" spans="2:8" x14ac:dyDescent="0.3">
      <c r="B25" s="4" t="s">
        <v>6922</v>
      </c>
      <c r="C25" s="4" t="s">
        <v>6933</v>
      </c>
      <c r="D25" s="4" t="s">
        <v>6943</v>
      </c>
      <c r="E25" s="5" t="s">
        <v>6891</v>
      </c>
      <c r="F25" s="4" t="s">
        <v>6944</v>
      </c>
      <c r="G25" s="6" t="str">
        <f t="shared" si="0"/>
        <v>NAVERtrini87</v>
      </c>
      <c r="H25" s="4" t="s">
        <v>6936</v>
      </c>
    </row>
    <row r="26" spans="2:8" x14ac:dyDescent="0.3">
      <c r="B26" s="4" t="s">
        <v>6922</v>
      </c>
      <c r="C26" s="4" t="s">
        <v>6933</v>
      </c>
      <c r="D26" s="4" t="s">
        <v>6945</v>
      </c>
      <c r="E26" s="5" t="s">
        <v>6897</v>
      </c>
      <c r="F26" s="4" t="s">
        <v>6946</v>
      </c>
      <c r="G26" s="6" t="str">
        <f t="shared" si="0"/>
        <v>NAVERwlwlals911</v>
      </c>
      <c r="H26" s="4" t="s">
        <v>6936</v>
      </c>
    </row>
    <row r="27" spans="2:8" x14ac:dyDescent="0.3">
      <c r="B27" s="4" t="s">
        <v>6922</v>
      </c>
      <c r="C27" s="4" t="s">
        <v>6933</v>
      </c>
      <c r="D27" s="4" t="s">
        <v>6947</v>
      </c>
      <c r="E27" s="5" t="s">
        <v>6891</v>
      </c>
      <c r="F27" s="4" t="s">
        <v>6948</v>
      </c>
      <c r="G27" s="6" t="str">
        <f t="shared" si="0"/>
        <v>NAVERwqw02</v>
      </c>
      <c r="H27" s="4" t="s">
        <v>6936</v>
      </c>
    </row>
    <row r="28" spans="2:8" x14ac:dyDescent="0.3">
      <c r="B28" s="4" t="s">
        <v>6922</v>
      </c>
      <c r="C28" s="4" t="s">
        <v>6933</v>
      </c>
      <c r="D28" s="4" t="s">
        <v>6949</v>
      </c>
      <c r="E28" s="5" t="s">
        <v>6897</v>
      </c>
      <c r="F28" s="4" t="s">
        <v>6950</v>
      </c>
      <c r="G28" s="6" t="str">
        <f t="shared" si="0"/>
        <v>NAVERdaonslt</v>
      </c>
      <c r="H28" s="4" t="s">
        <v>6936</v>
      </c>
    </row>
    <row r="29" spans="2:8" x14ac:dyDescent="0.3">
      <c r="B29" s="4" t="s">
        <v>16</v>
      </c>
      <c r="C29" s="4" t="s">
        <v>290</v>
      </c>
      <c r="D29" s="4" t="s">
        <v>6951</v>
      </c>
      <c r="E29" s="5" t="s">
        <v>6891</v>
      </c>
      <c r="F29" s="4" t="s">
        <v>6952</v>
      </c>
      <c r="G29" s="6" t="str">
        <f t="shared" si="0"/>
        <v>NAVERisk010</v>
      </c>
      <c r="H29" s="8" t="s">
        <v>6953</v>
      </c>
    </row>
    <row r="30" spans="2:8" x14ac:dyDescent="0.2">
      <c r="B30" s="10" t="s">
        <v>22</v>
      </c>
      <c r="C30" s="10" t="s">
        <v>6954</v>
      </c>
      <c r="D30" s="10" t="s">
        <v>6955</v>
      </c>
      <c r="E30" s="5" t="s">
        <v>6894</v>
      </c>
      <c r="F30" s="10" t="s">
        <v>6956</v>
      </c>
      <c r="G30" s="6" t="str">
        <f t="shared" si="0"/>
        <v>NAVERdeki52</v>
      </c>
      <c r="H30" s="10" t="s">
        <v>6957</v>
      </c>
    </row>
    <row r="31" spans="2:8" x14ac:dyDescent="0.2">
      <c r="B31" s="10" t="s">
        <v>22</v>
      </c>
      <c r="C31" s="10" t="s">
        <v>6958</v>
      </c>
      <c r="D31" s="10" t="s">
        <v>6959</v>
      </c>
      <c r="E31" s="5" t="s">
        <v>6891</v>
      </c>
      <c r="F31" s="10" t="s">
        <v>6960</v>
      </c>
      <c r="G31" s="6" t="str">
        <f t="shared" si="0"/>
        <v>NAVERsupiaheera:naver</v>
      </c>
      <c r="H31" s="10" t="s">
        <v>6957</v>
      </c>
    </row>
    <row r="32" spans="2:8" x14ac:dyDescent="0.2">
      <c r="B32" s="10" t="s">
        <v>6961</v>
      </c>
      <c r="C32" s="10" t="s">
        <v>6933</v>
      </c>
      <c r="D32" s="10" t="s">
        <v>6962</v>
      </c>
      <c r="E32" s="5" t="s">
        <v>6894</v>
      </c>
      <c r="F32" s="10" t="s">
        <v>6963</v>
      </c>
      <c r="G32" s="6" t="str">
        <f t="shared" si="0"/>
        <v>NAVERaone15</v>
      </c>
      <c r="H32" s="11" t="s">
        <v>6964</v>
      </c>
    </row>
    <row r="33" spans="2:8" x14ac:dyDescent="0.2">
      <c r="B33" s="10" t="s">
        <v>6961</v>
      </c>
      <c r="C33" s="10" t="s">
        <v>6923</v>
      </c>
      <c r="D33" s="10" t="s">
        <v>6965</v>
      </c>
      <c r="E33" s="5" t="s">
        <v>6891</v>
      </c>
      <c r="F33" s="10" t="s">
        <v>6966</v>
      </c>
      <c r="G33" s="6" t="str">
        <f t="shared" si="0"/>
        <v>NAVERbollana:naver</v>
      </c>
      <c r="H33" s="11" t="s">
        <v>6967</v>
      </c>
    </row>
    <row r="34" spans="2:8" x14ac:dyDescent="0.2">
      <c r="B34" s="10" t="s">
        <v>6961</v>
      </c>
      <c r="C34" s="10" t="s">
        <v>6968</v>
      </c>
      <c r="D34" s="10" t="s">
        <v>283</v>
      </c>
      <c r="E34" s="5" t="s">
        <v>6891</v>
      </c>
      <c r="F34" s="10" t="s">
        <v>6969</v>
      </c>
      <c r="G34" s="6" t="str">
        <f t="shared" si="0"/>
        <v>NAVERbrucewol:naver</v>
      </c>
      <c r="H34" s="12" t="s">
        <v>6970</v>
      </c>
    </row>
    <row r="35" spans="2:8" x14ac:dyDescent="0.2">
      <c r="B35" s="10" t="s">
        <v>6961</v>
      </c>
      <c r="C35" s="10" t="s">
        <v>6971</v>
      </c>
      <c r="D35" s="10" t="s">
        <v>6972</v>
      </c>
      <c r="E35" s="5" t="s">
        <v>6891</v>
      </c>
      <c r="F35" s="10" t="s">
        <v>6973</v>
      </c>
      <c r="G35" s="6" t="str">
        <f t="shared" si="0"/>
        <v>NAVERcaminotcm</v>
      </c>
      <c r="H35" s="12" t="s">
        <v>6974</v>
      </c>
    </row>
    <row r="36" spans="2:8" x14ac:dyDescent="0.2">
      <c r="B36" s="10" t="s">
        <v>6961</v>
      </c>
      <c r="C36" s="10" t="s">
        <v>6975</v>
      </c>
      <c r="D36" s="10" t="s">
        <v>6976</v>
      </c>
      <c r="E36" s="5" t="s">
        <v>6891</v>
      </c>
      <c r="F36" s="10" t="s">
        <v>6977</v>
      </c>
      <c r="G36" s="6" t="str">
        <f t="shared" si="0"/>
        <v>NAVERchfhr227:naver</v>
      </c>
      <c r="H36" s="11" t="s">
        <v>6978</v>
      </c>
    </row>
    <row r="37" spans="2:8" x14ac:dyDescent="0.2">
      <c r="B37" s="10" t="s">
        <v>6961</v>
      </c>
      <c r="C37" s="10" t="s">
        <v>6979</v>
      </c>
      <c r="D37" s="10" t="s">
        <v>6980</v>
      </c>
      <c r="E37" s="5" t="s">
        <v>6891</v>
      </c>
      <c r="F37" s="10" t="s">
        <v>6981</v>
      </c>
      <c r="G37" s="6" t="str">
        <f t="shared" si="0"/>
        <v>NAVERdradev</v>
      </c>
      <c r="H37" s="12" t="s">
        <v>6974</v>
      </c>
    </row>
    <row r="38" spans="2:8" x14ac:dyDescent="0.2">
      <c r="B38" s="10" t="s">
        <v>6961</v>
      </c>
      <c r="C38" s="10" t="s">
        <v>6933</v>
      </c>
      <c r="D38" s="10" t="s">
        <v>6982</v>
      </c>
      <c r="E38" s="5" t="s">
        <v>6891</v>
      </c>
      <c r="F38" s="10" t="s">
        <v>6983</v>
      </c>
      <c r="G38" s="6" t="str">
        <f t="shared" si="0"/>
        <v>NAVERhkgroup11</v>
      </c>
      <c r="H38" s="12" t="s">
        <v>6984</v>
      </c>
    </row>
    <row r="39" spans="2:8" x14ac:dyDescent="0.2">
      <c r="B39" s="10" t="s">
        <v>6961</v>
      </c>
      <c r="C39" s="10" t="s">
        <v>6979</v>
      </c>
      <c r="D39" s="10" t="s">
        <v>6985</v>
      </c>
      <c r="E39" s="5" t="s">
        <v>6891</v>
      </c>
      <c r="F39" s="10" t="s">
        <v>6986</v>
      </c>
      <c r="G39" s="6" t="str">
        <f t="shared" si="0"/>
        <v>NAVERjkjung50</v>
      </c>
      <c r="H39" s="12" t="s">
        <v>6974</v>
      </c>
    </row>
    <row r="40" spans="2:8" x14ac:dyDescent="0.2">
      <c r="B40" s="10" t="s">
        <v>6961</v>
      </c>
      <c r="C40" s="10" t="s">
        <v>6987</v>
      </c>
      <c r="D40" s="10" t="s">
        <v>6988</v>
      </c>
      <c r="E40" s="5" t="s">
        <v>6897</v>
      </c>
      <c r="F40" s="10" t="s">
        <v>6989</v>
      </c>
      <c r="G40" s="6" t="str">
        <f t="shared" si="0"/>
        <v>NAVERkimsungri77:naver</v>
      </c>
      <c r="H40" s="12" t="s">
        <v>6974</v>
      </c>
    </row>
    <row r="41" spans="2:8" x14ac:dyDescent="0.2">
      <c r="B41" s="10" t="s">
        <v>6961</v>
      </c>
      <c r="C41" s="10" t="s">
        <v>6990</v>
      </c>
      <c r="D41" s="10" t="s">
        <v>6991</v>
      </c>
      <c r="E41" s="5" t="s">
        <v>6891</v>
      </c>
      <c r="F41" s="10" t="s">
        <v>6992</v>
      </c>
      <c r="G41" s="6" t="str">
        <f t="shared" si="0"/>
        <v>NAVERlsmedilab10</v>
      </c>
      <c r="H41" s="12" t="s">
        <v>6970</v>
      </c>
    </row>
    <row r="42" spans="2:8" x14ac:dyDescent="0.2">
      <c r="B42" s="10" t="s">
        <v>6961</v>
      </c>
      <c r="C42" s="10" t="s">
        <v>6933</v>
      </c>
      <c r="D42" s="10" t="s">
        <v>6993</v>
      </c>
      <c r="E42" s="5" t="s">
        <v>6891</v>
      </c>
      <c r="F42" s="10" t="s">
        <v>6994</v>
      </c>
      <c r="G42" s="6" t="str">
        <f t="shared" si="0"/>
        <v>NAVERstudnerd</v>
      </c>
      <c r="H42" s="11" t="s">
        <v>6995</v>
      </c>
    </row>
    <row r="43" spans="2:8" x14ac:dyDescent="0.2">
      <c r="B43" s="10" t="s">
        <v>6961</v>
      </c>
      <c r="C43" s="10" t="s">
        <v>6923</v>
      </c>
      <c r="D43" s="10" t="s">
        <v>6996</v>
      </c>
      <c r="E43" s="5" t="s">
        <v>6891</v>
      </c>
      <c r="F43" s="10" t="s">
        <v>6997</v>
      </c>
      <c r="G43" s="6" t="str">
        <f t="shared" si="0"/>
        <v>NAVERurback</v>
      </c>
      <c r="H43" s="11" t="s">
        <v>6998</v>
      </c>
    </row>
    <row r="44" spans="2:8" x14ac:dyDescent="0.2">
      <c r="B44" s="10" t="s">
        <v>6961</v>
      </c>
      <c r="C44" s="10" t="s">
        <v>6999</v>
      </c>
      <c r="D44" s="10" t="s">
        <v>7000</v>
      </c>
      <c r="E44" s="5" t="s">
        <v>6891</v>
      </c>
      <c r="F44" s="10" t="s">
        <v>7001</v>
      </c>
      <c r="G44" s="6" t="str">
        <f t="shared" si="0"/>
        <v>NAVERycj0694:naver</v>
      </c>
      <c r="H44" s="11" t="s">
        <v>6998</v>
      </c>
    </row>
    <row r="45" spans="2:8" x14ac:dyDescent="0.2">
      <c r="B45" s="10" t="s">
        <v>6961</v>
      </c>
      <c r="C45" s="10" t="s">
        <v>6923</v>
      </c>
      <c r="D45" s="10" t="s">
        <v>7002</v>
      </c>
      <c r="E45" s="5" t="s">
        <v>6897</v>
      </c>
      <c r="F45" s="10" t="s">
        <v>7003</v>
      </c>
      <c r="G45" s="6" t="str">
        <f t="shared" si="0"/>
        <v>NAVERyoungpsh</v>
      </c>
      <c r="H45" s="12" t="s">
        <v>7004</v>
      </c>
    </row>
    <row r="46" spans="2:8" x14ac:dyDescent="0.2">
      <c r="B46" s="10" t="s">
        <v>6961</v>
      </c>
      <c r="C46" s="10" t="s">
        <v>6933</v>
      </c>
      <c r="D46" s="10" t="s">
        <v>7005</v>
      </c>
      <c r="E46" s="5" t="s">
        <v>6894</v>
      </c>
      <c r="F46" s="10" t="s">
        <v>7006</v>
      </c>
      <c r="G46" s="6" t="str">
        <f t="shared" si="0"/>
        <v>NAVERzigzag1204</v>
      </c>
      <c r="H46" s="12" t="s">
        <v>7007</v>
      </c>
    </row>
    <row r="47" spans="2:8" x14ac:dyDescent="0.2">
      <c r="B47" s="10" t="s">
        <v>6961</v>
      </c>
      <c r="C47" s="10" t="s">
        <v>6923</v>
      </c>
      <c r="D47" s="10" t="s">
        <v>7008</v>
      </c>
      <c r="E47" s="5" t="s">
        <v>6891</v>
      </c>
      <c r="F47" s="10" t="s">
        <v>7009</v>
      </c>
      <c r="G47" s="6" t="str">
        <f t="shared" si="0"/>
        <v>NAVERzucoelec:naver</v>
      </c>
      <c r="H47" s="11" t="s">
        <v>6995</v>
      </c>
    </row>
    <row r="48" spans="2:8" x14ac:dyDescent="0.2">
      <c r="B48" s="10" t="s">
        <v>6961</v>
      </c>
      <c r="C48" s="13" t="s">
        <v>6923</v>
      </c>
      <c r="D48" s="13" t="s">
        <v>7010</v>
      </c>
      <c r="E48" s="4"/>
      <c r="F48" s="13" t="s">
        <v>7011</v>
      </c>
      <c r="G48" s="6" t="str">
        <f t="shared" si="0"/>
        <v>324992</v>
      </c>
      <c r="H48" s="12" t="s">
        <v>6995</v>
      </c>
    </row>
    <row r="49" spans="2:8" x14ac:dyDescent="0.2">
      <c r="B49" s="10" t="s">
        <v>6961</v>
      </c>
      <c r="C49" s="13" t="s">
        <v>6923</v>
      </c>
      <c r="D49" s="13" t="s">
        <v>7012</v>
      </c>
      <c r="E49" s="4"/>
      <c r="F49" s="13" t="s">
        <v>7013</v>
      </c>
      <c r="G49" s="6" t="str">
        <f t="shared" si="0"/>
        <v>309807</v>
      </c>
      <c r="H49" s="12" t="s">
        <v>7014</v>
      </c>
    </row>
    <row r="50" spans="2:8" x14ac:dyDescent="0.2">
      <c r="B50" s="10" t="s">
        <v>6961</v>
      </c>
      <c r="C50" s="13" t="s">
        <v>6923</v>
      </c>
      <c r="D50" s="13" t="s">
        <v>7015</v>
      </c>
      <c r="E50" s="4"/>
      <c r="F50" s="13" t="s">
        <v>7016</v>
      </c>
      <c r="G50" s="6" t="str">
        <f t="shared" si="0"/>
        <v>324683</v>
      </c>
      <c r="H50" s="12" t="s">
        <v>6995</v>
      </c>
    </row>
    <row r="51" spans="2:8" x14ac:dyDescent="0.2">
      <c r="B51" s="14" t="s">
        <v>41</v>
      </c>
      <c r="C51" s="14" t="s">
        <v>253</v>
      </c>
      <c r="D51" s="14" t="s">
        <v>1582</v>
      </c>
      <c r="E51" s="5" t="s">
        <v>6891</v>
      </c>
      <c r="F51" s="14" t="s">
        <v>7017</v>
      </c>
      <c r="G51" s="6" t="str">
        <f t="shared" si="0"/>
        <v>NAVERstonebank</v>
      </c>
      <c r="H51" s="12" t="s">
        <v>7018</v>
      </c>
    </row>
    <row r="52" spans="2:8" x14ac:dyDescent="0.2">
      <c r="B52" s="14" t="s">
        <v>41</v>
      </c>
      <c r="C52" s="14" t="s">
        <v>253</v>
      </c>
      <c r="D52" s="14" t="s">
        <v>1480</v>
      </c>
      <c r="E52" s="14" t="s">
        <v>7019</v>
      </c>
      <c r="F52" s="14" t="s">
        <v>7020</v>
      </c>
      <c r="G52" s="6" t="str">
        <f t="shared" si="0"/>
        <v>KAKAO331712</v>
      </c>
      <c r="H52" s="12" t="s">
        <v>7021</v>
      </c>
    </row>
    <row r="53" spans="2:8" x14ac:dyDescent="0.2">
      <c r="B53" s="14" t="s">
        <v>41</v>
      </c>
      <c r="C53" s="14" t="s">
        <v>253</v>
      </c>
      <c r="D53" s="14" t="s">
        <v>1480</v>
      </c>
      <c r="E53" s="14" t="s">
        <v>1907</v>
      </c>
      <c r="F53" s="14" t="s">
        <v>7022</v>
      </c>
      <c r="G53" s="6" t="str">
        <f t="shared" si="0"/>
        <v>모먼트78744</v>
      </c>
      <c r="H53" s="12" t="s">
        <v>7021</v>
      </c>
    </row>
    <row r="54" spans="2:8" x14ac:dyDescent="0.2">
      <c r="B54" s="14" t="s">
        <v>41</v>
      </c>
      <c r="C54" s="14" t="s">
        <v>7023</v>
      </c>
      <c r="D54" s="14" t="s">
        <v>1738</v>
      </c>
      <c r="E54" s="14" t="s">
        <v>7019</v>
      </c>
      <c r="F54" s="14" t="s">
        <v>7024</v>
      </c>
      <c r="G54" s="6" t="str">
        <f t="shared" si="0"/>
        <v>KAKAO309756</v>
      </c>
      <c r="H54" s="12" t="s">
        <v>7021</v>
      </c>
    </row>
    <row r="55" spans="2:8" x14ac:dyDescent="0.2">
      <c r="B55" s="14" t="s">
        <v>41</v>
      </c>
      <c r="C55" s="14" t="s">
        <v>7023</v>
      </c>
      <c r="D55" s="14" t="s">
        <v>129</v>
      </c>
      <c r="E55" s="14" t="s">
        <v>7019</v>
      </c>
      <c r="F55" s="14" t="s">
        <v>7025</v>
      </c>
      <c r="G55" s="6" t="str">
        <f t="shared" si="0"/>
        <v>KAKAO330750</v>
      </c>
      <c r="H55" s="12" t="s">
        <v>7021</v>
      </c>
    </row>
    <row r="56" spans="2:8" x14ac:dyDescent="0.2">
      <c r="B56" s="14" t="s">
        <v>41</v>
      </c>
      <c r="C56" s="14" t="s">
        <v>7026</v>
      </c>
      <c r="D56" s="14" t="s">
        <v>7027</v>
      </c>
      <c r="E56" s="14" t="s">
        <v>7019</v>
      </c>
      <c r="F56" s="14" t="s">
        <v>7028</v>
      </c>
      <c r="G56" s="6" t="str">
        <f t="shared" si="0"/>
        <v>KAKAO342322</v>
      </c>
      <c r="H56" s="15" t="s">
        <v>7029</v>
      </c>
    </row>
    <row r="57" spans="2:8" x14ac:dyDescent="0.2">
      <c r="B57" s="14" t="s">
        <v>41</v>
      </c>
      <c r="C57" s="14" t="s">
        <v>7026</v>
      </c>
      <c r="D57" s="14" t="s">
        <v>7027</v>
      </c>
      <c r="E57" s="14" t="s">
        <v>1907</v>
      </c>
      <c r="F57" s="14" t="s">
        <v>7030</v>
      </c>
      <c r="G57" s="6" t="str">
        <f t="shared" si="0"/>
        <v>모먼트346846</v>
      </c>
      <c r="H57" s="15" t="s">
        <v>7031</v>
      </c>
    </row>
    <row r="58" spans="2:8" x14ac:dyDescent="0.2">
      <c r="B58" s="16" t="s">
        <v>16</v>
      </c>
      <c r="C58" s="16" t="s">
        <v>371</v>
      </c>
      <c r="D58" s="16" t="s">
        <v>7032</v>
      </c>
      <c r="E58" s="5" t="s">
        <v>6891</v>
      </c>
      <c r="F58" s="16" t="s">
        <v>7033</v>
      </c>
      <c r="G58" s="6" t="str">
        <f t="shared" si="0"/>
        <v>NAVERlbcp2020</v>
      </c>
      <c r="H58" s="16" t="s">
        <v>7034</v>
      </c>
    </row>
    <row r="59" spans="2:8" x14ac:dyDescent="0.2">
      <c r="B59" s="16" t="s">
        <v>16</v>
      </c>
      <c r="C59" s="16" t="s">
        <v>7035</v>
      </c>
      <c r="D59" s="16" t="s">
        <v>582</v>
      </c>
      <c r="E59" s="5" t="s">
        <v>6891</v>
      </c>
      <c r="F59" s="16" t="s">
        <v>7036</v>
      </c>
      <c r="G59" s="6" t="str">
        <f t="shared" si="0"/>
        <v>NAVEReventoday</v>
      </c>
      <c r="H59" s="16" t="s">
        <v>7037</v>
      </c>
    </row>
    <row r="60" spans="2:8" x14ac:dyDescent="0.2">
      <c r="B60" s="16" t="s">
        <v>16</v>
      </c>
      <c r="C60" s="16" t="s">
        <v>93</v>
      </c>
      <c r="D60" s="16" t="s">
        <v>7038</v>
      </c>
      <c r="E60" s="16" t="s">
        <v>1907</v>
      </c>
      <c r="F60" s="16" t="s">
        <v>7039</v>
      </c>
      <c r="G60" s="6" t="str">
        <f t="shared" si="0"/>
        <v>모먼트43362</v>
      </c>
      <c r="H60" s="16" t="s">
        <v>7040</v>
      </c>
    </row>
    <row r="61" spans="2:8" x14ac:dyDescent="0.2">
      <c r="B61" s="16" t="s">
        <v>16</v>
      </c>
      <c r="C61" s="16" t="s">
        <v>7041</v>
      </c>
      <c r="D61" s="16" t="s">
        <v>63</v>
      </c>
      <c r="E61" s="5" t="s">
        <v>6891</v>
      </c>
      <c r="F61" s="16" t="s">
        <v>7042</v>
      </c>
      <c r="G61" s="6" t="str">
        <f t="shared" si="0"/>
        <v>NAVER365living</v>
      </c>
      <c r="H61" s="16" t="s">
        <v>7043</v>
      </c>
    </row>
    <row r="62" spans="2:8" x14ac:dyDescent="0.2">
      <c r="B62" s="16" t="s">
        <v>16</v>
      </c>
      <c r="C62" s="16" t="s">
        <v>78</v>
      </c>
      <c r="D62" s="16" t="s">
        <v>713</v>
      </c>
      <c r="E62" s="5" t="s">
        <v>6891</v>
      </c>
      <c r="F62" s="16" t="s">
        <v>7044</v>
      </c>
      <c r="G62" s="6" t="str">
        <f t="shared" si="0"/>
        <v>NAVERhatsplus</v>
      </c>
      <c r="H62" s="16" t="s">
        <v>7045</v>
      </c>
    </row>
    <row r="63" spans="2:8" x14ac:dyDescent="0.2">
      <c r="B63" s="16" t="s">
        <v>16</v>
      </c>
      <c r="C63" s="16" t="s">
        <v>7046</v>
      </c>
      <c r="D63" s="16" t="s">
        <v>7047</v>
      </c>
      <c r="E63" s="16" t="s">
        <v>1907</v>
      </c>
      <c r="F63" s="16" t="s">
        <v>7048</v>
      </c>
      <c r="G63" s="6" t="str">
        <f t="shared" si="0"/>
        <v>모먼트135925</v>
      </c>
      <c r="H63" s="16" t="s">
        <v>7049</v>
      </c>
    </row>
    <row r="64" spans="2:8" x14ac:dyDescent="0.2">
      <c r="B64" s="10" t="s">
        <v>8</v>
      </c>
      <c r="C64" s="10" t="s">
        <v>27</v>
      </c>
      <c r="D64" s="10" t="s">
        <v>1108</v>
      </c>
      <c r="E64" s="5" t="s">
        <v>6891</v>
      </c>
      <c r="F64" s="10" t="s">
        <v>7050</v>
      </c>
      <c r="G64" s="6" t="str">
        <f t="shared" si="0"/>
        <v>NAVERlr84</v>
      </c>
      <c r="H64" s="13" t="s">
        <v>7051</v>
      </c>
    </row>
    <row r="65" spans="2:8" x14ac:dyDescent="0.2">
      <c r="B65" s="10" t="s">
        <v>8</v>
      </c>
      <c r="C65" s="10" t="s">
        <v>27</v>
      </c>
      <c r="D65" s="10" t="s">
        <v>7052</v>
      </c>
      <c r="E65" s="5" t="s">
        <v>6891</v>
      </c>
      <c r="F65" s="10" t="s">
        <v>7053</v>
      </c>
      <c r="G65" s="6" t="str">
        <f t="shared" si="0"/>
        <v>NAVERsangcomi79</v>
      </c>
      <c r="H65" s="13" t="s">
        <v>7054</v>
      </c>
    </row>
    <row r="66" spans="2:8" x14ac:dyDescent="0.2">
      <c r="B66" s="10" t="s">
        <v>8</v>
      </c>
      <c r="C66" s="10" t="s">
        <v>7055</v>
      </c>
      <c r="D66" s="10" t="s">
        <v>7056</v>
      </c>
      <c r="E66" s="5" t="s">
        <v>6891</v>
      </c>
      <c r="F66" s="10" t="s">
        <v>7057</v>
      </c>
      <c r="G66" s="6" t="str">
        <f t="shared" si="0"/>
        <v>NAVER7floor</v>
      </c>
      <c r="H66" s="13" t="s">
        <v>7058</v>
      </c>
    </row>
    <row r="67" spans="2:8" x14ac:dyDescent="0.2">
      <c r="B67" s="10" t="s">
        <v>8</v>
      </c>
      <c r="C67" s="10" t="s">
        <v>7055</v>
      </c>
      <c r="D67" s="10" t="s">
        <v>694</v>
      </c>
      <c r="E67" s="5" t="s">
        <v>6891</v>
      </c>
      <c r="F67" s="10" t="s">
        <v>7059</v>
      </c>
      <c r="G67" s="6" t="str">
        <f t="shared" si="0"/>
        <v>NAVERhanil5424</v>
      </c>
      <c r="H67" s="13" t="s">
        <v>7058</v>
      </c>
    </row>
    <row r="68" spans="2:8" x14ac:dyDescent="0.2">
      <c r="B68" s="10" t="s">
        <v>8</v>
      </c>
      <c r="C68" s="10" t="s">
        <v>75</v>
      </c>
      <c r="D68" s="10" t="s">
        <v>1660</v>
      </c>
      <c r="E68" s="5" t="s">
        <v>6891</v>
      </c>
      <c r="F68" s="10" t="s">
        <v>7060</v>
      </c>
      <c r="G68" s="6" t="str">
        <f t="shared" ref="G68:G131" si="1">CONCATENATE(E68,F68)</f>
        <v>NAVERtree2547</v>
      </c>
      <c r="H68" s="13" t="s">
        <v>7061</v>
      </c>
    </row>
    <row r="69" spans="2:8" x14ac:dyDescent="0.2">
      <c r="B69" s="10" t="s">
        <v>8</v>
      </c>
      <c r="C69" s="10" t="s">
        <v>37</v>
      </c>
      <c r="D69" s="10" t="s">
        <v>7062</v>
      </c>
      <c r="E69" s="5" t="s">
        <v>6891</v>
      </c>
      <c r="F69" s="10" t="s">
        <v>7063</v>
      </c>
      <c r="G69" s="6" t="str">
        <f t="shared" si="1"/>
        <v>NAVERady6185</v>
      </c>
      <c r="H69" s="13" t="s">
        <v>7064</v>
      </c>
    </row>
    <row r="70" spans="2:8" x14ac:dyDescent="0.2">
      <c r="B70" s="10" t="s">
        <v>8</v>
      </c>
      <c r="C70" s="10" t="s">
        <v>37</v>
      </c>
      <c r="D70" s="10" t="s">
        <v>7065</v>
      </c>
      <c r="E70" s="5" t="s">
        <v>6891</v>
      </c>
      <c r="F70" s="10" t="s">
        <v>7066</v>
      </c>
      <c r="G70" s="6" t="str">
        <f t="shared" si="1"/>
        <v>NAVERragiimma</v>
      </c>
      <c r="H70" s="13" t="s">
        <v>7064</v>
      </c>
    </row>
    <row r="71" spans="2:8" x14ac:dyDescent="0.2">
      <c r="B71" s="10" t="s">
        <v>8</v>
      </c>
      <c r="C71" s="10" t="s">
        <v>7067</v>
      </c>
      <c r="D71" s="10" t="s">
        <v>261</v>
      </c>
      <c r="E71" s="5" t="s">
        <v>6891</v>
      </c>
      <c r="F71" s="10" t="s">
        <v>7068</v>
      </c>
      <c r="G71" s="6" t="str">
        <f t="shared" si="1"/>
        <v>NAVERbobox88</v>
      </c>
      <c r="H71" s="13" t="s">
        <v>7069</v>
      </c>
    </row>
    <row r="72" spans="2:8" x14ac:dyDescent="0.2">
      <c r="B72" s="10" t="s">
        <v>8</v>
      </c>
      <c r="C72" s="10" t="s">
        <v>7067</v>
      </c>
      <c r="D72" s="10" t="s">
        <v>7070</v>
      </c>
      <c r="E72" s="5" t="s">
        <v>6891</v>
      </c>
      <c r="F72" s="10" t="s">
        <v>7071</v>
      </c>
      <c r="G72" s="6" t="str">
        <f t="shared" si="1"/>
        <v>NAVERksjjjang58</v>
      </c>
      <c r="H72" s="13" t="s">
        <v>7072</v>
      </c>
    </row>
    <row r="73" spans="2:8" x14ac:dyDescent="0.2">
      <c r="B73" s="10" t="s">
        <v>8</v>
      </c>
      <c r="C73" s="10" t="s">
        <v>35</v>
      </c>
      <c r="D73" s="10" t="s">
        <v>7073</v>
      </c>
      <c r="E73" s="5" t="s">
        <v>6891</v>
      </c>
      <c r="F73" s="10" t="s">
        <v>7074</v>
      </c>
      <c r="G73" s="6" t="str">
        <f t="shared" si="1"/>
        <v>NAVERcreativeman5</v>
      </c>
      <c r="H73" s="13" t="s">
        <v>7064</v>
      </c>
    </row>
    <row r="74" spans="2:8" x14ac:dyDescent="0.2">
      <c r="B74" s="10" t="s">
        <v>8</v>
      </c>
      <c r="C74" s="10" t="s">
        <v>35</v>
      </c>
      <c r="D74" s="10" t="s">
        <v>7075</v>
      </c>
      <c r="E74" s="5" t="s">
        <v>6891</v>
      </c>
      <c r="F74" s="10" t="s">
        <v>7076</v>
      </c>
      <c r="G74" s="6" t="str">
        <f t="shared" si="1"/>
        <v>NAVERlawntaxoffic</v>
      </c>
      <c r="H74" s="13" t="s">
        <v>7064</v>
      </c>
    </row>
    <row r="75" spans="2:8" x14ac:dyDescent="0.3">
      <c r="B75" s="17" t="s">
        <v>8</v>
      </c>
      <c r="C75" s="17" t="s">
        <v>6899</v>
      </c>
      <c r="D75" s="17" t="s">
        <v>1451</v>
      </c>
      <c r="E75" s="5" t="s">
        <v>6891</v>
      </c>
      <c r="F75" s="17" t="s">
        <v>7077</v>
      </c>
      <c r="G75" s="6" t="str">
        <f t="shared" si="1"/>
        <v>NAVERsejongfood</v>
      </c>
      <c r="H75" s="17" t="s">
        <v>7078</v>
      </c>
    </row>
    <row r="76" spans="2:8" x14ac:dyDescent="0.3">
      <c r="B76" s="17" t="s">
        <v>6922</v>
      </c>
      <c r="C76" s="17" t="s">
        <v>6933</v>
      </c>
      <c r="D76" s="17" t="s">
        <v>7079</v>
      </c>
      <c r="E76" s="5" t="s">
        <v>6891</v>
      </c>
      <c r="F76" s="17" t="s">
        <v>7080</v>
      </c>
      <c r="G76" s="6" t="str">
        <f t="shared" si="1"/>
        <v>NAVERfium</v>
      </c>
      <c r="H76" s="17" t="s">
        <v>7081</v>
      </c>
    </row>
    <row r="77" spans="2:8" x14ac:dyDescent="0.3">
      <c r="B77" s="17" t="s">
        <v>6922</v>
      </c>
      <c r="C77" s="17" t="s">
        <v>6933</v>
      </c>
      <c r="D77" s="17" t="s">
        <v>7082</v>
      </c>
      <c r="E77" s="5" t="s">
        <v>6891</v>
      </c>
      <c r="F77" s="17" t="s">
        <v>7083</v>
      </c>
      <c r="G77" s="6" t="str">
        <f t="shared" si="1"/>
        <v>NAVERjoinmedical</v>
      </c>
      <c r="H77" s="17" t="s">
        <v>7081</v>
      </c>
    </row>
    <row r="78" spans="2:8" x14ac:dyDescent="0.3">
      <c r="B78" s="17" t="s">
        <v>6922</v>
      </c>
      <c r="C78" s="17" t="s">
        <v>6933</v>
      </c>
      <c r="D78" s="17" t="s">
        <v>7084</v>
      </c>
      <c r="E78" s="5" t="s">
        <v>6891</v>
      </c>
      <c r="F78" s="17" t="s">
        <v>7085</v>
      </c>
      <c r="G78" s="6" t="str">
        <f t="shared" si="1"/>
        <v>NAVERyms04245</v>
      </c>
      <c r="H78" s="17" t="s">
        <v>6918</v>
      </c>
    </row>
    <row r="79" spans="2:8" x14ac:dyDescent="0.3">
      <c r="B79" s="17" t="s">
        <v>6922</v>
      </c>
      <c r="C79" s="17" t="s">
        <v>6933</v>
      </c>
      <c r="D79" s="17" t="s">
        <v>7086</v>
      </c>
      <c r="E79" s="5" t="s">
        <v>6891</v>
      </c>
      <c r="F79" s="17" t="s">
        <v>7087</v>
      </c>
      <c r="G79" s="6" t="str">
        <f t="shared" si="1"/>
        <v>NAVERlenswear</v>
      </c>
      <c r="H79" s="17" t="s">
        <v>6918</v>
      </c>
    </row>
    <row r="80" spans="2:8" x14ac:dyDescent="0.3">
      <c r="B80" s="17" t="s">
        <v>6922</v>
      </c>
      <c r="C80" s="17" t="s">
        <v>6990</v>
      </c>
      <c r="D80" s="17" t="s">
        <v>7088</v>
      </c>
      <c r="E80" s="5" t="s">
        <v>6891</v>
      </c>
      <c r="F80" s="17" t="s">
        <v>7089</v>
      </c>
      <c r="G80" s="6" t="str">
        <f t="shared" si="1"/>
        <v>NAVERdoubleup1</v>
      </c>
      <c r="H80" s="17" t="s">
        <v>7081</v>
      </c>
    </row>
    <row r="81" spans="2:8" x14ac:dyDescent="0.3">
      <c r="B81" s="17" t="s">
        <v>6922</v>
      </c>
      <c r="C81" s="17" t="s">
        <v>7090</v>
      </c>
      <c r="D81" s="17" t="s">
        <v>7091</v>
      </c>
      <c r="E81" s="5" t="s">
        <v>6891</v>
      </c>
      <c r="F81" s="17" t="s">
        <v>7092</v>
      </c>
      <c r="G81" s="6" t="str">
        <f t="shared" si="1"/>
        <v>NAVERartland_ys_</v>
      </c>
      <c r="H81" s="17" t="s">
        <v>7081</v>
      </c>
    </row>
    <row r="82" spans="2:8" x14ac:dyDescent="0.3">
      <c r="B82" s="17" t="s">
        <v>6922</v>
      </c>
      <c r="C82" s="17" t="s">
        <v>7090</v>
      </c>
      <c r="D82" s="17" t="s">
        <v>7093</v>
      </c>
      <c r="E82" s="5" t="s">
        <v>6891</v>
      </c>
      <c r="F82" s="17" t="s">
        <v>7094</v>
      </c>
      <c r="G82" s="6" t="str">
        <f t="shared" si="1"/>
        <v>NAVERgu02</v>
      </c>
      <c r="H82" s="17" t="s">
        <v>6918</v>
      </c>
    </row>
    <row r="83" spans="2:8" x14ac:dyDescent="0.3">
      <c r="B83" s="17" t="s">
        <v>6922</v>
      </c>
      <c r="C83" s="17" t="s">
        <v>6923</v>
      </c>
      <c r="D83" s="17" t="s">
        <v>7095</v>
      </c>
      <c r="E83" s="5" t="s">
        <v>6891</v>
      </c>
      <c r="F83" s="17" t="s">
        <v>7096</v>
      </c>
      <c r="G83" s="6" t="str">
        <f t="shared" si="1"/>
        <v>NAVERbaobaron:naver</v>
      </c>
      <c r="H83" s="17" t="s">
        <v>7081</v>
      </c>
    </row>
    <row r="84" spans="2:8" x14ac:dyDescent="0.3">
      <c r="B84" s="17" t="s">
        <v>6922</v>
      </c>
      <c r="C84" s="17" t="s">
        <v>6923</v>
      </c>
      <c r="D84" s="17" t="s">
        <v>7097</v>
      </c>
      <c r="E84" s="5" t="s">
        <v>6891</v>
      </c>
      <c r="F84" s="17" t="s">
        <v>7098</v>
      </c>
      <c r="G84" s="6" t="str">
        <f t="shared" si="1"/>
        <v>NAVERhomenkids:naver</v>
      </c>
      <c r="H84" s="17" t="s">
        <v>7081</v>
      </c>
    </row>
    <row r="85" spans="2:8" x14ac:dyDescent="0.3">
      <c r="B85" s="17" t="s">
        <v>16</v>
      </c>
      <c r="C85" s="17" t="s">
        <v>229</v>
      </c>
      <c r="D85" s="17" t="s">
        <v>1535</v>
      </c>
      <c r="E85" s="5" t="s">
        <v>6891</v>
      </c>
      <c r="F85" s="17" t="s">
        <v>7099</v>
      </c>
      <c r="G85" s="6" t="str">
        <f t="shared" si="1"/>
        <v>NAVERsmartkds79</v>
      </c>
      <c r="H85" s="17" t="s">
        <v>7100</v>
      </c>
    </row>
    <row r="86" spans="2:8" x14ac:dyDescent="0.3">
      <c r="B86" s="17" t="s">
        <v>8</v>
      </c>
      <c r="C86" s="17" t="s">
        <v>14</v>
      </c>
      <c r="D86" s="17" t="s">
        <v>61</v>
      </c>
      <c r="E86" s="5" t="s">
        <v>6891</v>
      </c>
      <c r="F86" s="17" t="s">
        <v>7101</v>
      </c>
      <c r="G86" s="6" t="str">
        <f t="shared" si="1"/>
        <v>NAVER365hmc</v>
      </c>
      <c r="H86" s="17" t="s">
        <v>7102</v>
      </c>
    </row>
    <row r="87" spans="2:8" x14ac:dyDescent="0.3">
      <c r="B87" s="17" t="s">
        <v>8</v>
      </c>
      <c r="C87" s="17" t="s">
        <v>14</v>
      </c>
      <c r="D87" s="17" t="s">
        <v>7103</v>
      </c>
      <c r="E87" s="5" t="s">
        <v>6891</v>
      </c>
      <c r="F87" s="17" t="s">
        <v>7104</v>
      </c>
      <c r="G87" s="6" t="str">
        <f t="shared" si="1"/>
        <v>NAVERkindjineun:naver</v>
      </c>
      <c r="H87" s="17" t="s">
        <v>7105</v>
      </c>
    </row>
    <row r="88" spans="2:8" x14ac:dyDescent="0.3">
      <c r="B88" s="17" t="s">
        <v>8</v>
      </c>
      <c r="C88" s="17" t="s">
        <v>14</v>
      </c>
      <c r="D88" s="17" t="s">
        <v>7106</v>
      </c>
      <c r="E88" s="5" t="s">
        <v>6891</v>
      </c>
      <c r="F88" s="17" t="s">
        <v>7107</v>
      </c>
      <c r="G88" s="6" t="str">
        <f t="shared" si="1"/>
        <v>NAVERchoidahee77</v>
      </c>
      <c r="H88" s="17" t="s">
        <v>7105</v>
      </c>
    </row>
    <row r="89" spans="2:8" x14ac:dyDescent="0.3">
      <c r="B89" s="17" t="s">
        <v>8</v>
      </c>
      <c r="C89" s="17" t="s">
        <v>51</v>
      </c>
      <c r="D89" s="17" t="s">
        <v>1172</v>
      </c>
      <c r="E89" s="17" t="s">
        <v>1907</v>
      </c>
      <c r="F89" s="17">
        <v>198768</v>
      </c>
      <c r="G89" s="6" t="str">
        <f t="shared" si="1"/>
        <v>모먼트198768</v>
      </c>
      <c r="H89" s="17" t="s">
        <v>7108</v>
      </c>
    </row>
    <row r="90" spans="2:8" x14ac:dyDescent="0.2">
      <c r="B90" s="17" t="s">
        <v>8</v>
      </c>
      <c r="C90" s="17" t="s">
        <v>51</v>
      </c>
      <c r="D90" s="17" t="s">
        <v>1875</v>
      </c>
      <c r="E90" s="14" t="s">
        <v>7019</v>
      </c>
      <c r="F90" s="17">
        <v>328036</v>
      </c>
      <c r="G90" s="6" t="str">
        <f t="shared" si="1"/>
        <v>KAKAO328036</v>
      </c>
      <c r="H90" s="17" t="s">
        <v>7108</v>
      </c>
    </row>
    <row r="91" spans="2:8" x14ac:dyDescent="0.2">
      <c r="B91" s="17" t="s">
        <v>6922</v>
      </c>
      <c r="C91" s="17" t="s">
        <v>6933</v>
      </c>
      <c r="D91" s="17" t="s">
        <v>7109</v>
      </c>
      <c r="E91" s="14" t="s">
        <v>7019</v>
      </c>
      <c r="F91" s="17">
        <v>323283</v>
      </c>
      <c r="G91" s="6" t="str">
        <f t="shared" si="1"/>
        <v>KAKAO323283</v>
      </c>
      <c r="H91" s="17" t="s">
        <v>7081</v>
      </c>
    </row>
    <row r="92" spans="2:8" x14ac:dyDescent="0.3">
      <c r="B92" s="17" t="s">
        <v>6922</v>
      </c>
      <c r="C92" s="17" t="s">
        <v>6933</v>
      </c>
      <c r="D92" s="17" t="s">
        <v>7110</v>
      </c>
      <c r="E92" s="17" t="s">
        <v>1907</v>
      </c>
      <c r="F92" s="17">
        <v>378677</v>
      </c>
      <c r="G92" s="6" t="str">
        <f t="shared" si="1"/>
        <v>모먼트378677</v>
      </c>
      <c r="H92" s="17" t="s">
        <v>7081</v>
      </c>
    </row>
    <row r="93" spans="2:8" x14ac:dyDescent="0.3">
      <c r="B93" s="17" t="s">
        <v>6922</v>
      </c>
      <c r="C93" s="17" t="s">
        <v>6933</v>
      </c>
      <c r="D93" s="17" t="s">
        <v>7111</v>
      </c>
      <c r="E93" s="17" t="s">
        <v>1907</v>
      </c>
      <c r="F93" s="17">
        <v>375059</v>
      </c>
      <c r="G93" s="6" t="str">
        <f t="shared" si="1"/>
        <v>모먼트375059</v>
      </c>
      <c r="H93" s="17" t="s">
        <v>7081</v>
      </c>
    </row>
    <row r="94" spans="2:8" x14ac:dyDescent="0.2">
      <c r="B94" s="17" t="s">
        <v>6922</v>
      </c>
      <c r="C94" s="17" t="s">
        <v>6933</v>
      </c>
      <c r="D94" s="17" t="s">
        <v>7112</v>
      </c>
      <c r="E94" s="14" t="s">
        <v>7019</v>
      </c>
      <c r="F94" s="17">
        <v>316558</v>
      </c>
      <c r="G94" s="6" t="str">
        <f t="shared" si="1"/>
        <v>KAKAO316558</v>
      </c>
      <c r="H94" s="17" t="s">
        <v>7081</v>
      </c>
    </row>
    <row r="95" spans="2:8" x14ac:dyDescent="0.2">
      <c r="B95" s="17" t="s">
        <v>6922</v>
      </c>
      <c r="C95" s="17" t="s">
        <v>6923</v>
      </c>
      <c r="D95" s="17" t="s">
        <v>7015</v>
      </c>
      <c r="E95" s="14" t="s">
        <v>7019</v>
      </c>
      <c r="F95" s="17">
        <v>324683</v>
      </c>
      <c r="G95" s="6" t="str">
        <f t="shared" si="1"/>
        <v>KAKAO324683</v>
      </c>
      <c r="H95" s="17" t="s">
        <v>7113</v>
      </c>
    </row>
    <row r="96" spans="2:8" x14ac:dyDescent="0.2">
      <c r="B96" s="17" t="s">
        <v>6922</v>
      </c>
      <c r="C96" s="17" t="s">
        <v>6923</v>
      </c>
      <c r="D96" s="17" t="s">
        <v>7012</v>
      </c>
      <c r="E96" s="14" t="s">
        <v>7019</v>
      </c>
      <c r="F96" s="17">
        <v>309807</v>
      </c>
      <c r="G96" s="6" t="str">
        <f t="shared" si="1"/>
        <v>KAKAO309807</v>
      </c>
      <c r="H96" s="17" t="s">
        <v>7113</v>
      </c>
    </row>
    <row r="97" spans="2:8" x14ac:dyDescent="0.3">
      <c r="B97" s="17" t="s">
        <v>8</v>
      </c>
      <c r="C97" s="17" t="s">
        <v>45</v>
      </c>
      <c r="D97" s="17" t="s">
        <v>1083</v>
      </c>
      <c r="E97" s="17" t="s">
        <v>1907</v>
      </c>
      <c r="F97" s="17">
        <v>140858</v>
      </c>
      <c r="G97" s="6" t="str">
        <f t="shared" si="1"/>
        <v>모먼트140858</v>
      </c>
      <c r="H97" s="17" t="s">
        <v>2</v>
      </c>
    </row>
    <row r="98" spans="2:8" x14ac:dyDescent="0.2">
      <c r="B98" s="17" t="s">
        <v>8</v>
      </c>
      <c r="C98" s="17" t="s">
        <v>14</v>
      </c>
      <c r="D98" s="17" t="s">
        <v>7114</v>
      </c>
      <c r="E98" s="14" t="s">
        <v>7115</v>
      </c>
      <c r="F98" s="17">
        <v>323901</v>
      </c>
      <c r="G98" s="6" t="str">
        <f t="shared" si="1"/>
        <v>KAKAO323901</v>
      </c>
      <c r="H98" s="17" t="s">
        <v>7116</v>
      </c>
    </row>
    <row r="99" spans="2:8" x14ac:dyDescent="0.3">
      <c r="B99" s="4" t="s">
        <v>6922</v>
      </c>
      <c r="C99" s="4" t="s">
        <v>6933</v>
      </c>
      <c r="D99" s="4" t="s">
        <v>7117</v>
      </c>
      <c r="E99" s="5" t="s">
        <v>7118</v>
      </c>
      <c r="F99" s="4" t="s">
        <v>7119</v>
      </c>
      <c r="G99" s="6" t="str">
        <f t="shared" si="1"/>
        <v>NAVERaaebon</v>
      </c>
      <c r="H99" s="4" t="s">
        <v>7037</v>
      </c>
    </row>
    <row r="100" spans="2:8" x14ac:dyDescent="0.3">
      <c r="B100" s="4" t="s">
        <v>6922</v>
      </c>
      <c r="C100" s="4" t="s">
        <v>6933</v>
      </c>
      <c r="D100" s="4" t="s">
        <v>7120</v>
      </c>
      <c r="E100" s="5" t="s">
        <v>7118</v>
      </c>
      <c r="F100" s="4" t="s">
        <v>7121</v>
      </c>
      <c r="G100" s="6" t="str">
        <f t="shared" si="1"/>
        <v>NAVERyoungwooddesign:naver</v>
      </c>
      <c r="H100" s="4" t="s">
        <v>7122</v>
      </c>
    </row>
    <row r="101" spans="2:8" x14ac:dyDescent="0.3">
      <c r="B101" s="4" t="s">
        <v>6922</v>
      </c>
      <c r="C101" s="4" t="s">
        <v>6933</v>
      </c>
      <c r="D101" s="4" t="s">
        <v>7123</v>
      </c>
      <c r="E101" s="5" t="s">
        <v>6891</v>
      </c>
      <c r="F101" s="4" t="s">
        <v>7124</v>
      </c>
      <c r="G101" s="6" t="str">
        <f t="shared" si="1"/>
        <v>NAVERjskysmac1</v>
      </c>
      <c r="H101" s="4" t="s">
        <v>7037</v>
      </c>
    </row>
    <row r="102" spans="2:8" x14ac:dyDescent="0.3">
      <c r="B102" s="4" t="s">
        <v>6922</v>
      </c>
      <c r="C102" s="4" t="s">
        <v>6923</v>
      </c>
      <c r="D102" s="4" t="s">
        <v>7125</v>
      </c>
      <c r="E102" s="5" t="s">
        <v>6891</v>
      </c>
      <c r="F102" s="4" t="s">
        <v>7126</v>
      </c>
      <c r="G102" s="6" t="str">
        <f t="shared" si="1"/>
        <v>NAVERdkk2424</v>
      </c>
      <c r="H102" s="4" t="s">
        <v>7037</v>
      </c>
    </row>
    <row r="103" spans="2:8" x14ac:dyDescent="0.3">
      <c r="B103" s="4" t="s">
        <v>41</v>
      </c>
      <c r="C103" s="4" t="s">
        <v>57</v>
      </c>
      <c r="D103" s="4" t="s">
        <v>1805</v>
      </c>
      <c r="E103" s="5" t="s">
        <v>6891</v>
      </c>
      <c r="F103" s="4" t="s">
        <v>7127</v>
      </c>
      <c r="G103" s="6" t="str">
        <f t="shared" si="1"/>
        <v>NAVERyudang</v>
      </c>
      <c r="H103" s="4" t="s">
        <v>7128</v>
      </c>
    </row>
    <row r="104" spans="2:8" x14ac:dyDescent="0.3">
      <c r="B104" s="4" t="s">
        <v>8</v>
      </c>
      <c r="C104" s="4" t="s">
        <v>31</v>
      </c>
      <c r="D104" s="4" t="s">
        <v>214</v>
      </c>
      <c r="E104" s="5" t="s">
        <v>7129</v>
      </c>
      <c r="F104" s="4" t="s">
        <v>7130</v>
      </c>
      <c r="G104" s="6" t="str">
        <f t="shared" si="1"/>
        <v>NAVERbaral8</v>
      </c>
      <c r="H104" s="4" t="s">
        <v>7131</v>
      </c>
    </row>
    <row r="105" spans="2:8" x14ac:dyDescent="0.3">
      <c r="B105" s="4" t="s">
        <v>8</v>
      </c>
      <c r="C105" s="4" t="s">
        <v>7132</v>
      </c>
      <c r="D105" s="4" t="s">
        <v>334</v>
      </c>
      <c r="E105" s="5" t="s">
        <v>7133</v>
      </c>
      <c r="F105" s="4" t="s">
        <v>7134</v>
      </c>
      <c r="G105" s="6" t="str">
        <f t="shared" si="1"/>
        <v>NAVERchlgns80</v>
      </c>
      <c r="H105" s="4" t="s">
        <v>7135</v>
      </c>
    </row>
    <row r="106" spans="2:8" x14ac:dyDescent="0.3">
      <c r="B106" s="4" t="s">
        <v>8</v>
      </c>
      <c r="C106" s="4" t="s">
        <v>122</v>
      </c>
      <c r="D106" s="4" t="s">
        <v>443</v>
      </c>
      <c r="E106" s="5" t="s">
        <v>6891</v>
      </c>
      <c r="F106" s="4" t="s">
        <v>7136</v>
      </c>
      <c r="G106" s="6" t="str">
        <f t="shared" si="1"/>
        <v>NAVERdidimdol_art</v>
      </c>
      <c r="H106" s="4" t="s">
        <v>7137</v>
      </c>
    </row>
    <row r="107" spans="2:8" x14ac:dyDescent="0.3">
      <c r="B107" s="4" t="s">
        <v>8</v>
      </c>
      <c r="C107" s="4" t="s">
        <v>45</v>
      </c>
      <c r="D107" s="4" t="s">
        <v>350</v>
      </c>
      <c r="E107" s="5" t="s">
        <v>7133</v>
      </c>
      <c r="F107" s="4" t="s">
        <v>7138</v>
      </c>
      <c r="G107" s="6" t="str">
        <f t="shared" si="1"/>
        <v>NAVERchy7999</v>
      </c>
      <c r="H107" s="5" t="s">
        <v>7139</v>
      </c>
    </row>
    <row r="108" spans="2:8" x14ac:dyDescent="0.3">
      <c r="B108" s="4" t="s">
        <v>8</v>
      </c>
      <c r="C108" s="4" t="s">
        <v>45</v>
      </c>
      <c r="D108" s="4" t="s">
        <v>924</v>
      </c>
      <c r="E108" s="5" t="s">
        <v>6891</v>
      </c>
      <c r="F108" s="4" t="s">
        <v>7140</v>
      </c>
      <c r="G108" s="6" t="str">
        <f t="shared" si="1"/>
        <v>NAVERjslee6702</v>
      </c>
      <c r="H108" s="5" t="s">
        <v>7139</v>
      </c>
    </row>
    <row r="109" spans="2:8" x14ac:dyDescent="0.3">
      <c r="B109" s="4" t="s">
        <v>8</v>
      </c>
      <c r="C109" s="4" t="s">
        <v>35</v>
      </c>
      <c r="D109" s="4" t="s">
        <v>616</v>
      </c>
      <c r="E109" s="5" t="s">
        <v>7133</v>
      </c>
      <c r="F109" s="4" t="s">
        <v>7141</v>
      </c>
      <c r="G109" s="6" t="str">
        <f t="shared" si="1"/>
        <v>NAVERgain5766766</v>
      </c>
      <c r="H109" s="4" t="s">
        <v>7142</v>
      </c>
    </row>
    <row r="110" spans="2:8" x14ac:dyDescent="0.3">
      <c r="B110" s="4" t="s">
        <v>8</v>
      </c>
      <c r="C110" s="4" t="s">
        <v>20</v>
      </c>
      <c r="D110" s="4" t="s">
        <v>7143</v>
      </c>
      <c r="E110" s="5" t="s">
        <v>6891</v>
      </c>
      <c r="F110" s="4" t="s">
        <v>7144</v>
      </c>
      <c r="G110" s="6" t="str">
        <f t="shared" si="1"/>
        <v>NAVERvjtmxm0906</v>
      </c>
      <c r="H110" s="4" t="s">
        <v>7081</v>
      </c>
    </row>
    <row r="111" spans="2:8" x14ac:dyDescent="0.3">
      <c r="B111" s="4" t="s">
        <v>8</v>
      </c>
      <c r="C111" s="4" t="s">
        <v>6899</v>
      </c>
      <c r="D111" s="4" t="s">
        <v>7145</v>
      </c>
      <c r="E111" s="4" t="s">
        <v>1824</v>
      </c>
      <c r="F111" s="4">
        <v>330292</v>
      </c>
      <c r="G111" s="6" t="str">
        <f t="shared" si="1"/>
        <v>KAKAO330292</v>
      </c>
      <c r="H111" s="4" t="s">
        <v>7146</v>
      </c>
    </row>
    <row r="112" spans="2:8" x14ac:dyDescent="0.3">
      <c r="B112" s="4" t="s">
        <v>8</v>
      </c>
      <c r="C112" s="4" t="s">
        <v>6899</v>
      </c>
      <c r="D112" s="4" t="s">
        <v>7147</v>
      </c>
      <c r="E112" s="4" t="s">
        <v>1824</v>
      </c>
      <c r="F112" s="4">
        <v>313716</v>
      </c>
      <c r="G112" s="6" t="str">
        <f t="shared" si="1"/>
        <v>KAKAO313716</v>
      </c>
      <c r="H112" s="4" t="s">
        <v>7146</v>
      </c>
    </row>
    <row r="113" spans="2:8" x14ac:dyDescent="0.3">
      <c r="B113" s="4" t="s">
        <v>8</v>
      </c>
      <c r="C113" s="4" t="s">
        <v>7132</v>
      </c>
      <c r="D113" s="4" t="s">
        <v>1306</v>
      </c>
      <c r="E113" s="4" t="s">
        <v>1824</v>
      </c>
      <c r="F113" s="4">
        <v>310521</v>
      </c>
      <c r="G113" s="6" t="str">
        <f t="shared" si="1"/>
        <v>KAKAO310521</v>
      </c>
      <c r="H113" s="4" t="s">
        <v>7148</v>
      </c>
    </row>
    <row r="114" spans="2:8" x14ac:dyDescent="0.3">
      <c r="B114" s="4" t="s">
        <v>6922</v>
      </c>
      <c r="C114" s="4" t="s">
        <v>6933</v>
      </c>
      <c r="D114" s="4" t="s">
        <v>7149</v>
      </c>
      <c r="E114" s="5" t="s">
        <v>6891</v>
      </c>
      <c r="F114" s="4" t="s">
        <v>7150</v>
      </c>
      <c r="G114" s="6" t="str">
        <f t="shared" si="1"/>
        <v>NAVERsten245</v>
      </c>
      <c r="H114" s="4" t="s">
        <v>7081</v>
      </c>
    </row>
    <row r="115" spans="2:8" x14ac:dyDescent="0.3">
      <c r="B115" s="4" t="s">
        <v>6922</v>
      </c>
      <c r="C115" s="4" t="s">
        <v>6933</v>
      </c>
      <c r="D115" s="4" t="s">
        <v>7151</v>
      </c>
      <c r="E115" s="5" t="s">
        <v>6891</v>
      </c>
      <c r="F115" s="4" t="s">
        <v>7152</v>
      </c>
      <c r="G115" s="6" t="str">
        <f t="shared" si="1"/>
        <v>NAVERlay_wing:naver</v>
      </c>
      <c r="H115" s="4" t="s">
        <v>7037</v>
      </c>
    </row>
    <row r="116" spans="2:8" x14ac:dyDescent="0.3">
      <c r="B116" s="4" t="s">
        <v>6922</v>
      </c>
      <c r="C116" s="4" t="s">
        <v>6933</v>
      </c>
      <c r="D116" s="4" t="s">
        <v>7153</v>
      </c>
      <c r="E116" s="5" t="s">
        <v>6891</v>
      </c>
      <c r="F116" s="4" t="s">
        <v>7154</v>
      </c>
      <c r="G116" s="6" t="str">
        <f t="shared" si="1"/>
        <v>NAVERwjsk0903:naver</v>
      </c>
      <c r="H116" s="4" t="s">
        <v>7037</v>
      </c>
    </row>
    <row r="117" spans="2:8" x14ac:dyDescent="0.3">
      <c r="B117" s="4" t="s">
        <v>6922</v>
      </c>
      <c r="C117" s="4" t="s">
        <v>6933</v>
      </c>
      <c r="D117" s="4" t="s">
        <v>7155</v>
      </c>
      <c r="E117" s="5" t="s">
        <v>7133</v>
      </c>
      <c r="F117" s="4" t="s">
        <v>7156</v>
      </c>
      <c r="G117" s="6" t="str">
        <f t="shared" si="1"/>
        <v>NAVERherbsecret:naver</v>
      </c>
      <c r="H117" s="4" t="s">
        <v>7037</v>
      </c>
    </row>
    <row r="118" spans="2:8" x14ac:dyDescent="0.3">
      <c r="B118" s="4" t="s">
        <v>6922</v>
      </c>
      <c r="C118" s="4" t="s">
        <v>6923</v>
      </c>
      <c r="D118" s="4" t="s">
        <v>7157</v>
      </c>
      <c r="E118" s="5" t="s">
        <v>7129</v>
      </c>
      <c r="F118" s="4" t="s">
        <v>7158</v>
      </c>
      <c r="G118" s="6" t="str">
        <f t="shared" si="1"/>
        <v>NAVERtlsrbwoo:naver</v>
      </c>
      <c r="H118" s="4" t="s">
        <v>7081</v>
      </c>
    </row>
    <row r="119" spans="2:8" x14ac:dyDescent="0.3">
      <c r="B119" s="4" t="s">
        <v>6922</v>
      </c>
      <c r="C119" s="4" t="s">
        <v>6923</v>
      </c>
      <c r="D119" s="4" t="s">
        <v>7159</v>
      </c>
      <c r="E119" s="5" t="s">
        <v>7129</v>
      </c>
      <c r="F119" s="4" t="s">
        <v>7160</v>
      </c>
      <c r="G119" s="6" t="str">
        <f t="shared" si="1"/>
        <v>NAVERkej68913:naver</v>
      </c>
      <c r="H119" s="4" t="s">
        <v>7081</v>
      </c>
    </row>
    <row r="120" spans="2:8" x14ac:dyDescent="0.3">
      <c r="B120" s="4" t="s">
        <v>6922</v>
      </c>
      <c r="C120" s="4" t="s">
        <v>6923</v>
      </c>
      <c r="D120" s="4" t="s">
        <v>7161</v>
      </c>
      <c r="E120" s="5" t="s">
        <v>6891</v>
      </c>
      <c r="F120" s="4" t="s">
        <v>7162</v>
      </c>
      <c r="G120" s="6" t="str">
        <f t="shared" si="1"/>
        <v>NAVERhansolplus79</v>
      </c>
      <c r="H120" s="4" t="s">
        <v>7037</v>
      </c>
    </row>
    <row r="121" spans="2:8" x14ac:dyDescent="0.3">
      <c r="B121" s="4" t="s">
        <v>6922</v>
      </c>
      <c r="C121" s="4" t="s">
        <v>6923</v>
      </c>
      <c r="D121" s="4" t="s">
        <v>7163</v>
      </c>
      <c r="E121" s="5" t="s">
        <v>7118</v>
      </c>
      <c r="F121" s="4" t="s">
        <v>7164</v>
      </c>
      <c r="G121" s="6" t="str">
        <f t="shared" si="1"/>
        <v>NAVERideacrew</v>
      </c>
      <c r="H121" s="4" t="s">
        <v>7081</v>
      </c>
    </row>
    <row r="122" spans="2:8" x14ac:dyDescent="0.3">
      <c r="B122" s="4" t="s">
        <v>16</v>
      </c>
      <c r="C122" s="4" t="s">
        <v>446</v>
      </c>
      <c r="D122" s="4" t="s">
        <v>7165</v>
      </c>
      <c r="E122" s="5" t="s">
        <v>7133</v>
      </c>
      <c r="F122" s="4" t="s">
        <v>7166</v>
      </c>
      <c r="G122" s="6" t="str">
        <f t="shared" si="1"/>
        <v>NAVERjhonsoyoung:naver</v>
      </c>
      <c r="H122" s="4" t="s">
        <v>7167</v>
      </c>
    </row>
    <row r="123" spans="2:8" x14ac:dyDescent="0.3">
      <c r="B123" s="4" t="s">
        <v>8</v>
      </c>
      <c r="C123" s="4" t="s">
        <v>27</v>
      </c>
      <c r="D123" s="4" t="s">
        <v>1908</v>
      </c>
      <c r="E123" s="4" t="s">
        <v>1907</v>
      </c>
      <c r="F123" s="4">
        <v>124348</v>
      </c>
      <c r="G123" s="6" t="str">
        <f t="shared" si="1"/>
        <v>모먼트124348</v>
      </c>
      <c r="H123" s="4" t="s">
        <v>7168</v>
      </c>
    </row>
    <row r="124" spans="2:8" x14ac:dyDescent="0.3">
      <c r="B124" s="4" t="s">
        <v>8</v>
      </c>
      <c r="C124" s="4" t="s">
        <v>27</v>
      </c>
      <c r="D124" s="4" t="s">
        <v>864</v>
      </c>
      <c r="E124" s="4" t="s">
        <v>1824</v>
      </c>
      <c r="F124" s="4">
        <v>320014</v>
      </c>
      <c r="G124" s="6" t="str">
        <f t="shared" si="1"/>
        <v>KAKAO320014</v>
      </c>
      <c r="H124" s="4" t="s">
        <v>7169</v>
      </c>
    </row>
    <row r="125" spans="2:8" x14ac:dyDescent="0.3">
      <c r="B125" s="4" t="s">
        <v>6922</v>
      </c>
      <c r="C125" s="4" t="s">
        <v>6933</v>
      </c>
      <c r="D125" s="4" t="s">
        <v>7170</v>
      </c>
      <c r="E125" s="5" t="s">
        <v>6891</v>
      </c>
      <c r="F125" s="4" t="s">
        <v>7171</v>
      </c>
      <c r="G125" s="6" t="str">
        <f t="shared" si="1"/>
        <v>NAVERwk8582</v>
      </c>
      <c r="H125" s="4" t="s">
        <v>7172</v>
      </c>
    </row>
    <row r="126" spans="2:8" x14ac:dyDescent="0.3">
      <c r="B126" s="4" t="s">
        <v>6922</v>
      </c>
      <c r="C126" s="4" t="s">
        <v>6933</v>
      </c>
      <c r="D126" s="4" t="s">
        <v>7173</v>
      </c>
      <c r="E126" s="5" t="s">
        <v>6891</v>
      </c>
      <c r="F126" s="4" t="s">
        <v>7174</v>
      </c>
      <c r="G126" s="6" t="str">
        <f t="shared" si="1"/>
        <v>NAVERsjha63</v>
      </c>
      <c r="H126" s="4" t="s">
        <v>7037</v>
      </c>
    </row>
    <row r="127" spans="2:8" x14ac:dyDescent="0.3">
      <c r="B127" s="4" t="s">
        <v>6922</v>
      </c>
      <c r="C127" s="4" t="s">
        <v>6933</v>
      </c>
      <c r="D127" s="4" t="s">
        <v>7175</v>
      </c>
      <c r="E127" s="5" t="s">
        <v>6891</v>
      </c>
      <c r="F127" s="4" t="s">
        <v>7176</v>
      </c>
      <c r="G127" s="6" t="str">
        <f t="shared" si="1"/>
        <v>NAVERorchid0501</v>
      </c>
      <c r="H127" s="4" t="s">
        <v>7177</v>
      </c>
    </row>
    <row r="128" spans="2:8" x14ac:dyDescent="0.3">
      <c r="B128" s="4" t="s">
        <v>6922</v>
      </c>
      <c r="C128" s="4" t="s">
        <v>6933</v>
      </c>
      <c r="D128" s="4" t="s">
        <v>7178</v>
      </c>
      <c r="E128" s="5" t="s">
        <v>6891</v>
      </c>
      <c r="F128" s="4" t="s">
        <v>7179</v>
      </c>
      <c r="G128" s="6" t="str">
        <f t="shared" si="1"/>
        <v>NAVERlineunion:naver</v>
      </c>
      <c r="H128" s="4" t="s">
        <v>7081</v>
      </c>
    </row>
    <row r="129" spans="2:8" x14ac:dyDescent="0.3">
      <c r="B129" s="4" t="s">
        <v>6922</v>
      </c>
      <c r="C129" s="4" t="s">
        <v>6933</v>
      </c>
      <c r="D129" s="4" t="s">
        <v>7180</v>
      </c>
      <c r="E129" s="5" t="s">
        <v>6891</v>
      </c>
      <c r="F129" s="4" t="s">
        <v>7181</v>
      </c>
      <c r="G129" s="6" t="str">
        <f t="shared" si="1"/>
        <v>NAVERjkinspir:naver</v>
      </c>
      <c r="H129" s="4" t="s">
        <v>7177</v>
      </c>
    </row>
    <row r="130" spans="2:8" x14ac:dyDescent="0.3">
      <c r="B130" s="4" t="s">
        <v>16</v>
      </c>
      <c r="C130" s="4" t="s">
        <v>262</v>
      </c>
      <c r="D130" s="4" t="s">
        <v>289</v>
      </c>
      <c r="E130" s="5" t="s">
        <v>6891</v>
      </c>
      <c r="F130" s="4" t="s">
        <v>7182</v>
      </c>
      <c r="G130" s="6" t="str">
        <f t="shared" si="1"/>
        <v>NAVERbulsapa1</v>
      </c>
      <c r="H130" s="4" t="s">
        <v>7037</v>
      </c>
    </row>
    <row r="131" spans="2:8" x14ac:dyDescent="0.3">
      <c r="B131" s="4" t="s">
        <v>6922</v>
      </c>
      <c r="C131" s="4" t="s">
        <v>6923</v>
      </c>
      <c r="D131" s="4" t="s">
        <v>7183</v>
      </c>
      <c r="E131" s="5" t="s">
        <v>7129</v>
      </c>
      <c r="F131" s="4" t="s">
        <v>7184</v>
      </c>
      <c r="G131" s="6" t="str">
        <f t="shared" si="1"/>
        <v>NAVERjmconnected</v>
      </c>
      <c r="H131" s="4" t="s">
        <v>7037</v>
      </c>
    </row>
    <row r="132" spans="2:8" x14ac:dyDescent="0.3">
      <c r="B132" s="4" t="s">
        <v>6922</v>
      </c>
      <c r="C132" s="4" t="s">
        <v>6923</v>
      </c>
      <c r="D132" s="4" t="s">
        <v>7185</v>
      </c>
      <c r="E132" s="5" t="s">
        <v>7133</v>
      </c>
      <c r="F132" s="4" t="s">
        <v>7186</v>
      </c>
      <c r="G132" s="6" t="str">
        <f t="shared" ref="G132:G140" si="2">CONCATENATE(E132,F132)</f>
        <v>NAVERichacare:naver</v>
      </c>
      <c r="H132" s="4" t="s">
        <v>7037</v>
      </c>
    </row>
    <row r="133" spans="2:8" x14ac:dyDescent="0.3">
      <c r="B133" s="4" t="s">
        <v>22</v>
      </c>
      <c r="C133" s="4" t="s">
        <v>86</v>
      </c>
      <c r="D133" s="4" t="s">
        <v>87</v>
      </c>
      <c r="E133" s="5" t="s">
        <v>6891</v>
      </c>
      <c r="F133" s="4" t="s">
        <v>7187</v>
      </c>
      <c r="G133" s="6" t="str">
        <f t="shared" si="2"/>
        <v>NAVER8615694:naver</v>
      </c>
      <c r="H133" s="4" t="s">
        <v>7037</v>
      </c>
    </row>
    <row r="134" spans="2:8" x14ac:dyDescent="0.3">
      <c r="B134" s="4" t="s">
        <v>16</v>
      </c>
      <c r="C134" s="4" t="s">
        <v>371</v>
      </c>
      <c r="D134" s="4" t="s">
        <v>1529</v>
      </c>
      <c r="E134" s="5" t="s">
        <v>7118</v>
      </c>
      <c r="F134" s="4" t="s">
        <v>7188</v>
      </c>
      <c r="G134" s="6" t="str">
        <f t="shared" si="2"/>
        <v>NAVERskyfestival</v>
      </c>
      <c r="H134" s="4" t="s">
        <v>7189</v>
      </c>
    </row>
    <row r="135" spans="2:8" x14ac:dyDescent="0.3">
      <c r="B135" s="4" t="s">
        <v>16</v>
      </c>
      <c r="C135" s="4" t="s">
        <v>371</v>
      </c>
      <c r="D135" s="4" t="s">
        <v>7190</v>
      </c>
      <c r="E135" s="5" t="s">
        <v>6891</v>
      </c>
      <c r="F135" s="4" t="s">
        <v>7191</v>
      </c>
      <c r="G135" s="6" t="str">
        <f t="shared" si="2"/>
        <v>NAVERkscam</v>
      </c>
      <c r="H135" s="4" t="s">
        <v>7189</v>
      </c>
    </row>
    <row r="136" spans="2:8" x14ac:dyDescent="0.3">
      <c r="B136" s="4" t="s">
        <v>6922</v>
      </c>
      <c r="C136" s="4" t="s">
        <v>6933</v>
      </c>
      <c r="D136" s="4" t="s">
        <v>7192</v>
      </c>
      <c r="E136" s="4" t="s">
        <v>1907</v>
      </c>
      <c r="F136" s="4">
        <v>333346</v>
      </c>
      <c r="G136" s="6" t="str">
        <f t="shared" si="2"/>
        <v>모먼트333346</v>
      </c>
      <c r="H136" s="4" t="s">
        <v>7081</v>
      </c>
    </row>
    <row r="137" spans="2:8" x14ac:dyDescent="0.3">
      <c r="B137" s="4" t="s">
        <v>8</v>
      </c>
      <c r="C137" s="4" t="s">
        <v>39</v>
      </c>
      <c r="D137" s="4" t="s">
        <v>1879</v>
      </c>
      <c r="E137" s="4" t="s">
        <v>1824</v>
      </c>
      <c r="F137" s="4">
        <v>329859</v>
      </c>
      <c r="G137" s="6" t="str">
        <f t="shared" si="2"/>
        <v>KAKAO329859</v>
      </c>
      <c r="H137" s="4" t="s">
        <v>7193</v>
      </c>
    </row>
    <row r="138" spans="2:8" x14ac:dyDescent="0.3">
      <c r="B138" s="4" t="s">
        <v>16</v>
      </c>
      <c r="C138" s="4" t="s">
        <v>244</v>
      </c>
      <c r="D138" s="4" t="s">
        <v>7194</v>
      </c>
      <c r="E138" s="4" t="s">
        <v>1824</v>
      </c>
      <c r="F138" s="4">
        <v>298780</v>
      </c>
      <c r="G138" s="6" t="str">
        <f t="shared" si="2"/>
        <v>KAKAO298780</v>
      </c>
      <c r="H138" s="4" t="s">
        <v>7195</v>
      </c>
    </row>
    <row r="139" spans="2:8" x14ac:dyDescent="0.3">
      <c r="B139" s="4" t="s">
        <v>16</v>
      </c>
      <c r="C139" s="4" t="s">
        <v>244</v>
      </c>
      <c r="D139" s="4" t="s">
        <v>7196</v>
      </c>
      <c r="E139" s="4" t="s">
        <v>1907</v>
      </c>
      <c r="F139" s="4">
        <v>140250</v>
      </c>
      <c r="G139" s="6" t="str">
        <f t="shared" si="2"/>
        <v>모먼트140250</v>
      </c>
      <c r="H139" s="4" t="s">
        <v>7197</v>
      </c>
    </row>
    <row r="140" spans="2:8" x14ac:dyDescent="0.3">
      <c r="B140" s="4" t="s">
        <v>7198</v>
      </c>
      <c r="C140" s="4" t="s">
        <v>6933</v>
      </c>
      <c r="D140" s="4" t="s">
        <v>7180</v>
      </c>
      <c r="E140" s="5" t="s">
        <v>7133</v>
      </c>
      <c r="F140" s="4" t="s">
        <v>7181</v>
      </c>
      <c r="G140" s="6" t="str">
        <f t="shared" si="2"/>
        <v>NAVERjkinspir:naver</v>
      </c>
      <c r="H140" s="4" t="s">
        <v>7081</v>
      </c>
    </row>
    <row r="141" spans="2:8" x14ac:dyDescent="0.3">
      <c r="B141" s="4" t="s">
        <v>7198</v>
      </c>
      <c r="C141" s="4" t="s">
        <v>6933</v>
      </c>
      <c r="D141" s="4" t="s">
        <v>7199</v>
      </c>
      <c r="E141" s="5" t="s">
        <v>6891</v>
      </c>
      <c r="F141" s="4" t="s">
        <v>7200</v>
      </c>
      <c r="G141" s="6" t="str">
        <f>CONCATENATE(E141,F141)</f>
        <v>NAVERehddn0611:naver</v>
      </c>
      <c r="H141" s="4" t="s">
        <v>7081</v>
      </c>
    </row>
    <row r="142" spans="2:8" x14ac:dyDescent="0.3">
      <c r="B142" s="4" t="s">
        <v>7198</v>
      </c>
      <c r="C142" s="4" t="s">
        <v>6923</v>
      </c>
      <c r="D142" s="4" t="s">
        <v>7201</v>
      </c>
      <c r="E142" s="5" t="s">
        <v>6891</v>
      </c>
      <c r="F142" s="4" t="s">
        <v>7202</v>
      </c>
      <c r="G142" s="6" t="str">
        <f t="shared" ref="G142" si="3">CONCATENATE(E142,F142)</f>
        <v>NAVERqkrrkswltka:naver</v>
      </c>
      <c r="H142" s="4" t="s">
        <v>7081</v>
      </c>
    </row>
    <row r="143" spans="2:8" x14ac:dyDescent="0.3">
      <c r="B143" s="4" t="s">
        <v>41</v>
      </c>
      <c r="C143" s="4" t="s">
        <v>62</v>
      </c>
      <c r="D143" s="4" t="s">
        <v>347</v>
      </c>
      <c r="E143" s="5" t="s">
        <v>11</v>
      </c>
      <c r="F143" s="4" t="s">
        <v>7203</v>
      </c>
      <c r="G143" s="6" t="s">
        <v>7204</v>
      </c>
      <c r="H143" s="4" t="s">
        <v>7205</v>
      </c>
    </row>
    <row r="144" spans="2:8" x14ac:dyDescent="0.3">
      <c r="B144" s="4" t="s">
        <v>41</v>
      </c>
      <c r="C144" s="4" t="s">
        <v>62</v>
      </c>
      <c r="D144" s="4" t="s">
        <v>1213</v>
      </c>
      <c r="E144" s="5" t="s">
        <v>1907</v>
      </c>
      <c r="F144" s="4">
        <v>189723</v>
      </c>
      <c r="G144" s="6" t="s">
        <v>7206</v>
      </c>
      <c r="H144" s="4" t="s">
        <v>7207</v>
      </c>
    </row>
    <row r="145" spans="2:8" x14ac:dyDescent="0.3">
      <c r="B145" s="4" t="s">
        <v>7208</v>
      </c>
      <c r="C145" s="5" t="s">
        <v>7209</v>
      </c>
      <c r="D145" s="5" t="s">
        <v>7210</v>
      </c>
      <c r="E145" s="4" t="s">
        <v>7115</v>
      </c>
      <c r="F145" s="4" t="s">
        <v>7211</v>
      </c>
      <c r="G145" s="6" t="str">
        <f>CONCATENATE(E145,F145)</f>
        <v>KAKAO323944</v>
      </c>
      <c r="H145" s="5" t="s">
        <v>7212</v>
      </c>
    </row>
    <row r="146" spans="2:8" x14ac:dyDescent="0.3">
      <c r="B146" s="4" t="s">
        <v>7208</v>
      </c>
      <c r="C146" s="5" t="s">
        <v>7213</v>
      </c>
      <c r="D146" s="5" t="s">
        <v>7214</v>
      </c>
      <c r="E146" s="4" t="s">
        <v>7115</v>
      </c>
      <c r="F146" s="4" t="s">
        <v>7215</v>
      </c>
      <c r="G146" s="6" t="str">
        <f t="shared" ref="G146:G147" si="4">CONCATENATE(E146,F146)</f>
        <v>KAKAO327123</v>
      </c>
      <c r="H146" s="5" t="s">
        <v>7212</v>
      </c>
    </row>
    <row r="147" spans="2:8" x14ac:dyDescent="0.3">
      <c r="B147" s="4" t="s">
        <v>7208</v>
      </c>
      <c r="C147" s="5" t="s">
        <v>7216</v>
      </c>
      <c r="D147" s="5" t="s">
        <v>7217</v>
      </c>
      <c r="E147" s="4" t="s">
        <v>7019</v>
      </c>
      <c r="F147" s="4" t="s">
        <v>7218</v>
      </c>
      <c r="G147" s="6" t="str">
        <f t="shared" si="4"/>
        <v>KAKAO318523</v>
      </c>
      <c r="H147" s="5" t="s">
        <v>7219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20221205095104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2022-12-05T01:59:59Z</dcterms:created>
  <dcterms:modified xsi:type="dcterms:W3CDTF">2022-12-05T01:59:59Z</dcterms:modified>
</cp:coreProperties>
</file>