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victor/【F】Repository/KWL/file/geo/"/>
    </mc:Choice>
  </mc:AlternateContent>
  <xr:revisionPtr revIDLastSave="0" documentId="13_ncr:1_{8E4096A4-4839-EE4B-8757-C7B8D23B7B37}" xr6:coauthVersionLast="47" xr6:coauthVersionMax="47" xr10:uidLastSave="{00000000-0000-0000-0000-000000000000}"/>
  <bookViews>
    <workbookView xWindow="940" yWindow="500" windowWidth="32680" windowHeight="20500" xr2:uid="{00000000-000D-0000-FFFF-FFFF00000000}"/>
  </bookViews>
  <sheets>
    <sheet name="Sheet1" sheetId="1" r:id="rId1"/>
    <sheet name="方言分布" sheetId="2" r:id="rId2"/>
    <sheet name="prov_language" sheetId="3" r:id="rId3"/>
    <sheet name="复合指标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>Sheet1!$A$1:$AB$218</definedName>
    <definedName name="_xlnm._FilterDatabase" localSheetId="1" hidden="1">方言分布!$A$1:$B$1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89" i="1" l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7" i="1"/>
  <c r="AM217" i="1"/>
  <c r="AN217" i="1"/>
  <c r="AJ218" i="1"/>
  <c r="AK218" i="1"/>
  <c r="AL218" i="1"/>
  <c r="AM218" i="1"/>
  <c r="AN218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3" i="1"/>
  <c r="AK3" i="1"/>
  <c r="AL3" i="1"/>
  <c r="AM3" i="1"/>
  <c r="AN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M188" i="1"/>
  <c r="AL188" i="1"/>
  <c r="AK188" i="1"/>
  <c r="AJ188" i="1"/>
  <c r="AN188" i="1"/>
  <c r="AN157" i="1"/>
  <c r="AM157" i="1"/>
  <c r="AL157" i="1"/>
  <c r="AK157" i="1"/>
  <c r="AJ157" i="1"/>
  <c r="AN126" i="1"/>
  <c r="AM126" i="1"/>
  <c r="AL126" i="1"/>
  <c r="AK126" i="1"/>
  <c r="AJ126" i="1"/>
  <c r="AN95" i="1"/>
  <c r="AM95" i="1"/>
  <c r="AL95" i="1"/>
  <c r="AK95" i="1"/>
  <c r="AJ95" i="1"/>
  <c r="AN64" i="1"/>
  <c r="AM64" i="1"/>
  <c r="AL64" i="1"/>
  <c r="AK64" i="1"/>
  <c r="AJ64" i="1"/>
  <c r="AN33" i="1"/>
  <c r="AM33" i="1"/>
  <c r="AL33" i="1"/>
  <c r="AK33" i="1"/>
  <c r="AJ33" i="1"/>
  <c r="AN2" i="1"/>
  <c r="AM2" i="1"/>
  <c r="AL2" i="1"/>
  <c r="AK2" i="1"/>
  <c r="AJ2" i="1"/>
  <c r="E6" i="2"/>
  <c r="H2" i="2"/>
  <c r="E3" i="2"/>
  <c r="E4" i="2"/>
  <c r="E7" i="2"/>
  <c r="H4" i="2"/>
  <c r="H5" i="2"/>
  <c r="E5" i="2"/>
  <c r="E2" i="2"/>
  <c r="H6" i="2"/>
  <c r="H7" i="2"/>
  <c r="E8" i="2"/>
  <c r="H8" i="2"/>
  <c r="H3" i="2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D188" i="1"/>
  <c r="AD157" i="1"/>
  <c r="AD126" i="1"/>
  <c r="AD95" i="1"/>
  <c r="AD64" i="1"/>
  <c r="AD33" i="1"/>
  <c r="AC188" i="1"/>
  <c r="AC157" i="1"/>
  <c r="AC126" i="1"/>
  <c r="AC95" i="1"/>
  <c r="AC64" i="1"/>
  <c r="AC3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I189" i="1"/>
  <c r="AH189" i="1"/>
  <c r="R189" i="1"/>
  <c r="S189" i="1"/>
  <c r="T189" i="1"/>
  <c r="U189" i="1"/>
  <c r="V189" i="1"/>
  <c r="W189" i="1"/>
  <c r="X189" i="1"/>
  <c r="Y189" i="1"/>
  <c r="AA189" i="1"/>
  <c r="AB189" i="1"/>
  <c r="AG189" i="1"/>
  <c r="AI190" i="1"/>
  <c r="AH190" i="1"/>
  <c r="R190" i="1"/>
  <c r="S190" i="1"/>
  <c r="T190" i="1"/>
  <c r="U190" i="1"/>
  <c r="V190" i="1"/>
  <c r="W190" i="1"/>
  <c r="X190" i="1"/>
  <c r="Y190" i="1"/>
  <c r="AA190" i="1"/>
  <c r="AB190" i="1"/>
  <c r="AG190" i="1"/>
  <c r="AI191" i="1"/>
  <c r="AH191" i="1"/>
  <c r="R191" i="1"/>
  <c r="S191" i="1"/>
  <c r="T191" i="1"/>
  <c r="U191" i="1"/>
  <c r="V191" i="1"/>
  <c r="W191" i="1"/>
  <c r="X191" i="1"/>
  <c r="Y191" i="1"/>
  <c r="AA191" i="1"/>
  <c r="AB191" i="1"/>
  <c r="AG191" i="1"/>
  <c r="AI192" i="1"/>
  <c r="AH192" i="1"/>
  <c r="R192" i="1"/>
  <c r="S192" i="1"/>
  <c r="T192" i="1"/>
  <c r="U192" i="1"/>
  <c r="V192" i="1"/>
  <c r="W192" i="1"/>
  <c r="X192" i="1"/>
  <c r="Y192" i="1"/>
  <c r="AA192" i="1"/>
  <c r="AB192" i="1"/>
  <c r="AG192" i="1"/>
  <c r="AI193" i="1"/>
  <c r="AH193" i="1"/>
  <c r="R193" i="1"/>
  <c r="S193" i="1"/>
  <c r="T193" i="1"/>
  <c r="U193" i="1"/>
  <c r="V193" i="1"/>
  <c r="W193" i="1"/>
  <c r="X193" i="1"/>
  <c r="Y193" i="1"/>
  <c r="AA193" i="1"/>
  <c r="AB193" i="1"/>
  <c r="AG193" i="1"/>
  <c r="AI194" i="1"/>
  <c r="AH194" i="1"/>
  <c r="R194" i="1"/>
  <c r="S194" i="1"/>
  <c r="T194" i="1"/>
  <c r="U194" i="1"/>
  <c r="V194" i="1"/>
  <c r="W194" i="1"/>
  <c r="X194" i="1"/>
  <c r="Y194" i="1"/>
  <c r="AA194" i="1"/>
  <c r="AB194" i="1"/>
  <c r="AG194" i="1"/>
  <c r="AI195" i="1"/>
  <c r="AH195" i="1"/>
  <c r="R195" i="1"/>
  <c r="S195" i="1"/>
  <c r="T195" i="1"/>
  <c r="U195" i="1"/>
  <c r="V195" i="1"/>
  <c r="W195" i="1"/>
  <c r="X195" i="1"/>
  <c r="Y195" i="1"/>
  <c r="AA195" i="1"/>
  <c r="AB195" i="1"/>
  <c r="AG195" i="1"/>
  <c r="AI196" i="1"/>
  <c r="AH196" i="1"/>
  <c r="R196" i="1"/>
  <c r="S196" i="1"/>
  <c r="T196" i="1"/>
  <c r="U196" i="1"/>
  <c r="V196" i="1"/>
  <c r="W196" i="1"/>
  <c r="X196" i="1"/>
  <c r="Y196" i="1"/>
  <c r="AA196" i="1"/>
  <c r="AB196" i="1"/>
  <c r="AG196" i="1"/>
  <c r="AI197" i="1"/>
  <c r="AH197" i="1"/>
  <c r="R197" i="1"/>
  <c r="S197" i="1"/>
  <c r="T197" i="1"/>
  <c r="U197" i="1"/>
  <c r="V197" i="1"/>
  <c r="W197" i="1"/>
  <c r="X197" i="1"/>
  <c r="Y197" i="1"/>
  <c r="AA197" i="1"/>
  <c r="AB197" i="1"/>
  <c r="AG197" i="1"/>
  <c r="AI198" i="1"/>
  <c r="AH198" i="1"/>
  <c r="R198" i="1"/>
  <c r="S198" i="1"/>
  <c r="T198" i="1"/>
  <c r="U198" i="1"/>
  <c r="V198" i="1"/>
  <c r="W198" i="1"/>
  <c r="X198" i="1"/>
  <c r="Y198" i="1"/>
  <c r="AA198" i="1"/>
  <c r="AB198" i="1"/>
  <c r="AG198" i="1"/>
  <c r="AI199" i="1"/>
  <c r="AH199" i="1"/>
  <c r="R199" i="1"/>
  <c r="S199" i="1"/>
  <c r="T199" i="1"/>
  <c r="U199" i="1"/>
  <c r="V199" i="1"/>
  <c r="W199" i="1"/>
  <c r="X199" i="1"/>
  <c r="Y199" i="1"/>
  <c r="AA199" i="1"/>
  <c r="AB199" i="1"/>
  <c r="AG199" i="1"/>
  <c r="AI200" i="1"/>
  <c r="AH200" i="1"/>
  <c r="R200" i="1"/>
  <c r="S200" i="1"/>
  <c r="T200" i="1"/>
  <c r="U200" i="1"/>
  <c r="V200" i="1"/>
  <c r="W200" i="1"/>
  <c r="X200" i="1"/>
  <c r="Y200" i="1"/>
  <c r="AA200" i="1"/>
  <c r="AB200" i="1"/>
  <c r="AG200" i="1"/>
  <c r="AI201" i="1"/>
  <c r="AH201" i="1"/>
  <c r="R201" i="1"/>
  <c r="S201" i="1"/>
  <c r="T201" i="1"/>
  <c r="U201" i="1"/>
  <c r="V201" i="1"/>
  <c r="W201" i="1"/>
  <c r="X201" i="1"/>
  <c r="Y201" i="1"/>
  <c r="AA201" i="1"/>
  <c r="AB201" i="1"/>
  <c r="AG201" i="1"/>
  <c r="AI202" i="1"/>
  <c r="AH202" i="1"/>
  <c r="R202" i="1"/>
  <c r="S202" i="1"/>
  <c r="T202" i="1"/>
  <c r="U202" i="1"/>
  <c r="V202" i="1"/>
  <c r="W202" i="1"/>
  <c r="X202" i="1"/>
  <c r="Y202" i="1"/>
  <c r="AA202" i="1"/>
  <c r="AB202" i="1"/>
  <c r="AG202" i="1"/>
  <c r="AI203" i="1"/>
  <c r="AH203" i="1"/>
  <c r="R203" i="1"/>
  <c r="S203" i="1"/>
  <c r="T203" i="1"/>
  <c r="U203" i="1"/>
  <c r="V203" i="1"/>
  <c r="W203" i="1"/>
  <c r="X203" i="1"/>
  <c r="Y203" i="1"/>
  <c r="AA203" i="1"/>
  <c r="AB203" i="1"/>
  <c r="AG203" i="1"/>
  <c r="AI204" i="1"/>
  <c r="AH204" i="1"/>
  <c r="R204" i="1"/>
  <c r="S204" i="1"/>
  <c r="T204" i="1"/>
  <c r="U204" i="1"/>
  <c r="V204" i="1"/>
  <c r="W204" i="1"/>
  <c r="X204" i="1"/>
  <c r="Y204" i="1"/>
  <c r="AA204" i="1"/>
  <c r="AB204" i="1"/>
  <c r="AG204" i="1"/>
  <c r="AI205" i="1"/>
  <c r="AH205" i="1"/>
  <c r="R205" i="1"/>
  <c r="S205" i="1"/>
  <c r="T205" i="1"/>
  <c r="U205" i="1"/>
  <c r="V205" i="1"/>
  <c r="W205" i="1"/>
  <c r="X205" i="1"/>
  <c r="Y205" i="1"/>
  <c r="AA205" i="1"/>
  <c r="AB205" i="1"/>
  <c r="AG205" i="1"/>
  <c r="AI206" i="1"/>
  <c r="AH206" i="1"/>
  <c r="R206" i="1"/>
  <c r="S206" i="1"/>
  <c r="T206" i="1"/>
  <c r="U206" i="1"/>
  <c r="V206" i="1"/>
  <c r="W206" i="1"/>
  <c r="X206" i="1"/>
  <c r="Y206" i="1"/>
  <c r="AA206" i="1"/>
  <c r="AB206" i="1"/>
  <c r="AG206" i="1"/>
  <c r="AI207" i="1"/>
  <c r="AH207" i="1"/>
  <c r="R207" i="1"/>
  <c r="S207" i="1"/>
  <c r="T207" i="1"/>
  <c r="U207" i="1"/>
  <c r="V207" i="1"/>
  <c r="W207" i="1"/>
  <c r="X207" i="1"/>
  <c r="Y207" i="1"/>
  <c r="AA207" i="1"/>
  <c r="AB207" i="1"/>
  <c r="AG207" i="1"/>
  <c r="AI208" i="1"/>
  <c r="AH208" i="1"/>
  <c r="R208" i="1"/>
  <c r="S208" i="1"/>
  <c r="T208" i="1"/>
  <c r="U208" i="1"/>
  <c r="V208" i="1"/>
  <c r="W208" i="1"/>
  <c r="X208" i="1"/>
  <c r="Y208" i="1"/>
  <c r="AA208" i="1"/>
  <c r="AB208" i="1"/>
  <c r="AG208" i="1"/>
  <c r="AI209" i="1"/>
  <c r="AH209" i="1"/>
  <c r="R209" i="1"/>
  <c r="S209" i="1"/>
  <c r="T209" i="1"/>
  <c r="U209" i="1"/>
  <c r="V209" i="1"/>
  <c r="W209" i="1"/>
  <c r="X209" i="1"/>
  <c r="Y209" i="1"/>
  <c r="AA209" i="1"/>
  <c r="AB209" i="1"/>
  <c r="AG209" i="1"/>
  <c r="AI210" i="1"/>
  <c r="AH210" i="1"/>
  <c r="R210" i="1"/>
  <c r="S210" i="1"/>
  <c r="T210" i="1"/>
  <c r="U210" i="1"/>
  <c r="V210" i="1"/>
  <c r="W210" i="1"/>
  <c r="X210" i="1"/>
  <c r="Y210" i="1"/>
  <c r="AA210" i="1"/>
  <c r="AB210" i="1"/>
  <c r="AG210" i="1"/>
  <c r="AI211" i="1"/>
  <c r="AH211" i="1"/>
  <c r="R211" i="1"/>
  <c r="S211" i="1"/>
  <c r="T211" i="1"/>
  <c r="U211" i="1"/>
  <c r="V211" i="1"/>
  <c r="W211" i="1"/>
  <c r="X211" i="1"/>
  <c r="Y211" i="1"/>
  <c r="AA211" i="1"/>
  <c r="AB211" i="1"/>
  <c r="AG211" i="1"/>
  <c r="AI212" i="1"/>
  <c r="AH212" i="1"/>
  <c r="R212" i="1"/>
  <c r="S212" i="1"/>
  <c r="T212" i="1"/>
  <c r="U212" i="1"/>
  <c r="V212" i="1"/>
  <c r="W212" i="1"/>
  <c r="X212" i="1"/>
  <c r="Y212" i="1"/>
  <c r="AA212" i="1"/>
  <c r="AB212" i="1"/>
  <c r="AG212" i="1"/>
  <c r="AI213" i="1"/>
  <c r="AH213" i="1"/>
  <c r="R213" i="1"/>
  <c r="S213" i="1"/>
  <c r="T213" i="1"/>
  <c r="U213" i="1"/>
  <c r="V213" i="1"/>
  <c r="W213" i="1"/>
  <c r="X213" i="1"/>
  <c r="Y213" i="1"/>
  <c r="AA213" i="1"/>
  <c r="AB213" i="1"/>
  <c r="AG213" i="1"/>
  <c r="AI214" i="1"/>
  <c r="AH214" i="1"/>
  <c r="R214" i="1"/>
  <c r="S214" i="1"/>
  <c r="T214" i="1"/>
  <c r="U214" i="1"/>
  <c r="V214" i="1"/>
  <c r="W214" i="1"/>
  <c r="X214" i="1"/>
  <c r="Y214" i="1"/>
  <c r="AA214" i="1"/>
  <c r="AB214" i="1"/>
  <c r="AG214" i="1"/>
  <c r="AI215" i="1"/>
  <c r="AH215" i="1"/>
  <c r="R215" i="1"/>
  <c r="S215" i="1"/>
  <c r="T215" i="1"/>
  <c r="U215" i="1"/>
  <c r="V215" i="1"/>
  <c r="W215" i="1"/>
  <c r="X215" i="1"/>
  <c r="Y215" i="1"/>
  <c r="AA215" i="1"/>
  <c r="AB215" i="1"/>
  <c r="AG215" i="1"/>
  <c r="AI216" i="1"/>
  <c r="AH216" i="1"/>
  <c r="R216" i="1"/>
  <c r="S216" i="1"/>
  <c r="T216" i="1"/>
  <c r="U216" i="1"/>
  <c r="V216" i="1"/>
  <c r="W216" i="1"/>
  <c r="X216" i="1"/>
  <c r="Y216" i="1"/>
  <c r="AA216" i="1"/>
  <c r="AB216" i="1"/>
  <c r="AG216" i="1"/>
  <c r="AI217" i="1"/>
  <c r="AH217" i="1"/>
  <c r="R217" i="1"/>
  <c r="S217" i="1"/>
  <c r="T217" i="1"/>
  <c r="U217" i="1"/>
  <c r="V217" i="1"/>
  <c r="W217" i="1"/>
  <c r="X217" i="1"/>
  <c r="Y217" i="1"/>
  <c r="AA217" i="1"/>
  <c r="AB217" i="1"/>
  <c r="AG217" i="1"/>
  <c r="AI218" i="1"/>
  <c r="AH218" i="1"/>
  <c r="R218" i="1"/>
  <c r="S218" i="1"/>
  <c r="T218" i="1"/>
  <c r="U218" i="1"/>
  <c r="V218" i="1"/>
  <c r="W218" i="1"/>
  <c r="X218" i="1"/>
  <c r="Y218" i="1"/>
  <c r="AA218" i="1"/>
  <c r="AB218" i="1"/>
  <c r="AG218" i="1"/>
  <c r="AI158" i="1"/>
  <c r="AH158" i="1"/>
  <c r="S158" i="1"/>
  <c r="T158" i="1"/>
  <c r="U158" i="1"/>
  <c r="V158" i="1"/>
  <c r="W158" i="1"/>
  <c r="X158" i="1"/>
  <c r="Y158" i="1"/>
  <c r="AA158" i="1"/>
  <c r="AB158" i="1"/>
  <c r="AG158" i="1"/>
  <c r="AI159" i="1"/>
  <c r="AH159" i="1"/>
  <c r="S159" i="1"/>
  <c r="T159" i="1"/>
  <c r="U159" i="1"/>
  <c r="V159" i="1"/>
  <c r="W159" i="1"/>
  <c r="X159" i="1"/>
  <c r="Y159" i="1"/>
  <c r="AA159" i="1"/>
  <c r="AB159" i="1"/>
  <c r="AG159" i="1"/>
  <c r="AI160" i="1"/>
  <c r="AH160" i="1"/>
  <c r="S160" i="1"/>
  <c r="T160" i="1"/>
  <c r="U160" i="1"/>
  <c r="V160" i="1"/>
  <c r="W160" i="1"/>
  <c r="X160" i="1"/>
  <c r="Y160" i="1"/>
  <c r="AA160" i="1"/>
  <c r="AB160" i="1"/>
  <c r="AG160" i="1"/>
  <c r="AI161" i="1"/>
  <c r="AH161" i="1"/>
  <c r="S161" i="1"/>
  <c r="T161" i="1"/>
  <c r="U161" i="1"/>
  <c r="V161" i="1"/>
  <c r="W161" i="1"/>
  <c r="X161" i="1"/>
  <c r="Y161" i="1"/>
  <c r="AA161" i="1"/>
  <c r="AB161" i="1"/>
  <c r="AG161" i="1"/>
  <c r="AI162" i="1"/>
  <c r="AH162" i="1"/>
  <c r="S162" i="1"/>
  <c r="T162" i="1"/>
  <c r="U162" i="1"/>
  <c r="V162" i="1"/>
  <c r="W162" i="1"/>
  <c r="X162" i="1"/>
  <c r="Y162" i="1"/>
  <c r="AA162" i="1"/>
  <c r="AB162" i="1"/>
  <c r="AG162" i="1"/>
  <c r="AI163" i="1"/>
  <c r="AH163" i="1"/>
  <c r="S163" i="1"/>
  <c r="T163" i="1"/>
  <c r="U163" i="1"/>
  <c r="V163" i="1"/>
  <c r="W163" i="1"/>
  <c r="X163" i="1"/>
  <c r="Y163" i="1"/>
  <c r="AA163" i="1"/>
  <c r="AB163" i="1"/>
  <c r="AG163" i="1"/>
  <c r="AI164" i="1"/>
  <c r="AH164" i="1"/>
  <c r="S164" i="1"/>
  <c r="T164" i="1"/>
  <c r="U164" i="1"/>
  <c r="V164" i="1"/>
  <c r="W164" i="1"/>
  <c r="X164" i="1"/>
  <c r="Y164" i="1"/>
  <c r="AA164" i="1"/>
  <c r="AB164" i="1"/>
  <c r="AG164" i="1"/>
  <c r="AI165" i="1"/>
  <c r="AH165" i="1"/>
  <c r="S165" i="1"/>
  <c r="T165" i="1"/>
  <c r="U165" i="1"/>
  <c r="V165" i="1"/>
  <c r="W165" i="1"/>
  <c r="X165" i="1"/>
  <c r="Y165" i="1"/>
  <c r="AA165" i="1"/>
  <c r="AB165" i="1"/>
  <c r="AG165" i="1"/>
  <c r="AI166" i="1"/>
  <c r="AH166" i="1"/>
  <c r="S166" i="1"/>
  <c r="T166" i="1"/>
  <c r="U166" i="1"/>
  <c r="V166" i="1"/>
  <c r="W166" i="1"/>
  <c r="X166" i="1"/>
  <c r="Y166" i="1"/>
  <c r="AA166" i="1"/>
  <c r="AB166" i="1"/>
  <c r="AG166" i="1"/>
  <c r="AI167" i="1"/>
  <c r="AH167" i="1"/>
  <c r="S167" i="1"/>
  <c r="T167" i="1"/>
  <c r="U167" i="1"/>
  <c r="V167" i="1"/>
  <c r="W167" i="1"/>
  <c r="X167" i="1"/>
  <c r="Y167" i="1"/>
  <c r="AA167" i="1"/>
  <c r="AB167" i="1"/>
  <c r="AG167" i="1"/>
  <c r="AI168" i="1"/>
  <c r="AH168" i="1"/>
  <c r="S168" i="1"/>
  <c r="T168" i="1"/>
  <c r="U168" i="1"/>
  <c r="V168" i="1"/>
  <c r="W168" i="1"/>
  <c r="X168" i="1"/>
  <c r="Y168" i="1"/>
  <c r="AA168" i="1"/>
  <c r="AB168" i="1"/>
  <c r="AG168" i="1"/>
  <c r="AI169" i="1"/>
  <c r="AH169" i="1"/>
  <c r="S169" i="1"/>
  <c r="T169" i="1"/>
  <c r="U169" i="1"/>
  <c r="V169" i="1"/>
  <c r="W169" i="1"/>
  <c r="X169" i="1"/>
  <c r="Y169" i="1"/>
  <c r="AA169" i="1"/>
  <c r="AB169" i="1"/>
  <c r="AG169" i="1"/>
  <c r="AI170" i="1"/>
  <c r="AH170" i="1"/>
  <c r="S170" i="1"/>
  <c r="T170" i="1"/>
  <c r="U170" i="1"/>
  <c r="V170" i="1"/>
  <c r="W170" i="1"/>
  <c r="X170" i="1"/>
  <c r="Y170" i="1"/>
  <c r="AA170" i="1"/>
  <c r="AB170" i="1"/>
  <c r="AG170" i="1"/>
  <c r="AI171" i="1"/>
  <c r="AH171" i="1"/>
  <c r="S171" i="1"/>
  <c r="T171" i="1"/>
  <c r="U171" i="1"/>
  <c r="V171" i="1"/>
  <c r="W171" i="1"/>
  <c r="X171" i="1"/>
  <c r="Y171" i="1"/>
  <c r="AA171" i="1"/>
  <c r="AB171" i="1"/>
  <c r="AG171" i="1"/>
  <c r="AI172" i="1"/>
  <c r="AH172" i="1"/>
  <c r="S172" i="1"/>
  <c r="T172" i="1"/>
  <c r="U172" i="1"/>
  <c r="V172" i="1"/>
  <c r="W172" i="1"/>
  <c r="X172" i="1"/>
  <c r="Y172" i="1"/>
  <c r="AA172" i="1"/>
  <c r="AB172" i="1"/>
  <c r="AG172" i="1"/>
  <c r="AI173" i="1"/>
  <c r="AH173" i="1"/>
  <c r="S173" i="1"/>
  <c r="T173" i="1"/>
  <c r="U173" i="1"/>
  <c r="V173" i="1"/>
  <c r="W173" i="1"/>
  <c r="X173" i="1"/>
  <c r="Y173" i="1"/>
  <c r="AA173" i="1"/>
  <c r="AB173" i="1"/>
  <c r="AG173" i="1"/>
  <c r="AI174" i="1"/>
  <c r="AH174" i="1"/>
  <c r="S174" i="1"/>
  <c r="T174" i="1"/>
  <c r="U174" i="1"/>
  <c r="V174" i="1"/>
  <c r="W174" i="1"/>
  <c r="X174" i="1"/>
  <c r="Y174" i="1"/>
  <c r="AA174" i="1"/>
  <c r="AB174" i="1"/>
  <c r="AG174" i="1"/>
  <c r="AI175" i="1"/>
  <c r="AH175" i="1"/>
  <c r="S175" i="1"/>
  <c r="T175" i="1"/>
  <c r="U175" i="1"/>
  <c r="V175" i="1"/>
  <c r="W175" i="1"/>
  <c r="X175" i="1"/>
  <c r="Y175" i="1"/>
  <c r="AA175" i="1"/>
  <c r="AB175" i="1"/>
  <c r="AG175" i="1"/>
  <c r="AI176" i="1"/>
  <c r="AH176" i="1"/>
  <c r="S176" i="1"/>
  <c r="T176" i="1"/>
  <c r="U176" i="1"/>
  <c r="V176" i="1"/>
  <c r="W176" i="1"/>
  <c r="X176" i="1"/>
  <c r="Y176" i="1"/>
  <c r="AA176" i="1"/>
  <c r="AB176" i="1"/>
  <c r="AG176" i="1"/>
  <c r="AI177" i="1"/>
  <c r="AH177" i="1"/>
  <c r="S177" i="1"/>
  <c r="T177" i="1"/>
  <c r="U177" i="1"/>
  <c r="V177" i="1"/>
  <c r="W177" i="1"/>
  <c r="X177" i="1"/>
  <c r="Y177" i="1"/>
  <c r="AA177" i="1"/>
  <c r="AB177" i="1"/>
  <c r="AG177" i="1"/>
  <c r="AI178" i="1"/>
  <c r="AH178" i="1"/>
  <c r="S178" i="1"/>
  <c r="T178" i="1"/>
  <c r="U178" i="1"/>
  <c r="V178" i="1"/>
  <c r="W178" i="1"/>
  <c r="X178" i="1"/>
  <c r="Y178" i="1"/>
  <c r="AA178" i="1"/>
  <c r="AB178" i="1"/>
  <c r="AG178" i="1"/>
  <c r="AI179" i="1"/>
  <c r="AH179" i="1"/>
  <c r="S179" i="1"/>
  <c r="T179" i="1"/>
  <c r="U179" i="1"/>
  <c r="V179" i="1"/>
  <c r="W179" i="1"/>
  <c r="X179" i="1"/>
  <c r="Y179" i="1"/>
  <c r="AA179" i="1"/>
  <c r="AB179" i="1"/>
  <c r="AG179" i="1"/>
  <c r="AI180" i="1"/>
  <c r="AH180" i="1"/>
  <c r="S180" i="1"/>
  <c r="T180" i="1"/>
  <c r="U180" i="1"/>
  <c r="V180" i="1"/>
  <c r="W180" i="1"/>
  <c r="X180" i="1"/>
  <c r="Y180" i="1"/>
  <c r="AA180" i="1"/>
  <c r="AB180" i="1"/>
  <c r="AG180" i="1"/>
  <c r="AI181" i="1"/>
  <c r="AH181" i="1"/>
  <c r="S181" i="1"/>
  <c r="T181" i="1"/>
  <c r="U181" i="1"/>
  <c r="V181" i="1"/>
  <c r="W181" i="1"/>
  <c r="X181" i="1"/>
  <c r="Y181" i="1"/>
  <c r="AA181" i="1"/>
  <c r="AB181" i="1"/>
  <c r="AG181" i="1"/>
  <c r="AI182" i="1"/>
  <c r="AH182" i="1"/>
  <c r="S182" i="1"/>
  <c r="T182" i="1"/>
  <c r="U182" i="1"/>
  <c r="V182" i="1"/>
  <c r="W182" i="1"/>
  <c r="X182" i="1"/>
  <c r="Y182" i="1"/>
  <c r="AA182" i="1"/>
  <c r="AB182" i="1"/>
  <c r="AG182" i="1"/>
  <c r="AI183" i="1"/>
  <c r="AH183" i="1"/>
  <c r="S183" i="1"/>
  <c r="T183" i="1"/>
  <c r="U183" i="1"/>
  <c r="V183" i="1"/>
  <c r="W183" i="1"/>
  <c r="X183" i="1"/>
  <c r="Y183" i="1"/>
  <c r="AA183" i="1"/>
  <c r="AB183" i="1"/>
  <c r="AG183" i="1"/>
  <c r="AI184" i="1"/>
  <c r="AH184" i="1"/>
  <c r="S184" i="1"/>
  <c r="T184" i="1"/>
  <c r="U184" i="1"/>
  <c r="V184" i="1"/>
  <c r="W184" i="1"/>
  <c r="X184" i="1"/>
  <c r="Y184" i="1"/>
  <c r="AA184" i="1"/>
  <c r="AB184" i="1"/>
  <c r="AG184" i="1"/>
  <c r="AI185" i="1"/>
  <c r="AH185" i="1"/>
  <c r="S185" i="1"/>
  <c r="T185" i="1"/>
  <c r="U185" i="1"/>
  <c r="V185" i="1"/>
  <c r="W185" i="1"/>
  <c r="X185" i="1"/>
  <c r="Y185" i="1"/>
  <c r="AA185" i="1"/>
  <c r="AB185" i="1"/>
  <c r="AG185" i="1"/>
  <c r="AI186" i="1"/>
  <c r="AH186" i="1"/>
  <c r="S186" i="1"/>
  <c r="T186" i="1"/>
  <c r="U186" i="1"/>
  <c r="V186" i="1"/>
  <c r="W186" i="1"/>
  <c r="X186" i="1"/>
  <c r="Y186" i="1"/>
  <c r="AA186" i="1"/>
  <c r="AB186" i="1"/>
  <c r="AG186" i="1"/>
  <c r="AI187" i="1"/>
  <c r="AH187" i="1"/>
  <c r="S187" i="1"/>
  <c r="T187" i="1"/>
  <c r="U187" i="1"/>
  <c r="V187" i="1"/>
  <c r="W187" i="1"/>
  <c r="X187" i="1"/>
  <c r="Y187" i="1"/>
  <c r="AA187" i="1"/>
  <c r="AB187" i="1"/>
  <c r="AG187" i="1"/>
  <c r="AI127" i="1"/>
  <c r="AH127" i="1"/>
  <c r="R127" i="1"/>
  <c r="S127" i="1"/>
  <c r="T127" i="1"/>
  <c r="U127" i="1"/>
  <c r="V127" i="1"/>
  <c r="W127" i="1"/>
  <c r="X127" i="1"/>
  <c r="Y127" i="1"/>
  <c r="AA127" i="1"/>
  <c r="AB127" i="1"/>
  <c r="AG127" i="1"/>
  <c r="AI128" i="1"/>
  <c r="AH128" i="1"/>
  <c r="R128" i="1"/>
  <c r="S128" i="1"/>
  <c r="T128" i="1"/>
  <c r="U128" i="1"/>
  <c r="V128" i="1"/>
  <c r="W128" i="1"/>
  <c r="X128" i="1"/>
  <c r="Y128" i="1"/>
  <c r="AA128" i="1"/>
  <c r="AB128" i="1"/>
  <c r="AG128" i="1"/>
  <c r="AI129" i="1"/>
  <c r="AH129" i="1"/>
  <c r="R129" i="1"/>
  <c r="S129" i="1"/>
  <c r="T129" i="1"/>
  <c r="U129" i="1"/>
  <c r="V129" i="1"/>
  <c r="W129" i="1"/>
  <c r="X129" i="1"/>
  <c r="Y129" i="1"/>
  <c r="AA129" i="1"/>
  <c r="AB129" i="1"/>
  <c r="AG129" i="1"/>
  <c r="AI130" i="1"/>
  <c r="AH130" i="1"/>
  <c r="R130" i="1"/>
  <c r="S130" i="1"/>
  <c r="T130" i="1"/>
  <c r="U130" i="1"/>
  <c r="V130" i="1"/>
  <c r="W130" i="1"/>
  <c r="X130" i="1"/>
  <c r="Y130" i="1"/>
  <c r="AA130" i="1"/>
  <c r="AB130" i="1"/>
  <c r="AG130" i="1"/>
  <c r="AI131" i="1"/>
  <c r="AH131" i="1"/>
  <c r="R131" i="1"/>
  <c r="S131" i="1"/>
  <c r="T131" i="1"/>
  <c r="U131" i="1"/>
  <c r="V131" i="1"/>
  <c r="W131" i="1"/>
  <c r="X131" i="1"/>
  <c r="Y131" i="1"/>
  <c r="AA131" i="1"/>
  <c r="AB131" i="1"/>
  <c r="AG131" i="1"/>
  <c r="AI132" i="1"/>
  <c r="AH132" i="1"/>
  <c r="R132" i="1"/>
  <c r="S132" i="1"/>
  <c r="T132" i="1"/>
  <c r="U132" i="1"/>
  <c r="V132" i="1"/>
  <c r="W132" i="1"/>
  <c r="X132" i="1"/>
  <c r="Y132" i="1"/>
  <c r="AA132" i="1"/>
  <c r="AB132" i="1"/>
  <c r="AG132" i="1"/>
  <c r="AI133" i="1"/>
  <c r="AH133" i="1"/>
  <c r="R133" i="1"/>
  <c r="S133" i="1"/>
  <c r="T133" i="1"/>
  <c r="U133" i="1"/>
  <c r="V133" i="1"/>
  <c r="W133" i="1"/>
  <c r="X133" i="1"/>
  <c r="Y133" i="1"/>
  <c r="AA133" i="1"/>
  <c r="AB133" i="1"/>
  <c r="AG133" i="1"/>
  <c r="AI134" i="1"/>
  <c r="AH134" i="1"/>
  <c r="R134" i="1"/>
  <c r="S134" i="1"/>
  <c r="T134" i="1"/>
  <c r="U134" i="1"/>
  <c r="V134" i="1"/>
  <c r="W134" i="1"/>
  <c r="X134" i="1"/>
  <c r="Y134" i="1"/>
  <c r="AA134" i="1"/>
  <c r="AB134" i="1"/>
  <c r="AG134" i="1"/>
  <c r="AI135" i="1"/>
  <c r="AH135" i="1"/>
  <c r="R135" i="1"/>
  <c r="S135" i="1"/>
  <c r="T135" i="1"/>
  <c r="U135" i="1"/>
  <c r="V135" i="1"/>
  <c r="W135" i="1"/>
  <c r="X135" i="1"/>
  <c r="Y135" i="1"/>
  <c r="AA135" i="1"/>
  <c r="AB135" i="1"/>
  <c r="AG135" i="1"/>
  <c r="AI136" i="1"/>
  <c r="AH136" i="1"/>
  <c r="R136" i="1"/>
  <c r="S136" i="1"/>
  <c r="T136" i="1"/>
  <c r="U136" i="1"/>
  <c r="V136" i="1"/>
  <c r="W136" i="1"/>
  <c r="X136" i="1"/>
  <c r="Y136" i="1"/>
  <c r="AA136" i="1"/>
  <c r="AB136" i="1"/>
  <c r="AG136" i="1"/>
  <c r="AI137" i="1"/>
  <c r="AH137" i="1"/>
  <c r="R137" i="1"/>
  <c r="S137" i="1"/>
  <c r="T137" i="1"/>
  <c r="U137" i="1"/>
  <c r="V137" i="1"/>
  <c r="W137" i="1"/>
  <c r="X137" i="1"/>
  <c r="Y137" i="1"/>
  <c r="AA137" i="1"/>
  <c r="AB137" i="1"/>
  <c r="AG137" i="1"/>
  <c r="AI138" i="1"/>
  <c r="AH138" i="1"/>
  <c r="R138" i="1"/>
  <c r="S138" i="1"/>
  <c r="T138" i="1"/>
  <c r="U138" i="1"/>
  <c r="V138" i="1"/>
  <c r="W138" i="1"/>
  <c r="X138" i="1"/>
  <c r="Y138" i="1"/>
  <c r="AA138" i="1"/>
  <c r="AB138" i="1"/>
  <c r="AG138" i="1"/>
  <c r="AI139" i="1"/>
  <c r="AH139" i="1"/>
  <c r="R139" i="1"/>
  <c r="S139" i="1"/>
  <c r="T139" i="1"/>
  <c r="U139" i="1"/>
  <c r="V139" i="1"/>
  <c r="W139" i="1"/>
  <c r="X139" i="1"/>
  <c r="Y139" i="1"/>
  <c r="AA139" i="1"/>
  <c r="AB139" i="1"/>
  <c r="AG139" i="1"/>
  <c r="AI140" i="1"/>
  <c r="AH140" i="1"/>
  <c r="R140" i="1"/>
  <c r="S140" i="1"/>
  <c r="T140" i="1"/>
  <c r="U140" i="1"/>
  <c r="V140" i="1"/>
  <c r="W140" i="1"/>
  <c r="X140" i="1"/>
  <c r="Y140" i="1"/>
  <c r="AA140" i="1"/>
  <c r="AB140" i="1"/>
  <c r="AG140" i="1"/>
  <c r="AI141" i="1"/>
  <c r="AH141" i="1"/>
  <c r="R141" i="1"/>
  <c r="S141" i="1"/>
  <c r="T141" i="1"/>
  <c r="U141" i="1"/>
  <c r="V141" i="1"/>
  <c r="W141" i="1"/>
  <c r="X141" i="1"/>
  <c r="Y141" i="1"/>
  <c r="AA141" i="1"/>
  <c r="AB141" i="1"/>
  <c r="AG141" i="1"/>
  <c r="AI142" i="1"/>
  <c r="AH142" i="1"/>
  <c r="R142" i="1"/>
  <c r="S142" i="1"/>
  <c r="T142" i="1"/>
  <c r="U142" i="1"/>
  <c r="V142" i="1"/>
  <c r="W142" i="1"/>
  <c r="X142" i="1"/>
  <c r="Y142" i="1"/>
  <c r="AA142" i="1"/>
  <c r="AB142" i="1"/>
  <c r="AG142" i="1"/>
  <c r="AI143" i="1"/>
  <c r="AH143" i="1"/>
  <c r="R143" i="1"/>
  <c r="S143" i="1"/>
  <c r="T143" i="1"/>
  <c r="U143" i="1"/>
  <c r="V143" i="1"/>
  <c r="W143" i="1"/>
  <c r="X143" i="1"/>
  <c r="Y143" i="1"/>
  <c r="AA143" i="1"/>
  <c r="AB143" i="1"/>
  <c r="AG143" i="1"/>
  <c r="AI144" i="1"/>
  <c r="AH144" i="1"/>
  <c r="R144" i="1"/>
  <c r="S144" i="1"/>
  <c r="T144" i="1"/>
  <c r="U144" i="1"/>
  <c r="V144" i="1"/>
  <c r="W144" i="1"/>
  <c r="X144" i="1"/>
  <c r="Y144" i="1"/>
  <c r="AA144" i="1"/>
  <c r="AB144" i="1"/>
  <c r="AG144" i="1"/>
  <c r="AI145" i="1"/>
  <c r="AH145" i="1"/>
  <c r="R145" i="1"/>
  <c r="S145" i="1"/>
  <c r="T145" i="1"/>
  <c r="U145" i="1"/>
  <c r="V145" i="1"/>
  <c r="W145" i="1"/>
  <c r="X145" i="1"/>
  <c r="Y145" i="1"/>
  <c r="AA145" i="1"/>
  <c r="AB145" i="1"/>
  <c r="AG145" i="1"/>
  <c r="AI146" i="1"/>
  <c r="AH146" i="1"/>
  <c r="R146" i="1"/>
  <c r="S146" i="1"/>
  <c r="T146" i="1"/>
  <c r="U146" i="1"/>
  <c r="V146" i="1"/>
  <c r="W146" i="1"/>
  <c r="X146" i="1"/>
  <c r="Y146" i="1"/>
  <c r="AA146" i="1"/>
  <c r="AB146" i="1"/>
  <c r="AG146" i="1"/>
  <c r="AI147" i="1"/>
  <c r="AH147" i="1"/>
  <c r="R147" i="1"/>
  <c r="S147" i="1"/>
  <c r="T147" i="1"/>
  <c r="U147" i="1"/>
  <c r="V147" i="1"/>
  <c r="W147" i="1"/>
  <c r="X147" i="1"/>
  <c r="Y147" i="1"/>
  <c r="AA147" i="1"/>
  <c r="AB147" i="1"/>
  <c r="AG147" i="1"/>
  <c r="AI148" i="1"/>
  <c r="AH148" i="1"/>
  <c r="R148" i="1"/>
  <c r="S148" i="1"/>
  <c r="T148" i="1"/>
  <c r="U148" i="1"/>
  <c r="V148" i="1"/>
  <c r="W148" i="1"/>
  <c r="X148" i="1"/>
  <c r="Y148" i="1"/>
  <c r="AA148" i="1"/>
  <c r="AB148" i="1"/>
  <c r="AG148" i="1"/>
  <c r="AI149" i="1"/>
  <c r="AH149" i="1"/>
  <c r="R149" i="1"/>
  <c r="S149" i="1"/>
  <c r="T149" i="1"/>
  <c r="U149" i="1"/>
  <c r="V149" i="1"/>
  <c r="W149" i="1"/>
  <c r="X149" i="1"/>
  <c r="Y149" i="1"/>
  <c r="AA149" i="1"/>
  <c r="AB149" i="1"/>
  <c r="AG149" i="1"/>
  <c r="AI150" i="1"/>
  <c r="AH150" i="1"/>
  <c r="R150" i="1"/>
  <c r="S150" i="1"/>
  <c r="T150" i="1"/>
  <c r="U150" i="1"/>
  <c r="V150" i="1"/>
  <c r="W150" i="1"/>
  <c r="X150" i="1"/>
  <c r="Y150" i="1"/>
  <c r="AA150" i="1"/>
  <c r="AB150" i="1"/>
  <c r="AG150" i="1"/>
  <c r="AI151" i="1"/>
  <c r="AH151" i="1"/>
  <c r="R151" i="1"/>
  <c r="S151" i="1"/>
  <c r="T151" i="1"/>
  <c r="U151" i="1"/>
  <c r="V151" i="1"/>
  <c r="W151" i="1"/>
  <c r="X151" i="1"/>
  <c r="Y151" i="1"/>
  <c r="AA151" i="1"/>
  <c r="AB151" i="1"/>
  <c r="AG151" i="1"/>
  <c r="AI152" i="1"/>
  <c r="AH152" i="1"/>
  <c r="R152" i="1"/>
  <c r="S152" i="1"/>
  <c r="T152" i="1"/>
  <c r="U152" i="1"/>
  <c r="V152" i="1"/>
  <c r="W152" i="1"/>
  <c r="X152" i="1"/>
  <c r="Y152" i="1"/>
  <c r="AA152" i="1"/>
  <c r="AB152" i="1"/>
  <c r="AG152" i="1"/>
  <c r="AI153" i="1"/>
  <c r="AH153" i="1"/>
  <c r="R153" i="1"/>
  <c r="S153" i="1"/>
  <c r="T153" i="1"/>
  <c r="U153" i="1"/>
  <c r="V153" i="1"/>
  <c r="W153" i="1"/>
  <c r="X153" i="1"/>
  <c r="Y153" i="1"/>
  <c r="AA153" i="1"/>
  <c r="AB153" i="1"/>
  <c r="AG153" i="1"/>
  <c r="AI154" i="1"/>
  <c r="AH154" i="1"/>
  <c r="R154" i="1"/>
  <c r="S154" i="1"/>
  <c r="T154" i="1"/>
  <c r="U154" i="1"/>
  <c r="V154" i="1"/>
  <c r="W154" i="1"/>
  <c r="X154" i="1"/>
  <c r="Y154" i="1"/>
  <c r="AA154" i="1"/>
  <c r="AB154" i="1"/>
  <c r="AG154" i="1"/>
  <c r="AI155" i="1"/>
  <c r="AH155" i="1"/>
  <c r="R155" i="1"/>
  <c r="S155" i="1"/>
  <c r="T155" i="1"/>
  <c r="U155" i="1"/>
  <c r="V155" i="1"/>
  <c r="W155" i="1"/>
  <c r="X155" i="1"/>
  <c r="Y155" i="1"/>
  <c r="AA155" i="1"/>
  <c r="AB155" i="1"/>
  <c r="AG155" i="1"/>
  <c r="AI156" i="1"/>
  <c r="AH156" i="1"/>
  <c r="R156" i="1"/>
  <c r="S156" i="1"/>
  <c r="T156" i="1"/>
  <c r="U156" i="1"/>
  <c r="V156" i="1"/>
  <c r="W156" i="1"/>
  <c r="X156" i="1"/>
  <c r="Y156" i="1"/>
  <c r="AA156" i="1"/>
  <c r="AB156" i="1"/>
  <c r="AG156" i="1"/>
  <c r="AI96" i="1"/>
  <c r="AH96" i="1"/>
  <c r="R96" i="1"/>
  <c r="S96" i="1"/>
  <c r="T96" i="1"/>
  <c r="U96" i="1"/>
  <c r="V96" i="1"/>
  <c r="W96" i="1"/>
  <c r="X96" i="1"/>
  <c r="Y96" i="1"/>
  <c r="AA96" i="1"/>
  <c r="AB96" i="1"/>
  <c r="AG96" i="1"/>
  <c r="AI97" i="1"/>
  <c r="AH97" i="1"/>
  <c r="R97" i="1"/>
  <c r="S97" i="1"/>
  <c r="T97" i="1"/>
  <c r="U97" i="1"/>
  <c r="V97" i="1"/>
  <c r="W97" i="1"/>
  <c r="X97" i="1"/>
  <c r="Y97" i="1"/>
  <c r="AA97" i="1"/>
  <c r="AB97" i="1"/>
  <c r="AG97" i="1"/>
  <c r="AI98" i="1"/>
  <c r="AH98" i="1"/>
  <c r="R98" i="1"/>
  <c r="S98" i="1"/>
  <c r="T98" i="1"/>
  <c r="U98" i="1"/>
  <c r="V98" i="1"/>
  <c r="W98" i="1"/>
  <c r="X98" i="1"/>
  <c r="Y98" i="1"/>
  <c r="AA98" i="1"/>
  <c r="AB98" i="1"/>
  <c r="AG98" i="1"/>
  <c r="AI99" i="1"/>
  <c r="AH99" i="1"/>
  <c r="R99" i="1"/>
  <c r="S99" i="1"/>
  <c r="T99" i="1"/>
  <c r="U99" i="1"/>
  <c r="V99" i="1"/>
  <c r="W99" i="1"/>
  <c r="X99" i="1"/>
  <c r="Y99" i="1"/>
  <c r="AA99" i="1"/>
  <c r="AB99" i="1"/>
  <c r="AG99" i="1"/>
  <c r="AI100" i="1"/>
  <c r="AH100" i="1"/>
  <c r="R100" i="1"/>
  <c r="S100" i="1"/>
  <c r="T100" i="1"/>
  <c r="U100" i="1"/>
  <c r="V100" i="1"/>
  <c r="W100" i="1"/>
  <c r="X100" i="1"/>
  <c r="Y100" i="1"/>
  <c r="AA100" i="1"/>
  <c r="AB100" i="1"/>
  <c r="AG100" i="1"/>
  <c r="AI101" i="1"/>
  <c r="AH101" i="1"/>
  <c r="R101" i="1"/>
  <c r="S101" i="1"/>
  <c r="T101" i="1"/>
  <c r="U101" i="1"/>
  <c r="V101" i="1"/>
  <c r="W101" i="1"/>
  <c r="X101" i="1"/>
  <c r="Y101" i="1"/>
  <c r="AA101" i="1"/>
  <c r="AB101" i="1"/>
  <c r="AG101" i="1"/>
  <c r="AI102" i="1"/>
  <c r="AH102" i="1"/>
  <c r="R102" i="1"/>
  <c r="S102" i="1"/>
  <c r="T102" i="1"/>
  <c r="U102" i="1"/>
  <c r="V102" i="1"/>
  <c r="W102" i="1"/>
  <c r="X102" i="1"/>
  <c r="Y102" i="1"/>
  <c r="AA102" i="1"/>
  <c r="AB102" i="1"/>
  <c r="AG102" i="1"/>
  <c r="AI103" i="1"/>
  <c r="AH103" i="1"/>
  <c r="R103" i="1"/>
  <c r="S103" i="1"/>
  <c r="T103" i="1"/>
  <c r="U103" i="1"/>
  <c r="V103" i="1"/>
  <c r="W103" i="1"/>
  <c r="X103" i="1"/>
  <c r="Y103" i="1"/>
  <c r="AA103" i="1"/>
  <c r="AB103" i="1"/>
  <c r="AG103" i="1"/>
  <c r="AI104" i="1"/>
  <c r="AH104" i="1"/>
  <c r="R104" i="1"/>
  <c r="S104" i="1"/>
  <c r="T104" i="1"/>
  <c r="U104" i="1"/>
  <c r="V104" i="1"/>
  <c r="W104" i="1"/>
  <c r="X104" i="1"/>
  <c r="Y104" i="1"/>
  <c r="AA104" i="1"/>
  <c r="AB104" i="1"/>
  <c r="AG104" i="1"/>
  <c r="AI105" i="1"/>
  <c r="AH105" i="1"/>
  <c r="R105" i="1"/>
  <c r="S105" i="1"/>
  <c r="T105" i="1"/>
  <c r="U105" i="1"/>
  <c r="V105" i="1"/>
  <c r="W105" i="1"/>
  <c r="X105" i="1"/>
  <c r="Y105" i="1"/>
  <c r="AA105" i="1"/>
  <c r="AB105" i="1"/>
  <c r="AG105" i="1"/>
  <c r="AI106" i="1"/>
  <c r="AH106" i="1"/>
  <c r="R106" i="1"/>
  <c r="S106" i="1"/>
  <c r="T106" i="1"/>
  <c r="U106" i="1"/>
  <c r="V106" i="1"/>
  <c r="W106" i="1"/>
  <c r="X106" i="1"/>
  <c r="Y106" i="1"/>
  <c r="AA106" i="1"/>
  <c r="AB106" i="1"/>
  <c r="AG106" i="1"/>
  <c r="AI107" i="1"/>
  <c r="AH107" i="1"/>
  <c r="R107" i="1"/>
  <c r="S107" i="1"/>
  <c r="T107" i="1"/>
  <c r="U107" i="1"/>
  <c r="V107" i="1"/>
  <c r="W107" i="1"/>
  <c r="X107" i="1"/>
  <c r="Y107" i="1"/>
  <c r="AA107" i="1"/>
  <c r="AB107" i="1"/>
  <c r="AG107" i="1"/>
  <c r="AI108" i="1"/>
  <c r="AH108" i="1"/>
  <c r="R108" i="1"/>
  <c r="S108" i="1"/>
  <c r="T108" i="1"/>
  <c r="U108" i="1"/>
  <c r="V108" i="1"/>
  <c r="W108" i="1"/>
  <c r="X108" i="1"/>
  <c r="Y108" i="1"/>
  <c r="AA108" i="1"/>
  <c r="AB108" i="1"/>
  <c r="AG108" i="1"/>
  <c r="AI109" i="1"/>
  <c r="AH109" i="1"/>
  <c r="R109" i="1"/>
  <c r="S109" i="1"/>
  <c r="T109" i="1"/>
  <c r="U109" i="1"/>
  <c r="V109" i="1"/>
  <c r="W109" i="1"/>
  <c r="X109" i="1"/>
  <c r="Y109" i="1"/>
  <c r="AA109" i="1"/>
  <c r="AB109" i="1"/>
  <c r="AG109" i="1"/>
  <c r="AI110" i="1"/>
  <c r="AH110" i="1"/>
  <c r="R110" i="1"/>
  <c r="S110" i="1"/>
  <c r="T110" i="1"/>
  <c r="U110" i="1"/>
  <c r="V110" i="1"/>
  <c r="W110" i="1"/>
  <c r="X110" i="1"/>
  <c r="Y110" i="1"/>
  <c r="AA110" i="1"/>
  <c r="AB110" i="1"/>
  <c r="AG110" i="1"/>
  <c r="AI111" i="1"/>
  <c r="AH111" i="1"/>
  <c r="R111" i="1"/>
  <c r="S111" i="1"/>
  <c r="T111" i="1"/>
  <c r="U111" i="1"/>
  <c r="V111" i="1"/>
  <c r="W111" i="1"/>
  <c r="X111" i="1"/>
  <c r="Y111" i="1"/>
  <c r="AA111" i="1"/>
  <c r="AB111" i="1"/>
  <c r="AG111" i="1"/>
  <c r="AI112" i="1"/>
  <c r="AH112" i="1"/>
  <c r="R112" i="1"/>
  <c r="S112" i="1"/>
  <c r="T112" i="1"/>
  <c r="U112" i="1"/>
  <c r="V112" i="1"/>
  <c r="W112" i="1"/>
  <c r="X112" i="1"/>
  <c r="Y112" i="1"/>
  <c r="AA112" i="1"/>
  <c r="AB112" i="1"/>
  <c r="AG112" i="1"/>
  <c r="AI113" i="1"/>
  <c r="AH113" i="1"/>
  <c r="R113" i="1"/>
  <c r="S113" i="1"/>
  <c r="T113" i="1"/>
  <c r="U113" i="1"/>
  <c r="V113" i="1"/>
  <c r="W113" i="1"/>
  <c r="X113" i="1"/>
  <c r="Y113" i="1"/>
  <c r="AA113" i="1"/>
  <c r="AB113" i="1"/>
  <c r="AG113" i="1"/>
  <c r="AI114" i="1"/>
  <c r="AH114" i="1"/>
  <c r="R114" i="1"/>
  <c r="S114" i="1"/>
  <c r="T114" i="1"/>
  <c r="U114" i="1"/>
  <c r="V114" i="1"/>
  <c r="W114" i="1"/>
  <c r="X114" i="1"/>
  <c r="Y114" i="1"/>
  <c r="AA114" i="1"/>
  <c r="AB114" i="1"/>
  <c r="AG114" i="1"/>
  <c r="AI115" i="1"/>
  <c r="AH115" i="1"/>
  <c r="R115" i="1"/>
  <c r="S115" i="1"/>
  <c r="T115" i="1"/>
  <c r="U115" i="1"/>
  <c r="V115" i="1"/>
  <c r="W115" i="1"/>
  <c r="X115" i="1"/>
  <c r="Y115" i="1"/>
  <c r="AA115" i="1"/>
  <c r="AB115" i="1"/>
  <c r="AG115" i="1"/>
  <c r="AI116" i="1"/>
  <c r="AH116" i="1"/>
  <c r="R116" i="1"/>
  <c r="S116" i="1"/>
  <c r="T116" i="1"/>
  <c r="U116" i="1"/>
  <c r="V116" i="1"/>
  <c r="W116" i="1"/>
  <c r="X116" i="1"/>
  <c r="Y116" i="1"/>
  <c r="AA116" i="1"/>
  <c r="AB116" i="1"/>
  <c r="AG116" i="1"/>
  <c r="AI117" i="1"/>
  <c r="AH117" i="1"/>
  <c r="R117" i="1"/>
  <c r="S117" i="1"/>
  <c r="T117" i="1"/>
  <c r="U117" i="1"/>
  <c r="V117" i="1"/>
  <c r="W117" i="1"/>
  <c r="X117" i="1"/>
  <c r="Y117" i="1"/>
  <c r="AA117" i="1"/>
  <c r="AB117" i="1"/>
  <c r="AG117" i="1"/>
  <c r="AI118" i="1"/>
  <c r="AH118" i="1"/>
  <c r="R118" i="1"/>
  <c r="S118" i="1"/>
  <c r="T118" i="1"/>
  <c r="U118" i="1"/>
  <c r="V118" i="1"/>
  <c r="W118" i="1"/>
  <c r="X118" i="1"/>
  <c r="Y118" i="1"/>
  <c r="AA118" i="1"/>
  <c r="AB118" i="1"/>
  <c r="AG118" i="1"/>
  <c r="AI119" i="1"/>
  <c r="AH119" i="1"/>
  <c r="R119" i="1"/>
  <c r="S119" i="1"/>
  <c r="T119" i="1"/>
  <c r="U119" i="1"/>
  <c r="V119" i="1"/>
  <c r="W119" i="1"/>
  <c r="X119" i="1"/>
  <c r="Y119" i="1"/>
  <c r="AA119" i="1"/>
  <c r="AB119" i="1"/>
  <c r="AG119" i="1"/>
  <c r="AI120" i="1"/>
  <c r="AH120" i="1"/>
  <c r="R120" i="1"/>
  <c r="S120" i="1"/>
  <c r="T120" i="1"/>
  <c r="U120" i="1"/>
  <c r="V120" i="1"/>
  <c r="W120" i="1"/>
  <c r="X120" i="1"/>
  <c r="Y120" i="1"/>
  <c r="AA120" i="1"/>
  <c r="AB120" i="1"/>
  <c r="AG120" i="1"/>
  <c r="AI121" i="1"/>
  <c r="AH121" i="1"/>
  <c r="R121" i="1"/>
  <c r="S121" i="1"/>
  <c r="T121" i="1"/>
  <c r="U121" i="1"/>
  <c r="V121" i="1"/>
  <c r="W121" i="1"/>
  <c r="X121" i="1"/>
  <c r="Y121" i="1"/>
  <c r="AA121" i="1"/>
  <c r="AB121" i="1"/>
  <c r="AG121" i="1"/>
  <c r="AI122" i="1"/>
  <c r="AH122" i="1"/>
  <c r="R122" i="1"/>
  <c r="S122" i="1"/>
  <c r="T122" i="1"/>
  <c r="U122" i="1"/>
  <c r="V122" i="1"/>
  <c r="W122" i="1"/>
  <c r="X122" i="1"/>
  <c r="Y122" i="1"/>
  <c r="AA122" i="1"/>
  <c r="AB122" i="1"/>
  <c r="AG122" i="1"/>
  <c r="AI123" i="1"/>
  <c r="AH123" i="1"/>
  <c r="R123" i="1"/>
  <c r="S123" i="1"/>
  <c r="T123" i="1"/>
  <c r="U123" i="1"/>
  <c r="V123" i="1"/>
  <c r="W123" i="1"/>
  <c r="X123" i="1"/>
  <c r="Y123" i="1"/>
  <c r="AA123" i="1"/>
  <c r="AB123" i="1"/>
  <c r="AG123" i="1"/>
  <c r="AI124" i="1"/>
  <c r="AH124" i="1"/>
  <c r="R124" i="1"/>
  <c r="S124" i="1"/>
  <c r="T124" i="1"/>
  <c r="U124" i="1"/>
  <c r="V124" i="1"/>
  <c r="W124" i="1"/>
  <c r="X124" i="1"/>
  <c r="Y124" i="1"/>
  <c r="AA124" i="1"/>
  <c r="AB124" i="1"/>
  <c r="AG124" i="1"/>
  <c r="AI125" i="1"/>
  <c r="AH125" i="1"/>
  <c r="R125" i="1"/>
  <c r="S125" i="1"/>
  <c r="T125" i="1"/>
  <c r="U125" i="1"/>
  <c r="V125" i="1"/>
  <c r="W125" i="1"/>
  <c r="X125" i="1"/>
  <c r="Y125" i="1"/>
  <c r="AA125" i="1"/>
  <c r="AB125" i="1"/>
  <c r="AG125" i="1"/>
  <c r="AI65" i="1"/>
  <c r="AH65" i="1"/>
  <c r="R65" i="1"/>
  <c r="S65" i="1"/>
  <c r="T65" i="1"/>
  <c r="U65" i="1"/>
  <c r="V65" i="1"/>
  <c r="W65" i="1"/>
  <c r="X65" i="1"/>
  <c r="Y65" i="1"/>
  <c r="AA65" i="1"/>
  <c r="AB65" i="1"/>
  <c r="AG65" i="1"/>
  <c r="AI66" i="1"/>
  <c r="AH66" i="1"/>
  <c r="R66" i="1"/>
  <c r="S66" i="1"/>
  <c r="T66" i="1"/>
  <c r="U66" i="1"/>
  <c r="V66" i="1"/>
  <c r="W66" i="1"/>
  <c r="X66" i="1"/>
  <c r="Y66" i="1"/>
  <c r="AA66" i="1"/>
  <c r="AB66" i="1"/>
  <c r="AG66" i="1"/>
  <c r="AI67" i="1"/>
  <c r="AH67" i="1"/>
  <c r="R67" i="1"/>
  <c r="S67" i="1"/>
  <c r="T67" i="1"/>
  <c r="U67" i="1"/>
  <c r="V67" i="1"/>
  <c r="W67" i="1"/>
  <c r="X67" i="1"/>
  <c r="Y67" i="1"/>
  <c r="AA67" i="1"/>
  <c r="AB67" i="1"/>
  <c r="AG67" i="1"/>
  <c r="AI68" i="1"/>
  <c r="AH68" i="1"/>
  <c r="R68" i="1"/>
  <c r="S68" i="1"/>
  <c r="T68" i="1"/>
  <c r="U68" i="1"/>
  <c r="V68" i="1"/>
  <c r="W68" i="1"/>
  <c r="X68" i="1"/>
  <c r="Y68" i="1"/>
  <c r="AA68" i="1"/>
  <c r="AB68" i="1"/>
  <c r="AG68" i="1"/>
  <c r="AI69" i="1"/>
  <c r="AH69" i="1"/>
  <c r="R69" i="1"/>
  <c r="S69" i="1"/>
  <c r="T69" i="1"/>
  <c r="U69" i="1"/>
  <c r="V69" i="1"/>
  <c r="W69" i="1"/>
  <c r="X69" i="1"/>
  <c r="Y69" i="1"/>
  <c r="AA69" i="1"/>
  <c r="AB69" i="1"/>
  <c r="AG69" i="1"/>
  <c r="AI70" i="1"/>
  <c r="AH70" i="1"/>
  <c r="R70" i="1"/>
  <c r="S70" i="1"/>
  <c r="T70" i="1"/>
  <c r="U70" i="1"/>
  <c r="V70" i="1"/>
  <c r="W70" i="1"/>
  <c r="X70" i="1"/>
  <c r="Y70" i="1"/>
  <c r="AA70" i="1"/>
  <c r="AB70" i="1"/>
  <c r="AG70" i="1"/>
  <c r="AI71" i="1"/>
  <c r="AH71" i="1"/>
  <c r="R71" i="1"/>
  <c r="S71" i="1"/>
  <c r="T71" i="1"/>
  <c r="U71" i="1"/>
  <c r="V71" i="1"/>
  <c r="W71" i="1"/>
  <c r="X71" i="1"/>
  <c r="Y71" i="1"/>
  <c r="AA71" i="1"/>
  <c r="AB71" i="1"/>
  <c r="AG71" i="1"/>
  <c r="AI72" i="1"/>
  <c r="AH72" i="1"/>
  <c r="R72" i="1"/>
  <c r="S72" i="1"/>
  <c r="T72" i="1"/>
  <c r="U72" i="1"/>
  <c r="V72" i="1"/>
  <c r="W72" i="1"/>
  <c r="X72" i="1"/>
  <c r="Y72" i="1"/>
  <c r="AA72" i="1"/>
  <c r="AB72" i="1"/>
  <c r="AG72" i="1"/>
  <c r="AI73" i="1"/>
  <c r="AH73" i="1"/>
  <c r="R73" i="1"/>
  <c r="S73" i="1"/>
  <c r="T73" i="1"/>
  <c r="U73" i="1"/>
  <c r="V73" i="1"/>
  <c r="W73" i="1"/>
  <c r="X73" i="1"/>
  <c r="Y73" i="1"/>
  <c r="AA73" i="1"/>
  <c r="AB73" i="1"/>
  <c r="AG73" i="1"/>
  <c r="AI74" i="1"/>
  <c r="AH74" i="1"/>
  <c r="R74" i="1"/>
  <c r="S74" i="1"/>
  <c r="T74" i="1"/>
  <c r="U74" i="1"/>
  <c r="V74" i="1"/>
  <c r="W74" i="1"/>
  <c r="X74" i="1"/>
  <c r="Y74" i="1"/>
  <c r="AA74" i="1"/>
  <c r="AB74" i="1"/>
  <c r="AG74" i="1"/>
  <c r="AI75" i="1"/>
  <c r="AH75" i="1"/>
  <c r="R75" i="1"/>
  <c r="S75" i="1"/>
  <c r="T75" i="1"/>
  <c r="U75" i="1"/>
  <c r="V75" i="1"/>
  <c r="W75" i="1"/>
  <c r="X75" i="1"/>
  <c r="Y75" i="1"/>
  <c r="AA75" i="1"/>
  <c r="AB75" i="1"/>
  <c r="AG75" i="1"/>
  <c r="AI76" i="1"/>
  <c r="AH76" i="1"/>
  <c r="R76" i="1"/>
  <c r="S76" i="1"/>
  <c r="T76" i="1"/>
  <c r="U76" i="1"/>
  <c r="V76" i="1"/>
  <c r="W76" i="1"/>
  <c r="X76" i="1"/>
  <c r="Y76" i="1"/>
  <c r="AA76" i="1"/>
  <c r="AB76" i="1"/>
  <c r="AG76" i="1"/>
  <c r="AI77" i="1"/>
  <c r="AH77" i="1"/>
  <c r="R77" i="1"/>
  <c r="S77" i="1"/>
  <c r="T77" i="1"/>
  <c r="U77" i="1"/>
  <c r="V77" i="1"/>
  <c r="W77" i="1"/>
  <c r="X77" i="1"/>
  <c r="Y77" i="1"/>
  <c r="AA77" i="1"/>
  <c r="AB77" i="1"/>
  <c r="AG77" i="1"/>
  <c r="AI78" i="1"/>
  <c r="AH78" i="1"/>
  <c r="R78" i="1"/>
  <c r="S78" i="1"/>
  <c r="T78" i="1"/>
  <c r="U78" i="1"/>
  <c r="V78" i="1"/>
  <c r="W78" i="1"/>
  <c r="X78" i="1"/>
  <c r="Y78" i="1"/>
  <c r="AA78" i="1"/>
  <c r="AB78" i="1"/>
  <c r="AG78" i="1"/>
  <c r="AI79" i="1"/>
  <c r="AH79" i="1"/>
  <c r="R79" i="1"/>
  <c r="S79" i="1"/>
  <c r="T79" i="1"/>
  <c r="U79" i="1"/>
  <c r="V79" i="1"/>
  <c r="W79" i="1"/>
  <c r="X79" i="1"/>
  <c r="Y79" i="1"/>
  <c r="AA79" i="1"/>
  <c r="AB79" i="1"/>
  <c r="AG79" i="1"/>
  <c r="AI80" i="1"/>
  <c r="AH80" i="1"/>
  <c r="R80" i="1"/>
  <c r="S80" i="1"/>
  <c r="T80" i="1"/>
  <c r="U80" i="1"/>
  <c r="V80" i="1"/>
  <c r="W80" i="1"/>
  <c r="X80" i="1"/>
  <c r="Y80" i="1"/>
  <c r="AA80" i="1"/>
  <c r="AB80" i="1"/>
  <c r="AG80" i="1"/>
  <c r="AI81" i="1"/>
  <c r="AH81" i="1"/>
  <c r="R81" i="1"/>
  <c r="S81" i="1"/>
  <c r="T81" i="1"/>
  <c r="U81" i="1"/>
  <c r="V81" i="1"/>
  <c r="W81" i="1"/>
  <c r="X81" i="1"/>
  <c r="Y81" i="1"/>
  <c r="AA81" i="1"/>
  <c r="AB81" i="1"/>
  <c r="AG81" i="1"/>
  <c r="AI82" i="1"/>
  <c r="AH82" i="1"/>
  <c r="R82" i="1"/>
  <c r="S82" i="1"/>
  <c r="T82" i="1"/>
  <c r="U82" i="1"/>
  <c r="V82" i="1"/>
  <c r="W82" i="1"/>
  <c r="X82" i="1"/>
  <c r="Y82" i="1"/>
  <c r="AA82" i="1"/>
  <c r="AB82" i="1"/>
  <c r="AG82" i="1"/>
  <c r="AI83" i="1"/>
  <c r="AH83" i="1"/>
  <c r="R83" i="1"/>
  <c r="S83" i="1"/>
  <c r="T83" i="1"/>
  <c r="U83" i="1"/>
  <c r="V83" i="1"/>
  <c r="W83" i="1"/>
  <c r="X83" i="1"/>
  <c r="Y83" i="1"/>
  <c r="AA83" i="1"/>
  <c r="AB83" i="1"/>
  <c r="AG83" i="1"/>
  <c r="AI84" i="1"/>
  <c r="AH84" i="1"/>
  <c r="R84" i="1"/>
  <c r="S84" i="1"/>
  <c r="T84" i="1"/>
  <c r="U84" i="1"/>
  <c r="V84" i="1"/>
  <c r="W84" i="1"/>
  <c r="X84" i="1"/>
  <c r="Y84" i="1"/>
  <c r="AA84" i="1"/>
  <c r="AB84" i="1"/>
  <c r="AG84" i="1"/>
  <c r="AI85" i="1"/>
  <c r="AH85" i="1"/>
  <c r="R85" i="1"/>
  <c r="S85" i="1"/>
  <c r="T85" i="1"/>
  <c r="U85" i="1"/>
  <c r="V85" i="1"/>
  <c r="W85" i="1"/>
  <c r="X85" i="1"/>
  <c r="Y85" i="1"/>
  <c r="AA85" i="1"/>
  <c r="AB85" i="1"/>
  <c r="AG85" i="1"/>
  <c r="AI86" i="1"/>
  <c r="AH86" i="1"/>
  <c r="R86" i="1"/>
  <c r="S86" i="1"/>
  <c r="T86" i="1"/>
  <c r="U86" i="1"/>
  <c r="V86" i="1"/>
  <c r="W86" i="1"/>
  <c r="X86" i="1"/>
  <c r="Y86" i="1"/>
  <c r="AA86" i="1"/>
  <c r="AB86" i="1"/>
  <c r="AG86" i="1"/>
  <c r="AI87" i="1"/>
  <c r="AH87" i="1"/>
  <c r="R87" i="1"/>
  <c r="S87" i="1"/>
  <c r="T87" i="1"/>
  <c r="U87" i="1"/>
  <c r="V87" i="1"/>
  <c r="W87" i="1"/>
  <c r="X87" i="1"/>
  <c r="Y87" i="1"/>
  <c r="AA87" i="1"/>
  <c r="AB87" i="1"/>
  <c r="AG87" i="1"/>
  <c r="AI88" i="1"/>
  <c r="AH88" i="1"/>
  <c r="R88" i="1"/>
  <c r="S88" i="1"/>
  <c r="T88" i="1"/>
  <c r="U88" i="1"/>
  <c r="V88" i="1"/>
  <c r="W88" i="1"/>
  <c r="X88" i="1"/>
  <c r="Y88" i="1"/>
  <c r="AA88" i="1"/>
  <c r="AB88" i="1"/>
  <c r="AG88" i="1"/>
  <c r="AI89" i="1"/>
  <c r="AH89" i="1"/>
  <c r="R89" i="1"/>
  <c r="S89" i="1"/>
  <c r="T89" i="1"/>
  <c r="U89" i="1"/>
  <c r="V89" i="1"/>
  <c r="W89" i="1"/>
  <c r="X89" i="1"/>
  <c r="Y89" i="1"/>
  <c r="AA89" i="1"/>
  <c r="AB89" i="1"/>
  <c r="AG89" i="1"/>
  <c r="AI90" i="1"/>
  <c r="AH90" i="1"/>
  <c r="R90" i="1"/>
  <c r="S90" i="1"/>
  <c r="T90" i="1"/>
  <c r="U90" i="1"/>
  <c r="V90" i="1"/>
  <c r="W90" i="1"/>
  <c r="X90" i="1"/>
  <c r="Y90" i="1"/>
  <c r="AA90" i="1"/>
  <c r="AB90" i="1"/>
  <c r="AG90" i="1"/>
  <c r="AI91" i="1"/>
  <c r="AH91" i="1"/>
  <c r="R91" i="1"/>
  <c r="S91" i="1"/>
  <c r="T91" i="1"/>
  <c r="U91" i="1"/>
  <c r="V91" i="1"/>
  <c r="W91" i="1"/>
  <c r="X91" i="1"/>
  <c r="Y91" i="1"/>
  <c r="AA91" i="1"/>
  <c r="AB91" i="1"/>
  <c r="AG91" i="1"/>
  <c r="AI92" i="1"/>
  <c r="AH92" i="1"/>
  <c r="R92" i="1"/>
  <c r="S92" i="1"/>
  <c r="T92" i="1"/>
  <c r="U92" i="1"/>
  <c r="V92" i="1"/>
  <c r="W92" i="1"/>
  <c r="X92" i="1"/>
  <c r="Y92" i="1"/>
  <c r="AA92" i="1"/>
  <c r="AB92" i="1"/>
  <c r="AG92" i="1"/>
  <c r="AI93" i="1"/>
  <c r="AH93" i="1"/>
  <c r="R93" i="1"/>
  <c r="S93" i="1"/>
  <c r="T93" i="1"/>
  <c r="U93" i="1"/>
  <c r="V93" i="1"/>
  <c r="W93" i="1"/>
  <c r="X93" i="1"/>
  <c r="Y93" i="1"/>
  <c r="AA93" i="1"/>
  <c r="AB93" i="1"/>
  <c r="AG93" i="1"/>
  <c r="AI94" i="1"/>
  <c r="AH94" i="1"/>
  <c r="R94" i="1"/>
  <c r="S94" i="1"/>
  <c r="T94" i="1"/>
  <c r="U94" i="1"/>
  <c r="V94" i="1"/>
  <c r="W94" i="1"/>
  <c r="X94" i="1"/>
  <c r="Y94" i="1"/>
  <c r="AA94" i="1"/>
  <c r="AB94" i="1"/>
  <c r="AG94" i="1"/>
  <c r="AI34" i="1"/>
  <c r="AH34" i="1"/>
  <c r="R34" i="1"/>
  <c r="S34" i="1"/>
  <c r="T34" i="1"/>
  <c r="U34" i="1"/>
  <c r="V34" i="1"/>
  <c r="W34" i="1"/>
  <c r="X34" i="1"/>
  <c r="Y34" i="1"/>
  <c r="AA34" i="1"/>
  <c r="AB34" i="1"/>
  <c r="AG34" i="1"/>
  <c r="AI35" i="1"/>
  <c r="AH35" i="1"/>
  <c r="R35" i="1"/>
  <c r="S35" i="1"/>
  <c r="T35" i="1"/>
  <c r="U35" i="1"/>
  <c r="V35" i="1"/>
  <c r="W35" i="1"/>
  <c r="X35" i="1"/>
  <c r="Y35" i="1"/>
  <c r="AA35" i="1"/>
  <c r="AB35" i="1"/>
  <c r="AG35" i="1"/>
  <c r="AI36" i="1"/>
  <c r="AH36" i="1"/>
  <c r="R36" i="1"/>
  <c r="S36" i="1"/>
  <c r="T36" i="1"/>
  <c r="U36" i="1"/>
  <c r="V36" i="1"/>
  <c r="W36" i="1"/>
  <c r="X36" i="1"/>
  <c r="Y36" i="1"/>
  <c r="AA36" i="1"/>
  <c r="AB36" i="1"/>
  <c r="AG36" i="1"/>
  <c r="AI37" i="1"/>
  <c r="AH37" i="1"/>
  <c r="R37" i="1"/>
  <c r="S37" i="1"/>
  <c r="T37" i="1"/>
  <c r="U37" i="1"/>
  <c r="V37" i="1"/>
  <c r="W37" i="1"/>
  <c r="X37" i="1"/>
  <c r="Y37" i="1"/>
  <c r="AA37" i="1"/>
  <c r="AB37" i="1"/>
  <c r="AG37" i="1"/>
  <c r="AI38" i="1"/>
  <c r="AH38" i="1"/>
  <c r="R38" i="1"/>
  <c r="S38" i="1"/>
  <c r="T38" i="1"/>
  <c r="U38" i="1"/>
  <c r="V38" i="1"/>
  <c r="W38" i="1"/>
  <c r="X38" i="1"/>
  <c r="Y38" i="1"/>
  <c r="AA38" i="1"/>
  <c r="AB38" i="1"/>
  <c r="AG38" i="1"/>
  <c r="AI39" i="1"/>
  <c r="AH39" i="1"/>
  <c r="R39" i="1"/>
  <c r="S39" i="1"/>
  <c r="T39" i="1"/>
  <c r="U39" i="1"/>
  <c r="V39" i="1"/>
  <c r="W39" i="1"/>
  <c r="X39" i="1"/>
  <c r="Y39" i="1"/>
  <c r="AA39" i="1"/>
  <c r="AB39" i="1"/>
  <c r="AG39" i="1"/>
  <c r="AI40" i="1"/>
  <c r="AH40" i="1"/>
  <c r="R40" i="1"/>
  <c r="S40" i="1"/>
  <c r="T40" i="1"/>
  <c r="U40" i="1"/>
  <c r="V40" i="1"/>
  <c r="W40" i="1"/>
  <c r="X40" i="1"/>
  <c r="Y40" i="1"/>
  <c r="AA40" i="1"/>
  <c r="AB40" i="1"/>
  <c r="AG40" i="1"/>
  <c r="AI41" i="1"/>
  <c r="AH41" i="1"/>
  <c r="R41" i="1"/>
  <c r="S41" i="1"/>
  <c r="T41" i="1"/>
  <c r="U41" i="1"/>
  <c r="V41" i="1"/>
  <c r="W41" i="1"/>
  <c r="X41" i="1"/>
  <c r="Y41" i="1"/>
  <c r="AA41" i="1"/>
  <c r="AB41" i="1"/>
  <c r="AG41" i="1"/>
  <c r="AI42" i="1"/>
  <c r="AH42" i="1"/>
  <c r="R42" i="1"/>
  <c r="S42" i="1"/>
  <c r="T42" i="1"/>
  <c r="U42" i="1"/>
  <c r="V42" i="1"/>
  <c r="W42" i="1"/>
  <c r="X42" i="1"/>
  <c r="Y42" i="1"/>
  <c r="AA42" i="1"/>
  <c r="AB42" i="1"/>
  <c r="AG42" i="1"/>
  <c r="AI43" i="1"/>
  <c r="AH43" i="1"/>
  <c r="R43" i="1"/>
  <c r="S43" i="1"/>
  <c r="T43" i="1"/>
  <c r="U43" i="1"/>
  <c r="V43" i="1"/>
  <c r="W43" i="1"/>
  <c r="X43" i="1"/>
  <c r="Y43" i="1"/>
  <c r="AA43" i="1"/>
  <c r="AB43" i="1"/>
  <c r="AG43" i="1"/>
  <c r="AI44" i="1"/>
  <c r="AH44" i="1"/>
  <c r="R44" i="1"/>
  <c r="S44" i="1"/>
  <c r="T44" i="1"/>
  <c r="U44" i="1"/>
  <c r="V44" i="1"/>
  <c r="W44" i="1"/>
  <c r="X44" i="1"/>
  <c r="Y44" i="1"/>
  <c r="AA44" i="1"/>
  <c r="AB44" i="1"/>
  <c r="AG44" i="1"/>
  <c r="AI45" i="1"/>
  <c r="AH45" i="1"/>
  <c r="R45" i="1"/>
  <c r="S45" i="1"/>
  <c r="T45" i="1"/>
  <c r="U45" i="1"/>
  <c r="V45" i="1"/>
  <c r="W45" i="1"/>
  <c r="X45" i="1"/>
  <c r="Y45" i="1"/>
  <c r="AA45" i="1"/>
  <c r="AB45" i="1"/>
  <c r="AG45" i="1"/>
  <c r="AI46" i="1"/>
  <c r="AH46" i="1"/>
  <c r="R46" i="1"/>
  <c r="S46" i="1"/>
  <c r="T46" i="1"/>
  <c r="U46" i="1"/>
  <c r="V46" i="1"/>
  <c r="W46" i="1"/>
  <c r="X46" i="1"/>
  <c r="Y46" i="1"/>
  <c r="AA46" i="1"/>
  <c r="AB46" i="1"/>
  <c r="AG46" i="1"/>
  <c r="AI47" i="1"/>
  <c r="AH47" i="1"/>
  <c r="R47" i="1"/>
  <c r="S47" i="1"/>
  <c r="T47" i="1"/>
  <c r="U47" i="1"/>
  <c r="V47" i="1"/>
  <c r="W47" i="1"/>
  <c r="X47" i="1"/>
  <c r="Y47" i="1"/>
  <c r="AA47" i="1"/>
  <c r="AB47" i="1"/>
  <c r="AG47" i="1"/>
  <c r="AI48" i="1"/>
  <c r="AH48" i="1"/>
  <c r="R48" i="1"/>
  <c r="S48" i="1"/>
  <c r="T48" i="1"/>
  <c r="U48" i="1"/>
  <c r="V48" i="1"/>
  <c r="W48" i="1"/>
  <c r="X48" i="1"/>
  <c r="Y48" i="1"/>
  <c r="AA48" i="1"/>
  <c r="AB48" i="1"/>
  <c r="AG48" i="1"/>
  <c r="AI49" i="1"/>
  <c r="AH49" i="1"/>
  <c r="R49" i="1"/>
  <c r="S49" i="1"/>
  <c r="T49" i="1"/>
  <c r="U49" i="1"/>
  <c r="V49" i="1"/>
  <c r="W49" i="1"/>
  <c r="X49" i="1"/>
  <c r="Y49" i="1"/>
  <c r="AA49" i="1"/>
  <c r="AB49" i="1"/>
  <c r="AG49" i="1"/>
  <c r="AI50" i="1"/>
  <c r="AH50" i="1"/>
  <c r="R50" i="1"/>
  <c r="S50" i="1"/>
  <c r="T50" i="1"/>
  <c r="U50" i="1"/>
  <c r="V50" i="1"/>
  <c r="W50" i="1"/>
  <c r="X50" i="1"/>
  <c r="Y50" i="1"/>
  <c r="AA50" i="1"/>
  <c r="AB50" i="1"/>
  <c r="AG50" i="1"/>
  <c r="AI51" i="1"/>
  <c r="AH51" i="1"/>
  <c r="R51" i="1"/>
  <c r="S51" i="1"/>
  <c r="T51" i="1"/>
  <c r="U51" i="1"/>
  <c r="V51" i="1"/>
  <c r="W51" i="1"/>
  <c r="X51" i="1"/>
  <c r="Y51" i="1"/>
  <c r="AA51" i="1"/>
  <c r="AB51" i="1"/>
  <c r="AG51" i="1"/>
  <c r="AI52" i="1"/>
  <c r="AH52" i="1"/>
  <c r="R52" i="1"/>
  <c r="S52" i="1"/>
  <c r="T52" i="1"/>
  <c r="U52" i="1"/>
  <c r="V52" i="1"/>
  <c r="W52" i="1"/>
  <c r="X52" i="1"/>
  <c r="Y52" i="1"/>
  <c r="AA52" i="1"/>
  <c r="AB52" i="1"/>
  <c r="AG52" i="1"/>
  <c r="AI53" i="1"/>
  <c r="AH53" i="1"/>
  <c r="R53" i="1"/>
  <c r="S53" i="1"/>
  <c r="T53" i="1"/>
  <c r="U53" i="1"/>
  <c r="V53" i="1"/>
  <c r="W53" i="1"/>
  <c r="X53" i="1"/>
  <c r="Y53" i="1"/>
  <c r="AA53" i="1"/>
  <c r="AB53" i="1"/>
  <c r="AG53" i="1"/>
  <c r="AI54" i="1"/>
  <c r="AH54" i="1"/>
  <c r="R54" i="1"/>
  <c r="S54" i="1"/>
  <c r="T54" i="1"/>
  <c r="U54" i="1"/>
  <c r="V54" i="1"/>
  <c r="W54" i="1"/>
  <c r="X54" i="1"/>
  <c r="Y54" i="1"/>
  <c r="AA54" i="1"/>
  <c r="AB54" i="1"/>
  <c r="AG54" i="1"/>
  <c r="AI55" i="1"/>
  <c r="AH55" i="1"/>
  <c r="R55" i="1"/>
  <c r="S55" i="1"/>
  <c r="T55" i="1"/>
  <c r="U55" i="1"/>
  <c r="V55" i="1"/>
  <c r="W55" i="1"/>
  <c r="X55" i="1"/>
  <c r="Y55" i="1"/>
  <c r="AA55" i="1"/>
  <c r="AB55" i="1"/>
  <c r="AG55" i="1"/>
  <c r="AI56" i="1"/>
  <c r="AH56" i="1"/>
  <c r="R56" i="1"/>
  <c r="S56" i="1"/>
  <c r="T56" i="1"/>
  <c r="U56" i="1"/>
  <c r="V56" i="1"/>
  <c r="W56" i="1"/>
  <c r="X56" i="1"/>
  <c r="Y56" i="1"/>
  <c r="AA56" i="1"/>
  <c r="AB56" i="1"/>
  <c r="AG56" i="1"/>
  <c r="AI57" i="1"/>
  <c r="AH57" i="1"/>
  <c r="R57" i="1"/>
  <c r="S57" i="1"/>
  <c r="T57" i="1"/>
  <c r="U57" i="1"/>
  <c r="V57" i="1"/>
  <c r="W57" i="1"/>
  <c r="X57" i="1"/>
  <c r="Y57" i="1"/>
  <c r="AA57" i="1"/>
  <c r="AB57" i="1"/>
  <c r="AG57" i="1"/>
  <c r="AI58" i="1"/>
  <c r="AH58" i="1"/>
  <c r="R58" i="1"/>
  <c r="S58" i="1"/>
  <c r="T58" i="1"/>
  <c r="U58" i="1"/>
  <c r="V58" i="1"/>
  <c r="W58" i="1"/>
  <c r="X58" i="1"/>
  <c r="Y58" i="1"/>
  <c r="AA58" i="1"/>
  <c r="AB58" i="1"/>
  <c r="AG58" i="1"/>
  <c r="AI59" i="1"/>
  <c r="AH59" i="1"/>
  <c r="R59" i="1"/>
  <c r="S59" i="1"/>
  <c r="T59" i="1"/>
  <c r="U59" i="1"/>
  <c r="V59" i="1"/>
  <c r="W59" i="1"/>
  <c r="X59" i="1"/>
  <c r="Y59" i="1"/>
  <c r="AA59" i="1"/>
  <c r="AB59" i="1"/>
  <c r="AG59" i="1"/>
  <c r="AI60" i="1"/>
  <c r="AH60" i="1"/>
  <c r="R60" i="1"/>
  <c r="S60" i="1"/>
  <c r="T60" i="1"/>
  <c r="U60" i="1"/>
  <c r="V60" i="1"/>
  <c r="W60" i="1"/>
  <c r="X60" i="1"/>
  <c r="Y60" i="1"/>
  <c r="AA60" i="1"/>
  <c r="AB60" i="1"/>
  <c r="AG60" i="1"/>
  <c r="AI61" i="1"/>
  <c r="AH61" i="1"/>
  <c r="R61" i="1"/>
  <c r="S61" i="1"/>
  <c r="T61" i="1"/>
  <c r="U61" i="1"/>
  <c r="V61" i="1"/>
  <c r="W61" i="1"/>
  <c r="X61" i="1"/>
  <c r="Y61" i="1"/>
  <c r="AA61" i="1"/>
  <c r="AB61" i="1"/>
  <c r="AG61" i="1"/>
  <c r="AI62" i="1"/>
  <c r="AH62" i="1"/>
  <c r="R62" i="1"/>
  <c r="S62" i="1"/>
  <c r="T62" i="1"/>
  <c r="U62" i="1"/>
  <c r="V62" i="1"/>
  <c r="W62" i="1"/>
  <c r="X62" i="1"/>
  <c r="Y62" i="1"/>
  <c r="AA62" i="1"/>
  <c r="AB62" i="1"/>
  <c r="AG62" i="1"/>
  <c r="AI63" i="1"/>
  <c r="AH63" i="1"/>
  <c r="R63" i="1"/>
  <c r="S63" i="1"/>
  <c r="T63" i="1"/>
  <c r="U63" i="1"/>
  <c r="V63" i="1"/>
  <c r="W63" i="1"/>
  <c r="X63" i="1"/>
  <c r="Y63" i="1"/>
  <c r="AA63" i="1"/>
  <c r="AB63" i="1"/>
  <c r="AG63" i="1"/>
  <c r="AA33" i="1"/>
  <c r="AB33" i="1"/>
  <c r="AG33" i="1"/>
  <c r="AI3" i="1"/>
  <c r="AH3" i="1"/>
  <c r="R3" i="1"/>
  <c r="AI4" i="1"/>
  <c r="AH4" i="1"/>
  <c r="R4" i="1"/>
  <c r="AI5" i="1"/>
  <c r="AH5" i="1"/>
  <c r="R5" i="1"/>
  <c r="AI6" i="1"/>
  <c r="AH6" i="1"/>
  <c r="R6" i="1"/>
  <c r="AI7" i="1"/>
  <c r="AH7" i="1"/>
  <c r="R7" i="1"/>
  <c r="AI8" i="1"/>
  <c r="AH8" i="1"/>
  <c r="R8" i="1"/>
  <c r="AI9" i="1"/>
  <c r="AH9" i="1"/>
  <c r="R9" i="1"/>
  <c r="AI10" i="1"/>
  <c r="AH10" i="1"/>
  <c r="R10" i="1"/>
  <c r="AI11" i="1"/>
  <c r="AH11" i="1"/>
  <c r="R11" i="1"/>
  <c r="AI12" i="1"/>
  <c r="AH12" i="1"/>
  <c r="R12" i="1"/>
  <c r="AI13" i="1"/>
  <c r="AH13" i="1"/>
  <c r="R13" i="1"/>
  <c r="AI14" i="1"/>
  <c r="AH14" i="1"/>
  <c r="R14" i="1"/>
  <c r="AI15" i="1"/>
  <c r="AH15" i="1"/>
  <c r="R15" i="1"/>
  <c r="AI16" i="1"/>
  <c r="AH16" i="1"/>
  <c r="R16" i="1"/>
  <c r="AI17" i="1"/>
  <c r="AH17" i="1"/>
  <c r="R17" i="1"/>
  <c r="AI18" i="1"/>
  <c r="AH18" i="1"/>
  <c r="R18" i="1"/>
  <c r="AI19" i="1"/>
  <c r="AH19" i="1"/>
  <c r="R19" i="1"/>
  <c r="AI20" i="1"/>
  <c r="AH20" i="1"/>
  <c r="R20" i="1"/>
  <c r="AI21" i="1"/>
  <c r="AH21" i="1"/>
  <c r="R21" i="1"/>
  <c r="AI22" i="1"/>
  <c r="AH22" i="1"/>
  <c r="R22" i="1"/>
  <c r="AI23" i="1"/>
  <c r="AH23" i="1"/>
  <c r="R23" i="1"/>
  <c r="AI24" i="1"/>
  <c r="AH24" i="1"/>
  <c r="R24" i="1"/>
  <c r="AI25" i="1"/>
  <c r="AH25" i="1"/>
  <c r="R25" i="1"/>
  <c r="AI26" i="1"/>
  <c r="AH26" i="1"/>
  <c r="R26" i="1"/>
  <c r="AI27" i="1"/>
  <c r="AH27" i="1"/>
  <c r="R27" i="1"/>
  <c r="AI28" i="1"/>
  <c r="AH28" i="1"/>
  <c r="R28" i="1"/>
  <c r="AI29" i="1"/>
  <c r="AH29" i="1"/>
  <c r="R29" i="1"/>
  <c r="AI30" i="1"/>
  <c r="AH30" i="1"/>
  <c r="R30" i="1"/>
  <c r="AI31" i="1"/>
  <c r="AH31" i="1"/>
  <c r="R31" i="1"/>
  <c r="AI32" i="1"/>
  <c r="AH32" i="1"/>
  <c r="R32" i="1"/>
  <c r="AI188" i="1"/>
  <c r="AI157" i="1"/>
  <c r="AI126" i="1"/>
  <c r="AI95" i="1"/>
  <c r="AH188" i="1"/>
  <c r="AH157" i="1"/>
  <c r="AH126" i="1"/>
  <c r="AH95" i="1"/>
  <c r="R188" i="1"/>
  <c r="R126" i="1"/>
  <c r="R95" i="1"/>
  <c r="R64" i="1"/>
  <c r="AH64" i="1"/>
  <c r="AI64" i="1"/>
  <c r="AH33" i="1"/>
  <c r="AI33" i="1"/>
  <c r="AG188" i="1"/>
  <c r="AB188" i="1"/>
  <c r="AA188" i="1"/>
  <c r="Y188" i="1"/>
  <c r="X188" i="1"/>
  <c r="W188" i="1"/>
  <c r="V188" i="1"/>
  <c r="U188" i="1"/>
  <c r="T188" i="1"/>
  <c r="S188" i="1"/>
  <c r="AG157" i="1"/>
  <c r="AB157" i="1"/>
  <c r="AA157" i="1"/>
  <c r="Y157" i="1"/>
  <c r="X157" i="1"/>
  <c r="W157" i="1"/>
  <c r="V157" i="1"/>
  <c r="U157" i="1"/>
  <c r="T157" i="1"/>
  <c r="S157" i="1"/>
  <c r="AG126" i="1"/>
  <c r="AB126" i="1"/>
  <c r="AA126" i="1"/>
  <c r="Y126" i="1"/>
  <c r="X126" i="1"/>
  <c r="W126" i="1"/>
  <c r="V126" i="1"/>
  <c r="U126" i="1"/>
  <c r="T126" i="1"/>
  <c r="S126" i="1"/>
  <c r="AG95" i="1"/>
  <c r="AB95" i="1"/>
  <c r="AA95" i="1"/>
  <c r="Y95" i="1"/>
  <c r="X95" i="1"/>
  <c r="W95" i="1"/>
  <c r="V95" i="1"/>
  <c r="U95" i="1"/>
  <c r="T95" i="1"/>
  <c r="S95" i="1"/>
  <c r="AG64" i="1"/>
  <c r="AB64" i="1"/>
  <c r="AA64" i="1"/>
  <c r="Y64" i="1"/>
  <c r="X64" i="1"/>
  <c r="W64" i="1"/>
  <c r="V64" i="1"/>
  <c r="U64" i="1"/>
  <c r="T64" i="1"/>
  <c r="S64" i="1"/>
  <c r="Y33" i="1"/>
  <c r="X33" i="1"/>
  <c r="W33" i="1"/>
  <c r="V33" i="1"/>
  <c r="U33" i="1"/>
  <c r="T33" i="1"/>
  <c r="S33" i="1"/>
  <c r="R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G188" i="1"/>
  <c r="G157" i="1"/>
  <c r="G126" i="1"/>
  <c r="G95" i="1"/>
  <c r="G64" i="1"/>
  <c r="G33" i="1"/>
  <c r="E188" i="1"/>
  <c r="E157" i="1"/>
  <c r="E126" i="1"/>
  <c r="E95" i="1"/>
  <c r="E6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I2" i="1"/>
  <c r="AH2" i="1"/>
  <c r="E2" i="1"/>
  <c r="AF26" i="1" l="1"/>
  <c r="AF18" i="1"/>
  <c r="AF10" i="1"/>
  <c r="AE59" i="1"/>
  <c r="AE51" i="1"/>
  <c r="AE43" i="1"/>
  <c r="AE35" i="1"/>
  <c r="AE94" i="1"/>
  <c r="AE86" i="1"/>
  <c r="AE78" i="1"/>
  <c r="AE70" i="1"/>
  <c r="AE121" i="1"/>
  <c r="AE113" i="1"/>
  <c r="AE31" i="1"/>
  <c r="AE23" i="1"/>
  <c r="AE15" i="1"/>
  <c r="AE7" i="1"/>
  <c r="AF30" i="1"/>
  <c r="AF22" i="1"/>
  <c r="AF14" i="1"/>
  <c r="AF6" i="1"/>
  <c r="AE157" i="1"/>
  <c r="AE63" i="1"/>
  <c r="AE55" i="1"/>
  <c r="AE47" i="1"/>
  <c r="AE39" i="1"/>
  <c r="AF61" i="1"/>
  <c r="AF53" i="1"/>
  <c r="AF45" i="1"/>
  <c r="AF37" i="1"/>
  <c r="AE90" i="1"/>
  <c r="AE82" i="1"/>
  <c r="AE74" i="1"/>
  <c r="AE66" i="1"/>
  <c r="AF88" i="1"/>
  <c r="AF80" i="1"/>
  <c r="AF72" i="1"/>
  <c r="AE125" i="1"/>
  <c r="AE117" i="1"/>
  <c r="AE109" i="1"/>
  <c r="AE101" i="1"/>
  <c r="AF123" i="1"/>
  <c r="AF115" i="1"/>
  <c r="AF107" i="1"/>
  <c r="AF99" i="1"/>
  <c r="AE152" i="1"/>
  <c r="AE144" i="1"/>
  <c r="AE136" i="1"/>
  <c r="AE128" i="1"/>
  <c r="AF150" i="1"/>
  <c r="AF142" i="1"/>
  <c r="AF134" i="1"/>
  <c r="AE187" i="1"/>
  <c r="AE179" i="1"/>
  <c r="AE171" i="1"/>
  <c r="AE163" i="1"/>
  <c r="AF185" i="1"/>
  <c r="AF177" i="1"/>
  <c r="AF169" i="1"/>
  <c r="AF161" i="1"/>
  <c r="AE214" i="1"/>
  <c r="AE206" i="1"/>
  <c r="AE198" i="1"/>
  <c r="AE190" i="1"/>
  <c r="AF212" i="1"/>
  <c r="AF204" i="1"/>
  <c r="AF196" i="1"/>
  <c r="AE30" i="1"/>
  <c r="AE22" i="1"/>
  <c r="AE14" i="1"/>
  <c r="AE6" i="1"/>
  <c r="AF29" i="1"/>
  <c r="AF21" i="1"/>
  <c r="AF13" i="1"/>
  <c r="AF5" i="1"/>
  <c r="AE188" i="1"/>
  <c r="AE62" i="1"/>
  <c r="AE54" i="1"/>
  <c r="AE46" i="1"/>
  <c r="AE38" i="1"/>
  <c r="AF60" i="1"/>
  <c r="AF52" i="1"/>
  <c r="AF44" i="1"/>
  <c r="AF36" i="1"/>
  <c r="AE89" i="1"/>
  <c r="AE81" i="1"/>
  <c r="AE73" i="1"/>
  <c r="AE65" i="1"/>
  <c r="AF87" i="1"/>
  <c r="AF79" i="1"/>
  <c r="AF71" i="1"/>
  <c r="AE124" i="1"/>
  <c r="AE116" i="1"/>
  <c r="AE108" i="1"/>
  <c r="AE100" i="1"/>
  <c r="AF122" i="1"/>
  <c r="AF114" i="1"/>
  <c r="AF106" i="1"/>
  <c r="AF98" i="1"/>
  <c r="AE151" i="1"/>
  <c r="AE143" i="1"/>
  <c r="AE135" i="1"/>
  <c r="AE127" i="1"/>
  <c r="AF149" i="1"/>
  <c r="AF141" i="1"/>
  <c r="AF133" i="1"/>
  <c r="AE186" i="1"/>
  <c r="AE178" i="1"/>
  <c r="AE170" i="1"/>
  <c r="AE162" i="1"/>
  <c r="AF184" i="1"/>
  <c r="AF176" i="1"/>
  <c r="AF168" i="1"/>
  <c r="AF160" i="1"/>
  <c r="AE213" i="1"/>
  <c r="AE205" i="1"/>
  <c r="AE197" i="1"/>
  <c r="AE189" i="1"/>
  <c r="AF211" i="1"/>
  <c r="AF203" i="1"/>
  <c r="AF195" i="1"/>
  <c r="AE29" i="1"/>
  <c r="AE21" i="1"/>
  <c r="AE13" i="1"/>
  <c r="AE5" i="1"/>
  <c r="AF28" i="1"/>
  <c r="AF20" i="1"/>
  <c r="AF12" i="1"/>
  <c r="AF4" i="1"/>
  <c r="AF33" i="1"/>
  <c r="AE61" i="1"/>
  <c r="AE53" i="1"/>
  <c r="AE45" i="1"/>
  <c r="AE37" i="1"/>
  <c r="AF59" i="1"/>
  <c r="AF51" i="1"/>
  <c r="AF43" i="1"/>
  <c r="AF35" i="1"/>
  <c r="AE88" i="1"/>
  <c r="AE80" i="1"/>
  <c r="AE72" i="1"/>
  <c r="AF94" i="1"/>
  <c r="AF86" i="1"/>
  <c r="AF78" i="1"/>
  <c r="AF70" i="1"/>
  <c r="AE123" i="1"/>
  <c r="AE115" i="1"/>
  <c r="AE107" i="1"/>
  <c r="AE99" i="1"/>
  <c r="AF121" i="1"/>
  <c r="AF113" i="1"/>
  <c r="AF105" i="1"/>
  <c r="AF97" i="1"/>
  <c r="AE150" i="1"/>
  <c r="AE142" i="1"/>
  <c r="AE134" i="1"/>
  <c r="AF156" i="1"/>
  <c r="AF148" i="1"/>
  <c r="AF140" i="1"/>
  <c r="AF132" i="1"/>
  <c r="AE185" i="1"/>
  <c r="AE177" i="1"/>
  <c r="AE169" i="1"/>
  <c r="AE161" i="1"/>
  <c r="AF183" i="1"/>
  <c r="AF175" i="1"/>
  <c r="AF167" i="1"/>
  <c r="AF159" i="1"/>
  <c r="AE212" i="1"/>
  <c r="AE204" i="1"/>
  <c r="AE196" i="1"/>
  <c r="AF218" i="1"/>
  <c r="AF210" i="1"/>
  <c r="AF202" i="1"/>
  <c r="AF194" i="1"/>
  <c r="AE28" i="1"/>
  <c r="AE20" i="1"/>
  <c r="AE12" i="1"/>
  <c r="AE4" i="1"/>
  <c r="AF27" i="1"/>
  <c r="AF19" i="1"/>
  <c r="AF11" i="1"/>
  <c r="AF3" i="1"/>
  <c r="AF64" i="1"/>
  <c r="AE60" i="1"/>
  <c r="AE52" i="1"/>
  <c r="AE44" i="1"/>
  <c r="AE36" i="1"/>
  <c r="AF58" i="1"/>
  <c r="AF50" i="1"/>
  <c r="AF42" i="1"/>
  <c r="AF34" i="1"/>
  <c r="AE87" i="1"/>
  <c r="AE79" i="1"/>
  <c r="AE71" i="1"/>
  <c r="AF93" i="1"/>
  <c r="AF85" i="1"/>
  <c r="AF77" i="1"/>
  <c r="AF69" i="1"/>
  <c r="AE122" i="1"/>
  <c r="AE114" i="1"/>
  <c r="AE106" i="1"/>
  <c r="AE98" i="1"/>
  <c r="AF120" i="1"/>
  <c r="AF112" i="1"/>
  <c r="AF104" i="1"/>
  <c r="AF96" i="1"/>
  <c r="AE149" i="1"/>
  <c r="AE141" i="1"/>
  <c r="AE133" i="1"/>
  <c r="AF155" i="1"/>
  <c r="AF147" i="1"/>
  <c r="AF139" i="1"/>
  <c r="AF131" i="1"/>
  <c r="AE184" i="1"/>
  <c r="AE176" i="1"/>
  <c r="AE168" i="1"/>
  <c r="AE160" i="1"/>
  <c r="AF182" i="1"/>
  <c r="AF174" i="1"/>
  <c r="AF166" i="1"/>
  <c r="AF158" i="1"/>
  <c r="AE211" i="1"/>
  <c r="AE203" i="1"/>
  <c r="AE195" i="1"/>
  <c r="AF217" i="1"/>
  <c r="AF209" i="1"/>
  <c r="AF201" i="1"/>
  <c r="AF193" i="1"/>
  <c r="AE27" i="1"/>
  <c r="AE19" i="1"/>
  <c r="AE11" i="1"/>
  <c r="AE3" i="1"/>
  <c r="AE33" i="1"/>
  <c r="AF95" i="1"/>
  <c r="AF57" i="1"/>
  <c r="AF49" i="1"/>
  <c r="AF41" i="1"/>
  <c r="AF92" i="1"/>
  <c r="AF84" i="1"/>
  <c r="AF76" i="1"/>
  <c r="AF68" i="1"/>
  <c r="AE105" i="1"/>
  <c r="AE97" i="1"/>
  <c r="AF119" i="1"/>
  <c r="AF111" i="1"/>
  <c r="AF103" i="1"/>
  <c r="AE156" i="1"/>
  <c r="AE148" i="1"/>
  <c r="AE140" i="1"/>
  <c r="AE132" i="1"/>
  <c r="AF154" i="1"/>
  <c r="AF146" i="1"/>
  <c r="AF138" i="1"/>
  <c r="AF130" i="1"/>
  <c r="AE183" i="1"/>
  <c r="AE175" i="1"/>
  <c r="AE167" i="1"/>
  <c r="AE159" i="1"/>
  <c r="AF181" i="1"/>
  <c r="AF173" i="1"/>
  <c r="AF165" i="1"/>
  <c r="AE218" i="1"/>
  <c r="AE210" i="1"/>
  <c r="AE202" i="1"/>
  <c r="AE194" i="1"/>
  <c r="AF216" i="1"/>
  <c r="AF208" i="1"/>
  <c r="AF200" i="1"/>
  <c r="AF192" i="1"/>
  <c r="AE26" i="1"/>
  <c r="AE18" i="1"/>
  <c r="AE10" i="1"/>
  <c r="AF2" i="1"/>
  <c r="AF25" i="1"/>
  <c r="AF17" i="1"/>
  <c r="AF9" i="1"/>
  <c r="AE64" i="1"/>
  <c r="AF126" i="1"/>
  <c r="AE58" i="1"/>
  <c r="AE50" i="1"/>
  <c r="AE42" i="1"/>
  <c r="AE34" i="1"/>
  <c r="AF56" i="1"/>
  <c r="AF48" i="1"/>
  <c r="AF40" i="1"/>
  <c r="AE93" i="1"/>
  <c r="AE85" i="1"/>
  <c r="AE77" i="1"/>
  <c r="AE69" i="1"/>
  <c r="AF91" i="1"/>
  <c r="AF83" i="1"/>
  <c r="AF75" i="1"/>
  <c r="AF67" i="1"/>
  <c r="AE120" i="1"/>
  <c r="AE112" i="1"/>
  <c r="AE104" i="1"/>
  <c r="AE96" i="1"/>
  <c r="AF118" i="1"/>
  <c r="AF110" i="1"/>
  <c r="AF102" i="1"/>
  <c r="AE155" i="1"/>
  <c r="AE147" i="1"/>
  <c r="AE139" i="1"/>
  <c r="AE131" i="1"/>
  <c r="AF153" i="1"/>
  <c r="AF145" i="1"/>
  <c r="AF137" i="1"/>
  <c r="AF129" i="1"/>
  <c r="AE182" i="1"/>
  <c r="AE174" i="1"/>
  <c r="AE166" i="1"/>
  <c r="AE158" i="1"/>
  <c r="AF180" i="1"/>
  <c r="AF172" i="1"/>
  <c r="AF164" i="1"/>
  <c r="AE217" i="1"/>
  <c r="AE209" i="1"/>
  <c r="AE201" i="1"/>
  <c r="AE193" i="1"/>
  <c r="AF215" i="1"/>
  <c r="AF207" i="1"/>
  <c r="AF199" i="1"/>
  <c r="AF191" i="1"/>
  <c r="AE2" i="1"/>
  <c r="AE25" i="1"/>
  <c r="AE17" i="1"/>
  <c r="AE9" i="1"/>
  <c r="AF32" i="1"/>
  <c r="AF24" i="1"/>
  <c r="AF16" i="1"/>
  <c r="AF8" i="1"/>
  <c r="AE95" i="1"/>
  <c r="AF157" i="1"/>
  <c r="AE57" i="1"/>
  <c r="AE49" i="1"/>
  <c r="AE41" i="1"/>
  <c r="AF63" i="1"/>
  <c r="AF55" i="1"/>
  <c r="AF47" i="1"/>
  <c r="AF39" i="1"/>
  <c r="AE92" i="1"/>
  <c r="AE84" i="1"/>
  <c r="AE76" i="1"/>
  <c r="AE68" i="1"/>
  <c r="AF90" i="1"/>
  <c r="AF82" i="1"/>
  <c r="AF74" i="1"/>
  <c r="AF66" i="1"/>
  <c r="AE119" i="1"/>
  <c r="AE111" i="1"/>
  <c r="AE103" i="1"/>
  <c r="AF125" i="1"/>
  <c r="AF117" i="1"/>
  <c r="AF109" i="1"/>
  <c r="AF101" i="1"/>
  <c r="AE154" i="1"/>
  <c r="AE146" i="1"/>
  <c r="AE138" i="1"/>
  <c r="AE130" i="1"/>
  <c r="AF152" i="1"/>
  <c r="AF144" i="1"/>
  <c r="AF136" i="1"/>
  <c r="AF128" i="1"/>
  <c r="AE181" i="1"/>
  <c r="AE173" i="1"/>
  <c r="AE165" i="1"/>
  <c r="AF187" i="1"/>
  <c r="AF179" i="1"/>
  <c r="AF171" i="1"/>
  <c r="AF163" i="1"/>
  <c r="AE216" i="1"/>
  <c r="AE208" i="1"/>
  <c r="AE200" i="1"/>
  <c r="AE192" i="1"/>
  <c r="AF214" i="1"/>
  <c r="AF206" i="1"/>
  <c r="AF198" i="1"/>
  <c r="AF190" i="1"/>
  <c r="AE32" i="1"/>
  <c r="AE24" i="1"/>
  <c r="AE16" i="1"/>
  <c r="AE8" i="1"/>
  <c r="AF31" i="1"/>
  <c r="AF23" i="1"/>
  <c r="AF15" i="1"/>
  <c r="AF7" i="1"/>
  <c r="AE126" i="1"/>
  <c r="AF188" i="1"/>
  <c r="AE56" i="1"/>
  <c r="AE48" i="1"/>
  <c r="AE40" i="1"/>
  <c r="AF62" i="1"/>
  <c r="AF54" i="1"/>
  <c r="AF46" i="1"/>
  <c r="AF38" i="1"/>
  <c r="AE91" i="1"/>
  <c r="AE83" i="1"/>
  <c r="AE75" i="1"/>
  <c r="AE67" i="1"/>
  <c r="AF89" i="1"/>
  <c r="AF81" i="1"/>
  <c r="AF73" i="1"/>
  <c r="AF65" i="1"/>
  <c r="AE118" i="1"/>
  <c r="AE110" i="1"/>
  <c r="AE102" i="1"/>
  <c r="AF124" i="1"/>
  <c r="AF116" i="1"/>
  <c r="AF108" i="1"/>
  <c r="AF100" i="1"/>
  <c r="AE153" i="1"/>
  <c r="AE145" i="1"/>
  <c r="AE137" i="1"/>
  <c r="AE129" i="1"/>
  <c r="AF151" i="1"/>
  <c r="AF143" i="1"/>
  <c r="AF135" i="1"/>
  <c r="AF127" i="1"/>
  <c r="AE180" i="1"/>
  <c r="AE172" i="1"/>
  <c r="AE164" i="1"/>
  <c r="AF186" i="1"/>
  <c r="AF178" i="1"/>
  <c r="AF170" i="1"/>
  <c r="AF162" i="1"/>
  <c r="AE215" i="1"/>
  <c r="AE207" i="1"/>
  <c r="AE199" i="1"/>
  <c r="AE191" i="1"/>
  <c r="AF213" i="1"/>
  <c r="AF205" i="1"/>
  <c r="AF197" i="1"/>
  <c r="AF189" i="1"/>
  <c r="H72" i="1"/>
  <c r="H74" i="1"/>
  <c r="H86" i="1"/>
  <c r="H39" i="1"/>
  <c r="H51" i="1"/>
  <c r="H40" i="1"/>
  <c r="H52" i="1"/>
  <c r="H71" i="1"/>
  <c r="H83" i="1"/>
  <c r="H102" i="1"/>
  <c r="H114" i="1"/>
  <c r="H133" i="1"/>
  <c r="H145" i="1"/>
  <c r="H164" i="1"/>
  <c r="H176" i="1"/>
  <c r="H195" i="1"/>
  <c r="H207" i="1"/>
  <c r="H22" i="1"/>
  <c r="H10" i="1"/>
  <c r="H63" i="1"/>
  <c r="H24" i="1"/>
  <c r="H12" i="1"/>
  <c r="H41" i="1"/>
  <c r="H53" i="1"/>
  <c r="H84" i="1"/>
  <c r="H103" i="1"/>
  <c r="H115" i="1"/>
  <c r="H134" i="1"/>
  <c r="H146" i="1"/>
  <c r="H43" i="1"/>
  <c r="H55" i="1"/>
  <c r="H42" i="1"/>
  <c r="H54" i="1"/>
  <c r="H73" i="1"/>
  <c r="H85" i="1"/>
  <c r="H104" i="1"/>
  <c r="H116" i="1"/>
  <c r="H135" i="1"/>
  <c r="H147" i="1"/>
  <c r="H166" i="1"/>
  <c r="H178" i="1"/>
  <c r="H11" i="1"/>
  <c r="H23" i="1"/>
  <c r="H21" i="1"/>
  <c r="H9" i="1"/>
  <c r="H2" i="1"/>
  <c r="H95" i="1"/>
  <c r="H70" i="1"/>
  <c r="H82" i="1"/>
  <c r="H94" i="1"/>
  <c r="H165" i="1"/>
  <c r="H177" i="1"/>
  <c r="H196" i="1"/>
  <c r="H208" i="1"/>
  <c r="H25" i="1"/>
  <c r="H126" i="1"/>
  <c r="H197" i="1"/>
  <c r="H209" i="1"/>
  <c r="H105" i="1"/>
  <c r="H117" i="1"/>
  <c r="H136" i="1"/>
  <c r="H148" i="1"/>
  <c r="H167" i="1"/>
  <c r="H179" i="1"/>
  <c r="H198" i="1"/>
  <c r="H210" i="1"/>
  <c r="H44" i="1"/>
  <c r="H56" i="1"/>
  <c r="H75" i="1"/>
  <c r="H87" i="1"/>
  <c r="H106" i="1"/>
  <c r="H118" i="1"/>
  <c r="H137" i="1"/>
  <c r="H149" i="1"/>
  <c r="H168" i="1"/>
  <c r="H180" i="1"/>
  <c r="H199" i="1"/>
  <c r="H211" i="1"/>
  <c r="H8" i="1"/>
  <c r="H45" i="1"/>
  <c r="H88" i="1"/>
  <c r="H107" i="1"/>
  <c r="H119" i="1"/>
  <c r="H138" i="1"/>
  <c r="H150" i="1"/>
  <c r="H169" i="1"/>
  <c r="H181" i="1"/>
  <c r="H200" i="1"/>
  <c r="H212" i="1"/>
  <c r="H32" i="1"/>
  <c r="H20" i="1"/>
  <c r="H33" i="1"/>
  <c r="H57" i="1"/>
  <c r="H76" i="1"/>
  <c r="H31" i="1"/>
  <c r="H19" i="1"/>
  <c r="H7" i="1"/>
  <c r="H34" i="1"/>
  <c r="H46" i="1"/>
  <c r="H58" i="1"/>
  <c r="H65" i="1"/>
  <c r="H77" i="1"/>
  <c r="H89" i="1"/>
  <c r="H96" i="1"/>
  <c r="H108" i="1"/>
  <c r="H120" i="1"/>
  <c r="H127" i="1"/>
  <c r="H139" i="1"/>
  <c r="H151" i="1"/>
  <c r="H158" i="1"/>
  <c r="H170" i="1"/>
  <c r="H182" i="1"/>
  <c r="H189" i="1"/>
  <c r="H201" i="1"/>
  <c r="H213" i="1"/>
  <c r="H30" i="1"/>
  <c r="H18" i="1"/>
  <c r="H6" i="1"/>
  <c r="H157" i="1"/>
  <c r="H35" i="1"/>
  <c r="H47" i="1"/>
  <c r="H59" i="1"/>
  <c r="H66" i="1"/>
  <c r="H78" i="1"/>
  <c r="H90" i="1"/>
  <c r="H97" i="1"/>
  <c r="H109" i="1"/>
  <c r="H121" i="1"/>
  <c r="H128" i="1"/>
  <c r="H140" i="1"/>
  <c r="H152" i="1"/>
  <c r="H159" i="1"/>
  <c r="H171" i="1"/>
  <c r="H183" i="1"/>
  <c r="H190" i="1"/>
  <c r="H202" i="1"/>
  <c r="H214" i="1"/>
  <c r="H13" i="1"/>
  <c r="H29" i="1"/>
  <c r="H17" i="1"/>
  <c r="H5" i="1"/>
  <c r="H64" i="1"/>
  <c r="H188" i="1"/>
  <c r="H36" i="1"/>
  <c r="H48" i="1"/>
  <c r="H60" i="1"/>
  <c r="H67" i="1"/>
  <c r="H79" i="1"/>
  <c r="H91" i="1"/>
  <c r="H98" i="1"/>
  <c r="H110" i="1"/>
  <c r="H122" i="1"/>
  <c r="H129" i="1"/>
  <c r="H141" i="1"/>
  <c r="H153" i="1"/>
  <c r="H160" i="1"/>
  <c r="H172" i="1"/>
  <c r="H184" i="1"/>
  <c r="H191" i="1"/>
  <c r="H203" i="1"/>
  <c r="H215" i="1"/>
  <c r="H28" i="1"/>
  <c r="H16" i="1"/>
  <c r="H4" i="1"/>
  <c r="H37" i="1"/>
  <c r="H49" i="1"/>
  <c r="H61" i="1"/>
  <c r="H68" i="1"/>
  <c r="H80" i="1"/>
  <c r="H92" i="1"/>
  <c r="H99" i="1"/>
  <c r="H111" i="1"/>
  <c r="H123" i="1"/>
  <c r="H130" i="1"/>
  <c r="H142" i="1"/>
  <c r="H154" i="1"/>
  <c r="H161" i="1"/>
  <c r="H173" i="1"/>
  <c r="H185" i="1"/>
  <c r="H192" i="1"/>
  <c r="H204" i="1"/>
  <c r="H216" i="1"/>
  <c r="H27" i="1"/>
  <c r="H15" i="1"/>
  <c r="H3" i="1"/>
  <c r="H38" i="1"/>
  <c r="H50" i="1"/>
  <c r="H62" i="1"/>
  <c r="H69" i="1"/>
  <c r="H81" i="1"/>
  <c r="H93" i="1"/>
  <c r="H100" i="1"/>
  <c r="H112" i="1"/>
  <c r="H124" i="1"/>
  <c r="H131" i="1"/>
  <c r="H143" i="1"/>
  <c r="H155" i="1"/>
  <c r="H162" i="1"/>
  <c r="H174" i="1"/>
  <c r="H186" i="1"/>
  <c r="H193" i="1"/>
  <c r="H205" i="1"/>
  <c r="H217" i="1"/>
  <c r="H26" i="1"/>
  <c r="H14" i="1"/>
  <c r="H101" i="1"/>
  <c r="H113" i="1"/>
  <c r="H125" i="1"/>
  <c r="H132" i="1"/>
  <c r="H144" i="1"/>
  <c r="H156" i="1"/>
  <c r="H163" i="1"/>
  <c r="H175" i="1"/>
  <c r="H187" i="1"/>
  <c r="H194" i="1"/>
  <c r="H206" i="1"/>
  <c r="H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Y1" authorId="0" shapeId="0" xr:uid="{420850EE-6F6B-FF4E-8D39-7AEBFE651D40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三个师生比进行</t>
        </r>
        <r>
          <rPr>
            <sz val="10"/>
            <color rgb="FF000000"/>
            <rFont val="Microsoft YaHei UI"/>
            <charset val="1"/>
          </rPr>
          <t>PCA</t>
        </r>
        <r>
          <rPr>
            <sz val="10"/>
            <color rgb="FF000000"/>
            <rFont val="Microsoft YaHei UI"/>
            <charset val="1"/>
          </rPr>
          <t>合成</t>
        </r>
      </text>
    </comment>
    <comment ref="AF1" authorId="0" shapeId="0" xr:uid="{4985007C-B787-1542-A345-36C3182EB0DF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测试相关性、查看是否保留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<sst xmlns="http://schemas.openxmlformats.org/spreadsheetml/2006/main" count="835" uniqueCount="137">
  <si>
    <t>provcd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</si>
  <si>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</si>
  <si>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</si>
  <si>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</si>
  <si>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</si>
  <si>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</si>
  <si>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</si>
  <si>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</si>
  <si>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</si>
  <si>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</si>
  <si>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</si>
  <si>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</si>
  <si>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</si>
  <si>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</si>
  <si>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</si>
  <si>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</si>
  <si>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</si>
  <si>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</si>
  <si>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</si>
  <si>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</si>
  <si>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</si>
  <si>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</si>
  <si>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</si>
  <si>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</si>
  <si>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</si>
  <si>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</si>
  <si>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</si>
  <si>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</si>
  <si>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</si>
  <si>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</si>
  <si>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</si>
  <si>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</si>
  <si>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华北</t>
    <phoneticPr fontId="1" type="noConversion"/>
  </si>
  <si>
    <t>东北</t>
    <phoneticPr fontId="1" type="noConversion"/>
  </si>
  <si>
    <t>华东</t>
    <phoneticPr fontId="1" type="noConversion"/>
  </si>
  <si>
    <t>中南</t>
    <phoneticPr fontId="1" type="noConversion"/>
  </si>
  <si>
    <t>西南</t>
    <phoneticPr fontId="1" type="noConversion"/>
  </si>
  <si>
    <t>西北</t>
    <phoneticPr fontId="1" type="noConversion"/>
  </si>
  <si>
    <t>provname</t>
    <phoneticPr fontId="1" type="noConversion"/>
  </si>
  <si>
    <t>area</t>
    <phoneticPr fontId="1" type="noConversion"/>
  </si>
  <si>
    <t>year</t>
    <phoneticPr fontId="1" type="noConversion"/>
  </si>
  <si>
    <t>mean_wage</t>
    <phoneticPr fontId="1" type="noConversion"/>
  </si>
  <si>
    <t>houseprice（房价中位数/人均可支配收入）</t>
    <phoneticPr fontId="1" type="noConversion"/>
  </si>
  <si>
    <t>公共汽电车运营总长度 公里</t>
    <phoneticPr fontId="1" type="noConversion"/>
  </si>
  <si>
    <t>每万人医疗卫生机构床位数</t>
    <phoneticPr fontId="1" type="noConversion"/>
  </si>
  <si>
    <t>体感舒适天数</t>
    <phoneticPr fontId="1" type="noConversion"/>
  </si>
  <si>
    <t>空气质量优良率</t>
    <phoneticPr fontId="1" type="noConversion"/>
  </si>
  <si>
    <t>紫外线强度</t>
    <phoneticPr fontId="1" type="noConversion"/>
  </si>
  <si>
    <t>小学师生比</t>
    <phoneticPr fontId="1" type="noConversion"/>
  </si>
  <si>
    <t>初中师生比</t>
    <phoneticPr fontId="1" type="noConversion"/>
  </si>
  <si>
    <t>医院平均住院日</t>
    <phoneticPr fontId="1" type="noConversion"/>
  </si>
  <si>
    <t>普高师生比</t>
    <phoneticPr fontId="1" type="noConversion"/>
  </si>
  <si>
    <t>方言</t>
    <phoneticPr fontId="1" type="noConversion"/>
  </si>
  <si>
    <t>湘语</t>
    <phoneticPr fontId="1" type="noConversion"/>
  </si>
  <si>
    <t>粤语</t>
    <phoneticPr fontId="1" type="noConversion"/>
  </si>
  <si>
    <t>西南官话</t>
    <phoneticPr fontId="1" type="noConversion"/>
  </si>
  <si>
    <t>吴语</t>
    <phoneticPr fontId="1" type="noConversion"/>
  </si>
  <si>
    <t>闽语</t>
    <phoneticPr fontId="1" type="noConversion"/>
  </si>
  <si>
    <t>赣语</t>
    <phoneticPr fontId="1" type="noConversion"/>
  </si>
  <si>
    <t>晋语</t>
    <phoneticPr fontId="1" type="noConversion"/>
  </si>
  <si>
    <t>胶辽官话</t>
    <phoneticPr fontId="1" type="noConversion"/>
  </si>
  <si>
    <t>兰银官话</t>
    <phoneticPr fontId="1" type="noConversion"/>
  </si>
  <si>
    <t>中原官话</t>
    <phoneticPr fontId="1" type="noConversion"/>
  </si>
  <si>
    <t>北京官话</t>
    <phoneticPr fontId="1" type="noConversion"/>
  </si>
  <si>
    <t>东北官话</t>
    <phoneticPr fontId="1" type="noConversion"/>
  </si>
  <si>
    <t>冀鲁官话</t>
    <phoneticPr fontId="1" type="noConversion"/>
  </si>
  <si>
    <t>连锁餐饮门店总数</t>
    <phoneticPr fontId="1" type="noConversion"/>
  </si>
  <si>
    <t>社会零售消费品总额（亿元）</t>
    <phoneticPr fontId="1" type="noConversion"/>
  </si>
  <si>
    <t>每万人连锁餐饮门店数</t>
    <phoneticPr fontId="1" type="noConversion"/>
  </si>
  <si>
    <t>每万人社会零售消费品总额（亿元）</t>
    <phoneticPr fontId="1" type="noConversion"/>
  </si>
  <si>
    <t>最高温度平均数</t>
    <phoneticPr fontId="1" type="noConversion"/>
  </si>
  <si>
    <t>最低温度平均数</t>
    <phoneticPr fontId="1" type="noConversion"/>
  </si>
  <si>
    <t>常住人口（万人</t>
    <phoneticPr fontId="1" type="noConversion"/>
  </si>
  <si>
    <t xml:space="preserve">人均可支配收入（元） </t>
    <phoneticPr fontId="1" type="noConversion"/>
  </si>
  <si>
    <t>房价（元每平方）</t>
    <phoneticPr fontId="1" type="noConversion"/>
  </si>
  <si>
    <t>其他</t>
    <phoneticPr fontId="1" type="noConversion"/>
  </si>
  <si>
    <t>省份</t>
    <phoneticPr fontId="1" type="noConversion"/>
  </si>
  <si>
    <t>代表性方言</t>
    <phoneticPr fontId="1" type="noConversion"/>
  </si>
  <si>
    <t>北京市</t>
    <phoneticPr fontId="1" type="noConversion"/>
  </si>
  <si>
    <t>江淮官话</t>
    <phoneticPr fontId="1" type="noConversion"/>
  </si>
  <si>
    <t>西藏自治区、新疆维吾尔自治区</t>
    <phoneticPr fontId="1" type="noConversion"/>
  </si>
  <si>
    <t>山西省、内蒙古自治区</t>
    <phoneticPr fontId="1" type="noConversion"/>
  </si>
  <si>
    <t>江西省</t>
    <phoneticPr fontId="1" type="noConversion"/>
  </si>
  <si>
    <t>山东省</t>
    <phoneticPr fontId="1" type="noConversion"/>
  </si>
  <si>
    <t>湖南省</t>
    <phoneticPr fontId="1" type="noConversion"/>
  </si>
  <si>
    <t>广东省</t>
    <phoneticPr fontId="1" type="noConversion"/>
  </si>
  <si>
    <t>湖北省、广西壮族自治区、重庆市、四川省、贵州省
、云南省</t>
    <phoneticPr fontId="1" type="noConversion"/>
  </si>
  <si>
    <t>辽宁省、吉林省、黑龙江省</t>
    <phoneticPr fontId="1" type="noConversion"/>
  </si>
  <si>
    <t>浙江省、上海市、江苏省</t>
    <phoneticPr fontId="1" type="noConversion"/>
  </si>
  <si>
    <t>河南省、陕西省、青海省</t>
    <phoneticPr fontId="1" type="noConversion"/>
  </si>
  <si>
    <t>天津市、河北省、山东省</t>
    <phoneticPr fontId="1" type="noConversion"/>
  </si>
  <si>
    <t>福建省、海南省</t>
    <phoneticPr fontId="1" type="noConversion"/>
  </si>
  <si>
    <t>甘肃省、宁夏回族自治区</t>
    <phoneticPr fontId="1" type="noConversion"/>
  </si>
  <si>
    <t>数量</t>
    <phoneticPr fontId="1" type="noConversion"/>
  </si>
  <si>
    <t>'北京官话'</t>
  </si>
  <si>
    <t>'冀鲁官话'</t>
  </si>
  <si>
    <t>'晋语'</t>
  </si>
  <si>
    <t>'东北官话'</t>
  </si>
  <si>
    <t>'吴语'</t>
  </si>
  <si>
    <t>'江淮官话'</t>
  </si>
  <si>
    <t>'闽语'</t>
  </si>
  <si>
    <t>'赣语'</t>
  </si>
  <si>
    <t>'中原官话'</t>
  </si>
  <si>
    <t>'西南官话'</t>
  </si>
  <si>
    <t>'湘语'</t>
  </si>
  <si>
    <t>'粤语'</t>
  </si>
  <si>
    <t>'其他'</t>
  </si>
  <si>
    <t>'兰银官话'</t>
  </si>
  <si>
    <t>城市燃气普及率</t>
  </si>
  <si>
    <t>每万人拥有公共厕所数量</t>
  </si>
  <si>
    <t>城市用水普及率</t>
    <phoneticPr fontId="1" type="noConversion"/>
  </si>
  <si>
    <t>每万人拥有公共交通车数量</t>
    <phoneticPr fontId="1" type="noConversion"/>
  </si>
  <si>
    <t>人均公园绿地面积</t>
    <phoneticPr fontId="1" type="noConversion"/>
  </si>
  <si>
    <t>自然灾害受灾人口（万人）</t>
    <phoneticPr fontId="1" type="noConversion"/>
  </si>
  <si>
    <t>受灾影响常住人口人口率</t>
    <phoneticPr fontId="1" type="noConversion"/>
  </si>
  <si>
    <t>water人均生活用水（升）</t>
    <phoneticPr fontId="1" type="noConversion"/>
  </si>
  <si>
    <t>交通事故（起）</t>
    <phoneticPr fontId="1" type="noConversion"/>
  </si>
  <si>
    <t>教育经费（万元）</t>
    <phoneticPr fontId="1" type="noConversion"/>
  </si>
  <si>
    <r>
      <t>每万人卫生技术人员</t>
    </r>
    <r>
      <rPr>
        <b/>
        <u/>
        <sz val="11"/>
        <color theme="1"/>
        <rFont val="等线"/>
        <family val="3"/>
        <charset val="134"/>
      </rPr>
      <t>（反映医疗服务质量）</t>
    </r>
    <phoneticPr fontId="1" type="noConversion"/>
  </si>
  <si>
    <r>
      <t>地方财政医疗支出（亿元）</t>
    </r>
    <r>
      <rPr>
        <b/>
        <u/>
        <sz val="11"/>
        <color theme="1"/>
        <rFont val="等线"/>
        <family val="3"/>
        <charset val="134"/>
      </rPr>
      <t>（反映投入）</t>
    </r>
    <phoneticPr fontId="1" type="noConversion"/>
  </si>
  <si>
    <r>
      <t>医疗卫生机构数</t>
    </r>
    <r>
      <rPr>
        <b/>
        <u/>
        <sz val="11"/>
        <color theme="1"/>
        <rFont val="等线"/>
        <family val="3"/>
        <charset val="134"/>
      </rPr>
      <t>（反映资源）</t>
    </r>
    <phoneticPr fontId="1" type="noConversion"/>
  </si>
  <si>
    <r>
      <t>地方财政教育支出（亿元）</t>
    </r>
    <r>
      <rPr>
        <b/>
        <u/>
        <sz val="11"/>
        <color theme="1"/>
        <rFont val="等线"/>
        <family val="3"/>
        <charset val="134"/>
      </rPr>
      <t>（投入）</t>
    </r>
    <phoneticPr fontId="1" type="noConversion"/>
  </si>
  <si>
    <t>基础教育师生比</t>
    <phoneticPr fontId="1" type="noConversion"/>
  </si>
  <si>
    <t>医疗</t>
    <phoneticPr fontId="1" type="noConversion"/>
  </si>
  <si>
    <t>教育</t>
    <phoneticPr fontId="1" type="noConversion"/>
  </si>
  <si>
    <t>商业</t>
    <phoneticPr fontId="1" type="noConversion"/>
  </si>
  <si>
    <t>公共设施</t>
    <phoneticPr fontId="1" type="noConversion"/>
  </si>
  <si>
    <t>自然气候</t>
    <phoneticPr fontId="1" type="noConversion"/>
  </si>
  <si>
    <t>AHP</t>
    <phoneticPr fontId="1" type="noConversion"/>
  </si>
  <si>
    <t>组成</t>
    <phoneticPr fontId="1" type="noConversion"/>
  </si>
  <si>
    <t>备注</t>
    <phoneticPr fontId="1" type="noConversion"/>
  </si>
  <si>
    <t>方法</t>
    <phoneticPr fontId="1" type="noConversion"/>
  </si>
  <si>
    <t>熵值法</t>
    <phoneticPr fontId="1" type="noConversion"/>
  </si>
  <si>
    <t>因子分析</t>
    <phoneticPr fontId="1" type="noConversion"/>
  </si>
  <si>
    <t>TOPSIS</t>
    <phoneticPr fontId="1" type="noConversion"/>
  </si>
  <si>
    <t>综合师生比指标、教育的地方财政</t>
    <phoneticPr fontId="1" type="noConversion"/>
  </si>
  <si>
    <t>综合师生比由小学师生比、中学师生比等经过PCA方法综合而来。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</si>
</sst>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u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4180;&#26411;&#24120;&#20303;&#20154;&#21475;.xls" TargetMode="External"/><Relationship Id="rId1" Type="http://schemas.openxmlformats.org/officeDocument/2006/relationships/externalLinkPath" Target="backup/&#24180;&#26411;&#24120;&#20303;&#20154;&#2147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6222;&#39640;&#24072;&#29983;&#276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021;&#20013;&#24072;&#29983;&#276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3567;&#23398;&#24072;&#29983;&#27604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5945;&#32946;&#32463;&#36153;%20&#19975;&#20803;.xls" TargetMode="External"/><Relationship Id="rId1" Type="http://schemas.openxmlformats.org/officeDocument/2006/relationships/externalLinkPath" Target="backup/&#25945;&#32946;&#32463;&#36153;%20&#19975;&#208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5945;&#32946;&#25903;&#20986;%20&#20159;&#2080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32;&#36890;&#20107;&#25925;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6830;&#38145;&#39184;&#39278;&#38376;&#24215;&#24635;&#25968;.xls" TargetMode="External"/><Relationship Id="rId1" Type="http://schemas.openxmlformats.org/officeDocument/2006/relationships/externalLinkPath" Target="backup/&#36830;&#38145;&#39184;&#39278;&#38376;&#24215;&#24635;&#25968;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1038;&#20250;&#38646;&#21806;&#28040;&#36153;&#21697;&#24635;&#39069;.xls" TargetMode="External"/><Relationship Id="rId1" Type="http://schemas.openxmlformats.org/officeDocument/2006/relationships/externalLinkPath" Target="backup/&#31038;&#20250;&#38646;&#21806;&#28040;&#36153;&#21697;&#24635;&#39069;.xls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2478;&#24066;&#29992;&#27700;&#26222;&#21450;&#29575;.xls" TargetMode="External"/><Relationship Id="rId1" Type="http://schemas.openxmlformats.org/officeDocument/2006/relationships/externalLinkPath" Target="backup/&#22478;&#24066;&#29992;&#27700;&#26222;&#21450;&#29575;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2478;&#24066;&#29123;&#27668;&#26222;&#21450;&#29575;.xls" TargetMode="External"/><Relationship Id="rId1" Type="http://schemas.openxmlformats.org/officeDocument/2006/relationships/externalLinkPath" Target="backup/&#22478;&#24066;&#29123;&#27668;&#26222;&#21450;&#29575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3258;&#28982;&#28798;&#23475;&#21463;&#28798;&#19975;&#20154;&#27425;&#20154;&#21475;.xls" TargetMode="External"/><Relationship Id="rId1" Type="http://schemas.openxmlformats.org/officeDocument/2006/relationships/externalLinkPath" Target="backup/&#33258;&#28982;&#28798;&#23475;&#21463;&#28798;&#19975;&#20154;&#27425;&#20154;&#21475;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7599;&#19975;&#20154;&#25317;&#26377;&#20844;&#20849;&#20132;&#36890;&#36710;&#25968;&#37327;.xls" TargetMode="External"/><Relationship Id="rId1" Type="http://schemas.openxmlformats.org/officeDocument/2006/relationships/externalLinkPath" Target="backup/&#27599;&#19975;&#20154;&#25317;&#26377;&#20844;&#20849;&#20132;&#36890;&#36710;&#25968;&#37327;.xls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7599;&#19975;&#20154;&#25317;&#26377;&#20844;&#20849;&#21397;&#25152;&#25968;&#37327;.xls" TargetMode="External"/><Relationship Id="rId1" Type="http://schemas.openxmlformats.org/officeDocument/2006/relationships/externalLinkPath" Target="backup/&#27599;&#19975;&#20154;&#25317;&#26377;&#20844;&#20849;&#21397;&#25152;&#25968;&#37327;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0154;&#22343;&#20844;&#22253;&#32511;&#22320;&#38754;&#31215;.xls" TargetMode="External"/><Relationship Id="rId1" Type="http://schemas.openxmlformats.org/officeDocument/2006/relationships/externalLinkPath" Target="backup/&#20154;&#22343;&#20844;&#22253;&#32511;&#22320;&#38754;&#3121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54;&#22343;&#26085;&#29983;&#27963;&#29992;&#27700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0844;&#20849;&#27773;&#30005;&#36710;&#36816;&#33829;&#24635;&#38271;&#24230;%20&#20844;&#37324;.xls" TargetMode="External"/><Relationship Id="rId1" Type="http://schemas.openxmlformats.org/officeDocument/2006/relationships/externalLinkPath" Target="backup/&#20844;&#20849;&#27773;&#30005;&#36710;&#36816;&#33829;&#24635;&#38271;&#24230;%20&#20844;&#37324;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1307;&#30103;&#21355;&#29983;&#26426;&#26500;&#25968;.xls" TargetMode="External"/><Relationship Id="rId1" Type="http://schemas.openxmlformats.org/officeDocument/2006/relationships/externalLinkPath" Target="backup/&#21307;&#30103;&#21355;&#29983;&#26426;&#26500;&#2596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07;&#30103;&#21355;&#29983;&#26426;&#26500;&#24202;&#20301;&#2596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55;&#29983;&#25216;&#26415;&#20154;&#215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307;&#38498;&#24179;&#22343;&#20303;&#38498;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1307;&#30103;&#25903;&#20986;%20&#20159;&#208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2186</v>
          </cell>
          <cell r="C2">
            <v>2184</v>
          </cell>
          <cell r="D2">
            <v>2189</v>
          </cell>
          <cell r="E2">
            <v>2189</v>
          </cell>
          <cell r="F2">
            <v>2190</v>
          </cell>
          <cell r="G2">
            <v>2192</v>
          </cell>
          <cell r="H2">
            <v>2194</v>
          </cell>
          <cell r="I2">
            <v>2195</v>
          </cell>
          <cell r="J2">
            <v>2188</v>
          </cell>
          <cell r="K2">
            <v>2171</v>
          </cell>
          <cell r="L2">
            <v>2125</v>
          </cell>
          <cell r="M2">
            <v>2078</v>
          </cell>
          <cell r="N2">
            <v>2024</v>
          </cell>
          <cell r="O2">
            <v>1962</v>
          </cell>
          <cell r="P2">
            <v>1860</v>
          </cell>
          <cell r="Q2">
            <v>1771</v>
          </cell>
          <cell r="R2">
            <v>1676</v>
          </cell>
          <cell r="S2">
            <v>1601</v>
          </cell>
          <cell r="T2">
            <v>1538</v>
          </cell>
        </row>
        <row r="3">
          <cell r="A3" t="str">
            <v>天津市</v>
          </cell>
          <cell r="B3">
            <v>1364</v>
          </cell>
          <cell r="C3">
            <v>1363</v>
          </cell>
          <cell r="D3">
            <v>1373</v>
          </cell>
          <cell r="E3">
            <v>1387</v>
          </cell>
          <cell r="F3">
            <v>1385</v>
          </cell>
          <cell r="G3">
            <v>1383</v>
          </cell>
          <cell r="H3">
            <v>1410</v>
          </cell>
          <cell r="I3">
            <v>1443</v>
          </cell>
          <cell r="J3">
            <v>1439</v>
          </cell>
          <cell r="K3">
            <v>1429</v>
          </cell>
          <cell r="L3">
            <v>1410</v>
          </cell>
          <cell r="M3">
            <v>1378</v>
          </cell>
          <cell r="N3">
            <v>1341</v>
          </cell>
          <cell r="O3">
            <v>1299</v>
          </cell>
          <cell r="P3">
            <v>1228</v>
          </cell>
          <cell r="Q3">
            <v>1176</v>
          </cell>
          <cell r="R3">
            <v>1115</v>
          </cell>
          <cell r="S3">
            <v>1075</v>
          </cell>
          <cell r="T3">
            <v>1043</v>
          </cell>
        </row>
        <row r="4">
          <cell r="A4" t="str">
            <v>河北省</v>
          </cell>
          <cell r="B4">
            <v>7393</v>
          </cell>
          <cell r="C4">
            <v>7420</v>
          </cell>
          <cell r="D4">
            <v>7448</v>
          </cell>
          <cell r="E4">
            <v>7464</v>
          </cell>
          <cell r="F4">
            <v>7447</v>
          </cell>
          <cell r="G4">
            <v>7426</v>
          </cell>
          <cell r="H4">
            <v>7409</v>
          </cell>
          <cell r="I4">
            <v>7375</v>
          </cell>
          <cell r="J4">
            <v>7345</v>
          </cell>
          <cell r="K4">
            <v>7323</v>
          </cell>
          <cell r="L4">
            <v>7288</v>
          </cell>
          <cell r="M4">
            <v>7262</v>
          </cell>
          <cell r="N4">
            <v>7232</v>
          </cell>
          <cell r="O4">
            <v>7194</v>
          </cell>
          <cell r="P4">
            <v>7034</v>
          </cell>
          <cell r="Q4">
            <v>6989</v>
          </cell>
          <cell r="R4">
            <v>6943</v>
          </cell>
          <cell r="S4">
            <v>6898</v>
          </cell>
          <cell r="T4">
            <v>6851</v>
          </cell>
        </row>
        <row r="5">
          <cell r="A5" t="str">
            <v>山西省</v>
          </cell>
          <cell r="B5">
            <v>3466</v>
          </cell>
          <cell r="C5">
            <v>3481</v>
          </cell>
          <cell r="D5">
            <v>3480</v>
          </cell>
          <cell r="E5">
            <v>3490</v>
          </cell>
          <cell r="F5">
            <v>3497</v>
          </cell>
          <cell r="G5">
            <v>3502</v>
          </cell>
          <cell r="H5">
            <v>3510</v>
          </cell>
          <cell r="I5">
            <v>3514</v>
          </cell>
          <cell r="J5">
            <v>3519</v>
          </cell>
          <cell r="K5">
            <v>3528</v>
          </cell>
          <cell r="L5">
            <v>3535</v>
          </cell>
          <cell r="M5">
            <v>3548</v>
          </cell>
          <cell r="N5">
            <v>3562</v>
          </cell>
          <cell r="O5">
            <v>3574</v>
          </cell>
          <cell r="P5">
            <v>3427</v>
          </cell>
          <cell r="Q5">
            <v>3411</v>
          </cell>
          <cell r="R5">
            <v>3393</v>
          </cell>
          <cell r="S5">
            <v>3375</v>
          </cell>
          <cell r="T5">
            <v>3355</v>
          </cell>
        </row>
        <row r="6">
          <cell r="A6" t="str">
            <v>内蒙古自治区</v>
          </cell>
          <cell r="B6">
            <v>2396</v>
          </cell>
          <cell r="C6">
            <v>2401</v>
          </cell>
          <cell r="D6">
            <v>2400</v>
          </cell>
          <cell r="E6">
            <v>2403</v>
          </cell>
          <cell r="F6">
            <v>2415</v>
          </cell>
          <cell r="G6">
            <v>2422</v>
          </cell>
          <cell r="H6">
            <v>2433</v>
          </cell>
          <cell r="I6">
            <v>2436</v>
          </cell>
          <cell r="J6">
            <v>2440</v>
          </cell>
          <cell r="K6">
            <v>2449</v>
          </cell>
          <cell r="L6">
            <v>2455</v>
          </cell>
          <cell r="M6">
            <v>2464</v>
          </cell>
          <cell r="N6">
            <v>2470</v>
          </cell>
          <cell r="O6">
            <v>2472</v>
          </cell>
          <cell r="P6">
            <v>2458</v>
          </cell>
          <cell r="Q6">
            <v>2444</v>
          </cell>
          <cell r="R6">
            <v>2429</v>
          </cell>
          <cell r="S6">
            <v>2415</v>
          </cell>
          <cell r="T6">
            <v>2403</v>
          </cell>
        </row>
        <row r="7">
          <cell r="A7" t="str">
            <v>辽宁省</v>
          </cell>
          <cell r="B7">
            <v>4182</v>
          </cell>
          <cell r="C7">
            <v>4197</v>
          </cell>
          <cell r="D7">
            <v>4229</v>
          </cell>
          <cell r="E7">
            <v>4255</v>
          </cell>
          <cell r="F7">
            <v>4277</v>
          </cell>
          <cell r="G7">
            <v>4291</v>
          </cell>
          <cell r="H7">
            <v>4312</v>
          </cell>
          <cell r="I7">
            <v>4327</v>
          </cell>
          <cell r="J7">
            <v>4338</v>
          </cell>
          <cell r="K7">
            <v>4358</v>
          </cell>
          <cell r="L7">
            <v>4365</v>
          </cell>
          <cell r="M7">
            <v>4375</v>
          </cell>
          <cell r="N7">
            <v>4379</v>
          </cell>
          <cell r="O7">
            <v>4375</v>
          </cell>
          <cell r="P7">
            <v>4341</v>
          </cell>
          <cell r="Q7">
            <v>4315</v>
          </cell>
          <cell r="R7">
            <v>4298</v>
          </cell>
          <cell r="S7">
            <v>4271</v>
          </cell>
          <cell r="T7">
            <v>4221</v>
          </cell>
        </row>
        <row r="8">
          <cell r="A8" t="str">
            <v>吉林省</v>
          </cell>
          <cell r="B8">
            <v>2339</v>
          </cell>
          <cell r="C8">
            <v>2348</v>
          </cell>
          <cell r="D8">
            <v>2375</v>
          </cell>
          <cell r="E8">
            <v>2399</v>
          </cell>
          <cell r="F8">
            <v>2448</v>
          </cell>
          <cell r="G8">
            <v>2484</v>
          </cell>
          <cell r="H8">
            <v>2526</v>
          </cell>
          <cell r="I8">
            <v>2567</v>
          </cell>
          <cell r="J8">
            <v>2613</v>
          </cell>
          <cell r="K8">
            <v>2642</v>
          </cell>
          <cell r="L8">
            <v>2668</v>
          </cell>
          <cell r="M8">
            <v>2698</v>
          </cell>
          <cell r="N8">
            <v>2725</v>
          </cell>
          <cell r="O8">
            <v>2747</v>
          </cell>
          <cell r="P8">
            <v>2740</v>
          </cell>
          <cell r="Q8">
            <v>2734</v>
          </cell>
          <cell r="R8">
            <v>2730</v>
          </cell>
          <cell r="S8">
            <v>2723</v>
          </cell>
          <cell r="T8">
            <v>2716</v>
          </cell>
        </row>
        <row r="9">
          <cell r="A9" t="str">
            <v>黑龙江省</v>
          </cell>
          <cell r="B9">
            <v>3062</v>
          </cell>
          <cell r="C9">
            <v>3099</v>
          </cell>
          <cell r="D9">
            <v>3125</v>
          </cell>
          <cell r="E9">
            <v>3171</v>
          </cell>
          <cell r="F9">
            <v>3255</v>
          </cell>
          <cell r="G9">
            <v>3327</v>
          </cell>
          <cell r="H9">
            <v>3399</v>
          </cell>
          <cell r="I9">
            <v>3463</v>
          </cell>
          <cell r="J9">
            <v>3529</v>
          </cell>
          <cell r="K9">
            <v>3608</v>
          </cell>
          <cell r="L9">
            <v>3666</v>
          </cell>
          <cell r="M9">
            <v>3724</v>
          </cell>
          <cell r="N9">
            <v>3782</v>
          </cell>
          <cell r="O9">
            <v>3833</v>
          </cell>
          <cell r="P9">
            <v>3826</v>
          </cell>
          <cell r="Q9">
            <v>3825</v>
          </cell>
          <cell r="R9">
            <v>3824</v>
          </cell>
          <cell r="S9">
            <v>3823</v>
          </cell>
          <cell r="T9">
            <v>3820</v>
          </cell>
        </row>
        <row r="10">
          <cell r="A10" t="str">
            <v>上海市</v>
          </cell>
          <cell r="B10">
            <v>2487</v>
          </cell>
          <cell r="C10">
            <v>2475</v>
          </cell>
          <cell r="D10">
            <v>2489</v>
          </cell>
          <cell r="E10">
            <v>2488</v>
          </cell>
          <cell r="F10">
            <v>2481</v>
          </cell>
          <cell r="G10">
            <v>2475</v>
          </cell>
          <cell r="H10">
            <v>2466</v>
          </cell>
          <cell r="I10">
            <v>2467</v>
          </cell>
          <cell r="J10">
            <v>2458</v>
          </cell>
          <cell r="K10">
            <v>2467</v>
          </cell>
          <cell r="L10">
            <v>2448</v>
          </cell>
          <cell r="M10">
            <v>2399</v>
          </cell>
          <cell r="N10">
            <v>2356</v>
          </cell>
          <cell r="O10">
            <v>2303</v>
          </cell>
          <cell r="P10">
            <v>2210</v>
          </cell>
          <cell r="Q10">
            <v>2141</v>
          </cell>
          <cell r="R10">
            <v>2064</v>
          </cell>
          <cell r="S10">
            <v>1964</v>
          </cell>
          <cell r="T10">
            <v>1890</v>
          </cell>
        </row>
        <row r="11">
          <cell r="A11" t="str">
            <v>江苏省</v>
          </cell>
          <cell r="B11">
            <v>8526</v>
          </cell>
          <cell r="C11">
            <v>8515</v>
          </cell>
          <cell r="D11">
            <v>8505</v>
          </cell>
          <cell r="E11">
            <v>8477</v>
          </cell>
          <cell r="F11">
            <v>8469</v>
          </cell>
          <cell r="G11">
            <v>8446</v>
          </cell>
          <cell r="H11">
            <v>8423</v>
          </cell>
          <cell r="I11">
            <v>8381</v>
          </cell>
          <cell r="J11">
            <v>8315</v>
          </cell>
          <cell r="K11">
            <v>8281</v>
          </cell>
          <cell r="L11">
            <v>8192</v>
          </cell>
          <cell r="M11">
            <v>8120</v>
          </cell>
          <cell r="N11">
            <v>8023</v>
          </cell>
          <cell r="O11">
            <v>7869</v>
          </cell>
          <cell r="P11">
            <v>7810</v>
          </cell>
          <cell r="Q11">
            <v>7762</v>
          </cell>
          <cell r="R11">
            <v>7723</v>
          </cell>
          <cell r="S11">
            <v>7656</v>
          </cell>
          <cell r="T11">
            <v>7588</v>
          </cell>
        </row>
        <row r="12">
          <cell r="A12" t="str">
            <v>浙江省</v>
          </cell>
          <cell r="B12">
            <v>6627</v>
          </cell>
          <cell r="C12">
            <v>6577</v>
          </cell>
          <cell r="D12">
            <v>6540</v>
          </cell>
          <cell r="E12">
            <v>6468</v>
          </cell>
          <cell r="F12">
            <v>6375</v>
          </cell>
          <cell r="G12">
            <v>6273</v>
          </cell>
          <cell r="H12">
            <v>6170</v>
          </cell>
          <cell r="I12">
            <v>6072</v>
          </cell>
          <cell r="J12">
            <v>5985</v>
          </cell>
          <cell r="K12">
            <v>5890</v>
          </cell>
          <cell r="L12">
            <v>5784</v>
          </cell>
          <cell r="M12">
            <v>5685</v>
          </cell>
          <cell r="N12">
            <v>5570</v>
          </cell>
          <cell r="O12">
            <v>5447</v>
          </cell>
          <cell r="P12">
            <v>5276</v>
          </cell>
          <cell r="Q12">
            <v>5212</v>
          </cell>
          <cell r="R12">
            <v>5155</v>
          </cell>
          <cell r="S12">
            <v>5072</v>
          </cell>
          <cell r="T12">
            <v>4991</v>
          </cell>
        </row>
        <row r="13">
          <cell r="A13" t="str">
            <v>安徽省</v>
          </cell>
          <cell r="B13">
            <v>6121</v>
          </cell>
          <cell r="C13">
            <v>6127</v>
          </cell>
          <cell r="D13">
            <v>6113</v>
          </cell>
          <cell r="E13">
            <v>6105</v>
          </cell>
          <cell r="F13">
            <v>6092</v>
          </cell>
          <cell r="G13">
            <v>6076</v>
          </cell>
          <cell r="H13">
            <v>6057</v>
          </cell>
          <cell r="I13">
            <v>6033</v>
          </cell>
          <cell r="J13">
            <v>6011</v>
          </cell>
          <cell r="K13">
            <v>5997</v>
          </cell>
          <cell r="L13">
            <v>5988</v>
          </cell>
          <cell r="M13">
            <v>5978</v>
          </cell>
          <cell r="N13">
            <v>5972</v>
          </cell>
          <cell r="O13">
            <v>5957</v>
          </cell>
          <cell r="P13">
            <v>6131</v>
          </cell>
          <cell r="Q13">
            <v>6135</v>
          </cell>
          <cell r="R13">
            <v>6118</v>
          </cell>
          <cell r="S13">
            <v>6110</v>
          </cell>
          <cell r="T13">
            <v>6120</v>
          </cell>
        </row>
        <row r="14">
          <cell r="A14" t="str">
            <v>福建省</v>
          </cell>
          <cell r="B14">
            <v>4183</v>
          </cell>
          <cell r="C14">
            <v>4188</v>
          </cell>
          <cell r="D14">
            <v>4187</v>
          </cell>
          <cell r="E14">
            <v>4161</v>
          </cell>
          <cell r="F14">
            <v>4137</v>
          </cell>
          <cell r="G14">
            <v>4104</v>
          </cell>
          <cell r="H14">
            <v>4065</v>
          </cell>
          <cell r="I14">
            <v>4016</v>
          </cell>
          <cell r="J14">
            <v>3984</v>
          </cell>
          <cell r="K14">
            <v>3945</v>
          </cell>
          <cell r="L14">
            <v>3885</v>
          </cell>
          <cell r="M14">
            <v>3841</v>
          </cell>
          <cell r="N14">
            <v>3784</v>
          </cell>
          <cell r="O14">
            <v>3693</v>
          </cell>
          <cell r="P14">
            <v>3666</v>
          </cell>
          <cell r="Q14">
            <v>3639</v>
          </cell>
          <cell r="R14">
            <v>3612</v>
          </cell>
          <cell r="S14">
            <v>3585</v>
          </cell>
          <cell r="T14">
            <v>3557</v>
          </cell>
        </row>
        <row r="15">
          <cell r="A15" t="str">
            <v>江西省</v>
          </cell>
          <cell r="B15">
            <v>4515</v>
          </cell>
          <cell r="C15">
            <v>4528</v>
          </cell>
          <cell r="D15">
            <v>4517</v>
          </cell>
          <cell r="E15">
            <v>4519</v>
          </cell>
          <cell r="F15">
            <v>4516</v>
          </cell>
          <cell r="G15">
            <v>4513</v>
          </cell>
          <cell r="H15">
            <v>4511</v>
          </cell>
          <cell r="I15">
            <v>4496</v>
          </cell>
          <cell r="J15">
            <v>4485</v>
          </cell>
          <cell r="K15">
            <v>4480</v>
          </cell>
          <cell r="L15">
            <v>4476</v>
          </cell>
          <cell r="M15">
            <v>4475</v>
          </cell>
          <cell r="N15">
            <v>4474</v>
          </cell>
          <cell r="O15">
            <v>4462</v>
          </cell>
          <cell r="P15">
            <v>4432</v>
          </cell>
          <cell r="Q15">
            <v>4400</v>
          </cell>
          <cell r="R15">
            <v>4368</v>
          </cell>
          <cell r="S15">
            <v>4339</v>
          </cell>
          <cell r="T15">
            <v>4311</v>
          </cell>
        </row>
        <row r="16">
          <cell r="A16" t="str">
            <v>山东省</v>
          </cell>
          <cell r="B16">
            <v>10123</v>
          </cell>
          <cell r="C16">
            <v>10163</v>
          </cell>
          <cell r="D16">
            <v>10170</v>
          </cell>
          <cell r="E16">
            <v>10165</v>
          </cell>
          <cell r="F16">
            <v>10106</v>
          </cell>
          <cell r="G16">
            <v>10077</v>
          </cell>
          <cell r="H16">
            <v>10033</v>
          </cell>
          <cell r="I16">
            <v>9973</v>
          </cell>
          <cell r="J16">
            <v>9866</v>
          </cell>
          <cell r="K16">
            <v>9808</v>
          </cell>
          <cell r="L16">
            <v>9746</v>
          </cell>
          <cell r="M16">
            <v>9708</v>
          </cell>
          <cell r="N16">
            <v>9665</v>
          </cell>
          <cell r="O16">
            <v>9588</v>
          </cell>
          <cell r="P16">
            <v>9470</v>
          </cell>
          <cell r="Q16">
            <v>9417</v>
          </cell>
          <cell r="R16">
            <v>9367</v>
          </cell>
          <cell r="S16">
            <v>9309</v>
          </cell>
          <cell r="T16">
            <v>9248</v>
          </cell>
        </row>
        <row r="17">
          <cell r="A17" t="str">
            <v>河南省</v>
          </cell>
          <cell r="B17">
            <v>9815</v>
          </cell>
          <cell r="C17">
            <v>9872</v>
          </cell>
          <cell r="D17">
            <v>9883</v>
          </cell>
          <cell r="E17">
            <v>9941</v>
          </cell>
          <cell r="F17">
            <v>9901</v>
          </cell>
          <cell r="G17">
            <v>9864</v>
          </cell>
          <cell r="H17">
            <v>9829</v>
          </cell>
          <cell r="I17">
            <v>9778</v>
          </cell>
          <cell r="J17">
            <v>9701</v>
          </cell>
          <cell r="K17">
            <v>9645</v>
          </cell>
          <cell r="L17">
            <v>9573</v>
          </cell>
          <cell r="M17">
            <v>9532</v>
          </cell>
          <cell r="N17">
            <v>9461</v>
          </cell>
          <cell r="O17">
            <v>9405</v>
          </cell>
          <cell r="P17">
            <v>9487</v>
          </cell>
          <cell r="Q17">
            <v>9429</v>
          </cell>
          <cell r="R17">
            <v>9360</v>
          </cell>
          <cell r="S17">
            <v>9392</v>
          </cell>
          <cell r="T17">
            <v>9380</v>
          </cell>
        </row>
        <row r="18">
          <cell r="A18" t="str">
            <v>湖北省</v>
          </cell>
          <cell r="B18">
            <v>5838</v>
          </cell>
          <cell r="C18">
            <v>5844</v>
          </cell>
          <cell r="D18">
            <v>5830</v>
          </cell>
          <cell r="E18">
            <v>5745</v>
          </cell>
          <cell r="F18">
            <v>5927</v>
          </cell>
          <cell r="G18">
            <v>5917</v>
          </cell>
          <cell r="H18">
            <v>5904</v>
          </cell>
          <cell r="I18">
            <v>5885</v>
          </cell>
          <cell r="J18">
            <v>5850</v>
          </cell>
          <cell r="K18">
            <v>5816</v>
          </cell>
          <cell r="L18">
            <v>5798</v>
          </cell>
          <cell r="M18">
            <v>5781</v>
          </cell>
          <cell r="N18">
            <v>5760</v>
          </cell>
          <cell r="O18">
            <v>5728</v>
          </cell>
          <cell r="P18">
            <v>5720</v>
          </cell>
          <cell r="Q18">
            <v>5711</v>
          </cell>
          <cell r="R18">
            <v>5699</v>
          </cell>
          <cell r="S18">
            <v>5693</v>
          </cell>
          <cell r="T18">
            <v>5710</v>
          </cell>
        </row>
        <row r="19">
          <cell r="A19" t="str">
            <v>湖南省</v>
          </cell>
          <cell r="B19">
            <v>6568</v>
          </cell>
          <cell r="C19">
            <v>6604</v>
          </cell>
          <cell r="D19">
            <v>6622</v>
          </cell>
          <cell r="E19">
            <v>6645</v>
          </cell>
          <cell r="F19">
            <v>6640</v>
          </cell>
          <cell r="G19">
            <v>6635</v>
          </cell>
          <cell r="H19">
            <v>6633</v>
          </cell>
          <cell r="I19">
            <v>6625</v>
          </cell>
          <cell r="J19">
            <v>6615</v>
          </cell>
          <cell r="K19">
            <v>6611</v>
          </cell>
          <cell r="L19">
            <v>6600</v>
          </cell>
          <cell r="M19">
            <v>6590</v>
          </cell>
          <cell r="N19">
            <v>6581</v>
          </cell>
          <cell r="O19">
            <v>6570</v>
          </cell>
          <cell r="P19">
            <v>6406</v>
          </cell>
          <cell r="Q19">
            <v>6380</v>
          </cell>
          <cell r="R19">
            <v>6355</v>
          </cell>
          <cell r="S19">
            <v>6342</v>
          </cell>
          <cell r="T19">
            <v>6326</v>
          </cell>
        </row>
        <row r="20">
          <cell r="A20" t="str">
            <v>广东省</v>
          </cell>
          <cell r="B20">
            <v>12706</v>
          </cell>
          <cell r="C20">
            <v>12657</v>
          </cell>
          <cell r="D20">
            <v>12684</v>
          </cell>
          <cell r="E20">
            <v>12624</v>
          </cell>
          <cell r="F20">
            <v>12489</v>
          </cell>
          <cell r="G20">
            <v>12348</v>
          </cell>
          <cell r="H20">
            <v>12141</v>
          </cell>
          <cell r="I20">
            <v>11908</v>
          </cell>
          <cell r="J20">
            <v>11678</v>
          </cell>
          <cell r="K20">
            <v>11489</v>
          </cell>
          <cell r="L20">
            <v>11270</v>
          </cell>
          <cell r="M20">
            <v>11041</v>
          </cell>
          <cell r="N20">
            <v>10756</v>
          </cell>
          <cell r="O20">
            <v>10441</v>
          </cell>
          <cell r="P20">
            <v>10130</v>
          </cell>
          <cell r="Q20">
            <v>9893</v>
          </cell>
          <cell r="R20">
            <v>9660</v>
          </cell>
          <cell r="S20">
            <v>9442</v>
          </cell>
          <cell r="T20">
            <v>9194</v>
          </cell>
        </row>
        <row r="21">
          <cell r="A21" t="str">
            <v>广西壮族自治区</v>
          </cell>
          <cell r="B21">
            <v>5027</v>
          </cell>
          <cell r="C21">
            <v>5047</v>
          </cell>
          <cell r="D21">
            <v>5037</v>
          </cell>
          <cell r="E21">
            <v>5019</v>
          </cell>
          <cell r="F21">
            <v>4982</v>
          </cell>
          <cell r="G21">
            <v>4947</v>
          </cell>
          <cell r="H21">
            <v>4907</v>
          </cell>
          <cell r="I21">
            <v>4857</v>
          </cell>
          <cell r="J21">
            <v>4811</v>
          </cell>
          <cell r="K21">
            <v>4770</v>
          </cell>
          <cell r="L21">
            <v>4731</v>
          </cell>
          <cell r="M21">
            <v>4694</v>
          </cell>
          <cell r="N21">
            <v>4655</v>
          </cell>
          <cell r="O21">
            <v>4610</v>
          </cell>
          <cell r="P21">
            <v>4856</v>
          </cell>
          <cell r="Q21">
            <v>4816</v>
          </cell>
          <cell r="R21">
            <v>4768</v>
          </cell>
          <cell r="S21">
            <v>4719</v>
          </cell>
          <cell r="T21">
            <v>4660</v>
          </cell>
        </row>
        <row r="22">
          <cell r="A22" t="str">
            <v>海南省</v>
          </cell>
          <cell r="B22">
            <v>1043</v>
          </cell>
          <cell r="C22">
            <v>1027</v>
          </cell>
          <cell r="D22">
            <v>1020</v>
          </cell>
          <cell r="E22">
            <v>1012</v>
          </cell>
          <cell r="F22">
            <v>995</v>
          </cell>
          <cell r="G22">
            <v>982</v>
          </cell>
          <cell r="H22">
            <v>972</v>
          </cell>
          <cell r="I22">
            <v>957</v>
          </cell>
          <cell r="J22">
            <v>945</v>
          </cell>
          <cell r="K22">
            <v>936</v>
          </cell>
          <cell r="L22">
            <v>920</v>
          </cell>
          <cell r="M22">
            <v>910</v>
          </cell>
          <cell r="N22">
            <v>890</v>
          </cell>
          <cell r="O22">
            <v>869</v>
          </cell>
          <cell r="P22">
            <v>864</v>
          </cell>
          <cell r="Q22">
            <v>854</v>
          </cell>
          <cell r="R22">
            <v>845</v>
          </cell>
          <cell r="S22">
            <v>836</v>
          </cell>
          <cell r="T22">
            <v>828</v>
          </cell>
        </row>
        <row r="23">
          <cell r="A23" t="str">
            <v>重庆市</v>
          </cell>
          <cell r="B23">
            <v>3191</v>
          </cell>
          <cell r="C23">
            <v>3213</v>
          </cell>
          <cell r="D23">
            <v>3212</v>
          </cell>
          <cell r="E23">
            <v>3209</v>
          </cell>
          <cell r="F23">
            <v>3188</v>
          </cell>
          <cell r="G23">
            <v>3163</v>
          </cell>
          <cell r="H23">
            <v>3144</v>
          </cell>
          <cell r="I23">
            <v>3110</v>
          </cell>
          <cell r="J23">
            <v>3070</v>
          </cell>
          <cell r="K23">
            <v>3043</v>
          </cell>
          <cell r="L23">
            <v>3011</v>
          </cell>
          <cell r="M23">
            <v>2975</v>
          </cell>
          <cell r="N23">
            <v>2944</v>
          </cell>
          <cell r="O23">
            <v>2885</v>
          </cell>
          <cell r="P23">
            <v>2859</v>
          </cell>
          <cell r="Q23">
            <v>2839</v>
          </cell>
          <cell r="R23">
            <v>2816</v>
          </cell>
          <cell r="S23">
            <v>2808</v>
          </cell>
          <cell r="T23">
            <v>2798</v>
          </cell>
        </row>
        <row r="24">
          <cell r="A24" t="str">
            <v>四川省</v>
          </cell>
          <cell r="B24">
            <v>8368</v>
          </cell>
          <cell r="C24">
            <v>8374</v>
          </cell>
          <cell r="D24">
            <v>8372</v>
          </cell>
          <cell r="E24">
            <v>8371</v>
          </cell>
          <cell r="F24">
            <v>8351</v>
          </cell>
          <cell r="G24">
            <v>8321</v>
          </cell>
          <cell r="H24">
            <v>8289</v>
          </cell>
          <cell r="I24">
            <v>8251</v>
          </cell>
          <cell r="J24">
            <v>8196</v>
          </cell>
          <cell r="K24">
            <v>8139</v>
          </cell>
          <cell r="L24">
            <v>8109</v>
          </cell>
          <cell r="M24">
            <v>8085</v>
          </cell>
          <cell r="N24">
            <v>8064</v>
          </cell>
          <cell r="O24">
            <v>8045</v>
          </cell>
          <cell r="P24">
            <v>8185</v>
          </cell>
          <cell r="Q24">
            <v>8138</v>
          </cell>
          <cell r="R24">
            <v>8127</v>
          </cell>
          <cell r="S24">
            <v>8169</v>
          </cell>
          <cell r="T24">
            <v>8212</v>
          </cell>
        </row>
        <row r="25">
          <cell r="A25" t="str">
            <v>贵州省</v>
          </cell>
          <cell r="B25">
            <v>3865</v>
          </cell>
          <cell r="C25">
            <v>3856</v>
          </cell>
          <cell r="D25">
            <v>3852</v>
          </cell>
          <cell r="E25">
            <v>3858</v>
          </cell>
          <cell r="F25">
            <v>3848</v>
          </cell>
          <cell r="G25">
            <v>3822</v>
          </cell>
          <cell r="H25">
            <v>3803</v>
          </cell>
          <cell r="I25">
            <v>3758</v>
          </cell>
          <cell r="J25">
            <v>3708</v>
          </cell>
          <cell r="K25">
            <v>3677</v>
          </cell>
          <cell r="L25">
            <v>3632</v>
          </cell>
          <cell r="M25">
            <v>3587</v>
          </cell>
          <cell r="N25">
            <v>3530</v>
          </cell>
          <cell r="O25">
            <v>3479</v>
          </cell>
          <cell r="P25">
            <v>3537</v>
          </cell>
          <cell r="Q25">
            <v>3596</v>
          </cell>
          <cell r="R25">
            <v>3632</v>
          </cell>
          <cell r="S25">
            <v>3690</v>
          </cell>
          <cell r="T25">
            <v>3730</v>
          </cell>
        </row>
        <row r="26">
          <cell r="A26" t="str">
            <v>云南省</v>
          </cell>
          <cell r="B26">
            <v>4673</v>
          </cell>
          <cell r="C26">
            <v>4693</v>
          </cell>
          <cell r="D26">
            <v>4690</v>
          </cell>
          <cell r="E26">
            <v>4722</v>
          </cell>
          <cell r="F26">
            <v>4714</v>
          </cell>
          <cell r="G26">
            <v>4703</v>
          </cell>
          <cell r="H26">
            <v>4693</v>
          </cell>
          <cell r="I26">
            <v>4677</v>
          </cell>
          <cell r="J26">
            <v>4663</v>
          </cell>
          <cell r="K26">
            <v>4653</v>
          </cell>
          <cell r="L26">
            <v>4641</v>
          </cell>
          <cell r="M26">
            <v>4631</v>
          </cell>
          <cell r="N26">
            <v>4620</v>
          </cell>
          <cell r="O26">
            <v>4602</v>
          </cell>
          <cell r="P26">
            <v>4571</v>
          </cell>
          <cell r="Q26">
            <v>4543</v>
          </cell>
          <cell r="R26">
            <v>4514</v>
          </cell>
          <cell r="S26">
            <v>4483</v>
          </cell>
          <cell r="T26">
            <v>4450</v>
          </cell>
        </row>
        <row r="27">
          <cell r="A27" t="str">
            <v>西藏自治区</v>
          </cell>
          <cell r="B27">
            <v>365</v>
          </cell>
          <cell r="C27">
            <v>364</v>
          </cell>
          <cell r="D27">
            <v>366</v>
          </cell>
          <cell r="E27">
            <v>366</v>
          </cell>
          <cell r="F27">
            <v>361</v>
          </cell>
          <cell r="G27">
            <v>354</v>
          </cell>
          <cell r="H27">
            <v>349</v>
          </cell>
          <cell r="I27">
            <v>340</v>
          </cell>
          <cell r="J27">
            <v>330</v>
          </cell>
          <cell r="K27">
            <v>325</v>
          </cell>
          <cell r="L27">
            <v>317</v>
          </cell>
          <cell r="M27">
            <v>315</v>
          </cell>
          <cell r="N27">
            <v>309</v>
          </cell>
          <cell r="O27">
            <v>300</v>
          </cell>
          <cell r="P27">
            <v>296</v>
          </cell>
          <cell r="Q27">
            <v>292</v>
          </cell>
          <cell r="R27">
            <v>289</v>
          </cell>
          <cell r="S27">
            <v>285</v>
          </cell>
          <cell r="T27">
            <v>280</v>
          </cell>
        </row>
        <row r="28">
          <cell r="A28" t="str">
            <v>陕西省</v>
          </cell>
          <cell r="B28">
            <v>3952</v>
          </cell>
          <cell r="C28">
            <v>3956</v>
          </cell>
          <cell r="D28">
            <v>3954</v>
          </cell>
          <cell r="E28">
            <v>3955</v>
          </cell>
          <cell r="F28">
            <v>3944</v>
          </cell>
          <cell r="G28">
            <v>3931</v>
          </cell>
          <cell r="H28">
            <v>3904</v>
          </cell>
          <cell r="I28">
            <v>3874</v>
          </cell>
          <cell r="J28">
            <v>3846</v>
          </cell>
          <cell r="K28">
            <v>3827</v>
          </cell>
          <cell r="L28">
            <v>3804</v>
          </cell>
          <cell r="M28">
            <v>3787</v>
          </cell>
          <cell r="N28">
            <v>3765</v>
          </cell>
          <cell r="O28">
            <v>3735</v>
          </cell>
          <cell r="P28">
            <v>3727</v>
          </cell>
          <cell r="Q28">
            <v>3718</v>
          </cell>
          <cell r="R28">
            <v>3708</v>
          </cell>
          <cell r="S28">
            <v>3699</v>
          </cell>
          <cell r="T28">
            <v>3690</v>
          </cell>
        </row>
        <row r="29">
          <cell r="A29" t="str">
            <v>甘肃省</v>
          </cell>
          <cell r="B29">
            <v>2465</v>
          </cell>
          <cell r="C29">
            <v>2492</v>
          </cell>
          <cell r="D29">
            <v>2490</v>
          </cell>
          <cell r="E29">
            <v>2501</v>
          </cell>
          <cell r="F29">
            <v>2509</v>
          </cell>
          <cell r="G29">
            <v>2515</v>
          </cell>
          <cell r="H29">
            <v>2522</v>
          </cell>
          <cell r="I29">
            <v>2520</v>
          </cell>
          <cell r="J29">
            <v>2523</v>
          </cell>
          <cell r="K29">
            <v>2531</v>
          </cell>
          <cell r="L29">
            <v>2537</v>
          </cell>
          <cell r="M29">
            <v>2550</v>
          </cell>
          <cell r="N29">
            <v>2552</v>
          </cell>
          <cell r="O29">
            <v>2560</v>
          </cell>
          <cell r="P29">
            <v>2555</v>
          </cell>
          <cell r="Q29">
            <v>2551</v>
          </cell>
          <cell r="R29">
            <v>2548</v>
          </cell>
          <cell r="S29">
            <v>2547</v>
          </cell>
          <cell r="T29">
            <v>2545</v>
          </cell>
        </row>
        <row r="30">
          <cell r="A30" t="str">
            <v>青海省</v>
          </cell>
          <cell r="B30">
            <v>594</v>
          </cell>
          <cell r="C30">
            <v>595</v>
          </cell>
          <cell r="D30">
            <v>594</v>
          </cell>
          <cell r="E30">
            <v>593</v>
          </cell>
          <cell r="F30">
            <v>590</v>
          </cell>
          <cell r="G30">
            <v>587</v>
          </cell>
          <cell r="H30">
            <v>586</v>
          </cell>
          <cell r="I30">
            <v>582</v>
          </cell>
          <cell r="J30">
            <v>577</v>
          </cell>
          <cell r="K30">
            <v>576</v>
          </cell>
          <cell r="L30">
            <v>571</v>
          </cell>
          <cell r="M30">
            <v>571</v>
          </cell>
          <cell r="N30">
            <v>568</v>
          </cell>
          <cell r="O30">
            <v>563</v>
          </cell>
          <cell r="P30">
            <v>557</v>
          </cell>
          <cell r="Q30">
            <v>554</v>
          </cell>
          <cell r="R30">
            <v>552</v>
          </cell>
          <cell r="S30">
            <v>548</v>
          </cell>
          <cell r="T30">
            <v>543</v>
          </cell>
        </row>
        <row r="31">
          <cell r="A31" t="str">
            <v>宁夏回族自治区</v>
          </cell>
          <cell r="B31">
            <v>729</v>
          </cell>
          <cell r="C31">
            <v>728</v>
          </cell>
          <cell r="D31">
            <v>725</v>
          </cell>
          <cell r="E31">
            <v>721</v>
          </cell>
          <cell r="F31">
            <v>717</v>
          </cell>
          <cell r="G31">
            <v>710</v>
          </cell>
          <cell r="H31">
            <v>705</v>
          </cell>
          <cell r="I31">
            <v>695</v>
          </cell>
          <cell r="J31">
            <v>684</v>
          </cell>
          <cell r="K31">
            <v>678</v>
          </cell>
          <cell r="L31">
            <v>666</v>
          </cell>
          <cell r="M31">
            <v>659</v>
          </cell>
          <cell r="N31">
            <v>648</v>
          </cell>
          <cell r="O31">
            <v>633</v>
          </cell>
          <cell r="P31">
            <v>625</v>
          </cell>
          <cell r="Q31">
            <v>618</v>
          </cell>
          <cell r="R31">
            <v>610</v>
          </cell>
          <cell r="S31">
            <v>604</v>
          </cell>
          <cell r="T31">
            <v>596</v>
          </cell>
        </row>
        <row r="32">
          <cell r="A32" t="str">
            <v>新疆维吾尔自治区</v>
          </cell>
          <cell r="B32">
            <v>2598</v>
          </cell>
          <cell r="C32">
            <v>2587</v>
          </cell>
          <cell r="D32">
            <v>2589</v>
          </cell>
          <cell r="E32">
            <v>2590</v>
          </cell>
          <cell r="F32">
            <v>2559</v>
          </cell>
          <cell r="G32">
            <v>2520</v>
          </cell>
          <cell r="H32">
            <v>2480</v>
          </cell>
          <cell r="I32">
            <v>2428</v>
          </cell>
          <cell r="J32">
            <v>2385</v>
          </cell>
          <cell r="K32">
            <v>2325</v>
          </cell>
          <cell r="L32">
            <v>2285</v>
          </cell>
          <cell r="M32">
            <v>2253</v>
          </cell>
          <cell r="N32">
            <v>2225</v>
          </cell>
          <cell r="O32">
            <v>2185</v>
          </cell>
          <cell r="P32">
            <v>2159</v>
          </cell>
          <cell r="Q32">
            <v>2131</v>
          </cell>
          <cell r="R32">
            <v>2095</v>
          </cell>
          <cell r="S32">
            <v>2050</v>
          </cell>
          <cell r="T32">
            <v>2010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9.1199999999999992</v>
          </cell>
          <cell r="C2">
            <v>8.73</v>
          </cell>
          <cell r="D2">
            <v>8.08</v>
          </cell>
          <cell r="E2">
            <v>7.62</v>
          </cell>
          <cell r="F2">
            <v>7.41</v>
          </cell>
          <cell r="G2">
            <v>7.44</v>
          </cell>
          <cell r="H2">
            <v>7.64</v>
          </cell>
          <cell r="I2">
            <v>7.75</v>
          </cell>
          <cell r="J2">
            <v>7.95</v>
          </cell>
          <cell r="K2">
            <v>8.41</v>
          </cell>
          <cell r="L2">
            <v>9</v>
          </cell>
          <cell r="M2">
            <v>9.3800000000000008</v>
          </cell>
          <cell r="N2">
            <v>9.6</v>
          </cell>
          <cell r="O2">
            <v>10.11</v>
          </cell>
          <cell r="P2">
            <v>10.27</v>
          </cell>
          <cell r="Q2">
            <v>11.04</v>
          </cell>
          <cell r="R2">
            <v>11.99</v>
          </cell>
          <cell r="S2">
            <v>12.6</v>
          </cell>
          <cell r="T2">
            <v>14.01</v>
          </cell>
        </row>
        <row r="3">
          <cell r="A3" t="str">
            <v>天津市</v>
          </cell>
          <cell r="B3">
            <v>11.74</v>
          </cell>
          <cell r="C3">
            <v>11.64</v>
          </cell>
          <cell r="D3">
            <v>11.14</v>
          </cell>
          <cell r="E3">
            <v>10.039999999999999</v>
          </cell>
          <cell r="F3">
            <v>9.5500000000000007</v>
          </cell>
          <cell r="G3">
            <v>9.6300000000000008</v>
          </cell>
          <cell r="H3">
            <v>9.91</v>
          </cell>
          <cell r="I3">
            <v>10</v>
          </cell>
          <cell r="J3">
            <v>10.24</v>
          </cell>
          <cell r="K3">
            <v>10.62</v>
          </cell>
          <cell r="L3">
            <v>11.24</v>
          </cell>
          <cell r="M3">
            <v>11.74</v>
          </cell>
          <cell r="N3">
            <v>12.23</v>
          </cell>
          <cell r="O3">
            <v>12.49</v>
          </cell>
          <cell r="P3">
            <v>12.51</v>
          </cell>
          <cell r="Q3">
            <v>12.73</v>
          </cell>
          <cell r="R3">
            <v>13.61</v>
          </cell>
          <cell r="S3">
            <v>14.32</v>
          </cell>
          <cell r="T3">
            <v>15.29</v>
          </cell>
        </row>
        <row r="4">
          <cell r="A4" t="str">
            <v>河北省</v>
          </cell>
          <cell r="B4">
            <v>12.75</v>
          </cell>
          <cell r="C4">
            <v>13.07</v>
          </cell>
          <cell r="D4">
            <v>13.18</v>
          </cell>
          <cell r="E4">
            <v>13.18</v>
          </cell>
          <cell r="F4">
            <v>13.19</v>
          </cell>
          <cell r="G4">
            <v>13.37</v>
          </cell>
          <cell r="H4">
            <v>13.68</v>
          </cell>
          <cell r="I4">
            <v>13.61</v>
          </cell>
          <cell r="J4">
            <v>13.57</v>
          </cell>
          <cell r="K4">
            <v>13.23</v>
          </cell>
          <cell r="L4">
            <v>13.28</v>
          </cell>
          <cell r="M4">
            <v>14.19</v>
          </cell>
          <cell r="N4">
            <v>14.77</v>
          </cell>
          <cell r="O4">
            <v>15.37</v>
          </cell>
          <cell r="P4">
            <v>16.010000000000002</v>
          </cell>
          <cell r="Q4">
            <v>16.75</v>
          </cell>
          <cell r="R4">
            <v>17.350000000000001</v>
          </cell>
          <cell r="S4">
            <v>19.32</v>
          </cell>
          <cell r="T4">
            <v>18.95</v>
          </cell>
        </row>
        <row r="5">
          <cell r="A5" t="str">
            <v>山西省</v>
          </cell>
          <cell r="B5">
            <v>10.42</v>
          </cell>
          <cell r="C5">
            <v>10.57</v>
          </cell>
          <cell r="D5">
            <v>10.5</v>
          </cell>
          <cell r="E5">
            <v>10.17</v>
          </cell>
          <cell r="F5">
            <v>10.29</v>
          </cell>
          <cell r="G5">
            <v>10.63</v>
          </cell>
          <cell r="H5">
            <v>11.26</v>
          </cell>
          <cell r="I5">
            <v>11.9</v>
          </cell>
          <cell r="J5">
            <v>12.81</v>
          </cell>
          <cell r="K5">
            <v>13.59</v>
          </cell>
          <cell r="L5">
            <v>14.16</v>
          </cell>
          <cell r="M5">
            <v>14.72</v>
          </cell>
          <cell r="N5">
            <v>15.19</v>
          </cell>
          <cell r="O5">
            <v>15.36</v>
          </cell>
          <cell r="P5">
            <v>15.66</v>
          </cell>
          <cell r="Q5">
            <v>15.89</v>
          </cell>
          <cell r="R5">
            <v>16.18</v>
          </cell>
          <cell r="S5">
            <v>15.07</v>
          </cell>
          <cell r="T5">
            <v>17.16</v>
          </cell>
        </row>
        <row r="6">
          <cell r="A6" t="str">
            <v>内蒙古自治区</v>
          </cell>
          <cell r="B6">
            <v>10.17</v>
          </cell>
          <cell r="C6">
            <v>10.45</v>
          </cell>
          <cell r="D6">
            <v>10.46</v>
          </cell>
          <cell r="E6">
            <v>10.82</v>
          </cell>
          <cell r="F6">
            <v>10.99</v>
          </cell>
          <cell r="G6">
            <v>11.6</v>
          </cell>
          <cell r="H6">
            <v>12.22</v>
          </cell>
          <cell r="I6">
            <v>12.89</v>
          </cell>
          <cell r="J6">
            <v>13.58</v>
          </cell>
          <cell r="K6">
            <v>14.4</v>
          </cell>
          <cell r="L6">
            <v>14.94</v>
          </cell>
          <cell r="M6">
            <v>15.52</v>
          </cell>
          <cell r="N6">
            <v>15.76</v>
          </cell>
          <cell r="O6">
            <v>15.81</v>
          </cell>
          <cell r="P6">
            <v>16.690000000000001</v>
          </cell>
          <cell r="Q6">
            <v>17.66</v>
          </cell>
          <cell r="R6">
            <v>18.78</v>
          </cell>
          <cell r="S6">
            <v>16.25</v>
          </cell>
          <cell r="T6">
            <v>19.64</v>
          </cell>
        </row>
        <row r="7">
          <cell r="A7" t="str">
            <v>辽宁省</v>
          </cell>
          <cell r="B7">
            <v>11.35</v>
          </cell>
          <cell r="C7">
            <v>11.4</v>
          </cell>
          <cell r="D7">
            <v>11.34</v>
          </cell>
          <cell r="E7">
            <v>11.33</v>
          </cell>
          <cell r="F7">
            <v>11.48</v>
          </cell>
          <cell r="G7">
            <v>11.75</v>
          </cell>
          <cell r="H7">
            <v>12.26</v>
          </cell>
          <cell r="I7">
            <v>12.35</v>
          </cell>
          <cell r="J7">
            <v>12.68</v>
          </cell>
          <cell r="K7">
            <v>13.34</v>
          </cell>
          <cell r="L7">
            <v>14.1</v>
          </cell>
          <cell r="M7">
            <v>14.72</v>
          </cell>
          <cell r="N7">
            <v>15.5</v>
          </cell>
          <cell r="O7">
            <v>16.010000000000002</v>
          </cell>
          <cell r="P7">
            <v>16.489999999999998</v>
          </cell>
          <cell r="Q7">
            <v>17.02</v>
          </cell>
          <cell r="R7">
            <v>18.05</v>
          </cell>
          <cell r="S7">
            <v>15.25</v>
          </cell>
          <cell r="T7">
            <v>19.48</v>
          </cell>
        </row>
        <row r="8">
          <cell r="A8" t="str">
            <v>吉林省</v>
          </cell>
          <cell r="B8">
            <v>12.35</v>
          </cell>
          <cell r="C8">
            <v>12.8</v>
          </cell>
          <cell r="D8">
            <v>13.1</v>
          </cell>
          <cell r="E8">
            <v>13.12</v>
          </cell>
          <cell r="F8">
            <v>13.2</v>
          </cell>
          <cell r="G8">
            <v>13.27</v>
          </cell>
          <cell r="H8">
            <v>13.82</v>
          </cell>
          <cell r="I8">
            <v>13.81</v>
          </cell>
          <cell r="J8">
            <v>14.11</v>
          </cell>
          <cell r="K8">
            <v>14.66</v>
          </cell>
          <cell r="L8">
            <v>16.47</v>
          </cell>
          <cell r="M8">
            <v>17.13</v>
          </cell>
          <cell r="N8">
            <v>17.38</v>
          </cell>
          <cell r="O8">
            <v>17.05</v>
          </cell>
          <cell r="P8">
            <v>16.96</v>
          </cell>
          <cell r="Q8">
            <v>17.79</v>
          </cell>
          <cell r="R8">
            <v>18.88</v>
          </cell>
          <cell r="S8">
            <v>15.74</v>
          </cell>
          <cell r="T8">
            <v>20.149999999999999</v>
          </cell>
        </row>
        <row r="9">
          <cell r="A9" t="str">
            <v>黑龙江省</v>
          </cell>
          <cell r="B9">
            <v>11.96</v>
          </cell>
          <cell r="C9">
            <v>12.68</v>
          </cell>
          <cell r="D9">
            <v>13.01</v>
          </cell>
          <cell r="E9">
            <v>12.92</v>
          </cell>
          <cell r="F9">
            <v>12.86</v>
          </cell>
          <cell r="G9">
            <v>12.85</v>
          </cell>
          <cell r="H9">
            <v>13.11</v>
          </cell>
          <cell r="I9">
            <v>12.99</v>
          </cell>
          <cell r="J9">
            <v>13.1</v>
          </cell>
          <cell r="K9">
            <v>13.32</v>
          </cell>
          <cell r="L9">
            <v>14.03</v>
          </cell>
          <cell r="M9">
            <v>14.38</v>
          </cell>
          <cell r="N9">
            <v>14.92</v>
          </cell>
          <cell r="O9">
            <v>15.15</v>
          </cell>
          <cell r="P9">
            <v>15.16</v>
          </cell>
          <cell r="Q9">
            <v>15.52</v>
          </cell>
          <cell r="R9">
            <v>16.25</v>
          </cell>
          <cell r="S9">
            <v>17.27</v>
          </cell>
          <cell r="T9">
            <v>17.12</v>
          </cell>
        </row>
        <row r="10">
          <cell r="A10" t="str">
            <v>上海市</v>
          </cell>
          <cell r="B10">
            <v>9.7899999999999991</v>
          </cell>
          <cell r="C10">
            <v>9.59</v>
          </cell>
          <cell r="D10">
            <v>9</v>
          </cell>
          <cell r="E10">
            <v>8.74</v>
          </cell>
          <cell r="F10">
            <v>8.57</v>
          </cell>
          <cell r="G10">
            <v>8.6199999999999992</v>
          </cell>
          <cell r="H10">
            <v>8.86</v>
          </cell>
          <cell r="I10">
            <v>8.93</v>
          </cell>
          <cell r="J10">
            <v>9.09</v>
          </cell>
          <cell r="K10">
            <v>9.27</v>
          </cell>
          <cell r="L10">
            <v>9.4499999999999993</v>
          </cell>
          <cell r="M10">
            <v>9.51</v>
          </cell>
          <cell r="N10">
            <v>9.6999999999999993</v>
          </cell>
          <cell r="O10">
            <v>10.1</v>
          </cell>
          <cell r="P10">
            <v>10.51</v>
          </cell>
          <cell r="Q10">
            <v>11.2</v>
          </cell>
          <cell r="R10">
            <v>12.76</v>
          </cell>
          <cell r="S10">
            <v>17.100000000000001</v>
          </cell>
          <cell r="T10">
            <v>17.09</v>
          </cell>
        </row>
        <row r="11">
          <cell r="A11" t="str">
            <v>江苏省</v>
          </cell>
          <cell r="B11">
            <v>11.18</v>
          </cell>
          <cell r="C11">
            <v>11.13</v>
          </cell>
          <cell r="D11">
            <v>11.07</v>
          </cell>
          <cell r="E11">
            <v>10.96</v>
          </cell>
          <cell r="F11">
            <v>10.58</v>
          </cell>
          <cell r="G11">
            <v>10.26</v>
          </cell>
          <cell r="H11">
            <v>9.9600000000000009</v>
          </cell>
          <cell r="I11">
            <v>10.01</v>
          </cell>
          <cell r="J11">
            <v>10.25</v>
          </cell>
          <cell r="K11">
            <v>10.71</v>
          </cell>
          <cell r="L11">
            <v>11.41</v>
          </cell>
          <cell r="M11">
            <v>12.43</v>
          </cell>
          <cell r="N11">
            <v>13.25</v>
          </cell>
          <cell r="O11">
            <v>13.81</v>
          </cell>
          <cell r="P11">
            <v>14.42</v>
          </cell>
          <cell r="Q11">
            <v>15.15</v>
          </cell>
          <cell r="R11">
            <v>15.64</v>
          </cell>
          <cell r="S11">
            <v>18.39</v>
          </cell>
          <cell r="T11">
            <v>16.37</v>
          </cell>
        </row>
        <row r="12">
          <cell r="A12" t="str">
            <v>浙江省</v>
          </cell>
          <cell r="B12">
            <v>11.11</v>
          </cell>
          <cell r="C12">
            <v>11.03</v>
          </cell>
          <cell r="D12">
            <v>10.97</v>
          </cell>
          <cell r="E12">
            <v>10.98</v>
          </cell>
          <cell r="F12">
            <v>10.9</v>
          </cell>
          <cell r="G12">
            <v>10.93</v>
          </cell>
          <cell r="H12">
            <v>11.11</v>
          </cell>
          <cell r="I12">
            <v>11.26</v>
          </cell>
          <cell r="J12">
            <v>11.65</v>
          </cell>
          <cell r="K12">
            <v>12.06</v>
          </cell>
          <cell r="L12">
            <v>12.92</v>
          </cell>
          <cell r="M12">
            <v>13.58</v>
          </cell>
          <cell r="N12">
            <v>14.19</v>
          </cell>
          <cell r="O12">
            <v>14.12</v>
          </cell>
          <cell r="P12">
            <v>14.14</v>
          </cell>
          <cell r="Q12">
            <v>14.13</v>
          </cell>
          <cell r="R12">
            <v>14.68</v>
          </cell>
          <cell r="S12">
            <v>16.54</v>
          </cell>
          <cell r="T12">
            <v>15.82</v>
          </cell>
        </row>
        <row r="13">
          <cell r="A13" t="str">
            <v>安徽省</v>
          </cell>
          <cell r="B13">
            <v>13.37</v>
          </cell>
          <cell r="C13">
            <v>13.32</v>
          </cell>
          <cell r="D13">
            <v>13.48</v>
          </cell>
          <cell r="E13">
            <v>13.82</v>
          </cell>
          <cell r="F13">
            <v>13.54</v>
          </cell>
          <cell r="G13">
            <v>13.67</v>
          </cell>
          <cell r="H13">
            <v>13.91</v>
          </cell>
          <cell r="I13">
            <v>14.31</v>
          </cell>
          <cell r="J13">
            <v>14.87</v>
          </cell>
          <cell r="K13">
            <v>15.97</v>
          </cell>
          <cell r="L13">
            <v>17</v>
          </cell>
          <cell r="M13">
            <v>18.010000000000002</v>
          </cell>
          <cell r="N13">
            <v>18.38</v>
          </cell>
          <cell r="O13">
            <v>19.079999999999998</v>
          </cell>
          <cell r="P13">
            <v>20.440000000000001</v>
          </cell>
          <cell r="Q13">
            <v>21.14</v>
          </cell>
          <cell r="R13">
            <v>22.7</v>
          </cell>
          <cell r="S13">
            <v>19.739999999999998</v>
          </cell>
          <cell r="T13">
            <v>22.87</v>
          </cell>
        </row>
        <row r="14">
          <cell r="A14" t="str">
            <v>福建省</v>
          </cell>
          <cell r="B14">
            <v>13.09</v>
          </cell>
          <cell r="C14">
            <v>12.94</v>
          </cell>
          <cell r="D14">
            <v>12.76</v>
          </cell>
          <cell r="E14">
            <v>12.59</v>
          </cell>
          <cell r="F14">
            <v>12.3</v>
          </cell>
          <cell r="G14">
            <v>12.39</v>
          </cell>
          <cell r="H14">
            <v>12.56</v>
          </cell>
          <cell r="I14">
            <v>12.59</v>
          </cell>
          <cell r="J14">
            <v>12.41</v>
          </cell>
          <cell r="K14">
            <v>12.35</v>
          </cell>
          <cell r="L14">
            <v>12.72</v>
          </cell>
          <cell r="M14">
            <v>13.27</v>
          </cell>
          <cell r="N14">
            <v>13.55</v>
          </cell>
          <cell r="O14">
            <v>13.55</v>
          </cell>
          <cell r="P14">
            <v>13.74</v>
          </cell>
          <cell r="Q14">
            <v>14.25</v>
          </cell>
          <cell r="R14">
            <v>14.89</v>
          </cell>
          <cell r="S14">
            <v>16.989999999999998</v>
          </cell>
          <cell r="T14">
            <v>16.16</v>
          </cell>
        </row>
        <row r="15">
          <cell r="A15" t="str">
            <v>江西省</v>
          </cell>
          <cell r="B15">
            <v>13.97</v>
          </cell>
          <cell r="C15">
            <v>14.79</v>
          </cell>
          <cell r="D15">
            <v>16.059999999999999</v>
          </cell>
          <cell r="E15">
            <v>16.940000000000001</v>
          </cell>
          <cell r="F15">
            <v>17.45</v>
          </cell>
          <cell r="G15">
            <v>17.260000000000002</v>
          </cell>
          <cell r="H15">
            <v>17.350000000000001</v>
          </cell>
          <cell r="I15">
            <v>17.2</v>
          </cell>
          <cell r="J15">
            <v>17.48</v>
          </cell>
          <cell r="K15">
            <v>17.670000000000002</v>
          </cell>
          <cell r="L15">
            <v>17.62</v>
          </cell>
          <cell r="M15">
            <v>17.350000000000001</v>
          </cell>
          <cell r="N15">
            <v>16.47</v>
          </cell>
          <cell r="O15">
            <v>15.78</v>
          </cell>
          <cell r="P15">
            <v>16.260000000000002</v>
          </cell>
          <cell r="Q15">
            <v>16.77</v>
          </cell>
          <cell r="R15">
            <v>17.25</v>
          </cell>
          <cell r="S15">
            <v>23.18</v>
          </cell>
          <cell r="T15">
            <v>18.239999999999998</v>
          </cell>
        </row>
        <row r="16">
          <cell r="A16" t="str">
            <v>山东省</v>
          </cell>
          <cell r="B16">
            <v>11.9</v>
          </cell>
          <cell r="C16">
            <v>11.76</v>
          </cell>
          <cell r="D16">
            <v>11.72</v>
          </cell>
          <cell r="E16">
            <v>11.81</v>
          </cell>
          <cell r="F16">
            <v>11.7</v>
          </cell>
          <cell r="G16">
            <v>11.9</v>
          </cell>
          <cell r="H16">
            <v>12.31</v>
          </cell>
          <cell r="I16">
            <v>12.84</v>
          </cell>
          <cell r="J16">
            <v>13.51</v>
          </cell>
          <cell r="K16">
            <v>14.08</v>
          </cell>
          <cell r="L16">
            <v>14.33</v>
          </cell>
          <cell r="M16">
            <v>14.28</v>
          </cell>
          <cell r="N16">
            <v>13.79</v>
          </cell>
          <cell r="O16">
            <v>13.69</v>
          </cell>
          <cell r="P16">
            <v>13.99</v>
          </cell>
          <cell r="Q16">
            <v>15</v>
          </cell>
          <cell r="R16">
            <v>16.29</v>
          </cell>
          <cell r="S16">
            <v>17.920000000000002</v>
          </cell>
          <cell r="T16">
            <v>18.190000000000001</v>
          </cell>
        </row>
        <row r="17">
          <cell r="A17" t="str">
            <v>河南省</v>
          </cell>
          <cell r="B17">
            <v>13.58</v>
          </cell>
          <cell r="C17">
            <v>13.59</v>
          </cell>
          <cell r="D17">
            <v>14.46</v>
          </cell>
          <cell r="E17">
            <v>15.18</v>
          </cell>
          <cell r="F17">
            <v>15.61</v>
          </cell>
          <cell r="G17">
            <v>16.02</v>
          </cell>
          <cell r="H17">
            <v>16.48</v>
          </cell>
          <cell r="I17">
            <v>16.93</v>
          </cell>
          <cell r="J17">
            <v>17.04</v>
          </cell>
          <cell r="K17">
            <v>17.11</v>
          </cell>
          <cell r="L17">
            <v>17.510000000000002</v>
          </cell>
          <cell r="M17">
            <v>17.940000000000001</v>
          </cell>
          <cell r="N17">
            <v>18.170000000000002</v>
          </cell>
          <cell r="O17">
            <v>18.420000000000002</v>
          </cell>
          <cell r="P17">
            <v>19.190000000000001</v>
          </cell>
          <cell r="Q17">
            <v>20.18</v>
          </cell>
          <cell r="R17">
            <v>21.72</v>
          </cell>
          <cell r="S17">
            <v>21.94</v>
          </cell>
          <cell r="T17">
            <v>22.42</v>
          </cell>
        </row>
        <row r="18">
          <cell r="A18" t="str">
            <v>湖北省</v>
          </cell>
          <cell r="B18">
            <v>13.17</v>
          </cell>
          <cell r="C18">
            <v>13.18</v>
          </cell>
          <cell r="D18">
            <v>13.13</v>
          </cell>
          <cell r="E18">
            <v>13.02</v>
          </cell>
          <cell r="F18">
            <v>12.74</v>
          </cell>
          <cell r="G18">
            <v>12.48</v>
          </cell>
          <cell r="H18">
            <v>12.43</v>
          </cell>
          <cell r="I18">
            <v>12.7</v>
          </cell>
          <cell r="J18">
            <v>13.07</v>
          </cell>
          <cell r="K18">
            <v>13.49</v>
          </cell>
          <cell r="L18">
            <v>14.17</v>
          </cell>
          <cell r="M18">
            <v>15.16</v>
          </cell>
          <cell r="N18">
            <v>16.37</v>
          </cell>
          <cell r="O18">
            <v>17.399999999999999</v>
          </cell>
          <cell r="P18">
            <v>18.18</v>
          </cell>
          <cell r="Q18">
            <v>18.829999999999998</v>
          </cell>
          <cell r="R18">
            <v>19.11</v>
          </cell>
          <cell r="S18">
            <v>19.79</v>
          </cell>
          <cell r="T18">
            <v>20.09</v>
          </cell>
        </row>
        <row r="19">
          <cell r="A19" t="str">
            <v>湖南省</v>
          </cell>
          <cell r="B19">
            <v>13.84</v>
          </cell>
          <cell r="C19">
            <v>13.91</v>
          </cell>
          <cell r="D19">
            <v>14.24</v>
          </cell>
          <cell r="E19">
            <v>14.16</v>
          </cell>
          <cell r="F19">
            <v>14.48</v>
          </cell>
          <cell r="G19">
            <v>14.7</v>
          </cell>
          <cell r="H19">
            <v>15.12</v>
          </cell>
          <cell r="I19">
            <v>15.36</v>
          </cell>
          <cell r="J19">
            <v>15.34</v>
          </cell>
          <cell r="K19">
            <v>15.44</v>
          </cell>
          <cell r="L19">
            <v>15.44</v>
          </cell>
          <cell r="M19">
            <v>15.3</v>
          </cell>
          <cell r="N19">
            <v>15.01</v>
          </cell>
          <cell r="O19">
            <v>15.02</v>
          </cell>
          <cell r="P19">
            <v>15.28</v>
          </cell>
          <cell r="Q19">
            <v>16.46</v>
          </cell>
          <cell r="R19">
            <v>17.809999999999999</v>
          </cell>
          <cell r="S19">
            <v>18.78</v>
          </cell>
          <cell r="T19">
            <v>19.3</v>
          </cell>
        </row>
        <row r="20">
          <cell r="A20" t="str">
            <v>广东省</v>
          </cell>
          <cell r="B20">
            <v>12.95</v>
          </cell>
          <cell r="C20">
            <v>12.86</v>
          </cell>
          <cell r="D20">
            <v>12.76</v>
          </cell>
          <cell r="E20">
            <v>12.54</v>
          </cell>
          <cell r="F20">
            <v>12.35</v>
          </cell>
          <cell r="G20">
            <v>12.25</v>
          </cell>
          <cell r="H20">
            <v>12.5</v>
          </cell>
          <cell r="I20">
            <v>13.02</v>
          </cell>
          <cell r="J20">
            <v>13.62</v>
          </cell>
          <cell r="K20">
            <v>14.43</v>
          </cell>
          <cell r="L20">
            <v>15.23</v>
          </cell>
          <cell r="M20">
            <v>15.93</v>
          </cell>
          <cell r="N20">
            <v>16.079999999999998</v>
          </cell>
          <cell r="O20">
            <v>16.71</v>
          </cell>
          <cell r="P20">
            <v>16.23</v>
          </cell>
          <cell r="Q20">
            <v>16.420000000000002</v>
          </cell>
          <cell r="R20">
            <v>16.670000000000002</v>
          </cell>
          <cell r="S20">
            <v>17.89</v>
          </cell>
          <cell r="T20">
            <v>17.309999999999999</v>
          </cell>
        </row>
        <row r="21">
          <cell r="A21" t="str">
            <v>广西壮族自治区</v>
          </cell>
          <cell r="B21">
            <v>14.61</v>
          </cell>
          <cell r="C21">
            <v>15.07</v>
          </cell>
          <cell r="D21">
            <v>15.82</v>
          </cell>
          <cell r="E21">
            <v>16.21</v>
          </cell>
          <cell r="F21">
            <v>17.29</v>
          </cell>
          <cell r="G21">
            <v>17.399999999999999</v>
          </cell>
          <cell r="H21">
            <v>17.41</v>
          </cell>
          <cell r="I21">
            <v>17.22</v>
          </cell>
          <cell r="J21">
            <v>17.059999999999999</v>
          </cell>
          <cell r="K21">
            <v>17.329999999999998</v>
          </cell>
          <cell r="L21">
            <v>17.52</v>
          </cell>
          <cell r="M21">
            <v>17.86</v>
          </cell>
          <cell r="N21">
            <v>17.96</v>
          </cell>
          <cell r="O21">
            <v>17.899999999999999</v>
          </cell>
          <cell r="P21">
            <v>18.16</v>
          </cell>
          <cell r="Q21">
            <v>18.55</v>
          </cell>
          <cell r="R21">
            <v>18.93</v>
          </cell>
          <cell r="S21">
            <v>19.46</v>
          </cell>
          <cell r="T21">
            <v>19.850000000000001</v>
          </cell>
        </row>
        <row r="22">
          <cell r="A22" t="str">
            <v>海南省</v>
          </cell>
          <cell r="B22">
            <v>12.99</v>
          </cell>
          <cell r="C22">
            <v>12.86</v>
          </cell>
          <cell r="D22">
            <v>12.76</v>
          </cell>
          <cell r="E22">
            <v>12.71</v>
          </cell>
          <cell r="F22">
            <v>12.7</v>
          </cell>
          <cell r="G22">
            <v>12.66</v>
          </cell>
          <cell r="H22">
            <v>12.84</v>
          </cell>
          <cell r="I22">
            <v>13.28</v>
          </cell>
          <cell r="J22">
            <v>13.67</v>
          </cell>
          <cell r="K22">
            <v>14.46</v>
          </cell>
          <cell r="L22">
            <v>15.65</v>
          </cell>
          <cell r="M22">
            <v>16.12</v>
          </cell>
          <cell r="N22">
            <v>17.079999999999998</v>
          </cell>
          <cell r="O22">
            <v>16.89</v>
          </cell>
          <cell r="P22">
            <v>17.100000000000001</v>
          </cell>
          <cell r="Q22">
            <v>17.510000000000002</v>
          </cell>
          <cell r="R22">
            <v>17.55</v>
          </cell>
          <cell r="S22">
            <v>19.440000000000001</v>
          </cell>
          <cell r="T22">
            <v>17.93</v>
          </cell>
        </row>
        <row r="23">
          <cell r="A23" t="str">
            <v>重庆市</v>
          </cell>
          <cell r="B23">
            <v>14.98</v>
          </cell>
          <cell r="C23">
            <v>15</v>
          </cell>
          <cell r="D23">
            <v>15.12</v>
          </cell>
          <cell r="E23">
            <v>15.34</v>
          </cell>
          <cell r="F23">
            <v>15.46</v>
          </cell>
          <cell r="G23">
            <v>15.46</v>
          </cell>
          <cell r="H23">
            <v>15.26</v>
          </cell>
          <cell r="I23">
            <v>15.21</v>
          </cell>
          <cell r="J23">
            <v>15.92</v>
          </cell>
          <cell r="K23">
            <v>16.88</v>
          </cell>
          <cell r="L23">
            <v>17.54</v>
          </cell>
          <cell r="M23">
            <v>18.13</v>
          </cell>
          <cell r="N23">
            <v>18.95</v>
          </cell>
          <cell r="O23">
            <v>19.45</v>
          </cell>
          <cell r="P23">
            <v>19.670000000000002</v>
          </cell>
          <cell r="Q23">
            <v>19.23</v>
          </cell>
          <cell r="R23">
            <v>18.61</v>
          </cell>
          <cell r="S23">
            <v>18.600000000000001</v>
          </cell>
          <cell r="T23">
            <v>18.68</v>
          </cell>
        </row>
        <row r="24">
          <cell r="A24" t="str">
            <v>四川省</v>
          </cell>
          <cell r="B24">
            <v>12.97</v>
          </cell>
          <cell r="C24">
            <v>13.15</v>
          </cell>
          <cell r="D24">
            <v>13.48</v>
          </cell>
          <cell r="E24">
            <v>13.68</v>
          </cell>
          <cell r="F24">
            <v>13.82</v>
          </cell>
          <cell r="G24">
            <v>13.94</v>
          </cell>
          <cell r="H24">
            <v>14.5</v>
          </cell>
          <cell r="I24">
            <v>15.04</v>
          </cell>
          <cell r="J24">
            <v>15.59</v>
          </cell>
          <cell r="K24">
            <v>16.18</v>
          </cell>
          <cell r="L24">
            <v>16.850000000000001</v>
          </cell>
          <cell r="M24">
            <v>17.54</v>
          </cell>
          <cell r="N24">
            <v>18.27</v>
          </cell>
          <cell r="O24">
            <v>18.21</v>
          </cell>
          <cell r="P24">
            <v>18.62</v>
          </cell>
          <cell r="Q24">
            <v>17.86</v>
          </cell>
          <cell r="R24">
            <v>17.989999999999998</v>
          </cell>
          <cell r="S24">
            <v>18.68</v>
          </cell>
          <cell r="T24">
            <v>19.12</v>
          </cell>
        </row>
        <row r="25">
          <cell r="A25" t="str">
            <v>贵州省</v>
          </cell>
          <cell r="B25">
            <v>12.96</v>
          </cell>
          <cell r="C25">
            <v>13.25</v>
          </cell>
          <cell r="D25">
            <v>13.69</v>
          </cell>
          <cell r="E25">
            <v>14.12</v>
          </cell>
          <cell r="F25">
            <v>14.57</v>
          </cell>
          <cell r="G25">
            <v>15.13</v>
          </cell>
          <cell r="H25">
            <v>15.77</v>
          </cell>
          <cell r="I25">
            <v>16.28</v>
          </cell>
          <cell r="J25">
            <v>17.420000000000002</v>
          </cell>
          <cell r="K25">
            <v>18</v>
          </cell>
          <cell r="L25">
            <v>18.25</v>
          </cell>
          <cell r="M25">
            <v>18.59</v>
          </cell>
          <cell r="N25">
            <v>19.02</v>
          </cell>
          <cell r="O25">
            <v>18.75</v>
          </cell>
          <cell r="P25">
            <v>18.510000000000002</v>
          </cell>
          <cell r="Q25">
            <v>18.559999999999999</v>
          </cell>
          <cell r="R25">
            <v>18.68</v>
          </cell>
          <cell r="S25">
            <v>18.88</v>
          </cell>
          <cell r="T25">
            <v>19.309999999999999</v>
          </cell>
        </row>
        <row r="26">
          <cell r="A26" t="str">
            <v>云南省</v>
          </cell>
          <cell r="B26">
            <v>13.76</v>
          </cell>
          <cell r="C26">
            <v>13.78</v>
          </cell>
          <cell r="D26">
            <v>13.54</v>
          </cell>
          <cell r="E26">
            <v>13.31</v>
          </cell>
          <cell r="F26">
            <v>14.55</v>
          </cell>
          <cell r="G26">
            <v>14.62</v>
          </cell>
          <cell r="H26">
            <v>14.74</v>
          </cell>
          <cell r="I26">
            <v>14.96</v>
          </cell>
          <cell r="J26">
            <v>15.2</v>
          </cell>
          <cell r="K26">
            <v>15.53</v>
          </cell>
          <cell r="L26">
            <v>15.6</v>
          </cell>
          <cell r="M26">
            <v>15.6</v>
          </cell>
          <cell r="N26">
            <v>15.38</v>
          </cell>
          <cell r="O26">
            <v>15.37</v>
          </cell>
          <cell r="P26">
            <v>15.39</v>
          </cell>
          <cell r="Q26">
            <v>15.54</v>
          </cell>
          <cell r="R26">
            <v>15.67</v>
          </cell>
          <cell r="S26">
            <v>16.02</v>
          </cell>
          <cell r="T26">
            <v>16.23</v>
          </cell>
        </row>
        <row r="27">
          <cell r="A27" t="str">
            <v>西藏自治区</v>
          </cell>
          <cell r="B27">
            <v>11.4</v>
          </cell>
          <cell r="C27">
            <v>12.03</v>
          </cell>
          <cell r="D27">
            <v>12.04</v>
          </cell>
          <cell r="E27">
            <v>12.34</v>
          </cell>
          <cell r="F27">
            <v>11.4</v>
          </cell>
          <cell r="G27">
            <v>10.75</v>
          </cell>
          <cell r="H27">
            <v>11.33</v>
          </cell>
          <cell r="I27">
            <v>11.41</v>
          </cell>
          <cell r="J27">
            <v>12.39</v>
          </cell>
          <cell r="K27">
            <v>12.64</v>
          </cell>
          <cell r="L27">
            <v>13.72</v>
          </cell>
          <cell r="M27">
            <v>13.07</v>
          </cell>
          <cell r="N27">
            <v>13.15</v>
          </cell>
          <cell r="O27">
            <v>12.84</v>
          </cell>
          <cell r="P27">
            <v>14.11</v>
          </cell>
          <cell r="Q27">
            <v>17.010000000000002</v>
          </cell>
          <cell r="R27">
            <v>18.39</v>
          </cell>
          <cell r="S27">
            <v>17.920000000000002</v>
          </cell>
          <cell r="T27">
            <v>17.350000000000001</v>
          </cell>
        </row>
        <row r="28">
          <cell r="A28" t="str">
            <v>陕西省</v>
          </cell>
          <cell r="B28">
            <v>12.32</v>
          </cell>
          <cell r="C28">
            <v>11.81</v>
          </cell>
          <cell r="D28">
            <v>11.42</v>
          </cell>
          <cell r="E28">
            <v>11.44</v>
          </cell>
          <cell r="F28">
            <v>11.9</v>
          </cell>
          <cell r="G28">
            <v>12.59</v>
          </cell>
          <cell r="H28">
            <v>13.21</v>
          </cell>
          <cell r="I28">
            <v>13.63</v>
          </cell>
          <cell r="J28">
            <v>14.1</v>
          </cell>
          <cell r="K28">
            <v>14.95</v>
          </cell>
          <cell r="L28">
            <v>15.79</v>
          </cell>
          <cell r="M28">
            <v>16.75</v>
          </cell>
          <cell r="N28">
            <v>17.48</v>
          </cell>
          <cell r="O28">
            <v>17.72</v>
          </cell>
          <cell r="P28">
            <v>17.79</v>
          </cell>
          <cell r="Q28">
            <v>18.13</v>
          </cell>
          <cell r="R28">
            <v>19.36</v>
          </cell>
          <cell r="S28">
            <v>20.34</v>
          </cell>
          <cell r="T28">
            <v>20.55</v>
          </cell>
        </row>
        <row r="29">
          <cell r="A29" t="str">
            <v>甘肃省</v>
          </cell>
          <cell r="B29">
            <v>10.95</v>
          </cell>
          <cell r="C29">
            <v>10.96</v>
          </cell>
          <cell r="D29">
            <v>10.88</v>
          </cell>
          <cell r="E29">
            <v>11.21</v>
          </cell>
          <cell r="F29">
            <v>11.49</v>
          </cell>
          <cell r="G29">
            <v>12.01</v>
          </cell>
          <cell r="H29">
            <v>12.72</v>
          </cell>
          <cell r="I29">
            <v>13.38</v>
          </cell>
          <cell r="J29">
            <v>14.06</v>
          </cell>
          <cell r="K29">
            <v>14.95</v>
          </cell>
          <cell r="L29">
            <v>15.7</v>
          </cell>
          <cell r="M29">
            <v>16.43</v>
          </cell>
          <cell r="N29">
            <v>17.03</v>
          </cell>
          <cell r="O29">
            <v>17.239999999999998</v>
          </cell>
          <cell r="P29">
            <v>17.3</v>
          </cell>
          <cell r="Q29">
            <v>17.399999999999999</v>
          </cell>
          <cell r="R29">
            <v>18.07</v>
          </cell>
          <cell r="S29">
            <v>18.809999999999999</v>
          </cell>
          <cell r="T29">
            <v>19.440000000000001</v>
          </cell>
        </row>
        <row r="30">
          <cell r="A30" t="str">
            <v>青海省</v>
          </cell>
          <cell r="B30">
            <v>12.58</v>
          </cell>
          <cell r="C30">
            <v>12.41</v>
          </cell>
          <cell r="D30">
            <v>12.26</v>
          </cell>
          <cell r="E30">
            <v>12.45</v>
          </cell>
          <cell r="F30">
            <v>12.64</v>
          </cell>
          <cell r="G30">
            <v>13.03</v>
          </cell>
          <cell r="H30">
            <v>13.62</v>
          </cell>
          <cell r="I30">
            <v>13.48</v>
          </cell>
          <cell r="J30">
            <v>13.46</v>
          </cell>
          <cell r="K30">
            <v>14.19</v>
          </cell>
          <cell r="L30">
            <v>13.64</v>
          </cell>
          <cell r="M30">
            <v>13.8</v>
          </cell>
          <cell r="N30">
            <v>13.88</v>
          </cell>
          <cell r="O30">
            <v>14.27</v>
          </cell>
          <cell r="P30">
            <v>14.34</v>
          </cell>
          <cell r="Q30">
            <v>14.39</v>
          </cell>
          <cell r="R30">
            <v>14.79</v>
          </cell>
          <cell r="S30">
            <v>14.8</v>
          </cell>
          <cell r="T30">
            <v>15.3</v>
          </cell>
        </row>
        <row r="31">
          <cell r="A31" t="str">
            <v>宁夏回族自治区</v>
          </cell>
          <cell r="B31">
            <v>13.05</v>
          </cell>
          <cell r="C31">
            <v>13.2</v>
          </cell>
          <cell r="D31">
            <v>13.86</v>
          </cell>
          <cell r="E31">
            <v>13.84</v>
          </cell>
          <cell r="F31">
            <v>13.55</v>
          </cell>
          <cell r="G31">
            <v>13.06</v>
          </cell>
          <cell r="H31">
            <v>13.65</v>
          </cell>
          <cell r="I31">
            <v>14.29</v>
          </cell>
          <cell r="J31">
            <v>15.26</v>
          </cell>
          <cell r="K31">
            <v>15.92</v>
          </cell>
          <cell r="L31">
            <v>16.510000000000002</v>
          </cell>
          <cell r="M31">
            <v>16.170000000000002</v>
          </cell>
          <cell r="N31">
            <v>15.81</v>
          </cell>
          <cell r="O31">
            <v>16.07</v>
          </cell>
          <cell r="P31">
            <v>16.440000000000001</v>
          </cell>
          <cell r="Q31">
            <v>16.7</v>
          </cell>
          <cell r="R31">
            <v>17.63</v>
          </cell>
          <cell r="S31">
            <v>17.43</v>
          </cell>
          <cell r="T31">
            <v>17.97</v>
          </cell>
        </row>
        <row r="32">
          <cell r="A32" t="str">
            <v>新疆维吾尔自治区</v>
          </cell>
          <cell r="B32">
            <v>13.39</v>
          </cell>
          <cell r="C32">
            <v>12.98</v>
          </cell>
          <cell r="D32">
            <v>12.27</v>
          </cell>
          <cell r="E32">
            <v>11.76</v>
          </cell>
          <cell r="F32">
            <v>11.94</v>
          </cell>
          <cell r="G32">
            <v>12.29</v>
          </cell>
          <cell r="H32">
            <v>12.75</v>
          </cell>
          <cell r="I32">
            <v>13.1</v>
          </cell>
          <cell r="J32">
            <v>12.81</v>
          </cell>
          <cell r="K32">
            <v>12.25</v>
          </cell>
          <cell r="L32">
            <v>12.78</v>
          </cell>
          <cell r="M32">
            <v>13.61</v>
          </cell>
          <cell r="N32">
            <v>13.84</v>
          </cell>
          <cell r="O32">
            <v>13.86</v>
          </cell>
          <cell r="P32">
            <v>14.19</v>
          </cell>
          <cell r="Q32">
            <v>14.57</v>
          </cell>
          <cell r="R32">
            <v>14.78</v>
          </cell>
          <cell r="S32">
            <v>15</v>
          </cell>
          <cell r="T32">
            <v>15.42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9.19</v>
          </cell>
          <cell r="C2">
            <v>8.8800000000000008</v>
          </cell>
          <cell r="D2">
            <v>8.8699999999999992</v>
          </cell>
          <cell r="E2">
            <v>8.68</v>
          </cell>
          <cell r="F2">
            <v>8.33</v>
          </cell>
          <cell r="G2">
            <v>7.83</v>
          </cell>
          <cell r="H2">
            <v>7.73</v>
          </cell>
          <cell r="I2">
            <v>8.02</v>
          </cell>
          <cell r="J2">
            <v>8.6199999999999992</v>
          </cell>
          <cell r="K2">
            <v>9.44</v>
          </cell>
          <cell r="L2">
            <v>9.75</v>
          </cell>
          <cell r="M2">
            <v>9.83</v>
          </cell>
          <cell r="N2">
            <v>9.9</v>
          </cell>
          <cell r="O2">
            <v>10.24</v>
          </cell>
          <cell r="P2">
            <v>10.48</v>
          </cell>
          <cell r="Q2">
            <v>10.83</v>
          </cell>
          <cell r="R2">
            <v>11.18</v>
          </cell>
          <cell r="S2">
            <v>9.6199999999999992</v>
          </cell>
          <cell r="T2">
            <v>10.34</v>
          </cell>
        </row>
        <row r="3">
          <cell r="A3" t="str">
            <v>天津市</v>
          </cell>
          <cell r="B3">
            <v>12.02</v>
          </cell>
          <cell r="C3">
            <v>11.78</v>
          </cell>
          <cell r="D3">
            <v>11.21</v>
          </cell>
          <cell r="E3">
            <v>11.02</v>
          </cell>
          <cell r="F3">
            <v>10.71</v>
          </cell>
          <cell r="G3">
            <v>10.199999999999999</v>
          </cell>
          <cell r="H3">
            <v>9.76</v>
          </cell>
          <cell r="I3">
            <v>9.6300000000000008</v>
          </cell>
          <cell r="J3">
            <v>9.92</v>
          </cell>
          <cell r="K3">
            <v>10.210000000000001</v>
          </cell>
          <cell r="L3">
            <v>10.039999999999999</v>
          </cell>
          <cell r="M3">
            <v>9.85</v>
          </cell>
          <cell r="N3">
            <v>10.130000000000001</v>
          </cell>
          <cell r="O3">
            <v>10.56</v>
          </cell>
          <cell r="P3">
            <v>10.84</v>
          </cell>
          <cell r="Q3">
            <v>11.54</v>
          </cell>
          <cell r="R3">
            <v>12.21</v>
          </cell>
          <cell r="S3">
            <v>12.66</v>
          </cell>
          <cell r="T3">
            <v>13.14</v>
          </cell>
        </row>
        <row r="4">
          <cell r="A4" t="str">
            <v>河北省</v>
          </cell>
          <cell r="B4">
            <v>13.62</v>
          </cell>
          <cell r="C4">
            <v>13.57</v>
          </cell>
          <cell r="D4">
            <v>13.39</v>
          </cell>
          <cell r="E4">
            <v>13.72</v>
          </cell>
          <cell r="F4">
            <v>14.11</v>
          </cell>
          <cell r="G4">
            <v>14.17</v>
          </cell>
          <cell r="H4">
            <v>13.87</v>
          </cell>
          <cell r="I4">
            <v>13.59</v>
          </cell>
          <cell r="J4">
            <v>13.58</v>
          </cell>
          <cell r="K4">
            <v>13.45</v>
          </cell>
          <cell r="L4">
            <v>12.67</v>
          </cell>
          <cell r="M4">
            <v>12.95</v>
          </cell>
          <cell r="N4">
            <v>12.47</v>
          </cell>
          <cell r="O4">
            <v>12.45</v>
          </cell>
          <cell r="P4">
            <v>12.99</v>
          </cell>
          <cell r="Q4">
            <v>14.16</v>
          </cell>
          <cell r="R4">
            <v>15.21</v>
          </cell>
          <cell r="S4">
            <v>16.12</v>
          </cell>
          <cell r="T4">
            <v>17.09</v>
          </cell>
        </row>
        <row r="5">
          <cell r="A5" t="str">
            <v>山西省</v>
          </cell>
          <cell r="B5">
            <v>10.83</v>
          </cell>
          <cell r="C5">
            <v>10.56</v>
          </cell>
          <cell r="D5">
            <v>10.28</v>
          </cell>
          <cell r="E5">
            <v>10.27</v>
          </cell>
          <cell r="F5">
            <v>10.45</v>
          </cell>
          <cell r="G5">
            <v>10.5</v>
          </cell>
          <cell r="H5">
            <v>10</v>
          </cell>
          <cell r="I5">
            <v>9.92</v>
          </cell>
          <cell r="J5">
            <v>9.9600000000000009</v>
          </cell>
          <cell r="K5">
            <v>10.52</v>
          </cell>
          <cell r="L5">
            <v>11</v>
          </cell>
          <cell r="M5">
            <v>12.71</v>
          </cell>
          <cell r="N5">
            <v>13.77</v>
          </cell>
          <cell r="O5">
            <v>14.37</v>
          </cell>
          <cell r="P5">
            <v>14.4</v>
          </cell>
          <cell r="Q5">
            <v>14.82</v>
          </cell>
          <cell r="R5">
            <v>15.37</v>
          </cell>
          <cell r="S5">
            <v>15.78</v>
          </cell>
          <cell r="T5">
            <v>16.059999999999999</v>
          </cell>
        </row>
        <row r="6">
          <cell r="A6" t="str">
            <v>内蒙古自治区</v>
          </cell>
          <cell r="B6">
            <v>10.199999999999999</v>
          </cell>
          <cell r="C6">
            <v>10.44</v>
          </cell>
          <cell r="D6">
            <v>10.57</v>
          </cell>
          <cell r="E6">
            <v>10.87</v>
          </cell>
          <cell r="F6">
            <v>11.14</v>
          </cell>
          <cell r="G6">
            <v>10.93</v>
          </cell>
          <cell r="H6">
            <v>10.74</v>
          </cell>
          <cell r="I6">
            <v>10.73</v>
          </cell>
          <cell r="J6">
            <v>10.82</v>
          </cell>
          <cell r="K6">
            <v>11.02</v>
          </cell>
          <cell r="L6">
            <v>11.12</v>
          </cell>
          <cell r="M6">
            <v>12.01</v>
          </cell>
          <cell r="N6">
            <v>12.65</v>
          </cell>
          <cell r="O6">
            <v>12.73</v>
          </cell>
          <cell r="P6">
            <v>12.96</v>
          </cell>
          <cell r="Q6">
            <v>13.44</v>
          </cell>
          <cell r="R6">
            <v>14.19</v>
          </cell>
          <cell r="S6">
            <v>14.9</v>
          </cell>
          <cell r="T6">
            <v>15.24</v>
          </cell>
        </row>
        <row r="7">
          <cell r="A7" t="str">
            <v>辽宁省</v>
          </cell>
          <cell r="B7">
            <v>9.4700000000000006</v>
          </cell>
          <cell r="C7">
            <v>9.66</v>
          </cell>
          <cell r="D7">
            <v>9.94</v>
          </cell>
          <cell r="E7">
            <v>10.14</v>
          </cell>
          <cell r="F7">
            <v>10.18</v>
          </cell>
          <cell r="G7">
            <v>9.9600000000000009</v>
          </cell>
          <cell r="H7">
            <v>9.68</v>
          </cell>
          <cell r="I7">
            <v>9.89</v>
          </cell>
          <cell r="J7">
            <v>10.25</v>
          </cell>
          <cell r="K7">
            <v>10.68</v>
          </cell>
          <cell r="L7">
            <v>10.64</v>
          </cell>
          <cell r="M7">
            <v>11.22</v>
          </cell>
          <cell r="N7">
            <v>11.79</v>
          </cell>
          <cell r="O7">
            <v>12.64</v>
          </cell>
          <cell r="P7">
            <v>13.39</v>
          </cell>
          <cell r="Q7">
            <v>14.18</v>
          </cell>
          <cell r="R7">
            <v>14.44</v>
          </cell>
          <cell r="S7">
            <v>14.5</v>
          </cell>
          <cell r="T7">
            <v>14.75</v>
          </cell>
        </row>
        <row r="8">
          <cell r="A8" t="str">
            <v>吉林省</v>
          </cell>
          <cell r="B8">
            <v>9.06</v>
          </cell>
          <cell r="C8">
            <v>8.99</v>
          </cell>
          <cell r="D8">
            <v>8.99</v>
          </cell>
          <cell r="E8">
            <v>9.27</v>
          </cell>
          <cell r="F8">
            <v>9.8800000000000008</v>
          </cell>
          <cell r="G8">
            <v>10.039999999999999</v>
          </cell>
          <cell r="H8">
            <v>9.57</v>
          </cell>
          <cell r="I8">
            <v>9.34</v>
          </cell>
          <cell r="J8">
            <v>9.1999999999999993</v>
          </cell>
          <cell r="K8">
            <v>9.3000000000000007</v>
          </cell>
          <cell r="L8">
            <v>9.65</v>
          </cell>
          <cell r="M8">
            <v>10.41</v>
          </cell>
          <cell r="N8">
            <v>11.2</v>
          </cell>
          <cell r="O8">
            <v>12.19</v>
          </cell>
          <cell r="P8">
            <v>12.78</v>
          </cell>
          <cell r="Q8">
            <v>13.58</v>
          </cell>
          <cell r="R8">
            <v>13.93</v>
          </cell>
          <cell r="S8">
            <v>14.32</v>
          </cell>
          <cell r="T8">
            <v>15.28</v>
          </cell>
        </row>
        <row r="9">
          <cell r="A9" t="str">
            <v>黑龙江省</v>
          </cell>
          <cell r="B9">
            <v>9.58</v>
          </cell>
          <cell r="C9">
            <v>9.4600000000000009</v>
          </cell>
          <cell r="D9">
            <v>9.77</v>
          </cell>
          <cell r="E9">
            <v>9.9600000000000009</v>
          </cell>
          <cell r="F9">
            <v>10.38</v>
          </cell>
          <cell r="G9">
            <v>10.48</v>
          </cell>
          <cell r="H9">
            <v>10.08</v>
          </cell>
          <cell r="I9">
            <v>9.99</v>
          </cell>
          <cell r="J9">
            <v>9.59</v>
          </cell>
          <cell r="K9">
            <v>9.6</v>
          </cell>
          <cell r="L9">
            <v>9.6</v>
          </cell>
          <cell r="M9">
            <v>12.04</v>
          </cell>
          <cell r="N9">
            <v>12.17</v>
          </cell>
          <cell r="O9">
            <v>12.73</v>
          </cell>
          <cell r="P9">
            <v>13.03</v>
          </cell>
          <cell r="Q9">
            <v>13.44</v>
          </cell>
          <cell r="R9">
            <v>13.99</v>
          </cell>
          <cell r="S9">
            <v>14.62</v>
          </cell>
          <cell r="T9">
            <v>15.59</v>
          </cell>
        </row>
        <row r="10">
          <cell r="A10" t="str">
            <v>上海市</v>
          </cell>
          <cell r="B10">
            <v>11.66</v>
          </cell>
          <cell r="C10">
            <v>11.09</v>
          </cell>
          <cell r="D10">
            <v>10.8</v>
          </cell>
          <cell r="E10">
            <v>10.47</v>
          </cell>
          <cell r="F10">
            <v>10.47</v>
          </cell>
          <cell r="G10">
            <v>10.55</v>
          </cell>
          <cell r="H10">
            <v>10.48</v>
          </cell>
          <cell r="I10">
            <v>10.85</v>
          </cell>
          <cell r="J10">
            <v>10.98</v>
          </cell>
          <cell r="K10">
            <v>11.49</v>
          </cell>
          <cell r="L10">
            <v>12.11</v>
          </cell>
          <cell r="M10">
            <v>12.29</v>
          </cell>
          <cell r="N10">
            <v>12.48</v>
          </cell>
          <cell r="O10">
            <v>12.51</v>
          </cell>
          <cell r="P10">
            <v>12.67</v>
          </cell>
          <cell r="Q10">
            <v>12.83</v>
          </cell>
          <cell r="R10">
            <v>12.8</v>
          </cell>
          <cell r="S10">
            <v>13.2</v>
          </cell>
          <cell r="T10">
            <v>13.91</v>
          </cell>
        </row>
        <row r="11">
          <cell r="A11" t="str">
            <v>江苏省</v>
          </cell>
          <cell r="B11">
            <v>11.93</v>
          </cell>
          <cell r="C11">
            <v>11.83</v>
          </cell>
          <cell r="D11">
            <v>11.85</v>
          </cell>
          <cell r="E11">
            <v>11.96</v>
          </cell>
          <cell r="F11">
            <v>12.06</v>
          </cell>
          <cell r="G11">
            <v>11.83</v>
          </cell>
          <cell r="H11">
            <v>11.48</v>
          </cell>
          <cell r="I11">
            <v>11.04</v>
          </cell>
          <cell r="J11">
            <v>10.77</v>
          </cell>
          <cell r="K11">
            <v>10.6</v>
          </cell>
          <cell r="L11">
            <v>10.5</v>
          </cell>
          <cell r="M11">
            <v>10.81</v>
          </cell>
          <cell r="N11">
            <v>11.41</v>
          </cell>
          <cell r="O11">
            <v>12.5</v>
          </cell>
          <cell r="P11">
            <v>13.61</v>
          </cell>
          <cell r="Q11">
            <v>14.83</v>
          </cell>
          <cell r="R11">
            <v>15.74</v>
          </cell>
          <cell r="S11">
            <v>16.75</v>
          </cell>
          <cell r="T11">
            <v>18.13</v>
          </cell>
        </row>
        <row r="12">
          <cell r="A12" t="str">
            <v>浙江省</v>
          </cell>
          <cell r="B12">
            <v>12.56</v>
          </cell>
          <cell r="C12">
            <v>12.38</v>
          </cell>
          <cell r="D12">
            <v>12.24</v>
          </cell>
          <cell r="E12">
            <v>12.29</v>
          </cell>
          <cell r="F12">
            <v>12.54</v>
          </cell>
          <cell r="G12">
            <v>12.66</v>
          </cell>
          <cell r="H12">
            <v>12.5</v>
          </cell>
          <cell r="I12">
            <v>12.34</v>
          </cell>
          <cell r="J12">
            <v>12.3</v>
          </cell>
          <cell r="K12">
            <v>12.59</v>
          </cell>
          <cell r="L12">
            <v>12.58</v>
          </cell>
          <cell r="M12">
            <v>12.56</v>
          </cell>
          <cell r="N12">
            <v>12.96</v>
          </cell>
          <cell r="O12">
            <v>13.87</v>
          </cell>
          <cell r="P12">
            <v>14.77</v>
          </cell>
          <cell r="Q12">
            <v>15.73</v>
          </cell>
          <cell r="R12">
            <v>15.74</v>
          </cell>
          <cell r="S12">
            <v>15.51</v>
          </cell>
          <cell r="T12">
            <v>15.55</v>
          </cell>
        </row>
        <row r="13">
          <cell r="A13" t="str">
            <v>安徽省</v>
          </cell>
          <cell r="B13">
            <v>13.63</v>
          </cell>
          <cell r="C13">
            <v>13.37</v>
          </cell>
          <cell r="D13">
            <v>13.5</v>
          </cell>
          <cell r="E13">
            <v>13.53</v>
          </cell>
          <cell r="F13">
            <v>13.48</v>
          </cell>
          <cell r="G13">
            <v>13.16</v>
          </cell>
          <cell r="H13">
            <v>13</v>
          </cell>
          <cell r="I13">
            <v>12.79</v>
          </cell>
          <cell r="J13">
            <v>12.6</v>
          </cell>
          <cell r="K13">
            <v>12.4</v>
          </cell>
          <cell r="L13">
            <v>12.63</v>
          </cell>
          <cell r="M13">
            <v>13.23</v>
          </cell>
          <cell r="N13">
            <v>15.46</v>
          </cell>
          <cell r="O13">
            <v>17.100000000000001</v>
          </cell>
          <cell r="P13">
            <v>18.5</v>
          </cell>
          <cell r="Q13">
            <v>19.79</v>
          </cell>
          <cell r="R13">
            <v>20.74</v>
          </cell>
          <cell r="S13">
            <v>22.33</v>
          </cell>
          <cell r="T13">
            <v>23.54</v>
          </cell>
        </row>
        <row r="14">
          <cell r="A14" t="str">
            <v>福建省</v>
          </cell>
          <cell r="B14">
            <v>13.35</v>
          </cell>
          <cell r="C14">
            <v>13.48</v>
          </cell>
          <cell r="D14">
            <v>13.54</v>
          </cell>
          <cell r="E14">
            <v>13.46</v>
          </cell>
          <cell r="F14">
            <v>13.04</v>
          </cell>
          <cell r="G14">
            <v>12.64</v>
          </cell>
          <cell r="H14">
            <v>12.17</v>
          </cell>
          <cell r="I14">
            <v>11.69</v>
          </cell>
          <cell r="J14">
            <v>11.57</v>
          </cell>
          <cell r="K14">
            <v>11.49</v>
          </cell>
          <cell r="L14">
            <v>11.43</v>
          </cell>
          <cell r="M14">
            <v>11.59</v>
          </cell>
          <cell r="N14">
            <v>11.83</v>
          </cell>
          <cell r="O14">
            <v>12.84</v>
          </cell>
          <cell r="P14">
            <v>14.23</v>
          </cell>
          <cell r="Q14">
            <v>15.32</v>
          </cell>
          <cell r="R14">
            <v>15.85</v>
          </cell>
          <cell r="S14">
            <v>16.760000000000002</v>
          </cell>
          <cell r="T14">
            <v>17.87</v>
          </cell>
        </row>
        <row r="15">
          <cell r="A15" t="str">
            <v>江西省</v>
          </cell>
          <cell r="B15">
            <v>13.36</v>
          </cell>
          <cell r="C15">
            <v>13.67</v>
          </cell>
          <cell r="D15">
            <v>14.33</v>
          </cell>
          <cell r="E15">
            <v>15.15</v>
          </cell>
          <cell r="F15">
            <v>16.11</v>
          </cell>
          <cell r="G15">
            <v>16.07</v>
          </cell>
          <cell r="H15">
            <v>15.85</v>
          </cell>
          <cell r="I15">
            <v>15.08</v>
          </cell>
          <cell r="J15">
            <v>14.61</v>
          </cell>
          <cell r="K15">
            <v>14.42</v>
          </cell>
          <cell r="L15">
            <v>14.44</v>
          </cell>
          <cell r="M15">
            <v>15.85</v>
          </cell>
          <cell r="N15">
            <v>16.36</v>
          </cell>
          <cell r="O15">
            <v>16.61</v>
          </cell>
          <cell r="P15">
            <v>16.05</v>
          </cell>
          <cell r="Q15">
            <v>15.41</v>
          </cell>
          <cell r="R15">
            <v>15.1</v>
          </cell>
          <cell r="S15">
            <v>15.82</v>
          </cell>
          <cell r="T15">
            <v>17.260000000000002</v>
          </cell>
        </row>
        <row r="16">
          <cell r="A16" t="str">
            <v>山东省</v>
          </cell>
          <cell r="B16">
            <v>12.68</v>
          </cell>
          <cell r="C16">
            <v>12.55</v>
          </cell>
          <cell r="D16">
            <v>12.28</v>
          </cell>
          <cell r="E16">
            <v>12.24</v>
          </cell>
          <cell r="F16">
            <v>12.32</v>
          </cell>
          <cell r="G16">
            <v>12.26</v>
          </cell>
          <cell r="H16">
            <v>11.94</v>
          </cell>
          <cell r="I16">
            <v>11.79</v>
          </cell>
          <cell r="J16">
            <v>11.74</v>
          </cell>
          <cell r="K16">
            <v>11.87</v>
          </cell>
          <cell r="L16">
            <v>12.08</v>
          </cell>
          <cell r="M16">
            <v>12.54</v>
          </cell>
          <cell r="N16">
            <v>13.11</v>
          </cell>
          <cell r="O16">
            <v>13.37</v>
          </cell>
          <cell r="P16">
            <v>13.15</v>
          </cell>
          <cell r="Q16">
            <v>13.07</v>
          </cell>
          <cell r="R16">
            <v>13.07</v>
          </cell>
          <cell r="S16">
            <v>13.85</v>
          </cell>
          <cell r="T16">
            <v>14.71</v>
          </cell>
        </row>
        <row r="17">
          <cell r="A17" t="str">
            <v>河南省</v>
          </cell>
          <cell r="B17">
            <v>13.88</v>
          </cell>
          <cell r="C17">
            <v>13.66</v>
          </cell>
          <cell r="D17">
            <v>13.66</v>
          </cell>
          <cell r="E17">
            <v>13.87</v>
          </cell>
          <cell r="F17">
            <v>14.32</v>
          </cell>
          <cell r="G17">
            <v>14.38</v>
          </cell>
          <cell r="H17">
            <v>14.35</v>
          </cell>
          <cell r="I17">
            <v>14.52</v>
          </cell>
          <cell r="J17">
            <v>14.16</v>
          </cell>
          <cell r="K17">
            <v>14.09</v>
          </cell>
          <cell r="L17">
            <v>13.75</v>
          </cell>
          <cell r="M17">
            <v>16.07</v>
          </cell>
          <cell r="N17">
            <v>16.579999999999998</v>
          </cell>
          <cell r="O17">
            <v>16.97</v>
          </cell>
          <cell r="P17">
            <v>17.059999999999999</v>
          </cell>
          <cell r="Q17">
            <v>17.53</v>
          </cell>
          <cell r="R17">
            <v>18.05</v>
          </cell>
          <cell r="S17">
            <v>19</v>
          </cell>
          <cell r="T17">
            <v>19.72</v>
          </cell>
        </row>
        <row r="18">
          <cell r="A18" t="str">
            <v>湖北省</v>
          </cell>
          <cell r="B18">
            <v>12.86</v>
          </cell>
          <cell r="C18">
            <v>12.72</v>
          </cell>
          <cell r="D18">
            <v>12.58</v>
          </cell>
          <cell r="E18">
            <v>12.65</v>
          </cell>
          <cell r="F18">
            <v>12.42</v>
          </cell>
          <cell r="G18">
            <v>12.24</v>
          </cell>
          <cell r="H18">
            <v>11.53</v>
          </cell>
          <cell r="I18">
            <v>10.95</v>
          </cell>
          <cell r="J18">
            <v>10.4</v>
          </cell>
          <cell r="K18">
            <v>10.3</v>
          </cell>
          <cell r="L18">
            <v>10.94</v>
          </cell>
          <cell r="M18">
            <v>11.16</v>
          </cell>
          <cell r="N18">
            <v>13.23</v>
          </cell>
          <cell r="O18">
            <v>13.91</v>
          </cell>
          <cell r="P18">
            <v>14.71</v>
          </cell>
          <cell r="Q18">
            <v>15.95</v>
          </cell>
          <cell r="R18">
            <v>17.05</v>
          </cell>
          <cell r="S18">
            <v>17.97</v>
          </cell>
          <cell r="T18">
            <v>18.77</v>
          </cell>
        </row>
        <row r="19">
          <cell r="A19" t="str">
            <v>湖南省</v>
          </cell>
          <cell r="B19">
            <v>13.4</v>
          </cell>
          <cell r="C19">
            <v>13.25</v>
          </cell>
          <cell r="D19">
            <v>13.16</v>
          </cell>
          <cell r="E19">
            <v>13.33</v>
          </cell>
          <cell r="F19">
            <v>13.65</v>
          </cell>
          <cell r="G19">
            <v>13.71</v>
          </cell>
          <cell r="H19">
            <v>13.38</v>
          </cell>
          <cell r="I19">
            <v>13.29</v>
          </cell>
          <cell r="J19">
            <v>13.22</v>
          </cell>
          <cell r="K19">
            <v>12.97</v>
          </cell>
          <cell r="L19">
            <v>12.68</v>
          </cell>
          <cell r="M19">
            <v>12.33</v>
          </cell>
          <cell r="N19">
            <v>12.48</v>
          </cell>
          <cell r="O19">
            <v>12.45</v>
          </cell>
          <cell r="P19">
            <v>12.31</v>
          </cell>
          <cell r="Q19">
            <v>12.34</v>
          </cell>
          <cell r="R19">
            <v>12.56</v>
          </cell>
          <cell r="S19">
            <v>13.54</v>
          </cell>
          <cell r="T19">
            <v>15.39</v>
          </cell>
        </row>
        <row r="20">
          <cell r="A20" t="str">
            <v>广东省</v>
          </cell>
          <cell r="B20">
            <v>13.97</v>
          </cell>
          <cell r="C20">
            <v>13.83</v>
          </cell>
          <cell r="D20">
            <v>13.62</v>
          </cell>
          <cell r="E20">
            <v>13.47</v>
          </cell>
          <cell r="F20">
            <v>13.34</v>
          </cell>
          <cell r="G20">
            <v>13</v>
          </cell>
          <cell r="H20">
            <v>12.73</v>
          </cell>
          <cell r="I20">
            <v>12.61</v>
          </cell>
          <cell r="J20">
            <v>12.88</v>
          </cell>
          <cell r="K20">
            <v>13.53</v>
          </cell>
          <cell r="L20">
            <v>14.63</v>
          </cell>
          <cell r="M20">
            <v>16.18</v>
          </cell>
          <cell r="N20">
            <v>17.87</v>
          </cell>
          <cell r="O20">
            <v>18.77</v>
          </cell>
          <cell r="P20">
            <v>19.63</v>
          </cell>
          <cell r="Q20">
            <v>20.13</v>
          </cell>
          <cell r="R20">
            <v>20.260000000000002</v>
          </cell>
          <cell r="S20">
            <v>20.78</v>
          </cell>
          <cell r="T20">
            <v>20.92</v>
          </cell>
        </row>
        <row r="21">
          <cell r="A21" t="str">
            <v>广西壮族自治区</v>
          </cell>
          <cell r="B21">
            <v>14.8</v>
          </cell>
          <cell r="C21">
            <v>14.57</v>
          </cell>
          <cell r="D21">
            <v>14.61</v>
          </cell>
          <cell r="E21">
            <v>14.83</v>
          </cell>
          <cell r="F21">
            <v>15.48</v>
          </cell>
          <cell r="G21">
            <v>15.48</v>
          </cell>
          <cell r="H21">
            <v>15.68</v>
          </cell>
          <cell r="I21">
            <v>16.100000000000001</v>
          </cell>
          <cell r="J21">
            <v>16.5</v>
          </cell>
          <cell r="K21">
            <v>16.559999999999999</v>
          </cell>
          <cell r="L21">
            <v>16.68</v>
          </cell>
          <cell r="M21">
            <v>16.739999999999998</v>
          </cell>
          <cell r="N21">
            <v>16.84</v>
          </cell>
          <cell r="O21">
            <v>16.88</v>
          </cell>
          <cell r="P21">
            <v>17.47</v>
          </cell>
          <cell r="Q21">
            <v>18.04</v>
          </cell>
          <cell r="R21">
            <v>18.84</v>
          </cell>
          <cell r="S21">
            <v>19.690000000000001</v>
          </cell>
          <cell r="T21">
            <v>19.97</v>
          </cell>
        </row>
        <row r="22">
          <cell r="A22" t="str">
            <v>海南省</v>
          </cell>
          <cell r="B22">
            <v>13.04</v>
          </cell>
          <cell r="C22">
            <v>13.39</v>
          </cell>
          <cell r="D22">
            <v>13.35</v>
          </cell>
          <cell r="E22">
            <v>13.63</v>
          </cell>
          <cell r="F22">
            <v>13.67</v>
          </cell>
          <cell r="G22">
            <v>13.44</v>
          </cell>
          <cell r="H22">
            <v>12.85</v>
          </cell>
          <cell r="I22">
            <v>12.51</v>
          </cell>
          <cell r="J22">
            <v>12.79</v>
          </cell>
          <cell r="K22">
            <v>13.33</v>
          </cell>
          <cell r="L22">
            <v>13.73</v>
          </cell>
          <cell r="M22">
            <v>14.54</v>
          </cell>
          <cell r="N22">
            <v>15.63</v>
          </cell>
          <cell r="O22">
            <v>16.82</v>
          </cell>
          <cell r="P22">
            <v>18.010000000000002</v>
          </cell>
          <cell r="Q22">
            <v>19.239999999999998</v>
          </cell>
          <cell r="R22">
            <v>20.5</v>
          </cell>
          <cell r="S22">
            <v>21.56</v>
          </cell>
          <cell r="T22">
            <v>22.13</v>
          </cell>
        </row>
        <row r="23">
          <cell r="A23" t="str">
            <v>重庆市</v>
          </cell>
          <cell r="B23">
            <v>12.37</v>
          </cell>
          <cell r="C23">
            <v>12.71</v>
          </cell>
          <cell r="D23">
            <v>13.2</v>
          </cell>
          <cell r="E23">
            <v>13.77</v>
          </cell>
          <cell r="F23">
            <v>13.74</v>
          </cell>
          <cell r="G23">
            <v>13.43</v>
          </cell>
          <cell r="H23">
            <v>13</v>
          </cell>
          <cell r="I23">
            <v>12.82</v>
          </cell>
          <cell r="J23">
            <v>12.71</v>
          </cell>
          <cell r="K23">
            <v>12.94</v>
          </cell>
          <cell r="L23">
            <v>13.36</v>
          </cell>
          <cell r="M23">
            <v>14.29</v>
          </cell>
          <cell r="N23">
            <v>15.51</v>
          </cell>
          <cell r="O23">
            <v>16.63</v>
          </cell>
          <cell r="P23">
            <v>17.37</v>
          </cell>
          <cell r="Q23">
            <v>18.22</v>
          </cell>
          <cell r="R23">
            <v>18.29</v>
          </cell>
          <cell r="S23">
            <v>18.78</v>
          </cell>
          <cell r="T23">
            <v>18.38</v>
          </cell>
        </row>
        <row r="24">
          <cell r="A24" t="str">
            <v>四川省</v>
          </cell>
          <cell r="B24">
            <v>12.3</v>
          </cell>
          <cell r="C24">
            <v>12.4</v>
          </cell>
          <cell r="D24">
            <v>12.49</v>
          </cell>
          <cell r="E24">
            <v>12.81</v>
          </cell>
          <cell r="F24">
            <v>12.93</v>
          </cell>
          <cell r="G24">
            <v>12.78</v>
          </cell>
          <cell r="H24">
            <v>12.37</v>
          </cell>
          <cell r="I24">
            <v>12.34</v>
          </cell>
          <cell r="J24">
            <v>12.39</v>
          </cell>
          <cell r="K24">
            <v>12.86</v>
          </cell>
          <cell r="L24">
            <v>13.41</v>
          </cell>
          <cell r="M24">
            <v>14.92</v>
          </cell>
          <cell r="N24">
            <v>16.09</v>
          </cell>
          <cell r="O24">
            <v>16.82</v>
          </cell>
          <cell r="P24">
            <v>17.57</v>
          </cell>
          <cell r="Q24">
            <v>18.600000000000001</v>
          </cell>
          <cell r="R24">
            <v>19.05</v>
          </cell>
          <cell r="S24">
            <v>18.96</v>
          </cell>
          <cell r="T24">
            <v>18.61</v>
          </cell>
        </row>
        <row r="25">
          <cell r="A25" t="str">
            <v>贵州省</v>
          </cell>
          <cell r="B25">
            <v>14.65</v>
          </cell>
          <cell r="C25">
            <v>14.44</v>
          </cell>
          <cell r="D25">
            <v>13.87</v>
          </cell>
          <cell r="E25">
            <v>13.8</v>
          </cell>
          <cell r="F25">
            <v>13.98</v>
          </cell>
          <cell r="G25">
            <v>14.1</v>
          </cell>
          <cell r="H25">
            <v>14.35</v>
          </cell>
          <cell r="I25">
            <v>14.88</v>
          </cell>
          <cell r="J25">
            <v>16.010000000000002</v>
          </cell>
          <cell r="K25">
            <v>17.29</v>
          </cell>
          <cell r="L25">
            <v>18.23</v>
          </cell>
          <cell r="M25">
            <v>18.309999999999999</v>
          </cell>
          <cell r="N25">
            <v>19.23</v>
          </cell>
          <cell r="O25">
            <v>19.510000000000002</v>
          </cell>
          <cell r="P25">
            <v>19.579999999999998</v>
          </cell>
          <cell r="Q25">
            <v>19.53</v>
          </cell>
          <cell r="R25">
            <v>19.75</v>
          </cell>
          <cell r="S25">
            <v>20.260000000000002</v>
          </cell>
          <cell r="T25">
            <v>21.11</v>
          </cell>
        </row>
        <row r="26">
          <cell r="A26" t="str">
            <v>云南省</v>
          </cell>
          <cell r="B26">
            <v>13.59</v>
          </cell>
          <cell r="C26">
            <v>13.45</v>
          </cell>
          <cell r="D26">
            <v>13.2</v>
          </cell>
          <cell r="E26">
            <v>13.09</v>
          </cell>
          <cell r="F26">
            <v>13.79</v>
          </cell>
          <cell r="G26">
            <v>14.07</v>
          </cell>
          <cell r="H26">
            <v>14.52</v>
          </cell>
          <cell r="I26">
            <v>14.81</v>
          </cell>
          <cell r="J26">
            <v>15.29</v>
          </cell>
          <cell r="K26">
            <v>15.49</v>
          </cell>
          <cell r="L26">
            <v>15.38</v>
          </cell>
          <cell r="M26">
            <v>16.18</v>
          </cell>
          <cell r="N26">
            <v>17.21</v>
          </cell>
          <cell r="O26">
            <v>17.32</v>
          </cell>
          <cell r="P26">
            <v>17.649999999999999</v>
          </cell>
          <cell r="Q26">
            <v>18.170000000000002</v>
          </cell>
          <cell r="R26">
            <v>18.34</v>
          </cell>
          <cell r="S26">
            <v>18.32</v>
          </cell>
          <cell r="T26">
            <v>18.809999999999999</v>
          </cell>
        </row>
        <row r="27">
          <cell r="A27" t="str">
            <v>西藏自治区</v>
          </cell>
          <cell r="B27">
            <v>11.99</v>
          </cell>
          <cell r="C27">
            <v>11.94</v>
          </cell>
          <cell r="D27">
            <v>11.55</v>
          </cell>
          <cell r="E27">
            <v>11.55</v>
          </cell>
          <cell r="F27">
            <v>11.72</v>
          </cell>
          <cell r="G27">
            <v>12.01</v>
          </cell>
          <cell r="H27">
            <v>12.4</v>
          </cell>
          <cell r="I27">
            <v>11.96</v>
          </cell>
          <cell r="J27">
            <v>12.1</v>
          </cell>
          <cell r="K27">
            <v>13.08</v>
          </cell>
          <cell r="L27">
            <v>13.92</v>
          </cell>
          <cell r="M27">
            <v>14.5</v>
          </cell>
          <cell r="N27">
            <v>14.95</v>
          </cell>
          <cell r="O27">
            <v>15.66</v>
          </cell>
          <cell r="P27">
            <v>16.309999999999999</v>
          </cell>
          <cell r="Q27">
            <v>17.149999999999999</v>
          </cell>
          <cell r="R27">
            <v>17.91</v>
          </cell>
          <cell r="S27">
            <v>19.489999999999998</v>
          </cell>
          <cell r="T27">
            <v>19.38</v>
          </cell>
        </row>
        <row r="28">
          <cell r="A28" t="str">
            <v>陕西省</v>
          </cell>
          <cell r="B28">
            <v>12.34</v>
          </cell>
          <cell r="C28">
            <v>11.98</v>
          </cell>
          <cell r="D28">
            <v>11.55</v>
          </cell>
          <cell r="E28">
            <v>11.55</v>
          </cell>
          <cell r="F28">
            <v>11.24</v>
          </cell>
          <cell r="G28">
            <v>11.02</v>
          </cell>
          <cell r="H28">
            <v>10.5</v>
          </cell>
          <cell r="I28">
            <v>10.31</v>
          </cell>
          <cell r="J28">
            <v>10.23</v>
          </cell>
          <cell r="K28">
            <v>10.4</v>
          </cell>
          <cell r="L28">
            <v>10.88</v>
          </cell>
          <cell r="M28">
            <v>11.68</v>
          </cell>
          <cell r="N28">
            <v>12.98</v>
          </cell>
          <cell r="O28">
            <v>14.1</v>
          </cell>
          <cell r="P28">
            <v>15.39</v>
          </cell>
          <cell r="Q28">
            <v>16.61</v>
          </cell>
          <cell r="R28">
            <v>17.48</v>
          </cell>
          <cell r="S28">
            <v>18.329999999999998</v>
          </cell>
          <cell r="T28">
            <v>18.600000000000001</v>
          </cell>
        </row>
        <row r="29">
          <cell r="A29" t="str">
            <v>甘肃省</v>
          </cell>
          <cell r="B29">
            <v>11.34</v>
          </cell>
          <cell r="C29">
            <v>10.94</v>
          </cell>
          <cell r="D29">
            <v>10.75</v>
          </cell>
          <cell r="E29">
            <v>10.76</v>
          </cell>
          <cell r="F29">
            <v>10.88</v>
          </cell>
          <cell r="G29">
            <v>10.88</v>
          </cell>
          <cell r="H29">
            <v>10.57</v>
          </cell>
          <cell r="I29">
            <v>10.64</v>
          </cell>
          <cell r="J29">
            <v>10.84</v>
          </cell>
          <cell r="K29">
            <v>11.44</v>
          </cell>
          <cell r="L29">
            <v>12.28</v>
          </cell>
          <cell r="M29">
            <v>13.99</v>
          </cell>
          <cell r="N29">
            <v>15.22</v>
          </cell>
          <cell r="O29">
            <v>16.64</v>
          </cell>
          <cell r="P29">
            <v>17.54</v>
          </cell>
          <cell r="Q29">
            <v>17.88</v>
          </cell>
          <cell r="R29">
            <v>18.670000000000002</v>
          </cell>
          <cell r="S29">
            <v>19.510000000000002</v>
          </cell>
          <cell r="T29">
            <v>19.670000000000002</v>
          </cell>
        </row>
        <row r="30">
          <cell r="A30" t="str">
            <v>青海省</v>
          </cell>
          <cell r="B30">
            <v>13.81</v>
          </cell>
          <cell r="C30">
            <v>13.61</v>
          </cell>
          <cell r="D30">
            <v>13.09</v>
          </cell>
          <cell r="E30">
            <v>13.34</v>
          </cell>
          <cell r="F30">
            <v>13.49</v>
          </cell>
          <cell r="G30">
            <v>13.62</v>
          </cell>
          <cell r="H30">
            <v>12.8</v>
          </cell>
          <cell r="I30">
            <v>12.86</v>
          </cell>
          <cell r="J30">
            <v>13.21</v>
          </cell>
          <cell r="K30">
            <v>13.81</v>
          </cell>
          <cell r="L30">
            <v>13.34</v>
          </cell>
          <cell r="M30">
            <v>14.06</v>
          </cell>
          <cell r="N30">
            <v>15.18</v>
          </cell>
          <cell r="O30">
            <v>15.32</v>
          </cell>
          <cell r="P30">
            <v>15.58</v>
          </cell>
          <cell r="Q30">
            <v>15.15</v>
          </cell>
          <cell r="R30">
            <v>15.96</v>
          </cell>
          <cell r="S30">
            <v>16.32</v>
          </cell>
          <cell r="T30">
            <v>16.84</v>
          </cell>
        </row>
        <row r="31">
          <cell r="A31" t="str">
            <v>宁夏回族自治区</v>
          </cell>
          <cell r="B31">
            <v>13.5</v>
          </cell>
          <cell r="C31">
            <v>13.25</v>
          </cell>
          <cell r="D31">
            <v>13.6</v>
          </cell>
          <cell r="E31">
            <v>14.15</v>
          </cell>
          <cell r="F31">
            <v>14.46</v>
          </cell>
          <cell r="G31">
            <v>14.19</v>
          </cell>
          <cell r="H31">
            <v>13.84</v>
          </cell>
          <cell r="I31">
            <v>13.92</v>
          </cell>
          <cell r="J31">
            <v>14.16</v>
          </cell>
          <cell r="K31">
            <v>14.59</v>
          </cell>
          <cell r="L31">
            <v>14.68</v>
          </cell>
          <cell r="M31">
            <v>15.11</v>
          </cell>
          <cell r="N31">
            <v>15.9</v>
          </cell>
          <cell r="O31">
            <v>16.5</v>
          </cell>
          <cell r="P31">
            <v>16.37</v>
          </cell>
          <cell r="Q31">
            <v>17.84</v>
          </cell>
          <cell r="R31">
            <v>17.61</v>
          </cell>
          <cell r="S31">
            <v>18.510000000000002</v>
          </cell>
          <cell r="T31">
            <v>18.43</v>
          </cell>
        </row>
        <row r="32">
          <cell r="A32" t="str">
            <v>新疆维吾尔自治区</v>
          </cell>
          <cell r="B32">
            <v>13.53</v>
          </cell>
          <cell r="C32">
            <v>13.19</v>
          </cell>
          <cell r="D32">
            <v>12.45</v>
          </cell>
          <cell r="E32">
            <v>11.61</v>
          </cell>
          <cell r="F32">
            <v>10.96</v>
          </cell>
          <cell r="G32">
            <v>10.75</v>
          </cell>
          <cell r="H32">
            <v>10.49</v>
          </cell>
          <cell r="I32">
            <v>10.54</v>
          </cell>
          <cell r="J32">
            <v>10.58</v>
          </cell>
          <cell r="K32">
            <v>10.47</v>
          </cell>
          <cell r="L32">
            <v>10.67</v>
          </cell>
          <cell r="M32">
            <v>10.98</v>
          </cell>
          <cell r="N32">
            <v>11.46</v>
          </cell>
          <cell r="O32">
            <v>11.98</v>
          </cell>
          <cell r="P32">
            <v>12.62</v>
          </cell>
          <cell r="Q32">
            <v>13.31</v>
          </cell>
          <cell r="R32">
            <v>13.9</v>
          </cell>
          <cell r="S32">
            <v>14.6</v>
          </cell>
          <cell r="T32">
            <v>15.58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14.73</v>
          </cell>
          <cell r="C2">
            <v>14.13</v>
          </cell>
          <cell r="D2">
            <v>13.92</v>
          </cell>
          <cell r="E2">
            <v>14.01</v>
          </cell>
          <cell r="F2">
            <v>13.58</v>
          </cell>
          <cell r="G2">
            <v>13.65</v>
          </cell>
          <cell r="H2">
            <v>13.58</v>
          </cell>
          <cell r="I2">
            <v>14.05</v>
          </cell>
          <cell r="J2">
            <v>14.35</v>
          </cell>
          <cell r="K2">
            <v>14.44</v>
          </cell>
          <cell r="L2">
            <v>14.36</v>
          </cell>
          <cell r="M2">
            <v>13.7</v>
          </cell>
          <cell r="N2">
            <v>13.38</v>
          </cell>
          <cell r="O2">
            <v>13.2</v>
          </cell>
          <cell r="P2">
            <v>13.14</v>
          </cell>
          <cell r="Q2">
            <v>13.54</v>
          </cell>
          <cell r="R2">
            <v>13.83</v>
          </cell>
          <cell r="S2">
            <v>9.82</v>
          </cell>
          <cell r="T2">
            <v>10.31</v>
          </cell>
        </row>
        <row r="3">
          <cell r="A3" t="str">
            <v>天津市</v>
          </cell>
          <cell r="B3">
            <v>15.9</v>
          </cell>
          <cell r="C3">
            <v>15.59</v>
          </cell>
          <cell r="D3">
            <v>15.26</v>
          </cell>
          <cell r="E3">
            <v>15.38</v>
          </cell>
          <cell r="F3">
            <v>15.1</v>
          </cell>
          <cell r="G3">
            <v>15.03</v>
          </cell>
          <cell r="H3">
            <v>15.06</v>
          </cell>
          <cell r="I3">
            <v>15.19</v>
          </cell>
          <cell r="J3">
            <v>14.98</v>
          </cell>
          <cell r="K3">
            <v>14.71</v>
          </cell>
          <cell r="L3">
            <v>14.42</v>
          </cell>
          <cell r="M3">
            <v>14.09</v>
          </cell>
          <cell r="N3">
            <v>13.84</v>
          </cell>
          <cell r="O3">
            <v>13.56</v>
          </cell>
          <cell r="P3">
            <v>13.37</v>
          </cell>
          <cell r="Q3">
            <v>13.54</v>
          </cell>
          <cell r="R3">
            <v>13.28</v>
          </cell>
          <cell r="S3">
            <v>12.94</v>
          </cell>
          <cell r="T3">
            <v>12.98</v>
          </cell>
        </row>
        <row r="4">
          <cell r="A4" t="str">
            <v>河北省</v>
          </cell>
          <cell r="B4">
            <v>16.100000000000001</v>
          </cell>
          <cell r="C4">
            <v>16.25</v>
          </cell>
          <cell r="D4">
            <v>16.59</v>
          </cell>
          <cell r="E4">
            <v>17.07</v>
          </cell>
          <cell r="F4">
            <v>17.18</v>
          </cell>
          <cell r="G4">
            <v>17.32</v>
          </cell>
          <cell r="H4">
            <v>17.420000000000002</v>
          </cell>
          <cell r="I4">
            <v>17.66</v>
          </cell>
          <cell r="J4">
            <v>17.59</v>
          </cell>
          <cell r="K4">
            <v>16.920000000000002</v>
          </cell>
          <cell r="L4">
            <v>17.13</v>
          </cell>
          <cell r="M4">
            <v>17.739999999999998</v>
          </cell>
          <cell r="N4">
            <v>17.09</v>
          </cell>
          <cell r="O4">
            <v>16.04</v>
          </cell>
          <cell r="P4">
            <v>15.21</v>
          </cell>
          <cell r="Q4">
            <v>15.02</v>
          </cell>
          <cell r="R4">
            <v>14.73</v>
          </cell>
          <cell r="S4">
            <v>16.34</v>
          </cell>
          <cell r="T4">
            <v>15.63</v>
          </cell>
        </row>
        <row r="5">
          <cell r="A5" t="str">
            <v>山西省</v>
          </cell>
          <cell r="B5">
            <v>13.96</v>
          </cell>
          <cell r="C5">
            <v>13.7</v>
          </cell>
          <cell r="D5">
            <v>13.56</v>
          </cell>
          <cell r="E5">
            <v>13.98</v>
          </cell>
          <cell r="F5">
            <v>13.67</v>
          </cell>
          <cell r="G5">
            <v>13.6</v>
          </cell>
          <cell r="H5">
            <v>13.49</v>
          </cell>
          <cell r="I5">
            <v>13.24</v>
          </cell>
          <cell r="J5">
            <v>13.12</v>
          </cell>
          <cell r="K5">
            <v>12.7</v>
          </cell>
          <cell r="L5">
            <v>12.72</v>
          </cell>
          <cell r="M5">
            <v>14.2</v>
          </cell>
          <cell r="N5">
            <v>14.68</v>
          </cell>
          <cell r="O5">
            <v>15.28</v>
          </cell>
          <cell r="P5">
            <v>15.73</v>
          </cell>
          <cell r="Q5">
            <v>16.62</v>
          </cell>
          <cell r="R5">
            <v>17.14</v>
          </cell>
          <cell r="S5">
            <v>14.23</v>
          </cell>
          <cell r="T5">
            <v>18.22</v>
          </cell>
        </row>
        <row r="6">
          <cell r="A6" t="str">
            <v>内蒙古自治区</v>
          </cell>
          <cell r="B6">
            <v>12.57</v>
          </cell>
          <cell r="C6">
            <v>12.59</v>
          </cell>
          <cell r="D6">
            <v>13.09</v>
          </cell>
          <cell r="E6">
            <v>13.13</v>
          </cell>
          <cell r="F6">
            <v>13.25</v>
          </cell>
          <cell r="G6">
            <v>13.33</v>
          </cell>
          <cell r="H6">
            <v>13.3</v>
          </cell>
          <cell r="I6">
            <v>13.47</v>
          </cell>
          <cell r="J6">
            <v>12.91</v>
          </cell>
          <cell r="K6">
            <v>12.09</v>
          </cell>
          <cell r="L6">
            <v>11.85</v>
          </cell>
          <cell r="M6">
            <v>12.09</v>
          </cell>
          <cell r="N6">
            <v>12.36</v>
          </cell>
          <cell r="O6">
            <v>12.6</v>
          </cell>
          <cell r="P6">
            <v>13</v>
          </cell>
          <cell r="Q6">
            <v>13.48</v>
          </cell>
          <cell r="R6">
            <v>13.75</v>
          </cell>
          <cell r="S6">
            <v>17.489999999999998</v>
          </cell>
          <cell r="T6">
            <v>13.42</v>
          </cell>
        </row>
        <row r="7">
          <cell r="A7" t="str">
            <v>辽宁省</v>
          </cell>
          <cell r="B7">
            <v>14.29</v>
          </cell>
          <cell r="C7">
            <v>14</v>
          </cell>
          <cell r="D7">
            <v>14.03</v>
          </cell>
          <cell r="E7">
            <v>14.28</v>
          </cell>
          <cell r="F7">
            <v>14.2</v>
          </cell>
          <cell r="G7">
            <v>14.27</v>
          </cell>
          <cell r="H7">
            <v>13.88</v>
          </cell>
          <cell r="I7">
            <v>14.16</v>
          </cell>
          <cell r="J7">
            <v>14.28</v>
          </cell>
          <cell r="K7">
            <v>14.07</v>
          </cell>
          <cell r="L7">
            <v>14.33</v>
          </cell>
          <cell r="M7">
            <v>14.72</v>
          </cell>
          <cell r="N7">
            <v>14.91</v>
          </cell>
          <cell r="O7">
            <v>14.85</v>
          </cell>
          <cell r="P7">
            <v>15.07</v>
          </cell>
          <cell r="Q7">
            <v>15.67</v>
          </cell>
          <cell r="R7">
            <v>15.96</v>
          </cell>
          <cell r="S7">
            <v>20.72</v>
          </cell>
          <cell r="T7">
            <v>16.3</v>
          </cell>
        </row>
        <row r="8">
          <cell r="A8" t="str">
            <v>吉林省</v>
          </cell>
          <cell r="B8">
            <v>11.15</v>
          </cell>
          <cell r="C8">
            <v>10.95</v>
          </cell>
          <cell r="D8">
            <v>11.03</v>
          </cell>
          <cell r="E8">
            <v>11.28</v>
          </cell>
          <cell r="F8">
            <v>11.29</v>
          </cell>
          <cell r="G8">
            <v>11.27</v>
          </cell>
          <cell r="H8">
            <v>11.33</v>
          </cell>
          <cell r="I8">
            <v>11.53</v>
          </cell>
          <cell r="J8">
            <v>11.63</v>
          </cell>
          <cell r="K8">
            <v>11.26</v>
          </cell>
          <cell r="L8">
            <v>11.83</v>
          </cell>
          <cell r="M8">
            <v>11.94</v>
          </cell>
          <cell r="N8">
            <v>11.81</v>
          </cell>
          <cell r="O8">
            <v>11.6</v>
          </cell>
          <cell r="P8">
            <v>11.39</v>
          </cell>
          <cell r="Q8">
            <v>11.62</v>
          </cell>
          <cell r="R8">
            <v>11.69</v>
          </cell>
          <cell r="S8">
            <v>16.48</v>
          </cell>
          <cell r="T8">
            <v>11.8</v>
          </cell>
        </row>
        <row r="9">
          <cell r="A9" t="str">
            <v>黑龙江省</v>
          </cell>
          <cell r="B9">
            <v>11.16</v>
          </cell>
          <cell r="C9">
            <v>11.1</v>
          </cell>
          <cell r="D9">
            <v>11.6</v>
          </cell>
          <cell r="E9">
            <v>12</v>
          </cell>
          <cell r="F9">
            <v>11.94</v>
          </cell>
          <cell r="G9">
            <v>11.93</v>
          </cell>
          <cell r="H9">
            <v>12.02</v>
          </cell>
          <cell r="I9">
            <v>12.05</v>
          </cell>
          <cell r="J9">
            <v>11.74</v>
          </cell>
          <cell r="K9">
            <v>11.29</v>
          </cell>
          <cell r="L9">
            <v>11.28</v>
          </cell>
          <cell r="M9">
            <v>12.95</v>
          </cell>
          <cell r="N9">
            <v>12.69</v>
          </cell>
          <cell r="O9">
            <v>12.42</v>
          </cell>
          <cell r="P9">
            <v>12.28</v>
          </cell>
          <cell r="Q9">
            <v>12.59</v>
          </cell>
          <cell r="R9">
            <v>12.84</v>
          </cell>
          <cell r="S9">
            <v>16.32</v>
          </cell>
          <cell r="T9">
            <v>13.5</v>
          </cell>
        </row>
        <row r="10">
          <cell r="A10" t="str">
            <v>上海市</v>
          </cell>
          <cell r="B10">
            <v>13.99</v>
          </cell>
          <cell r="C10">
            <v>14.02</v>
          </cell>
          <cell r="D10">
            <v>14.1</v>
          </cell>
          <cell r="E10">
            <v>14.01</v>
          </cell>
          <cell r="F10">
            <v>13.9</v>
          </cell>
          <cell r="G10">
            <v>14.09</v>
          </cell>
          <cell r="H10">
            <v>14.35</v>
          </cell>
          <cell r="I10">
            <v>14.79</v>
          </cell>
          <cell r="J10">
            <v>15.27</v>
          </cell>
          <cell r="K10">
            <v>15.6</v>
          </cell>
          <cell r="L10">
            <v>15.92</v>
          </cell>
          <cell r="M10">
            <v>15.82</v>
          </cell>
          <cell r="N10">
            <v>15.81</v>
          </cell>
          <cell r="O10">
            <v>15.51</v>
          </cell>
          <cell r="P10">
            <v>15.16</v>
          </cell>
          <cell r="Q10">
            <v>14.42</v>
          </cell>
          <cell r="R10">
            <v>13.87</v>
          </cell>
          <cell r="S10">
            <v>25.93</v>
          </cell>
          <cell r="T10">
            <v>14.24</v>
          </cell>
        </row>
        <row r="11">
          <cell r="A11" t="str">
            <v>江苏省</v>
          </cell>
          <cell r="B11">
            <v>16.16</v>
          </cell>
          <cell r="C11">
            <v>16.16</v>
          </cell>
          <cell r="D11">
            <v>16.309999999999999</v>
          </cell>
          <cell r="E11">
            <v>16.79</v>
          </cell>
          <cell r="F11">
            <v>17.25</v>
          </cell>
          <cell r="G11">
            <v>17.73</v>
          </cell>
          <cell r="H11">
            <v>17.989999999999998</v>
          </cell>
          <cell r="I11">
            <v>18.059999999999999</v>
          </cell>
          <cell r="J11">
            <v>17.98</v>
          </cell>
          <cell r="K11">
            <v>17.45</v>
          </cell>
          <cell r="L11">
            <v>16.86</v>
          </cell>
          <cell r="M11">
            <v>16.739999999999998</v>
          </cell>
          <cell r="N11">
            <v>16.38</v>
          </cell>
          <cell r="O11">
            <v>15.98</v>
          </cell>
          <cell r="P11">
            <v>15.55</v>
          </cell>
          <cell r="Q11">
            <v>16.02</v>
          </cell>
          <cell r="R11">
            <v>16.61</v>
          </cell>
          <cell r="S11">
            <v>14.92</v>
          </cell>
          <cell r="T11">
            <v>18.559999999999999</v>
          </cell>
        </row>
        <row r="12">
          <cell r="A12" t="str">
            <v>浙江省</v>
          </cell>
          <cell r="B12">
            <v>17.25</v>
          </cell>
          <cell r="C12">
            <v>16.93</v>
          </cell>
          <cell r="D12">
            <v>16.8</v>
          </cell>
          <cell r="E12">
            <v>16.79</v>
          </cell>
          <cell r="F12">
            <v>16.989999999999998</v>
          </cell>
          <cell r="G12">
            <v>17.14</v>
          </cell>
          <cell r="H12">
            <v>17.260000000000002</v>
          </cell>
          <cell r="I12">
            <v>17.75</v>
          </cell>
          <cell r="J12">
            <v>18.329999999999998</v>
          </cell>
          <cell r="K12">
            <v>18.62</v>
          </cell>
          <cell r="L12">
            <v>19.05</v>
          </cell>
          <cell r="M12">
            <v>19.32</v>
          </cell>
          <cell r="N12">
            <v>19.73</v>
          </cell>
          <cell r="O12">
            <v>19.39</v>
          </cell>
          <cell r="P12">
            <v>19.11</v>
          </cell>
          <cell r="Q12">
            <v>19.8</v>
          </cell>
          <cell r="R12">
            <v>20.260000000000002</v>
          </cell>
          <cell r="S12">
            <v>17.47</v>
          </cell>
          <cell r="T12">
            <v>21.11</v>
          </cell>
        </row>
        <row r="13">
          <cell r="A13" t="str">
            <v>安徽省</v>
          </cell>
          <cell r="B13">
            <v>17.600000000000001</v>
          </cell>
          <cell r="C13">
            <v>17.440000000000001</v>
          </cell>
          <cell r="D13">
            <v>17.420000000000002</v>
          </cell>
          <cell r="E13">
            <v>17.98</v>
          </cell>
          <cell r="F13">
            <v>18.09</v>
          </cell>
          <cell r="G13">
            <v>18.32</v>
          </cell>
          <cell r="H13">
            <v>17.98</v>
          </cell>
          <cell r="I13">
            <v>17.899999999999999</v>
          </cell>
          <cell r="J13">
            <v>17.73</v>
          </cell>
          <cell r="K13">
            <v>17.45</v>
          </cell>
          <cell r="L13">
            <v>17.18</v>
          </cell>
          <cell r="M13">
            <v>16.760000000000002</v>
          </cell>
          <cell r="N13">
            <v>18.23</v>
          </cell>
          <cell r="O13">
            <v>18.739999999999998</v>
          </cell>
          <cell r="P13">
            <v>19.59</v>
          </cell>
          <cell r="Q13">
            <v>20.73</v>
          </cell>
          <cell r="R13">
            <v>21.57</v>
          </cell>
          <cell r="S13">
            <v>11.57</v>
          </cell>
          <cell r="T13">
            <v>22.51</v>
          </cell>
        </row>
        <row r="14">
          <cell r="A14" t="str">
            <v>福建省</v>
          </cell>
          <cell r="B14">
            <v>17.690000000000001</v>
          </cell>
          <cell r="C14">
            <v>17.579999999999998</v>
          </cell>
          <cell r="D14">
            <v>17.79</v>
          </cell>
          <cell r="E14">
            <v>18.82</v>
          </cell>
          <cell r="F14">
            <v>18.79</v>
          </cell>
          <cell r="G14">
            <v>18.68</v>
          </cell>
          <cell r="H14">
            <v>18.190000000000001</v>
          </cell>
          <cell r="I14">
            <v>18</v>
          </cell>
          <cell r="J14">
            <v>17.739999999999998</v>
          </cell>
          <cell r="K14">
            <v>17.3</v>
          </cell>
          <cell r="L14">
            <v>16.82</v>
          </cell>
          <cell r="M14">
            <v>16.420000000000002</v>
          </cell>
          <cell r="N14">
            <v>15.84</v>
          </cell>
          <cell r="O14">
            <v>15.25</v>
          </cell>
          <cell r="P14">
            <v>15.29</v>
          </cell>
          <cell r="Q14">
            <v>15.41</v>
          </cell>
          <cell r="R14">
            <v>16.05</v>
          </cell>
          <cell r="S14">
            <v>13.1</v>
          </cell>
          <cell r="T14">
            <v>16.420000000000002</v>
          </cell>
        </row>
        <row r="15">
          <cell r="A15" t="str">
            <v>江西省</v>
          </cell>
          <cell r="B15">
            <v>15.7</v>
          </cell>
          <cell r="C15">
            <v>15.83</v>
          </cell>
          <cell r="D15">
            <v>16.14</v>
          </cell>
          <cell r="E15">
            <v>16.77</v>
          </cell>
          <cell r="F15">
            <v>17.25</v>
          </cell>
          <cell r="G15">
            <v>17.95</v>
          </cell>
          <cell r="H15">
            <v>18.63</v>
          </cell>
          <cell r="I15">
            <v>19.29</v>
          </cell>
          <cell r="J15">
            <v>19.559999999999999</v>
          </cell>
          <cell r="K15">
            <v>19.64</v>
          </cell>
          <cell r="L15">
            <v>19.7</v>
          </cell>
          <cell r="M15">
            <v>21.13</v>
          </cell>
          <cell r="N15">
            <v>21.25</v>
          </cell>
          <cell r="O15">
            <v>21</v>
          </cell>
          <cell r="P15">
            <v>20.98</v>
          </cell>
          <cell r="Q15">
            <v>21.41</v>
          </cell>
          <cell r="R15">
            <v>21.08</v>
          </cell>
          <cell r="S15">
            <v>21.78</v>
          </cell>
          <cell r="T15">
            <v>19.850000000000001</v>
          </cell>
        </row>
        <row r="16">
          <cell r="A16" t="str">
            <v>山东省</v>
          </cell>
          <cell r="B16">
            <v>17.010000000000002</v>
          </cell>
          <cell r="C16">
            <v>16.27</v>
          </cell>
          <cell r="D16">
            <v>16.14</v>
          </cell>
          <cell r="E16">
            <v>16.36</v>
          </cell>
          <cell r="F16">
            <v>16.68</v>
          </cell>
          <cell r="G16">
            <v>16.86</v>
          </cell>
          <cell r="H16">
            <v>16.79</v>
          </cell>
          <cell r="I16">
            <v>16.91</v>
          </cell>
          <cell r="J16">
            <v>17.02</v>
          </cell>
          <cell r="K16">
            <v>16.670000000000002</v>
          </cell>
          <cell r="L16">
            <v>16.16</v>
          </cell>
          <cell r="M16">
            <v>16.41</v>
          </cell>
          <cell r="N16">
            <v>16.670000000000002</v>
          </cell>
          <cell r="O16">
            <v>16.239999999999998</v>
          </cell>
          <cell r="P16">
            <v>16.07</v>
          </cell>
          <cell r="Q16">
            <v>16.32</v>
          </cell>
          <cell r="R16">
            <v>16.399999999999999</v>
          </cell>
          <cell r="S16">
            <v>20.45</v>
          </cell>
          <cell r="T16">
            <v>16.29</v>
          </cell>
        </row>
        <row r="17">
          <cell r="A17" t="str">
            <v>河南省</v>
          </cell>
          <cell r="B17">
            <v>16.02</v>
          </cell>
          <cell r="C17">
            <v>16.260000000000002</v>
          </cell>
          <cell r="D17">
            <v>16.7</v>
          </cell>
          <cell r="E17">
            <v>17.420000000000002</v>
          </cell>
          <cell r="F17">
            <v>17.91</v>
          </cell>
          <cell r="G17">
            <v>18.18</v>
          </cell>
          <cell r="H17">
            <v>18.63</v>
          </cell>
          <cell r="I17">
            <v>19.079999999999998</v>
          </cell>
          <cell r="J17">
            <v>18.71</v>
          </cell>
          <cell r="K17">
            <v>18.8</v>
          </cell>
          <cell r="L17">
            <v>19.010000000000002</v>
          </cell>
          <cell r="M17">
            <v>21.72</v>
          </cell>
          <cell r="N17">
            <v>22.04</v>
          </cell>
          <cell r="O17">
            <v>21.83</v>
          </cell>
          <cell r="P17">
            <v>21.51</v>
          </cell>
          <cell r="Q17">
            <v>21.36</v>
          </cell>
          <cell r="R17">
            <v>21.09</v>
          </cell>
          <cell r="S17">
            <v>20.85</v>
          </cell>
          <cell r="T17">
            <v>20.75</v>
          </cell>
        </row>
        <row r="18">
          <cell r="A18" t="str">
            <v>湖北省</v>
          </cell>
          <cell r="B18">
            <v>17.36</v>
          </cell>
          <cell r="C18">
            <v>17.32</v>
          </cell>
          <cell r="D18">
            <v>17.47</v>
          </cell>
          <cell r="E18">
            <v>18.149999999999999</v>
          </cell>
          <cell r="F18">
            <v>18.07</v>
          </cell>
          <cell r="G18">
            <v>18.010000000000002</v>
          </cell>
          <cell r="H18">
            <v>17.440000000000001</v>
          </cell>
          <cell r="I18">
            <v>17.13</v>
          </cell>
          <cell r="J18">
            <v>16.78</v>
          </cell>
          <cell r="K18">
            <v>16.12</v>
          </cell>
          <cell r="L18">
            <v>16.7</v>
          </cell>
          <cell r="M18">
            <v>17.04</v>
          </cell>
          <cell r="N18">
            <v>19.37</v>
          </cell>
          <cell r="O18">
            <v>18.64</v>
          </cell>
          <cell r="P18">
            <v>18.13</v>
          </cell>
          <cell r="Q18">
            <v>17.920000000000002</v>
          </cell>
          <cell r="R18">
            <v>18.07</v>
          </cell>
          <cell r="S18">
            <v>18.690000000000001</v>
          </cell>
          <cell r="T18">
            <v>19.899999999999999</v>
          </cell>
        </row>
        <row r="19">
          <cell r="A19" t="str">
            <v>湖南省</v>
          </cell>
          <cell r="B19">
            <v>16.71</v>
          </cell>
          <cell r="C19">
            <v>16.7</v>
          </cell>
          <cell r="D19">
            <v>17.04</v>
          </cell>
          <cell r="E19">
            <v>17.809999999999999</v>
          </cell>
          <cell r="F19">
            <v>18.420000000000002</v>
          </cell>
          <cell r="G19">
            <v>19.010000000000002</v>
          </cell>
          <cell r="H19">
            <v>19.239999999999998</v>
          </cell>
          <cell r="I19">
            <v>19.78</v>
          </cell>
          <cell r="J19">
            <v>19.62</v>
          </cell>
          <cell r="K19">
            <v>19.100000000000001</v>
          </cell>
          <cell r="L19">
            <v>19</v>
          </cell>
          <cell r="M19">
            <v>19.190000000000001</v>
          </cell>
          <cell r="N19">
            <v>19.59</v>
          </cell>
          <cell r="O19">
            <v>19.16</v>
          </cell>
          <cell r="P19">
            <v>18.739999999999998</v>
          </cell>
          <cell r="Q19">
            <v>18.32</v>
          </cell>
          <cell r="R19">
            <v>17.79</v>
          </cell>
          <cell r="S19">
            <v>17.34</v>
          </cell>
          <cell r="T19">
            <v>17.059999999999999</v>
          </cell>
        </row>
        <row r="20">
          <cell r="A20" t="str">
            <v>广东省</v>
          </cell>
          <cell r="B20">
            <v>18.100000000000001</v>
          </cell>
          <cell r="C20">
            <v>18.010000000000002</v>
          </cell>
          <cell r="D20">
            <v>18.22</v>
          </cell>
          <cell r="E20">
            <v>18.43</v>
          </cell>
          <cell r="F20">
            <v>18.68</v>
          </cell>
          <cell r="G20">
            <v>18.64</v>
          </cell>
          <cell r="H20">
            <v>18.55</v>
          </cell>
          <cell r="I20">
            <v>18.600000000000001</v>
          </cell>
          <cell r="J20">
            <v>18.54</v>
          </cell>
          <cell r="K20">
            <v>18.309999999999999</v>
          </cell>
          <cell r="L20">
            <v>18.47</v>
          </cell>
          <cell r="M20">
            <v>18.690000000000001</v>
          </cell>
          <cell r="N20">
            <v>19.010000000000002</v>
          </cell>
          <cell r="O20">
            <v>19.7</v>
          </cell>
          <cell r="P20">
            <v>21.22</v>
          </cell>
          <cell r="Q20">
            <v>22.96</v>
          </cell>
          <cell r="R20">
            <v>24.55</v>
          </cell>
          <cell r="S20">
            <v>20.28</v>
          </cell>
          <cell r="T20">
            <v>26.42</v>
          </cell>
        </row>
        <row r="21">
          <cell r="A21" t="str">
            <v>广西壮族自治区</v>
          </cell>
          <cell r="B21">
            <v>17.13</v>
          </cell>
          <cell r="C21">
            <v>17.32</v>
          </cell>
          <cell r="D21">
            <v>17.600000000000001</v>
          </cell>
          <cell r="E21">
            <v>18</v>
          </cell>
          <cell r="F21">
            <v>18.53</v>
          </cell>
          <cell r="G21">
            <v>18.5</v>
          </cell>
          <cell r="H21">
            <v>18.77</v>
          </cell>
          <cell r="I21">
            <v>19.41</v>
          </cell>
          <cell r="J21">
            <v>19.829999999999998</v>
          </cell>
          <cell r="K21">
            <v>19.87</v>
          </cell>
          <cell r="L21">
            <v>19.77</v>
          </cell>
          <cell r="M21">
            <v>19.64</v>
          </cell>
          <cell r="N21">
            <v>19.5</v>
          </cell>
          <cell r="O21">
            <v>19.53</v>
          </cell>
          <cell r="P21">
            <v>19.78</v>
          </cell>
          <cell r="Q21">
            <v>20.399999999999999</v>
          </cell>
          <cell r="R21">
            <v>20.96</v>
          </cell>
          <cell r="S21">
            <v>13.41</v>
          </cell>
          <cell r="T21">
            <v>22.11</v>
          </cell>
        </row>
        <row r="22">
          <cell r="A22" t="str">
            <v>海南省</v>
          </cell>
          <cell r="B22">
            <v>14.97</v>
          </cell>
          <cell r="C22">
            <v>15.07</v>
          </cell>
          <cell r="D22">
            <v>15.35</v>
          </cell>
          <cell r="E22">
            <v>15.87</v>
          </cell>
          <cell r="F22">
            <v>16.260000000000002</v>
          </cell>
          <cell r="G22">
            <v>16.399999999999999</v>
          </cell>
          <cell r="H22">
            <v>16.260000000000002</v>
          </cell>
          <cell r="I22">
            <v>16.18</v>
          </cell>
          <cell r="J22">
            <v>15.54</v>
          </cell>
          <cell r="K22">
            <v>14.99</v>
          </cell>
          <cell r="L22">
            <v>14.67</v>
          </cell>
          <cell r="M22">
            <v>14.68</v>
          </cell>
          <cell r="N22">
            <v>14.84</v>
          </cell>
          <cell r="O22">
            <v>14.99</v>
          </cell>
          <cell r="P22">
            <v>15.93</v>
          </cell>
          <cell r="Q22">
            <v>17.239999999999998</v>
          </cell>
          <cell r="R22">
            <v>18.79</v>
          </cell>
          <cell r="S22">
            <v>22.24</v>
          </cell>
          <cell r="T22">
            <v>20.88</v>
          </cell>
        </row>
        <row r="23">
          <cell r="A23" t="str">
            <v>重庆市</v>
          </cell>
          <cell r="B23">
            <v>15.31</v>
          </cell>
          <cell r="C23">
            <v>15.16</v>
          </cell>
          <cell r="D23">
            <v>15.24</v>
          </cell>
          <cell r="E23">
            <v>15.5</v>
          </cell>
          <cell r="F23">
            <v>16.02</v>
          </cell>
          <cell r="G23">
            <v>16.559999999999999</v>
          </cell>
          <cell r="H23">
            <v>16.760000000000002</v>
          </cell>
          <cell r="I23">
            <v>17.05</v>
          </cell>
          <cell r="J23">
            <v>17.440000000000001</v>
          </cell>
          <cell r="K23">
            <v>17.48</v>
          </cell>
          <cell r="L23">
            <v>17.27</v>
          </cell>
          <cell r="M23">
            <v>17.04</v>
          </cell>
          <cell r="N23">
            <v>16.95</v>
          </cell>
          <cell r="O23">
            <v>17.23</v>
          </cell>
          <cell r="P23">
            <v>17.72</v>
          </cell>
          <cell r="Q23">
            <v>18.829999999999998</v>
          </cell>
          <cell r="R23">
            <v>19.899999999999999</v>
          </cell>
          <cell r="S23">
            <v>22.19</v>
          </cell>
          <cell r="T23">
            <v>22.83</v>
          </cell>
        </row>
        <row r="24">
          <cell r="A24" t="str">
            <v>四川省</v>
          </cell>
          <cell r="B24">
            <v>15.6</v>
          </cell>
          <cell r="C24">
            <v>15.59</v>
          </cell>
          <cell r="D24">
            <v>15.71</v>
          </cell>
          <cell r="E24">
            <v>16.03</v>
          </cell>
          <cell r="F24">
            <v>16.45</v>
          </cell>
          <cell r="G24">
            <v>16.84</v>
          </cell>
          <cell r="H24">
            <v>16.98</v>
          </cell>
          <cell r="I24">
            <v>17.48</v>
          </cell>
          <cell r="J24">
            <v>17.59</v>
          </cell>
          <cell r="K24">
            <v>17.43</v>
          </cell>
          <cell r="L24">
            <v>17.21</v>
          </cell>
          <cell r="M24">
            <v>18.39</v>
          </cell>
          <cell r="N24">
            <v>18.98</v>
          </cell>
          <cell r="O24">
            <v>19.37</v>
          </cell>
          <cell r="P24">
            <v>20.13</v>
          </cell>
          <cell r="Q24">
            <v>21.09</v>
          </cell>
          <cell r="R24">
            <v>22.75</v>
          </cell>
          <cell r="S24">
            <v>23.52</v>
          </cell>
          <cell r="T24">
            <v>23.27</v>
          </cell>
        </row>
        <row r="25">
          <cell r="A25" t="str">
            <v>贵州省</v>
          </cell>
          <cell r="B25">
            <v>18.13</v>
          </cell>
          <cell r="C25">
            <v>18.190000000000001</v>
          </cell>
          <cell r="D25">
            <v>18.63</v>
          </cell>
          <cell r="E25">
            <v>18.48</v>
          </cell>
          <cell r="F25">
            <v>18.27</v>
          </cell>
          <cell r="G25">
            <v>17.89</v>
          </cell>
          <cell r="H25">
            <v>17.920000000000002</v>
          </cell>
          <cell r="I25">
            <v>17.93</v>
          </cell>
          <cell r="J25">
            <v>17.899999999999999</v>
          </cell>
          <cell r="K25">
            <v>17.96</v>
          </cell>
          <cell r="L25">
            <v>18.43</v>
          </cell>
          <cell r="M25">
            <v>19.2</v>
          </cell>
          <cell r="N25">
            <v>20.74</v>
          </cell>
          <cell r="O25">
            <v>21.9</v>
          </cell>
          <cell r="P25">
            <v>22.94</v>
          </cell>
          <cell r="Q25">
            <v>23.49</v>
          </cell>
          <cell r="R25">
            <v>24.29</v>
          </cell>
          <cell r="S25">
            <v>25.13</v>
          </cell>
          <cell r="T25">
            <v>25.79</v>
          </cell>
        </row>
        <row r="26">
          <cell r="A26" t="str">
            <v>云南省</v>
          </cell>
          <cell r="B26">
            <v>16.649999999999999</v>
          </cell>
          <cell r="C26">
            <v>16.329999999999998</v>
          </cell>
          <cell r="D26">
            <v>16.3</v>
          </cell>
          <cell r="E26">
            <v>16.399999999999999</v>
          </cell>
          <cell r="F26">
            <v>16.690000000000001</v>
          </cell>
          <cell r="G26">
            <v>16.62</v>
          </cell>
          <cell r="H26">
            <v>16.510000000000002</v>
          </cell>
          <cell r="I26">
            <v>16.59</v>
          </cell>
          <cell r="J26">
            <v>16.8</v>
          </cell>
          <cell r="K26">
            <v>16.940000000000001</v>
          </cell>
          <cell r="L26">
            <v>17.03</v>
          </cell>
          <cell r="M26">
            <v>17.399999999999999</v>
          </cell>
          <cell r="N26">
            <v>18.059999999999999</v>
          </cell>
          <cell r="O26">
            <v>18.32</v>
          </cell>
          <cell r="P26">
            <v>19</v>
          </cell>
          <cell r="Q26">
            <v>19.89</v>
          </cell>
          <cell r="R26">
            <v>20.36</v>
          </cell>
          <cell r="S26">
            <v>20.37</v>
          </cell>
          <cell r="T26">
            <v>20.13</v>
          </cell>
        </row>
        <row r="27">
          <cell r="A27" t="str">
            <v>西藏自治区</v>
          </cell>
          <cell r="B27">
            <v>14.4</v>
          </cell>
          <cell r="C27">
            <v>14.78</v>
          </cell>
          <cell r="D27">
            <v>14.4</v>
          </cell>
          <cell r="E27">
            <v>14.41</v>
          </cell>
          <cell r="F27">
            <v>14.72</v>
          </cell>
          <cell r="G27">
            <v>14.54</v>
          </cell>
          <cell r="H27">
            <v>15.43</v>
          </cell>
          <cell r="I27">
            <v>14.37</v>
          </cell>
          <cell r="J27">
            <v>13.99</v>
          </cell>
          <cell r="K27">
            <v>14.56</v>
          </cell>
          <cell r="L27">
            <v>15.65</v>
          </cell>
          <cell r="M27">
            <v>15.49</v>
          </cell>
          <cell r="N27">
            <v>15.45</v>
          </cell>
          <cell r="O27">
            <v>15.84</v>
          </cell>
          <cell r="P27">
            <v>16.329999999999998</v>
          </cell>
          <cell r="Q27">
            <v>17.239999999999998</v>
          </cell>
          <cell r="R27">
            <v>18</v>
          </cell>
          <cell r="S27">
            <v>20.65</v>
          </cell>
          <cell r="T27">
            <v>22.95</v>
          </cell>
        </row>
        <row r="28">
          <cell r="A28" t="str">
            <v>陕西省</v>
          </cell>
          <cell r="B28">
            <v>15.9</v>
          </cell>
          <cell r="C28">
            <v>15.9</v>
          </cell>
          <cell r="D28">
            <v>16.02</v>
          </cell>
          <cell r="E28">
            <v>16.329999999999998</v>
          </cell>
          <cell r="F28">
            <v>16.260000000000002</v>
          </cell>
          <cell r="G28">
            <v>16.18</v>
          </cell>
          <cell r="H28">
            <v>15.86</v>
          </cell>
          <cell r="I28">
            <v>15.48</v>
          </cell>
          <cell r="J28">
            <v>14.93</v>
          </cell>
          <cell r="K28">
            <v>14.21</v>
          </cell>
          <cell r="L28">
            <v>13.96</v>
          </cell>
          <cell r="M28">
            <v>14.06</v>
          </cell>
          <cell r="N28">
            <v>14.83</v>
          </cell>
          <cell r="O28">
            <v>14.9</v>
          </cell>
          <cell r="P28">
            <v>15.22</v>
          </cell>
          <cell r="Q28">
            <v>15.84</v>
          </cell>
          <cell r="R28">
            <v>16.7</v>
          </cell>
          <cell r="S28">
            <v>17.61</v>
          </cell>
          <cell r="T28">
            <v>18.22</v>
          </cell>
        </row>
        <row r="29">
          <cell r="A29" t="str">
            <v>甘肃省</v>
          </cell>
          <cell r="B29">
            <v>13.41</v>
          </cell>
          <cell r="C29">
            <v>13.3</v>
          </cell>
          <cell r="D29">
            <v>13.31</v>
          </cell>
          <cell r="E29">
            <v>13.32</v>
          </cell>
          <cell r="F29">
            <v>13.08</v>
          </cell>
          <cell r="G29">
            <v>13.24</v>
          </cell>
          <cell r="H29">
            <v>13.07</v>
          </cell>
          <cell r="I29">
            <v>12.91</v>
          </cell>
          <cell r="J29">
            <v>12.84</v>
          </cell>
          <cell r="K29">
            <v>12.83</v>
          </cell>
          <cell r="L29">
            <v>13.3</v>
          </cell>
          <cell r="M29">
            <v>14.71</v>
          </cell>
          <cell r="N29">
            <v>15.57</v>
          </cell>
          <cell r="O29">
            <v>16.89</v>
          </cell>
          <cell r="P29">
            <v>18.05</v>
          </cell>
          <cell r="Q29">
            <v>19.03</v>
          </cell>
          <cell r="R29">
            <v>20.75</v>
          </cell>
          <cell r="S29">
            <v>22.03</v>
          </cell>
          <cell r="T29">
            <v>23.2</v>
          </cell>
        </row>
        <row r="30">
          <cell r="A30" t="str">
            <v>青海省</v>
          </cell>
          <cell r="B30">
            <v>17.37</v>
          </cell>
          <cell r="C30">
            <v>17.399999999999999</v>
          </cell>
          <cell r="D30">
            <v>17.260000000000002</v>
          </cell>
          <cell r="E30">
            <v>17.63</v>
          </cell>
          <cell r="F30">
            <v>17.600000000000001</v>
          </cell>
          <cell r="G30">
            <v>17.68</v>
          </cell>
          <cell r="H30">
            <v>17.02</v>
          </cell>
          <cell r="I30">
            <v>17.34</v>
          </cell>
          <cell r="J30">
            <v>17.149999999999999</v>
          </cell>
          <cell r="K30">
            <v>18.28</v>
          </cell>
          <cell r="L30">
            <v>17.600000000000001</v>
          </cell>
          <cell r="M30">
            <v>19.100000000000001</v>
          </cell>
          <cell r="N30">
            <v>19.77</v>
          </cell>
          <cell r="O30">
            <v>19.52</v>
          </cell>
          <cell r="P30">
            <v>19.899999999999999</v>
          </cell>
          <cell r="Q30">
            <v>19.7</v>
          </cell>
          <cell r="R30">
            <v>19.46</v>
          </cell>
          <cell r="S30">
            <v>18.559999999999999</v>
          </cell>
          <cell r="T30">
            <v>18.45</v>
          </cell>
        </row>
        <row r="31">
          <cell r="A31" t="str">
            <v>宁夏回族自治区</v>
          </cell>
          <cell r="B31">
            <v>17.32</v>
          </cell>
          <cell r="C31">
            <v>16.97</v>
          </cell>
          <cell r="D31">
            <v>17.25</v>
          </cell>
          <cell r="E31">
            <v>17.52</v>
          </cell>
          <cell r="F31">
            <v>17.04</v>
          </cell>
          <cell r="G31">
            <v>16.86</v>
          </cell>
          <cell r="H31">
            <v>16.98</v>
          </cell>
          <cell r="I31">
            <v>17.09</v>
          </cell>
          <cell r="J31">
            <v>17.28</v>
          </cell>
          <cell r="K31">
            <v>17.649999999999999</v>
          </cell>
          <cell r="L31">
            <v>17.7</v>
          </cell>
          <cell r="M31">
            <v>17.98</v>
          </cell>
          <cell r="N31">
            <v>19.32</v>
          </cell>
          <cell r="O31">
            <v>19.68</v>
          </cell>
          <cell r="P31">
            <v>20.07</v>
          </cell>
          <cell r="Q31">
            <v>20.98</v>
          </cell>
          <cell r="R31">
            <v>21.23</v>
          </cell>
          <cell r="S31">
            <v>21.05</v>
          </cell>
          <cell r="T31">
            <v>20.53</v>
          </cell>
        </row>
        <row r="32">
          <cell r="A32" t="str">
            <v>新疆维吾尔自治区</v>
          </cell>
          <cell r="B32">
            <v>17.7</v>
          </cell>
          <cell r="C32">
            <v>17.66</v>
          </cell>
          <cell r="D32">
            <v>17.239999999999998</v>
          </cell>
          <cell r="E32">
            <v>16.34</v>
          </cell>
          <cell r="F32">
            <v>15.57</v>
          </cell>
          <cell r="G32">
            <v>15.3</v>
          </cell>
          <cell r="H32">
            <v>14.91</v>
          </cell>
          <cell r="I32">
            <v>14.75</v>
          </cell>
          <cell r="J32">
            <v>14.15</v>
          </cell>
          <cell r="K32">
            <v>13.39</v>
          </cell>
          <cell r="L32">
            <v>13.48</v>
          </cell>
          <cell r="M32">
            <v>13.96</v>
          </cell>
          <cell r="N32">
            <v>14.2</v>
          </cell>
          <cell r="O32">
            <v>14.45</v>
          </cell>
          <cell r="P32">
            <v>14.7</v>
          </cell>
          <cell r="Q32">
            <v>15.15</v>
          </cell>
          <cell r="R32">
            <v>15.41</v>
          </cell>
          <cell r="S32">
            <v>15.57</v>
          </cell>
          <cell r="T32">
            <v>15.91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15854348</v>
          </cell>
          <cell r="D2">
            <v>15325981</v>
          </cell>
          <cell r="E2">
            <v>15085043</v>
          </cell>
          <cell r="F2">
            <v>14794780</v>
          </cell>
          <cell r="G2">
            <v>13525400</v>
          </cell>
          <cell r="H2">
            <v>12512746</v>
          </cell>
          <cell r="I2">
            <v>11934724</v>
          </cell>
          <cell r="J2">
            <v>11171250</v>
          </cell>
          <cell r="K2">
            <v>10937374</v>
          </cell>
          <cell r="L2">
            <v>9998366</v>
          </cell>
          <cell r="M2" t="str">
            <v/>
          </cell>
          <cell r="N2">
            <v>7373843</v>
          </cell>
          <cell r="O2">
            <v>6134448</v>
          </cell>
          <cell r="P2">
            <v>5289432</v>
          </cell>
          <cell r="Q2">
            <v>4690166</v>
          </cell>
          <cell r="R2">
            <v>4077284</v>
          </cell>
          <cell r="S2">
            <v>3374329</v>
          </cell>
          <cell r="T2">
            <v>5227188</v>
          </cell>
        </row>
        <row r="3">
          <cell r="A3" t="str">
            <v>天津市</v>
          </cell>
          <cell r="B3" t="str">
            <v/>
          </cell>
          <cell r="C3">
            <v>6565887</v>
          </cell>
          <cell r="D3">
            <v>6664572</v>
          </cell>
          <cell r="E3">
            <v>6031844</v>
          </cell>
          <cell r="F3">
            <v>6270839</v>
          </cell>
          <cell r="G3">
            <v>6351712</v>
          </cell>
          <cell r="H3">
            <v>5850624</v>
          </cell>
          <cell r="I3">
            <v>5365129</v>
          </cell>
          <cell r="J3">
            <v>5605736</v>
          </cell>
          <cell r="K3">
            <v>6326265</v>
          </cell>
          <cell r="L3">
            <v>5699615</v>
          </cell>
          <cell r="M3" t="str">
            <v/>
          </cell>
          <cell r="N3">
            <v>4136097</v>
          </cell>
          <cell r="O3">
            <v>2920970</v>
          </cell>
          <cell r="P3">
            <v>2381672</v>
          </cell>
          <cell r="Q3">
            <v>2060843</v>
          </cell>
          <cell r="R3">
            <v>1657108</v>
          </cell>
          <cell r="S3">
            <v>1428992</v>
          </cell>
          <cell r="T3">
            <v>1479873</v>
          </cell>
        </row>
        <row r="4">
          <cell r="A4" t="str">
            <v>河北省</v>
          </cell>
          <cell r="B4" t="str">
            <v/>
          </cell>
          <cell r="C4">
            <v>24395755</v>
          </cell>
          <cell r="D4">
            <v>21927812</v>
          </cell>
          <cell r="E4">
            <v>21282804</v>
          </cell>
          <cell r="F4">
            <v>19921191</v>
          </cell>
          <cell r="G4">
            <v>17389625</v>
          </cell>
          <cell r="H4">
            <v>15938479</v>
          </cell>
          <cell r="I4">
            <v>14203834</v>
          </cell>
          <cell r="J4">
            <v>12861641</v>
          </cell>
          <cell r="K4">
            <v>10861672</v>
          </cell>
          <cell r="L4">
            <v>10298143</v>
          </cell>
          <cell r="M4" t="str">
            <v/>
          </cell>
          <cell r="N4">
            <v>8447882</v>
          </cell>
          <cell r="O4">
            <v>7192734</v>
          </cell>
          <cell r="P4">
            <v>6145261</v>
          </cell>
          <cell r="Q4">
            <v>5584914</v>
          </cell>
          <cell r="R4">
            <v>4403700</v>
          </cell>
          <cell r="S4">
            <v>3554401</v>
          </cell>
          <cell r="T4">
            <v>3249421</v>
          </cell>
        </row>
        <row r="5">
          <cell r="A5" t="str">
            <v>山西省</v>
          </cell>
          <cell r="B5" t="str">
            <v/>
          </cell>
          <cell r="C5">
            <v>12125465</v>
          </cell>
          <cell r="D5">
            <v>11140175</v>
          </cell>
          <cell r="E5">
            <v>10071575</v>
          </cell>
          <cell r="F5">
            <v>9857999</v>
          </cell>
          <cell r="G5">
            <v>9134205</v>
          </cell>
          <cell r="H5">
            <v>8533662</v>
          </cell>
          <cell r="I5">
            <v>7942196</v>
          </cell>
          <cell r="J5">
            <v>8442363</v>
          </cell>
          <cell r="K5">
            <v>7036233</v>
          </cell>
          <cell r="L5">
            <v>6918247</v>
          </cell>
          <cell r="M5" t="str">
            <v/>
          </cell>
          <cell r="N5">
            <v>5494903</v>
          </cell>
          <cell r="O5">
            <v>4508195</v>
          </cell>
          <cell r="P5">
            <v>3809096</v>
          </cell>
          <cell r="Q5">
            <v>3328404</v>
          </cell>
          <cell r="R5">
            <v>2649876</v>
          </cell>
          <cell r="S5">
            <v>2198470</v>
          </cell>
          <cell r="T5">
            <v>1891253</v>
          </cell>
        </row>
        <row r="6">
          <cell r="A6" t="str">
            <v>内蒙古自治区</v>
          </cell>
          <cell r="B6" t="str">
            <v/>
          </cell>
          <cell r="C6">
            <v>9230537</v>
          </cell>
          <cell r="D6">
            <v>8595861</v>
          </cell>
          <cell r="E6">
            <v>8510492</v>
          </cell>
          <cell r="F6">
            <v>8105720</v>
          </cell>
          <cell r="G6">
            <v>7759014</v>
          </cell>
          <cell r="H6">
            <v>7601337</v>
          </cell>
          <cell r="I6">
            <v>7624806</v>
          </cell>
          <cell r="J6">
            <v>7072130</v>
          </cell>
          <cell r="K6">
            <v>6393778</v>
          </cell>
          <cell r="L6">
            <v>6121559</v>
          </cell>
          <cell r="M6" t="str">
            <v/>
          </cell>
          <cell r="N6">
            <v>5040005</v>
          </cell>
          <cell r="O6">
            <v>4143731</v>
          </cell>
          <cell r="P6">
            <v>3187733</v>
          </cell>
          <cell r="Q6">
            <v>2625527</v>
          </cell>
          <cell r="R6">
            <v>2019987</v>
          </cell>
          <cell r="S6">
            <v>1480999</v>
          </cell>
          <cell r="T6">
            <v>1293432</v>
          </cell>
        </row>
        <row r="7">
          <cell r="A7" t="str">
            <v>辽宁省</v>
          </cell>
          <cell r="B7" t="str">
            <v/>
          </cell>
          <cell r="C7">
            <v>11674506</v>
          </cell>
          <cell r="D7">
            <v>11110019</v>
          </cell>
          <cell r="E7">
            <v>10988599</v>
          </cell>
          <cell r="F7">
            <v>10593957</v>
          </cell>
          <cell r="G7">
            <v>9759379</v>
          </cell>
          <cell r="H7">
            <v>9651893</v>
          </cell>
          <cell r="I7">
            <v>9206907</v>
          </cell>
          <cell r="J7">
            <v>8781171</v>
          </cell>
          <cell r="K7">
            <v>8700533</v>
          </cell>
          <cell r="L7">
            <v>9302062</v>
          </cell>
          <cell r="M7" t="str">
            <v/>
          </cell>
          <cell r="N7">
            <v>7809413</v>
          </cell>
          <cell r="O7">
            <v>6242615</v>
          </cell>
          <cell r="P7">
            <v>5349184</v>
          </cell>
          <cell r="Q7">
            <v>4792311</v>
          </cell>
          <cell r="R7">
            <v>4122455</v>
          </cell>
          <cell r="S7">
            <v>3282283</v>
          </cell>
          <cell r="T7">
            <v>3164488</v>
          </cell>
        </row>
        <row r="8">
          <cell r="A8" t="str">
            <v>吉林省</v>
          </cell>
          <cell r="B8" t="str">
            <v/>
          </cell>
          <cell r="C8">
            <v>7484068</v>
          </cell>
          <cell r="D8">
            <v>7092031</v>
          </cell>
          <cell r="E8">
            <v>7204781</v>
          </cell>
          <cell r="F8">
            <v>6777422</v>
          </cell>
          <cell r="G8">
            <v>6866495</v>
          </cell>
          <cell r="H8">
            <v>6586685</v>
          </cell>
          <cell r="I8">
            <v>6439837</v>
          </cell>
          <cell r="J8">
            <v>5975239</v>
          </cell>
          <cell r="K8">
            <v>5353180</v>
          </cell>
          <cell r="L8">
            <v>5480347</v>
          </cell>
          <cell r="M8" t="str">
            <v/>
          </cell>
          <cell r="N8">
            <v>4293877</v>
          </cell>
          <cell r="O8">
            <v>3445611</v>
          </cell>
          <cell r="P8">
            <v>3006988</v>
          </cell>
          <cell r="Q8">
            <v>2714195</v>
          </cell>
          <cell r="R8">
            <v>2133095</v>
          </cell>
          <cell r="S8">
            <v>1724213</v>
          </cell>
          <cell r="T8">
            <v>1742325</v>
          </cell>
        </row>
        <row r="9">
          <cell r="A9" t="str">
            <v>黑龙江省</v>
          </cell>
          <cell r="B9" t="str">
            <v/>
          </cell>
          <cell r="C9">
            <v>8806510</v>
          </cell>
          <cell r="D9">
            <v>8440981</v>
          </cell>
          <cell r="E9">
            <v>8422728</v>
          </cell>
          <cell r="F9">
            <v>8115856</v>
          </cell>
          <cell r="G9">
            <v>7612173</v>
          </cell>
          <cell r="H9">
            <v>7545432</v>
          </cell>
          <cell r="I9">
            <v>7336607</v>
          </cell>
          <cell r="J9">
            <v>7040039</v>
          </cell>
          <cell r="K9">
            <v>6278812</v>
          </cell>
          <cell r="L9">
            <v>6006258</v>
          </cell>
          <cell r="M9" t="str">
            <v/>
          </cell>
          <cell r="N9">
            <v>4838173</v>
          </cell>
          <cell r="O9">
            <v>4048565</v>
          </cell>
          <cell r="P9">
            <v>3486163</v>
          </cell>
          <cell r="Q9">
            <v>3386551</v>
          </cell>
          <cell r="R9">
            <v>2736590</v>
          </cell>
          <cell r="S9">
            <v>2230540</v>
          </cell>
          <cell r="T9">
            <v>2342133</v>
          </cell>
        </row>
        <row r="10">
          <cell r="A10" t="str">
            <v>上海市</v>
          </cell>
          <cell r="B10" t="str">
            <v/>
          </cell>
          <cell r="C10">
            <v>16916927</v>
          </cell>
          <cell r="D10">
            <v>15764758</v>
          </cell>
          <cell r="E10">
            <v>14427631</v>
          </cell>
          <cell r="F10">
            <v>14125408</v>
          </cell>
          <cell r="G10">
            <v>13412840</v>
          </cell>
          <cell r="H10">
            <v>12104556</v>
          </cell>
          <cell r="I10">
            <v>11218946</v>
          </cell>
          <cell r="J10">
            <v>10131153</v>
          </cell>
          <cell r="K10">
            <v>9892212</v>
          </cell>
          <cell r="L10">
            <v>9069715</v>
          </cell>
          <cell r="M10" t="str">
            <v/>
          </cell>
          <cell r="N10">
            <v>7106255</v>
          </cell>
          <cell r="O10">
            <v>5582736</v>
          </cell>
          <cell r="P10">
            <v>4937339</v>
          </cell>
          <cell r="Q10">
            <v>4823026</v>
          </cell>
          <cell r="R10">
            <v>4318320</v>
          </cell>
          <cell r="S10">
            <v>3707275</v>
          </cell>
          <cell r="T10">
            <v>4229482</v>
          </cell>
        </row>
        <row r="11">
          <cell r="A11" t="str">
            <v>江苏省</v>
          </cell>
          <cell r="B11" t="str">
            <v/>
          </cell>
          <cell r="C11">
            <v>38820349</v>
          </cell>
          <cell r="D11">
            <v>37333811</v>
          </cell>
          <cell r="E11">
            <v>33717331</v>
          </cell>
          <cell r="F11">
            <v>31093313</v>
          </cell>
          <cell r="G11">
            <v>28276374</v>
          </cell>
          <cell r="H11">
            <v>25960645</v>
          </cell>
          <cell r="I11">
            <v>24020855</v>
          </cell>
          <cell r="J11">
            <v>22463773</v>
          </cell>
          <cell r="K11">
            <v>20800931</v>
          </cell>
          <cell r="L11">
            <v>19862835</v>
          </cell>
          <cell r="M11" t="str">
            <v/>
          </cell>
          <cell r="N11">
            <v>15882132</v>
          </cell>
          <cell r="O11">
            <v>13146233</v>
          </cell>
          <cell r="P11">
            <v>11054890</v>
          </cell>
          <cell r="Q11">
            <v>9964272</v>
          </cell>
          <cell r="R11">
            <v>8513327</v>
          </cell>
          <cell r="S11">
            <v>6845888</v>
          </cell>
          <cell r="T11">
            <v>6653202</v>
          </cell>
        </row>
        <row r="12">
          <cell r="A12" t="str">
            <v>浙江省</v>
          </cell>
          <cell r="B12" t="str">
            <v/>
          </cell>
          <cell r="C12">
            <v>34440066</v>
          </cell>
          <cell r="D12">
            <v>31651797</v>
          </cell>
          <cell r="E12">
            <v>28846115</v>
          </cell>
          <cell r="F12">
            <v>27343770</v>
          </cell>
          <cell r="G12">
            <v>24009012</v>
          </cell>
          <cell r="H12">
            <v>21327866</v>
          </cell>
          <cell r="I12">
            <v>18908104</v>
          </cell>
          <cell r="J12">
            <v>17568215</v>
          </cell>
          <cell r="K12">
            <v>16079755</v>
          </cell>
          <cell r="L12">
            <v>14490439</v>
          </cell>
          <cell r="M12" t="str">
            <v/>
          </cell>
          <cell r="N12">
            <v>12069078</v>
          </cell>
          <cell r="O12">
            <v>10625688</v>
          </cell>
          <cell r="P12">
            <v>8911507</v>
          </cell>
          <cell r="Q12">
            <v>7972834</v>
          </cell>
          <cell r="R12">
            <v>7058575</v>
          </cell>
          <cell r="S12">
            <v>6315051</v>
          </cell>
          <cell r="T12">
            <v>5684275</v>
          </cell>
        </row>
        <row r="13">
          <cell r="A13" t="str">
            <v>安徽省</v>
          </cell>
          <cell r="B13" t="str">
            <v/>
          </cell>
          <cell r="C13">
            <v>20532087</v>
          </cell>
          <cell r="D13">
            <v>18979388</v>
          </cell>
          <cell r="E13">
            <v>17478565</v>
          </cell>
          <cell r="F13">
            <v>16375812</v>
          </cell>
          <cell r="G13">
            <v>15011779</v>
          </cell>
          <cell r="H13">
            <v>13751567</v>
          </cell>
          <cell r="I13">
            <v>12357931</v>
          </cell>
          <cell r="J13">
            <v>11578495</v>
          </cell>
          <cell r="K13">
            <v>10457811</v>
          </cell>
          <cell r="L13">
            <v>10413043</v>
          </cell>
          <cell r="M13" t="str">
            <v/>
          </cell>
          <cell r="N13">
            <v>8172010</v>
          </cell>
          <cell r="O13">
            <v>5990868</v>
          </cell>
          <cell r="P13">
            <v>4873316</v>
          </cell>
          <cell r="Q13">
            <v>4383732</v>
          </cell>
          <cell r="R13">
            <v>3451326</v>
          </cell>
          <cell r="S13">
            <v>2775700</v>
          </cell>
          <cell r="T13">
            <v>2524901</v>
          </cell>
        </row>
        <row r="14">
          <cell r="A14" t="str">
            <v>福建省</v>
          </cell>
          <cell r="B14" t="str">
            <v/>
          </cell>
          <cell r="C14">
            <v>17625677</v>
          </cell>
          <cell r="D14">
            <v>15320230</v>
          </cell>
          <cell r="E14">
            <v>14160989</v>
          </cell>
          <cell r="F14">
            <v>13429131</v>
          </cell>
          <cell r="G14">
            <v>12547951</v>
          </cell>
          <cell r="H14">
            <v>11390975</v>
          </cell>
          <cell r="I14">
            <v>10473975</v>
          </cell>
          <cell r="J14">
            <v>10028329</v>
          </cell>
          <cell r="K14">
            <v>8928771</v>
          </cell>
          <cell r="L14">
            <v>8228012</v>
          </cell>
          <cell r="M14" t="str">
            <v/>
          </cell>
          <cell r="N14">
            <v>6344839</v>
          </cell>
          <cell r="O14">
            <v>5341118</v>
          </cell>
          <cell r="P14">
            <v>4479126</v>
          </cell>
          <cell r="Q14">
            <v>3898541</v>
          </cell>
          <cell r="R14">
            <v>3322233</v>
          </cell>
          <cell r="S14">
            <v>2771266</v>
          </cell>
          <cell r="T14">
            <v>2505241</v>
          </cell>
        </row>
        <row r="15">
          <cell r="A15" t="str">
            <v>江西省</v>
          </cell>
          <cell r="B15" t="str">
            <v/>
          </cell>
          <cell r="C15">
            <v>18915971</v>
          </cell>
          <cell r="D15">
            <v>16514212</v>
          </cell>
          <cell r="E15">
            <v>15772884</v>
          </cell>
          <cell r="F15">
            <v>14535470</v>
          </cell>
          <cell r="G15">
            <v>13152969</v>
          </cell>
          <cell r="H15">
            <v>11717849</v>
          </cell>
          <cell r="I15">
            <v>10468837</v>
          </cell>
          <cell r="J15">
            <v>9732898</v>
          </cell>
          <cell r="K15">
            <v>8930127</v>
          </cell>
          <cell r="L15">
            <v>8284996</v>
          </cell>
          <cell r="M15" t="str">
            <v/>
          </cell>
          <cell r="N15">
            <v>6307866</v>
          </cell>
          <cell r="O15">
            <v>4494597</v>
          </cell>
          <cell r="P15">
            <v>3776516</v>
          </cell>
          <cell r="Q15">
            <v>3333171</v>
          </cell>
          <cell r="R15">
            <v>2850048</v>
          </cell>
          <cell r="S15">
            <v>2213618</v>
          </cell>
          <cell r="T15">
            <v>1889654</v>
          </cell>
        </row>
        <row r="16">
          <cell r="A16" t="str">
            <v>山东省</v>
          </cell>
          <cell r="B16" t="str">
            <v/>
          </cell>
          <cell r="C16">
            <v>37144368</v>
          </cell>
          <cell r="D16">
            <v>34007897</v>
          </cell>
          <cell r="E16">
            <v>31022594</v>
          </cell>
          <cell r="F16">
            <v>29001760</v>
          </cell>
          <cell r="G16">
            <v>26349273</v>
          </cell>
          <cell r="H16">
            <v>23946021</v>
          </cell>
          <cell r="I16">
            <v>22422970</v>
          </cell>
          <cell r="J16">
            <v>20632259</v>
          </cell>
          <cell r="K16">
            <v>18847752</v>
          </cell>
          <cell r="L16">
            <v>17796161</v>
          </cell>
          <cell r="M16" t="str">
            <v/>
          </cell>
          <cell r="N16">
            <v>13727939</v>
          </cell>
          <cell r="O16">
            <v>10395900</v>
          </cell>
          <cell r="P16">
            <v>8397429</v>
          </cell>
          <cell r="Q16">
            <v>7749148</v>
          </cell>
          <cell r="R16">
            <v>6802414</v>
          </cell>
          <cell r="S16">
            <v>5471049</v>
          </cell>
          <cell r="T16">
            <v>4988243</v>
          </cell>
        </row>
        <row r="17">
          <cell r="A17" t="str">
            <v>河南省</v>
          </cell>
          <cell r="B17" t="str">
            <v/>
          </cell>
          <cell r="C17">
            <v>29695708</v>
          </cell>
          <cell r="D17">
            <v>27674810</v>
          </cell>
          <cell r="E17">
            <v>28022275</v>
          </cell>
          <cell r="F17">
            <v>26685217</v>
          </cell>
          <cell r="G17">
            <v>24293502</v>
          </cell>
          <cell r="H17">
            <v>21546749</v>
          </cell>
          <cell r="I17">
            <v>18902582</v>
          </cell>
          <cell r="J17">
            <v>17411099</v>
          </cell>
          <cell r="K17">
            <v>16385611</v>
          </cell>
          <cell r="L17">
            <v>15577127</v>
          </cell>
          <cell r="M17" t="str">
            <v/>
          </cell>
          <cell r="N17">
            <v>11821418</v>
          </cell>
          <cell r="O17">
            <v>9111164</v>
          </cell>
          <cell r="P17">
            <v>7633496</v>
          </cell>
          <cell r="Q17">
            <v>6561523</v>
          </cell>
          <cell r="R17">
            <v>5493997</v>
          </cell>
          <cell r="S17">
            <v>4179475</v>
          </cell>
          <cell r="T17">
            <v>3579528</v>
          </cell>
        </row>
        <row r="18">
          <cell r="A18" t="str">
            <v>湖北省</v>
          </cell>
          <cell r="B18" t="str">
            <v/>
          </cell>
          <cell r="C18">
            <v>19405534</v>
          </cell>
          <cell r="D18">
            <v>17932016</v>
          </cell>
          <cell r="E18">
            <v>16783125</v>
          </cell>
          <cell r="F18">
            <v>16067052</v>
          </cell>
          <cell r="G18">
            <v>14578340</v>
          </cell>
          <cell r="H18">
            <v>13821834</v>
          </cell>
          <cell r="I18">
            <v>13009264</v>
          </cell>
          <cell r="J18">
            <v>11435059</v>
          </cell>
          <cell r="K18">
            <v>9874547</v>
          </cell>
          <cell r="L18">
            <v>8972278</v>
          </cell>
          <cell r="M18" t="str">
            <v/>
          </cell>
          <cell r="N18">
            <v>6844038</v>
          </cell>
          <cell r="O18">
            <v>5869164</v>
          </cell>
          <cell r="P18">
            <v>5194495</v>
          </cell>
          <cell r="Q18">
            <v>4519593</v>
          </cell>
          <cell r="R18">
            <v>3689008</v>
          </cell>
          <cell r="S18">
            <v>2904962</v>
          </cell>
          <cell r="T18">
            <v>3392273</v>
          </cell>
        </row>
        <row r="19">
          <cell r="A19" t="str">
            <v>湖南省</v>
          </cell>
          <cell r="B19" t="str">
            <v/>
          </cell>
          <cell r="C19">
            <v>22100519</v>
          </cell>
          <cell r="D19">
            <v>20038528</v>
          </cell>
          <cell r="E19">
            <v>18852587</v>
          </cell>
          <cell r="F19">
            <v>17753672</v>
          </cell>
          <cell r="G19">
            <v>16300603</v>
          </cell>
          <cell r="H19">
            <v>15165690</v>
          </cell>
          <cell r="I19">
            <v>13781959</v>
          </cell>
          <cell r="J19">
            <v>12223238</v>
          </cell>
          <cell r="K19">
            <v>11285463</v>
          </cell>
          <cell r="L19">
            <v>10784551</v>
          </cell>
          <cell r="M19" t="str">
            <v/>
          </cell>
          <cell r="N19">
            <v>7987607</v>
          </cell>
          <cell r="O19">
            <v>6497608</v>
          </cell>
          <cell r="P19">
            <v>5660684</v>
          </cell>
          <cell r="Q19">
            <v>5066050</v>
          </cell>
          <cell r="R19">
            <v>4196365</v>
          </cell>
          <cell r="S19">
            <v>3338525</v>
          </cell>
          <cell r="T19">
            <v>3234353</v>
          </cell>
        </row>
        <row r="20">
          <cell r="A20" t="str">
            <v>广东省</v>
          </cell>
          <cell r="B20" t="str">
            <v/>
          </cell>
          <cell r="C20">
            <v>61902003</v>
          </cell>
          <cell r="D20">
            <v>60188062</v>
          </cell>
          <cell r="E20">
            <v>53869558</v>
          </cell>
          <cell r="F20">
            <v>49187551</v>
          </cell>
          <cell r="G20">
            <v>42684258</v>
          </cell>
          <cell r="H20">
            <v>38610331</v>
          </cell>
          <cell r="I20">
            <v>33675376</v>
          </cell>
          <cell r="J20">
            <v>30474906</v>
          </cell>
          <cell r="K20">
            <v>27356552</v>
          </cell>
          <cell r="L20">
            <v>24775503</v>
          </cell>
          <cell r="M20" t="str">
            <v/>
          </cell>
          <cell r="N20">
            <v>18846365</v>
          </cell>
          <cell r="O20">
            <v>15327348</v>
          </cell>
          <cell r="P20">
            <v>12843085</v>
          </cell>
          <cell r="Q20">
            <v>11661554</v>
          </cell>
          <cell r="R20">
            <v>10734751</v>
          </cell>
          <cell r="S20">
            <v>8654359</v>
          </cell>
          <cell r="T20">
            <v>8066357</v>
          </cell>
        </row>
        <row r="21">
          <cell r="A21" t="str">
            <v>广西壮族自治区</v>
          </cell>
          <cell r="B21" t="str">
            <v/>
          </cell>
          <cell r="C21">
            <v>17038772</v>
          </cell>
          <cell r="D21">
            <v>16448664</v>
          </cell>
          <cell r="E21">
            <v>15418302</v>
          </cell>
          <cell r="F21">
            <v>14367736</v>
          </cell>
          <cell r="G21">
            <v>12836618</v>
          </cell>
          <cell r="H21">
            <v>11891781</v>
          </cell>
          <cell r="I21">
            <v>10914241</v>
          </cell>
          <cell r="J21">
            <v>10111559</v>
          </cell>
          <cell r="K21">
            <v>8586224</v>
          </cell>
          <cell r="L21">
            <v>7794191</v>
          </cell>
          <cell r="M21" t="str">
            <v/>
          </cell>
          <cell r="N21">
            <v>5938482</v>
          </cell>
          <cell r="O21">
            <v>4941416</v>
          </cell>
          <cell r="P21">
            <v>3873253</v>
          </cell>
          <cell r="Q21">
            <v>3476223</v>
          </cell>
          <cell r="R21">
            <v>2758915</v>
          </cell>
          <cell r="S21">
            <v>2134365</v>
          </cell>
          <cell r="T21">
            <v>1832798</v>
          </cell>
        </row>
        <row r="22">
          <cell r="A22" t="str">
            <v>海南省</v>
          </cell>
          <cell r="B22" t="str">
            <v/>
          </cell>
          <cell r="C22">
            <v>4833662</v>
          </cell>
          <cell r="D22">
            <v>4648209</v>
          </cell>
          <cell r="E22">
            <v>4632077</v>
          </cell>
          <cell r="F22">
            <v>4243935</v>
          </cell>
          <cell r="G22">
            <v>3777479</v>
          </cell>
          <cell r="H22">
            <v>3390271</v>
          </cell>
          <cell r="I22">
            <v>3068767</v>
          </cell>
          <cell r="J22">
            <v>2809962</v>
          </cell>
          <cell r="K22">
            <v>2413904</v>
          </cell>
          <cell r="L22">
            <v>2222868</v>
          </cell>
          <cell r="M22" t="str">
            <v/>
          </cell>
          <cell r="N22">
            <v>1732237</v>
          </cell>
          <cell r="O22">
            <v>1422673</v>
          </cell>
          <cell r="P22">
            <v>1175474</v>
          </cell>
          <cell r="Q22">
            <v>928981</v>
          </cell>
          <cell r="R22">
            <v>757981</v>
          </cell>
          <cell r="S22">
            <v>558645</v>
          </cell>
          <cell r="T22">
            <v>468455</v>
          </cell>
        </row>
        <row r="23">
          <cell r="A23" t="str">
            <v>重庆市</v>
          </cell>
          <cell r="B23" t="str">
            <v/>
          </cell>
          <cell r="C23">
            <v>13146996</v>
          </cell>
          <cell r="D23">
            <v>12761688</v>
          </cell>
          <cell r="E23">
            <v>11823943</v>
          </cell>
          <cell r="F23">
            <v>11442967</v>
          </cell>
          <cell r="G23">
            <v>10216274</v>
          </cell>
          <cell r="H23">
            <v>9483526</v>
          </cell>
          <cell r="I23">
            <v>8863208</v>
          </cell>
          <cell r="J23">
            <v>7971003</v>
          </cell>
          <cell r="K23">
            <v>6979973</v>
          </cell>
          <cell r="L23">
            <v>6565622</v>
          </cell>
          <cell r="M23" t="str">
            <v/>
          </cell>
          <cell r="N23">
            <v>5039550</v>
          </cell>
          <cell r="O23">
            <v>4068437</v>
          </cell>
          <cell r="P23">
            <v>3309977</v>
          </cell>
          <cell r="Q23">
            <v>2662580</v>
          </cell>
          <cell r="R23">
            <v>2309734</v>
          </cell>
          <cell r="S23">
            <v>1681572</v>
          </cell>
          <cell r="T23">
            <v>1731033</v>
          </cell>
        </row>
        <row r="24">
          <cell r="A24" t="str">
            <v>四川省</v>
          </cell>
          <cell r="B24" t="str">
            <v/>
          </cell>
          <cell r="C24">
            <v>28294459</v>
          </cell>
          <cell r="D24">
            <v>25912560</v>
          </cell>
          <cell r="E24">
            <v>24660021</v>
          </cell>
          <cell r="F24">
            <v>22547121</v>
          </cell>
          <cell r="G24">
            <v>20767987</v>
          </cell>
          <cell r="H24">
            <v>19274514</v>
          </cell>
          <cell r="I24">
            <v>17620946</v>
          </cell>
          <cell r="J24">
            <v>16409562</v>
          </cell>
          <cell r="K24">
            <v>14508458</v>
          </cell>
          <cell r="L24">
            <v>13805525</v>
          </cell>
          <cell r="M24" t="str">
            <v/>
          </cell>
          <cell r="N24">
            <v>10244130</v>
          </cell>
          <cell r="O24">
            <v>8951781</v>
          </cell>
          <cell r="P24">
            <v>8088479</v>
          </cell>
          <cell r="Q24">
            <v>6578338</v>
          </cell>
          <cell r="R24">
            <v>5009787</v>
          </cell>
          <cell r="S24">
            <v>3654194</v>
          </cell>
          <cell r="T24">
            <v>3632254</v>
          </cell>
        </row>
        <row r="25">
          <cell r="A25" t="str">
            <v>贵州省</v>
          </cell>
          <cell r="B25" t="str">
            <v/>
          </cell>
          <cell r="C25">
            <v>15801330</v>
          </cell>
          <cell r="D25">
            <v>15080783</v>
          </cell>
          <cell r="E25">
            <v>14479368</v>
          </cell>
          <cell r="F25">
            <v>13622935</v>
          </cell>
          <cell r="G25">
            <v>12732768</v>
          </cell>
          <cell r="H25">
            <v>12488005</v>
          </cell>
          <cell r="I25">
            <v>10335342</v>
          </cell>
          <cell r="J25">
            <v>9277347</v>
          </cell>
          <cell r="K25">
            <v>7700061</v>
          </cell>
          <cell r="L25">
            <v>6799795</v>
          </cell>
          <cell r="M25" t="str">
            <v/>
          </cell>
          <cell r="N25">
            <v>4510531</v>
          </cell>
          <cell r="O25">
            <v>3669550</v>
          </cell>
          <cell r="P25">
            <v>3094113</v>
          </cell>
          <cell r="Q25">
            <v>2709138</v>
          </cell>
          <cell r="R25">
            <v>2070113</v>
          </cell>
          <cell r="S25">
            <v>1549737</v>
          </cell>
          <cell r="T25">
            <v>1394867</v>
          </cell>
        </row>
        <row r="26">
          <cell r="A26" t="str">
            <v>云南省</v>
          </cell>
          <cell r="B26" t="str">
            <v/>
          </cell>
          <cell r="C26">
            <v>17068501</v>
          </cell>
          <cell r="D26">
            <v>16694079</v>
          </cell>
          <cell r="E26">
            <v>16571342</v>
          </cell>
          <cell r="F26">
            <v>14833632</v>
          </cell>
          <cell r="G26">
            <v>14543783</v>
          </cell>
          <cell r="H26">
            <v>13292088</v>
          </cell>
          <cell r="I26">
            <v>11886446</v>
          </cell>
          <cell r="J26">
            <v>10455388</v>
          </cell>
          <cell r="K26">
            <v>9199396</v>
          </cell>
          <cell r="L26">
            <v>9006912</v>
          </cell>
          <cell r="M26" t="str">
            <v/>
          </cell>
          <cell r="N26">
            <v>6582935</v>
          </cell>
          <cell r="O26">
            <v>5336317</v>
          </cell>
          <cell r="P26">
            <v>4408081</v>
          </cell>
          <cell r="Q26">
            <v>3422932</v>
          </cell>
          <cell r="R26">
            <v>2757505</v>
          </cell>
          <cell r="S26">
            <v>2311083</v>
          </cell>
          <cell r="T26">
            <v>1985088</v>
          </cell>
        </row>
        <row r="27">
          <cell r="A27" t="str">
            <v>西藏自治区</v>
          </cell>
          <cell r="B27" t="str">
            <v/>
          </cell>
          <cell r="C27">
            <v>3643259</v>
          </cell>
          <cell r="D27">
            <v>3335508</v>
          </cell>
          <cell r="E27">
            <v>3164861</v>
          </cell>
          <cell r="F27">
            <v>2881230</v>
          </cell>
          <cell r="G27">
            <v>2562958</v>
          </cell>
          <cell r="H27">
            <v>2387658</v>
          </cell>
          <cell r="I27">
            <v>1857714</v>
          </cell>
          <cell r="J27">
            <v>1919434</v>
          </cell>
          <cell r="K27">
            <v>1529504</v>
          </cell>
          <cell r="L27">
            <v>1206744</v>
          </cell>
          <cell r="M27" t="str">
            <v/>
          </cell>
          <cell r="N27">
            <v>826102</v>
          </cell>
          <cell r="O27">
            <v>662293</v>
          </cell>
          <cell r="P27">
            <v>597448</v>
          </cell>
          <cell r="Q27">
            <v>494122</v>
          </cell>
          <cell r="R27">
            <v>420562</v>
          </cell>
          <cell r="S27">
            <v>276921</v>
          </cell>
          <cell r="T27">
            <v>301722</v>
          </cell>
        </row>
        <row r="28">
          <cell r="A28" t="str">
            <v>陕西省</v>
          </cell>
          <cell r="B28" t="str">
            <v/>
          </cell>
          <cell r="C28">
            <v>14954384</v>
          </cell>
          <cell r="D28">
            <v>14151375</v>
          </cell>
          <cell r="E28">
            <v>13169806</v>
          </cell>
          <cell r="F28">
            <v>12490355</v>
          </cell>
          <cell r="G28">
            <v>11375081</v>
          </cell>
          <cell r="H28">
            <v>10545862</v>
          </cell>
          <cell r="I28">
            <v>10049114</v>
          </cell>
          <cell r="J28">
            <v>9674438</v>
          </cell>
          <cell r="K28">
            <v>9101672</v>
          </cell>
          <cell r="L28">
            <v>8926920</v>
          </cell>
          <cell r="M28" t="str">
            <v/>
          </cell>
          <cell r="N28">
            <v>6838342</v>
          </cell>
          <cell r="O28">
            <v>5143635</v>
          </cell>
          <cell r="P28">
            <v>4637457</v>
          </cell>
          <cell r="Q28">
            <v>3806168</v>
          </cell>
          <cell r="R28">
            <v>2855270</v>
          </cell>
          <cell r="S28">
            <v>2288723</v>
          </cell>
          <cell r="T28">
            <v>2331533</v>
          </cell>
        </row>
        <row r="29">
          <cell r="A29" t="str">
            <v>甘肃省</v>
          </cell>
          <cell r="B29" t="str">
            <v/>
          </cell>
          <cell r="C29">
            <v>9055895</v>
          </cell>
          <cell r="D29">
            <v>8498438</v>
          </cell>
          <cell r="E29">
            <v>8440554</v>
          </cell>
          <cell r="F29">
            <v>7998741</v>
          </cell>
          <cell r="G29">
            <v>7404892</v>
          </cell>
          <cell r="H29">
            <v>7087547</v>
          </cell>
          <cell r="I29">
            <v>6706137</v>
          </cell>
          <cell r="J29">
            <v>6134547</v>
          </cell>
          <cell r="K29">
            <v>5181631</v>
          </cell>
          <cell r="L29">
            <v>4811034</v>
          </cell>
          <cell r="M29" t="str">
            <v/>
          </cell>
          <cell r="N29">
            <v>3608174</v>
          </cell>
          <cell r="O29">
            <v>3106736</v>
          </cell>
          <cell r="P29">
            <v>2761110</v>
          </cell>
          <cell r="Q29">
            <v>2310200</v>
          </cell>
          <cell r="R29">
            <v>1672565</v>
          </cell>
          <cell r="S29">
            <v>1321480</v>
          </cell>
          <cell r="T29">
            <v>1195074</v>
          </cell>
        </row>
        <row r="30">
          <cell r="A30" t="str">
            <v>青海省</v>
          </cell>
          <cell r="B30" t="str">
            <v/>
          </cell>
          <cell r="C30">
            <v>3085235</v>
          </cell>
          <cell r="D30">
            <v>3066904</v>
          </cell>
          <cell r="E30">
            <v>2931351</v>
          </cell>
          <cell r="F30">
            <v>2894894</v>
          </cell>
          <cell r="G30">
            <v>2640309</v>
          </cell>
          <cell r="H30">
            <v>2343469</v>
          </cell>
          <cell r="I30">
            <v>2162973</v>
          </cell>
          <cell r="J30">
            <v>2073501</v>
          </cell>
          <cell r="K30">
            <v>1976886</v>
          </cell>
          <cell r="L30">
            <v>1569408</v>
          </cell>
          <cell r="M30" t="str">
            <v/>
          </cell>
          <cell r="N30">
            <v>1552462</v>
          </cell>
          <cell r="O30">
            <v>1062206</v>
          </cell>
          <cell r="P30">
            <v>785820</v>
          </cell>
          <cell r="Q30">
            <v>608034</v>
          </cell>
          <cell r="R30">
            <v>458238</v>
          </cell>
          <cell r="S30">
            <v>373988</v>
          </cell>
          <cell r="T30">
            <v>287259</v>
          </cell>
        </row>
        <row r="31">
          <cell r="A31" t="str">
            <v>宁夏回族自治区</v>
          </cell>
          <cell r="B31" t="str">
            <v/>
          </cell>
          <cell r="C31">
            <v>3332220</v>
          </cell>
          <cell r="D31">
            <v>2838672</v>
          </cell>
          <cell r="E31">
            <v>2791933</v>
          </cell>
          <cell r="F31">
            <v>2532754</v>
          </cell>
          <cell r="G31">
            <v>2346978</v>
          </cell>
          <cell r="H31">
            <v>2288400</v>
          </cell>
          <cell r="I31">
            <v>2072544</v>
          </cell>
          <cell r="J31">
            <v>1963258</v>
          </cell>
          <cell r="K31">
            <v>1697964</v>
          </cell>
          <cell r="L31">
            <v>1578935</v>
          </cell>
          <cell r="M31" t="str">
            <v/>
          </cell>
          <cell r="N31">
            <v>1313862</v>
          </cell>
          <cell r="O31">
            <v>994671</v>
          </cell>
          <cell r="P31">
            <v>813071</v>
          </cell>
          <cell r="Q31">
            <v>702612</v>
          </cell>
          <cell r="R31">
            <v>636974</v>
          </cell>
          <cell r="S31">
            <v>398718</v>
          </cell>
          <cell r="T31">
            <v>363459</v>
          </cell>
        </row>
        <row r="32">
          <cell r="A32" t="str">
            <v>新疆维吾尔自治区</v>
          </cell>
          <cell r="B32" t="str">
            <v/>
          </cell>
          <cell r="C32">
            <v>11612882</v>
          </cell>
          <cell r="D32">
            <v>11146119</v>
          </cell>
          <cell r="E32">
            <v>11029496</v>
          </cell>
          <cell r="F32">
            <v>10214911</v>
          </cell>
          <cell r="G32">
            <v>9522617</v>
          </cell>
          <cell r="H32">
            <v>8462090</v>
          </cell>
          <cell r="I32">
            <v>7823914</v>
          </cell>
          <cell r="J32">
            <v>7132774</v>
          </cell>
          <cell r="K32">
            <v>6349792</v>
          </cell>
          <cell r="L32">
            <v>5989856</v>
          </cell>
          <cell r="M32" t="str">
            <v/>
          </cell>
          <cell r="N32">
            <v>4605867</v>
          </cell>
          <cell r="O32">
            <v>3655998</v>
          </cell>
          <cell r="P32">
            <v>2959264</v>
          </cell>
          <cell r="Q32">
            <v>2501661</v>
          </cell>
          <cell r="R32">
            <v>1916673</v>
          </cell>
          <cell r="S32">
            <v>1532703</v>
          </cell>
          <cell r="T32">
            <v>1527225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1227.9000000000001</v>
          </cell>
          <cell r="C2">
            <v>1171.1199999999999</v>
          </cell>
          <cell r="D2">
            <v>1147.83</v>
          </cell>
          <cell r="E2">
            <v>1138.29</v>
          </cell>
          <cell r="F2">
            <v>1137.18</v>
          </cell>
          <cell r="G2">
            <v>1025.51</v>
          </cell>
          <cell r="H2">
            <v>964.62</v>
          </cell>
          <cell r="I2">
            <v>887.37</v>
          </cell>
          <cell r="J2">
            <v>855.67</v>
          </cell>
          <cell r="K2">
            <v>742.05</v>
          </cell>
          <cell r="L2">
            <v>681.18</v>
          </cell>
          <cell r="M2">
            <v>628.65</v>
          </cell>
          <cell r="N2">
            <v>520.08000000000004</v>
          </cell>
          <cell r="O2">
            <v>450.22</v>
          </cell>
          <cell r="P2">
            <v>365.67</v>
          </cell>
          <cell r="Q2">
            <v>316.3</v>
          </cell>
          <cell r="R2">
            <v>263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491.79</v>
          </cell>
          <cell r="C3">
            <v>478.94</v>
          </cell>
          <cell r="D3">
            <v>479.25</v>
          </cell>
          <cell r="E3">
            <v>442.91</v>
          </cell>
          <cell r="F3">
            <v>467.63</v>
          </cell>
          <cell r="G3">
            <v>448.19</v>
          </cell>
          <cell r="H3">
            <v>434.59</v>
          </cell>
          <cell r="I3">
            <v>502.49</v>
          </cell>
          <cell r="J3">
            <v>507.44</v>
          </cell>
          <cell r="K3">
            <v>517.01</v>
          </cell>
          <cell r="L3">
            <v>461.36</v>
          </cell>
          <cell r="M3">
            <v>378.75</v>
          </cell>
          <cell r="N3">
            <v>302.32</v>
          </cell>
          <cell r="O3">
            <v>229.56</v>
          </cell>
          <cell r="P3">
            <v>173.61</v>
          </cell>
          <cell r="Q3">
            <v>141.69999999999999</v>
          </cell>
          <cell r="R3">
            <v>110.02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1807.51</v>
          </cell>
          <cell r="C4">
            <v>1771.15</v>
          </cell>
          <cell r="D4">
            <v>1628.81</v>
          </cell>
          <cell r="E4">
            <v>1596.26</v>
          </cell>
          <cell r="F4">
            <v>1537.09</v>
          </cell>
          <cell r="G4">
            <v>1385.59</v>
          </cell>
          <cell r="H4">
            <v>1276.55</v>
          </cell>
          <cell r="I4">
            <v>1134.9000000000001</v>
          </cell>
          <cell r="J4">
            <v>1041.1600000000001</v>
          </cell>
          <cell r="K4">
            <v>868.87</v>
          </cell>
          <cell r="L4">
            <v>837.63</v>
          </cell>
          <cell r="M4">
            <v>865.54</v>
          </cell>
          <cell r="N4">
            <v>652.11</v>
          </cell>
          <cell r="O4">
            <v>514.29999999999995</v>
          </cell>
          <cell r="P4">
            <v>439.33</v>
          </cell>
          <cell r="Q4">
            <v>376.98</v>
          </cell>
          <cell r="R4">
            <v>283.39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910.55</v>
          </cell>
          <cell r="C5">
            <v>861.35</v>
          </cell>
          <cell r="D5">
            <v>778</v>
          </cell>
          <cell r="E5">
            <v>733.36</v>
          </cell>
          <cell r="F5">
            <v>696.28</v>
          </cell>
          <cell r="G5">
            <v>668.03</v>
          </cell>
          <cell r="H5">
            <v>620.66999999999996</v>
          </cell>
          <cell r="I5">
            <v>606.97</v>
          </cell>
          <cell r="J5">
            <v>602.85</v>
          </cell>
          <cell r="K5">
            <v>507.28</v>
          </cell>
          <cell r="L5">
            <v>542.44000000000005</v>
          </cell>
          <cell r="M5">
            <v>558.03</v>
          </cell>
          <cell r="N5">
            <v>421.79</v>
          </cell>
          <cell r="O5">
            <v>328.58</v>
          </cell>
          <cell r="P5">
            <v>278.07</v>
          </cell>
          <cell r="Q5">
            <v>234.99</v>
          </cell>
          <cell r="R5">
            <v>181.22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774.62</v>
          </cell>
          <cell r="C6">
            <v>692.38</v>
          </cell>
          <cell r="D6">
            <v>641.29</v>
          </cell>
          <cell r="E6">
            <v>642.16999999999996</v>
          </cell>
          <cell r="F6">
            <v>609.97</v>
          </cell>
          <cell r="G6">
            <v>576.33000000000004</v>
          </cell>
          <cell r="H6">
            <v>561.85</v>
          </cell>
          <cell r="I6">
            <v>554.97</v>
          </cell>
          <cell r="J6">
            <v>536.53</v>
          </cell>
          <cell r="K6">
            <v>477.77</v>
          </cell>
          <cell r="L6">
            <v>456.87</v>
          </cell>
          <cell r="M6">
            <v>439.97</v>
          </cell>
          <cell r="N6">
            <v>390.69</v>
          </cell>
          <cell r="O6">
            <v>322.11</v>
          </cell>
          <cell r="P6">
            <v>243.48</v>
          </cell>
          <cell r="Q6">
            <v>206.4</v>
          </cell>
          <cell r="R6">
            <v>153.57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737.49</v>
          </cell>
          <cell r="C7">
            <v>745.91</v>
          </cell>
          <cell r="D7">
            <v>703.64</v>
          </cell>
          <cell r="E7">
            <v>741.15</v>
          </cell>
          <cell r="F7">
            <v>702.38</v>
          </cell>
          <cell r="G7">
            <v>653.88</v>
          </cell>
          <cell r="H7">
            <v>648.05999999999995</v>
          </cell>
          <cell r="I7">
            <v>633.96</v>
          </cell>
          <cell r="J7">
            <v>610.24</v>
          </cell>
          <cell r="K7">
            <v>604.49</v>
          </cell>
          <cell r="L7">
            <v>669.48</v>
          </cell>
          <cell r="M7">
            <v>728.79</v>
          </cell>
          <cell r="N7">
            <v>544.09</v>
          </cell>
          <cell r="O7">
            <v>405.39</v>
          </cell>
          <cell r="P7">
            <v>346.73</v>
          </cell>
          <cell r="Q7">
            <v>306.36</v>
          </cell>
          <cell r="R7">
            <v>252.13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535.13</v>
          </cell>
          <cell r="C8">
            <v>497.82</v>
          </cell>
          <cell r="D8">
            <v>486.96</v>
          </cell>
          <cell r="E8">
            <v>526.69000000000005</v>
          </cell>
          <cell r="F8">
            <v>500.53</v>
          </cell>
          <cell r="G8">
            <v>513.82000000000005</v>
          </cell>
          <cell r="H8">
            <v>508.09</v>
          </cell>
          <cell r="I8">
            <v>499.7</v>
          </cell>
          <cell r="J8">
            <v>477.57</v>
          </cell>
          <cell r="K8">
            <v>407.1</v>
          </cell>
          <cell r="L8">
            <v>422.09</v>
          </cell>
          <cell r="M8">
            <v>451.05</v>
          </cell>
          <cell r="N8">
            <v>319.82</v>
          </cell>
          <cell r="O8">
            <v>250.2</v>
          </cell>
          <cell r="P8">
            <v>216.99</v>
          </cell>
          <cell r="Q8">
            <v>188.03</v>
          </cell>
          <cell r="R8">
            <v>144.41999999999999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608.69000000000005</v>
          </cell>
          <cell r="C9">
            <v>594.39</v>
          </cell>
          <cell r="D9">
            <v>570.95000000000005</v>
          </cell>
          <cell r="E9">
            <v>562.41999999999996</v>
          </cell>
          <cell r="F9">
            <v>555.13</v>
          </cell>
          <cell r="G9">
            <v>544.38</v>
          </cell>
          <cell r="H9">
            <v>573.11</v>
          </cell>
          <cell r="I9">
            <v>558.87</v>
          </cell>
          <cell r="J9">
            <v>549.66</v>
          </cell>
          <cell r="K9">
            <v>505.94</v>
          </cell>
          <cell r="L9">
            <v>501.28</v>
          </cell>
          <cell r="M9">
            <v>544.79</v>
          </cell>
          <cell r="N9">
            <v>373.83</v>
          </cell>
          <cell r="O9">
            <v>299.14</v>
          </cell>
          <cell r="P9">
            <v>266.61</v>
          </cell>
          <cell r="Q9">
            <v>256.62</v>
          </cell>
          <cell r="R9">
            <v>199.75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1206.1400000000001</v>
          </cell>
          <cell r="C10">
            <v>1122.57</v>
          </cell>
          <cell r="D10">
            <v>1039.47</v>
          </cell>
          <cell r="E10">
            <v>1000.59</v>
          </cell>
          <cell r="F10">
            <v>995.7</v>
          </cell>
          <cell r="G10">
            <v>917.99</v>
          </cell>
          <cell r="H10">
            <v>874.1</v>
          </cell>
          <cell r="I10">
            <v>840.97</v>
          </cell>
          <cell r="J10">
            <v>767.32</v>
          </cell>
          <cell r="K10">
            <v>695.63</v>
          </cell>
          <cell r="L10">
            <v>679.54</v>
          </cell>
          <cell r="M10">
            <v>648.95000000000005</v>
          </cell>
          <cell r="N10">
            <v>549.24</v>
          </cell>
          <cell r="O10">
            <v>417.28</v>
          </cell>
          <cell r="P10">
            <v>346.95</v>
          </cell>
          <cell r="Q10">
            <v>326.06</v>
          </cell>
          <cell r="R10">
            <v>283.33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2709.98</v>
          </cell>
          <cell r="C11">
            <v>2598.0500000000002</v>
          </cell>
          <cell r="D11">
            <v>2563.41</v>
          </cell>
          <cell r="E11">
            <v>2406.5300000000002</v>
          </cell>
          <cell r="F11">
            <v>2213.84</v>
          </cell>
          <cell r="G11">
            <v>2055.56</v>
          </cell>
          <cell r="H11">
            <v>1979.57</v>
          </cell>
          <cell r="I11">
            <v>1842.94</v>
          </cell>
          <cell r="J11">
            <v>1746.22</v>
          </cell>
          <cell r="K11">
            <v>1504.86</v>
          </cell>
          <cell r="L11">
            <v>1434.99</v>
          </cell>
          <cell r="M11">
            <v>1350.61</v>
          </cell>
          <cell r="N11">
            <v>1093.22</v>
          </cell>
          <cell r="O11">
            <v>865.36</v>
          </cell>
          <cell r="P11">
            <v>680.63</v>
          </cell>
          <cell r="Q11">
            <v>592.6</v>
          </cell>
          <cell r="R11">
            <v>492.9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2365.17</v>
          </cell>
          <cell r="C12">
            <v>2197.2600000000002</v>
          </cell>
          <cell r="D12">
            <v>2039.52</v>
          </cell>
          <cell r="E12">
            <v>1881.09</v>
          </cell>
          <cell r="F12">
            <v>1764.69</v>
          </cell>
          <cell r="G12">
            <v>1572.47</v>
          </cell>
          <cell r="H12">
            <v>1430.15</v>
          </cell>
          <cell r="I12">
            <v>1300.03</v>
          </cell>
          <cell r="J12">
            <v>1264.93</v>
          </cell>
          <cell r="K12">
            <v>1030.99</v>
          </cell>
          <cell r="L12">
            <v>950.07</v>
          </cell>
          <cell r="M12">
            <v>877.86</v>
          </cell>
          <cell r="N12">
            <v>751.42</v>
          </cell>
          <cell r="O12">
            <v>606.54</v>
          </cell>
          <cell r="P12">
            <v>519.33000000000004</v>
          </cell>
          <cell r="Q12">
            <v>453.99</v>
          </cell>
          <cell r="R12">
            <v>383.89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1516.66</v>
          </cell>
          <cell r="C13">
            <v>1420.87</v>
          </cell>
          <cell r="D13">
            <v>1315.66</v>
          </cell>
          <cell r="E13">
            <v>1261.8599999999999</v>
          </cell>
          <cell r="F13">
            <v>1222.21</v>
          </cell>
          <cell r="G13">
            <v>1113.26</v>
          </cell>
          <cell r="H13">
            <v>1014.91</v>
          </cell>
          <cell r="I13">
            <v>910.87</v>
          </cell>
          <cell r="J13">
            <v>856.73</v>
          </cell>
          <cell r="K13">
            <v>743.07</v>
          </cell>
          <cell r="L13">
            <v>736.59</v>
          </cell>
          <cell r="M13">
            <v>717.94</v>
          </cell>
          <cell r="N13">
            <v>564.71</v>
          </cell>
          <cell r="O13">
            <v>386.31</v>
          </cell>
          <cell r="P13">
            <v>323.79000000000002</v>
          </cell>
          <cell r="Q13">
            <v>286.26</v>
          </cell>
          <cell r="R13">
            <v>212.97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1257.68</v>
          </cell>
          <cell r="C14">
            <v>1217.26</v>
          </cell>
          <cell r="D14">
            <v>1079.81</v>
          </cell>
          <cell r="E14">
            <v>1031.57</v>
          </cell>
          <cell r="F14">
            <v>968.54</v>
          </cell>
          <cell r="G14">
            <v>925.06</v>
          </cell>
          <cell r="H14">
            <v>842.21</v>
          </cell>
          <cell r="I14">
            <v>789.11</v>
          </cell>
          <cell r="J14">
            <v>757.51</v>
          </cell>
          <cell r="K14">
            <v>634.6</v>
          </cell>
          <cell r="L14">
            <v>574.91</v>
          </cell>
          <cell r="M14">
            <v>562.29999999999995</v>
          </cell>
          <cell r="N14">
            <v>406.73</v>
          </cell>
          <cell r="O14">
            <v>327.77</v>
          </cell>
          <cell r="P14">
            <v>277.55</v>
          </cell>
          <cell r="Q14">
            <v>233.29</v>
          </cell>
          <cell r="R14">
            <v>183.66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1376.21</v>
          </cell>
          <cell r="C15">
            <v>1320.01</v>
          </cell>
          <cell r="D15">
            <v>1249.0999999999999</v>
          </cell>
          <cell r="E15">
            <v>1223.5899999999999</v>
          </cell>
          <cell r="F15">
            <v>1148.5</v>
          </cell>
          <cell r="G15">
            <v>1054.4100000000001</v>
          </cell>
          <cell r="H15">
            <v>940.57</v>
          </cell>
          <cell r="I15">
            <v>848.88</v>
          </cell>
          <cell r="J15">
            <v>793.27</v>
          </cell>
          <cell r="K15">
            <v>711.72</v>
          </cell>
          <cell r="L15">
            <v>664.53</v>
          </cell>
          <cell r="M15">
            <v>622.05999999999995</v>
          </cell>
          <cell r="N15">
            <v>474.43</v>
          </cell>
          <cell r="O15">
            <v>297.5</v>
          </cell>
          <cell r="P15">
            <v>251.93</v>
          </cell>
          <cell r="Q15">
            <v>206.86</v>
          </cell>
          <cell r="R15">
            <v>173.81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2713.74</v>
          </cell>
          <cell r="C16">
            <v>2626.48</v>
          </cell>
          <cell r="D16">
            <v>2411.09</v>
          </cell>
          <cell r="E16">
            <v>2283.84</v>
          </cell>
          <cell r="F16">
            <v>2156.14</v>
          </cell>
          <cell r="G16">
            <v>2006.5</v>
          </cell>
          <cell r="H16">
            <v>1890</v>
          </cell>
          <cell r="I16">
            <v>1825.99</v>
          </cell>
          <cell r="J16">
            <v>1690.62</v>
          </cell>
          <cell r="K16">
            <v>1461.05</v>
          </cell>
          <cell r="L16">
            <v>1399.67</v>
          </cell>
          <cell r="M16">
            <v>1311.8</v>
          </cell>
          <cell r="N16">
            <v>1047.9000000000001</v>
          </cell>
          <cell r="O16">
            <v>770.45</v>
          </cell>
          <cell r="P16">
            <v>613.49</v>
          </cell>
          <cell r="Q16">
            <v>550.99</v>
          </cell>
          <cell r="R16">
            <v>453.36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1993.35</v>
          </cell>
          <cell r="C17">
            <v>1895.57</v>
          </cell>
          <cell r="D17">
            <v>1786.41</v>
          </cell>
          <cell r="E17">
            <v>1882.56</v>
          </cell>
          <cell r="F17">
            <v>1810.71</v>
          </cell>
          <cell r="G17">
            <v>1664.67</v>
          </cell>
          <cell r="H17">
            <v>1493.11</v>
          </cell>
          <cell r="I17">
            <v>1343.76</v>
          </cell>
          <cell r="J17">
            <v>1271</v>
          </cell>
          <cell r="K17">
            <v>1201.3800000000001</v>
          </cell>
          <cell r="L17">
            <v>1171.52</v>
          </cell>
          <cell r="M17">
            <v>1106.51</v>
          </cell>
          <cell r="N17">
            <v>857.14</v>
          </cell>
          <cell r="O17">
            <v>609.37</v>
          </cell>
          <cell r="P17">
            <v>526.14</v>
          </cell>
          <cell r="Q17">
            <v>444.03</v>
          </cell>
          <cell r="R17">
            <v>366.12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1357.8</v>
          </cell>
          <cell r="C18">
            <v>1279.08</v>
          </cell>
          <cell r="D18">
            <v>1201.93</v>
          </cell>
          <cell r="E18">
            <v>1192.02</v>
          </cell>
          <cell r="F18">
            <v>1147.0999999999999</v>
          </cell>
          <cell r="G18">
            <v>1065.6400000000001</v>
          </cell>
          <cell r="H18">
            <v>1101.3499999999999</v>
          </cell>
          <cell r="I18">
            <v>1047.3699999999999</v>
          </cell>
          <cell r="J18">
            <v>913.05</v>
          </cell>
          <cell r="K18">
            <v>773.35</v>
          </cell>
          <cell r="L18">
            <v>690.63</v>
          </cell>
          <cell r="M18">
            <v>732.37</v>
          </cell>
          <cell r="N18">
            <v>488.16</v>
          </cell>
          <cell r="O18">
            <v>366.57</v>
          </cell>
          <cell r="P18">
            <v>317.29000000000002</v>
          </cell>
          <cell r="Q18">
            <v>284.19</v>
          </cell>
          <cell r="R18">
            <v>217.2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1579.39</v>
          </cell>
          <cell r="C19">
            <v>1500.39</v>
          </cell>
          <cell r="D19">
            <v>1373.63</v>
          </cell>
          <cell r="E19">
            <v>1325.25</v>
          </cell>
          <cell r="F19">
            <v>1270.02</v>
          </cell>
          <cell r="G19">
            <v>1186.72</v>
          </cell>
          <cell r="H19">
            <v>1115.33</v>
          </cell>
          <cell r="I19">
            <v>1032.3699999999999</v>
          </cell>
          <cell r="J19">
            <v>928.54</v>
          </cell>
          <cell r="K19">
            <v>833.27</v>
          </cell>
          <cell r="L19">
            <v>809.45</v>
          </cell>
          <cell r="M19">
            <v>807.58</v>
          </cell>
          <cell r="N19">
            <v>540.83000000000004</v>
          </cell>
          <cell r="O19">
            <v>403.1</v>
          </cell>
          <cell r="P19">
            <v>357.58</v>
          </cell>
          <cell r="Q19">
            <v>311.26</v>
          </cell>
          <cell r="R19">
            <v>228.52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4004.45</v>
          </cell>
          <cell r="C20">
            <v>3871.14</v>
          </cell>
          <cell r="D20">
            <v>3796.69</v>
          </cell>
          <cell r="E20">
            <v>3510.56</v>
          </cell>
          <cell r="F20">
            <v>3210.51</v>
          </cell>
          <cell r="G20">
            <v>2792.9</v>
          </cell>
          <cell r="H20">
            <v>2575.52</v>
          </cell>
          <cell r="I20">
            <v>2318.4699999999998</v>
          </cell>
          <cell r="J20">
            <v>2040.65</v>
          </cell>
          <cell r="K20">
            <v>1808.97</v>
          </cell>
          <cell r="L20">
            <v>1744.59</v>
          </cell>
          <cell r="M20">
            <v>1501.22</v>
          </cell>
          <cell r="N20">
            <v>1227.8699999999999</v>
          </cell>
          <cell r="O20">
            <v>921.48</v>
          </cell>
          <cell r="P20">
            <v>803.2</v>
          </cell>
          <cell r="Q20">
            <v>703.33</v>
          </cell>
          <cell r="R20">
            <v>575.9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1187.1400000000001</v>
          </cell>
          <cell r="C21">
            <v>1141.72</v>
          </cell>
          <cell r="D21">
            <v>1094.08</v>
          </cell>
          <cell r="E21">
            <v>1061.0999999999999</v>
          </cell>
          <cell r="F21">
            <v>1014.52</v>
          </cell>
          <cell r="G21">
            <v>933.22</v>
          </cell>
          <cell r="H21">
            <v>920.2</v>
          </cell>
          <cell r="I21">
            <v>854.55</v>
          </cell>
          <cell r="J21">
            <v>789.69</v>
          </cell>
          <cell r="K21">
            <v>660.53</v>
          </cell>
          <cell r="L21">
            <v>609.92999999999995</v>
          </cell>
          <cell r="M21">
            <v>589.24</v>
          </cell>
          <cell r="N21">
            <v>456.89</v>
          </cell>
          <cell r="O21">
            <v>366.84</v>
          </cell>
          <cell r="P21">
            <v>296.60000000000002</v>
          </cell>
          <cell r="Q21">
            <v>251.22</v>
          </cell>
          <cell r="R21">
            <v>189.38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361.96</v>
          </cell>
          <cell r="C22">
            <v>313.91000000000003</v>
          </cell>
          <cell r="D22">
            <v>295.10000000000002</v>
          </cell>
          <cell r="E22">
            <v>295.83999999999997</v>
          </cell>
          <cell r="F22">
            <v>273.5</v>
          </cell>
          <cell r="G22">
            <v>248.98</v>
          </cell>
          <cell r="H22">
            <v>220.87</v>
          </cell>
          <cell r="I22">
            <v>214.24</v>
          </cell>
          <cell r="J22">
            <v>206.84</v>
          </cell>
          <cell r="K22">
            <v>175.95</v>
          </cell>
          <cell r="L22">
            <v>174.57</v>
          </cell>
          <cell r="M22">
            <v>158.79</v>
          </cell>
          <cell r="N22">
            <v>127.27</v>
          </cell>
          <cell r="O22">
            <v>98.33</v>
          </cell>
          <cell r="P22">
            <v>74.5</v>
          </cell>
          <cell r="Q22">
            <v>55.63</v>
          </cell>
          <cell r="R22">
            <v>40.33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855.97</v>
          </cell>
          <cell r="C23">
            <v>822.17</v>
          </cell>
          <cell r="D23">
            <v>794.95</v>
          </cell>
          <cell r="E23">
            <v>754.97</v>
          </cell>
          <cell r="F23">
            <v>728.26</v>
          </cell>
          <cell r="G23">
            <v>680.99</v>
          </cell>
          <cell r="H23">
            <v>626.29999999999995</v>
          </cell>
          <cell r="I23">
            <v>575.17999999999995</v>
          </cell>
          <cell r="J23">
            <v>536.24</v>
          </cell>
          <cell r="K23">
            <v>469.98</v>
          </cell>
          <cell r="L23">
            <v>437.28</v>
          </cell>
          <cell r="M23">
            <v>471.49</v>
          </cell>
          <cell r="N23">
            <v>318.7</v>
          </cell>
          <cell r="O23">
            <v>240.46</v>
          </cell>
          <cell r="P23">
            <v>190.28</v>
          </cell>
          <cell r="Q23">
            <v>153.5</v>
          </cell>
          <cell r="R23">
            <v>121.55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1949.2</v>
          </cell>
          <cell r="C24">
            <v>1865.04</v>
          </cell>
          <cell r="D24">
            <v>1733.04</v>
          </cell>
          <cell r="E24">
            <v>1686.16</v>
          </cell>
          <cell r="F24">
            <v>1578.88</v>
          </cell>
          <cell r="G24">
            <v>1461.78</v>
          </cell>
          <cell r="H24">
            <v>1389.2</v>
          </cell>
          <cell r="I24">
            <v>1301.8499999999999</v>
          </cell>
          <cell r="J24">
            <v>1252.33</v>
          </cell>
          <cell r="K24">
            <v>1056.9100000000001</v>
          </cell>
          <cell r="L24">
            <v>1036.4100000000001</v>
          </cell>
          <cell r="M24">
            <v>993.2</v>
          </cell>
          <cell r="N24">
            <v>684.66</v>
          </cell>
          <cell r="O24">
            <v>540.65</v>
          </cell>
          <cell r="P24">
            <v>451.44</v>
          </cell>
          <cell r="Q24">
            <v>369.28</v>
          </cell>
          <cell r="R24">
            <v>292.86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1202.79</v>
          </cell>
          <cell r="C25">
            <v>1155.33</v>
          </cell>
          <cell r="D25">
            <v>1129.3499999999999</v>
          </cell>
          <cell r="E25">
            <v>1073.3399999999999</v>
          </cell>
          <cell r="F25">
            <v>1067.6199999999999</v>
          </cell>
          <cell r="G25">
            <v>985.95</v>
          </cell>
          <cell r="H25">
            <v>901.96</v>
          </cell>
          <cell r="I25">
            <v>843.54</v>
          </cell>
          <cell r="J25">
            <v>772.91</v>
          </cell>
          <cell r="K25">
            <v>637.03</v>
          </cell>
          <cell r="L25">
            <v>560.66999999999996</v>
          </cell>
          <cell r="M25">
            <v>500.51</v>
          </cell>
          <cell r="N25">
            <v>376.86</v>
          </cell>
          <cell r="O25">
            <v>292.06</v>
          </cell>
          <cell r="P25">
            <v>256.72000000000003</v>
          </cell>
          <cell r="Q25">
            <v>229.77</v>
          </cell>
          <cell r="R25">
            <v>166.27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1173.93</v>
          </cell>
          <cell r="C26">
            <v>1164.8900000000001</v>
          </cell>
          <cell r="D26">
            <v>1143.3</v>
          </cell>
          <cell r="E26">
            <v>1162.02</v>
          </cell>
          <cell r="F26">
            <v>1069.8499999999999</v>
          </cell>
          <cell r="G26">
            <v>1077.43</v>
          </cell>
          <cell r="H26">
            <v>998.33</v>
          </cell>
          <cell r="I26">
            <v>871.14</v>
          </cell>
          <cell r="J26">
            <v>767.46</v>
          </cell>
          <cell r="K26">
            <v>674.94</v>
          </cell>
          <cell r="L26">
            <v>685.97</v>
          </cell>
          <cell r="M26">
            <v>674.82</v>
          </cell>
          <cell r="N26">
            <v>483</v>
          </cell>
          <cell r="O26">
            <v>374.79</v>
          </cell>
          <cell r="P26">
            <v>308.18</v>
          </cell>
          <cell r="Q26">
            <v>241.95</v>
          </cell>
          <cell r="R26">
            <v>190.54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335.32</v>
          </cell>
          <cell r="C27">
            <v>316.67</v>
          </cell>
          <cell r="D27">
            <v>259.13</v>
          </cell>
          <cell r="E27">
            <v>273.89</v>
          </cell>
          <cell r="F27">
            <v>263.26</v>
          </cell>
          <cell r="G27">
            <v>232.15</v>
          </cell>
          <cell r="H27">
            <v>227.2</v>
          </cell>
          <cell r="I27">
            <v>169.64</v>
          </cell>
          <cell r="J27">
            <v>167.27</v>
          </cell>
          <cell r="K27">
            <v>142.08000000000001</v>
          </cell>
          <cell r="L27">
            <v>107.18</v>
          </cell>
          <cell r="M27">
            <v>94.48</v>
          </cell>
          <cell r="N27">
            <v>77.81</v>
          </cell>
          <cell r="O27">
            <v>60.8</v>
          </cell>
          <cell r="P27">
            <v>61.04</v>
          </cell>
          <cell r="Q27">
            <v>47.08</v>
          </cell>
          <cell r="R27">
            <v>33.57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1089.44</v>
          </cell>
          <cell r="C28">
            <v>1060.3800000000001</v>
          </cell>
          <cell r="D28">
            <v>1025</v>
          </cell>
          <cell r="E28">
            <v>998.58</v>
          </cell>
          <cell r="F28">
            <v>951.23</v>
          </cell>
          <cell r="G28">
            <v>871.44</v>
          </cell>
          <cell r="H28">
            <v>828.25</v>
          </cell>
          <cell r="I28">
            <v>777.53</v>
          </cell>
          <cell r="J28">
            <v>758.07</v>
          </cell>
          <cell r="K28">
            <v>693.83</v>
          </cell>
          <cell r="L28">
            <v>710.11</v>
          </cell>
          <cell r="M28">
            <v>703.34</v>
          </cell>
          <cell r="N28">
            <v>529.46</v>
          </cell>
          <cell r="O28">
            <v>377.79</v>
          </cell>
          <cell r="P28">
            <v>310.95999999999998</v>
          </cell>
          <cell r="Q28">
            <v>264.91000000000003</v>
          </cell>
          <cell r="R28">
            <v>184.52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715.57</v>
          </cell>
          <cell r="C29">
            <v>699.58</v>
          </cell>
          <cell r="D29">
            <v>661.92</v>
          </cell>
          <cell r="E29">
            <v>662.99</v>
          </cell>
          <cell r="F29">
            <v>636.04999999999995</v>
          </cell>
          <cell r="G29">
            <v>592.96</v>
          </cell>
          <cell r="H29">
            <v>567.35</v>
          </cell>
          <cell r="I29">
            <v>548.95000000000005</v>
          </cell>
          <cell r="J29">
            <v>498.33</v>
          </cell>
          <cell r="K29">
            <v>401.26</v>
          </cell>
          <cell r="L29">
            <v>377.06</v>
          </cell>
          <cell r="M29">
            <v>367.92</v>
          </cell>
          <cell r="N29">
            <v>284.33</v>
          </cell>
          <cell r="O29">
            <v>228.23</v>
          </cell>
          <cell r="P29">
            <v>206.36</v>
          </cell>
          <cell r="Q29">
            <v>182.93</v>
          </cell>
          <cell r="R29">
            <v>123.97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234.05</v>
          </cell>
          <cell r="C30">
            <v>220.95</v>
          </cell>
          <cell r="D30">
            <v>221.21</v>
          </cell>
          <cell r="E30">
            <v>218.14</v>
          </cell>
          <cell r="F30">
            <v>221.37</v>
          </cell>
          <cell r="G30">
            <v>199.1</v>
          </cell>
          <cell r="H30">
            <v>187.51</v>
          </cell>
          <cell r="I30">
            <v>171.36</v>
          </cell>
          <cell r="J30">
            <v>163.19</v>
          </cell>
          <cell r="K30">
            <v>156.31</v>
          </cell>
          <cell r="L30">
            <v>121.51</v>
          </cell>
          <cell r="M30">
            <v>171.81</v>
          </cell>
          <cell r="N30">
            <v>130.11000000000001</v>
          </cell>
          <cell r="O30">
            <v>82.47</v>
          </cell>
          <cell r="P30">
            <v>61.82</v>
          </cell>
          <cell r="Q30">
            <v>48.81</v>
          </cell>
          <cell r="R30">
            <v>34.85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223.69</v>
          </cell>
          <cell r="C31">
            <v>212.35</v>
          </cell>
          <cell r="D31">
            <v>200.01</v>
          </cell>
          <cell r="E31">
            <v>208.42</v>
          </cell>
          <cell r="F31">
            <v>179.33</v>
          </cell>
          <cell r="G31">
            <v>170.47</v>
          </cell>
          <cell r="H31">
            <v>170.65</v>
          </cell>
          <cell r="I31">
            <v>152.57</v>
          </cell>
          <cell r="J31">
            <v>142.51</v>
          </cell>
          <cell r="K31">
            <v>122.68</v>
          </cell>
          <cell r="L31">
            <v>112.95</v>
          </cell>
          <cell r="M31">
            <v>106.45</v>
          </cell>
          <cell r="N31">
            <v>103.02</v>
          </cell>
          <cell r="O31">
            <v>81.59</v>
          </cell>
          <cell r="P31">
            <v>63.5</v>
          </cell>
          <cell r="Q31">
            <v>54.06</v>
          </cell>
          <cell r="R31">
            <v>47.31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1174.1500000000001</v>
          </cell>
          <cell r="C32">
            <v>1088.6199999999999</v>
          </cell>
          <cell r="D32">
            <v>927.96</v>
          </cell>
          <cell r="E32">
            <v>908.11</v>
          </cell>
          <cell r="F32">
            <v>863.07</v>
          </cell>
          <cell r="G32">
            <v>812.88</v>
          </cell>
          <cell r="H32">
            <v>722.59</v>
          </cell>
          <cell r="I32">
            <v>664.52</v>
          </cell>
          <cell r="J32">
            <v>647.92999999999995</v>
          </cell>
          <cell r="K32">
            <v>567.20000000000005</v>
          </cell>
          <cell r="L32">
            <v>532.66999999999996</v>
          </cell>
          <cell r="M32">
            <v>473.86</v>
          </cell>
          <cell r="N32">
            <v>399.8</v>
          </cell>
          <cell r="O32">
            <v>313.83999999999997</v>
          </cell>
          <cell r="P32">
            <v>240.15</v>
          </cell>
          <cell r="Q32">
            <v>199.21</v>
          </cell>
          <cell r="R32">
            <v>142.77000000000001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6472</v>
          </cell>
          <cell r="C2">
            <v>5251</v>
          </cell>
          <cell r="D2">
            <v>5363</v>
          </cell>
          <cell r="E2">
            <v>3872</v>
          </cell>
          <cell r="F2">
            <v>3108</v>
          </cell>
          <cell r="G2">
            <v>3242</v>
          </cell>
          <cell r="H2">
            <v>3223</v>
          </cell>
          <cell r="I2">
            <v>3163</v>
          </cell>
          <cell r="J2">
            <v>2637</v>
          </cell>
          <cell r="K2">
            <v>3196</v>
          </cell>
          <cell r="L2">
            <v>3063</v>
          </cell>
          <cell r="M2">
            <v>3196</v>
          </cell>
          <cell r="N2">
            <v>3934</v>
          </cell>
          <cell r="O2">
            <v>4279</v>
          </cell>
          <cell r="P2">
            <v>3814</v>
          </cell>
          <cell r="Q2">
            <v>3943</v>
          </cell>
          <cell r="R2">
            <v>5335</v>
          </cell>
          <cell r="S2">
            <v>5808</v>
          </cell>
          <cell r="T2">
            <v>6364</v>
          </cell>
        </row>
        <row r="3">
          <cell r="A3" t="str">
            <v>天津市</v>
          </cell>
          <cell r="B3">
            <v>6254</v>
          </cell>
          <cell r="C3">
            <v>6562</v>
          </cell>
          <cell r="D3">
            <v>7548</v>
          </cell>
          <cell r="E3">
            <v>6552</v>
          </cell>
          <cell r="F3">
            <v>6703</v>
          </cell>
          <cell r="G3">
            <v>6223</v>
          </cell>
          <cell r="H3">
            <v>5564</v>
          </cell>
          <cell r="I3">
            <v>5912</v>
          </cell>
          <cell r="J3">
            <v>5358</v>
          </cell>
          <cell r="K3">
            <v>5322</v>
          </cell>
          <cell r="L3">
            <v>4313</v>
          </cell>
          <cell r="M3">
            <v>3101</v>
          </cell>
          <cell r="N3">
            <v>2600</v>
          </cell>
          <cell r="O3">
            <v>3165</v>
          </cell>
          <cell r="P3">
            <v>3839</v>
          </cell>
          <cell r="Q3">
            <v>4048</v>
          </cell>
          <cell r="R3">
            <v>4482</v>
          </cell>
          <cell r="S3">
            <v>4913</v>
          </cell>
          <cell r="T3">
            <v>4406</v>
          </cell>
        </row>
        <row r="4">
          <cell r="A4" t="str">
            <v>河北省</v>
          </cell>
          <cell r="B4">
            <v>3871</v>
          </cell>
          <cell r="C4">
            <v>4080</v>
          </cell>
          <cell r="D4">
            <v>4268</v>
          </cell>
          <cell r="E4">
            <v>4567</v>
          </cell>
          <cell r="F4">
            <v>4890</v>
          </cell>
          <cell r="G4">
            <v>4923</v>
          </cell>
          <cell r="H4">
            <v>4848</v>
          </cell>
          <cell r="I4">
            <v>4919</v>
          </cell>
          <cell r="J4">
            <v>4852</v>
          </cell>
          <cell r="K4">
            <v>5009</v>
          </cell>
          <cell r="L4">
            <v>5204</v>
          </cell>
          <cell r="M4">
            <v>5285</v>
          </cell>
          <cell r="N4">
            <v>5197</v>
          </cell>
          <cell r="O4">
            <v>5959</v>
          </cell>
          <cell r="P4">
            <v>6802</v>
          </cell>
          <cell r="Q4">
            <v>7621</v>
          </cell>
          <cell r="R4">
            <v>8503</v>
          </cell>
          <cell r="S4">
            <v>8631</v>
          </cell>
          <cell r="T4">
            <v>11187</v>
          </cell>
        </row>
        <row r="5">
          <cell r="A5" t="str">
            <v>山西省</v>
          </cell>
          <cell r="B5">
            <v>7778</v>
          </cell>
          <cell r="C5">
            <v>7015</v>
          </cell>
          <cell r="D5">
            <v>9213</v>
          </cell>
          <cell r="E5">
            <v>9204</v>
          </cell>
          <cell r="F5">
            <v>8427</v>
          </cell>
          <cell r="G5">
            <v>7636</v>
          </cell>
          <cell r="H5">
            <v>4988</v>
          </cell>
          <cell r="I5">
            <v>5088</v>
          </cell>
          <cell r="J5">
            <v>5099</v>
          </cell>
          <cell r="K5">
            <v>5121</v>
          </cell>
          <cell r="L5">
            <v>5303</v>
          </cell>
          <cell r="M5">
            <v>5587</v>
          </cell>
          <cell r="N5">
            <v>6239</v>
          </cell>
          <cell r="O5">
            <v>6962</v>
          </cell>
          <cell r="P5">
            <v>7697</v>
          </cell>
          <cell r="Q5">
            <v>7867</v>
          </cell>
          <cell r="R5">
            <v>9078</v>
          </cell>
          <cell r="S5">
            <v>10981</v>
          </cell>
          <cell r="T5">
            <v>13342</v>
          </cell>
        </row>
        <row r="6">
          <cell r="A6" t="str">
            <v>内蒙古自治区</v>
          </cell>
          <cell r="B6">
            <v>3692</v>
          </cell>
          <cell r="C6">
            <v>3359</v>
          </cell>
          <cell r="D6">
            <v>3576</v>
          </cell>
          <cell r="E6">
            <v>3027</v>
          </cell>
          <cell r="F6">
            <v>4233</v>
          </cell>
          <cell r="G6">
            <v>4230</v>
          </cell>
          <cell r="H6">
            <v>3385</v>
          </cell>
          <cell r="I6">
            <v>3172</v>
          </cell>
          <cell r="J6">
            <v>3215</v>
          </cell>
          <cell r="K6">
            <v>3406</v>
          </cell>
          <cell r="L6">
            <v>3643</v>
          </cell>
          <cell r="M6">
            <v>3957</v>
          </cell>
          <cell r="N6">
            <v>4591</v>
          </cell>
          <cell r="O6">
            <v>4780</v>
          </cell>
          <cell r="P6">
            <v>4166</v>
          </cell>
          <cell r="Q6">
            <v>5056</v>
          </cell>
          <cell r="R6">
            <v>6305</v>
          </cell>
          <cell r="S6">
            <v>6481</v>
          </cell>
          <cell r="T6">
            <v>8453</v>
          </cell>
        </row>
        <row r="7">
          <cell r="A7" t="str">
            <v>辽宁省</v>
          </cell>
          <cell r="B7">
            <v>4778</v>
          </cell>
          <cell r="C7">
            <v>4934</v>
          </cell>
          <cell r="D7">
            <v>4876</v>
          </cell>
          <cell r="E7">
            <v>4942</v>
          </cell>
          <cell r="F7">
            <v>4733</v>
          </cell>
          <cell r="G7">
            <v>4554</v>
          </cell>
          <cell r="H7">
            <v>4793</v>
          </cell>
          <cell r="I7">
            <v>4878</v>
          </cell>
          <cell r="J7">
            <v>5150</v>
          </cell>
          <cell r="K7">
            <v>5650</v>
          </cell>
          <cell r="L7">
            <v>5777</v>
          </cell>
          <cell r="M7">
            <v>5984</v>
          </cell>
          <cell r="N7">
            <v>6446</v>
          </cell>
          <cell r="O7">
            <v>6781</v>
          </cell>
          <cell r="P7">
            <v>6973</v>
          </cell>
          <cell r="Q7">
            <v>7214</v>
          </cell>
          <cell r="R7">
            <v>8005</v>
          </cell>
          <cell r="S7">
            <v>8671</v>
          </cell>
          <cell r="T7">
            <v>10341</v>
          </cell>
        </row>
        <row r="8">
          <cell r="A8" t="str">
            <v>吉林省</v>
          </cell>
          <cell r="B8">
            <v>6745</v>
          </cell>
          <cell r="C8">
            <v>7541</v>
          </cell>
          <cell r="D8">
            <v>11026</v>
          </cell>
          <cell r="E8">
            <v>10503</v>
          </cell>
          <cell r="F8">
            <v>3756</v>
          </cell>
          <cell r="G8">
            <v>4895</v>
          </cell>
          <cell r="H8">
            <v>5485</v>
          </cell>
          <cell r="I8">
            <v>5564</v>
          </cell>
          <cell r="J8">
            <v>2779</v>
          </cell>
          <cell r="K8">
            <v>2794</v>
          </cell>
          <cell r="L8">
            <v>2458</v>
          </cell>
          <cell r="M8">
            <v>2820</v>
          </cell>
          <cell r="N8">
            <v>3639</v>
          </cell>
          <cell r="O8">
            <v>4438</v>
          </cell>
          <cell r="P8">
            <v>5277</v>
          </cell>
          <cell r="Q8">
            <v>5782</v>
          </cell>
          <cell r="R8">
            <v>6956</v>
          </cell>
          <cell r="S8">
            <v>7415</v>
          </cell>
          <cell r="T8">
            <v>9659</v>
          </cell>
        </row>
        <row r="9">
          <cell r="A9" t="str">
            <v>黑龙江省</v>
          </cell>
          <cell r="B9">
            <v>3438</v>
          </cell>
          <cell r="C9">
            <v>4522</v>
          </cell>
          <cell r="D9">
            <v>5133</v>
          </cell>
          <cell r="E9">
            <v>4669</v>
          </cell>
          <cell r="F9">
            <v>5148</v>
          </cell>
          <cell r="G9">
            <v>5119</v>
          </cell>
          <cell r="H9">
            <v>3623</v>
          </cell>
          <cell r="I9">
            <v>3614</v>
          </cell>
          <cell r="J9">
            <v>3276</v>
          </cell>
          <cell r="K9">
            <v>3451</v>
          </cell>
          <cell r="L9">
            <v>3283</v>
          </cell>
          <cell r="M9">
            <v>3285</v>
          </cell>
          <cell r="N9">
            <v>3435</v>
          </cell>
          <cell r="O9">
            <v>3466</v>
          </cell>
          <cell r="P9">
            <v>3331</v>
          </cell>
          <cell r="Q9">
            <v>4528</v>
          </cell>
          <cell r="R9">
            <v>6715</v>
          </cell>
          <cell r="S9">
            <v>6732</v>
          </cell>
          <cell r="T9">
            <v>7506</v>
          </cell>
        </row>
        <row r="10">
          <cell r="A10" t="str">
            <v>上海市</v>
          </cell>
          <cell r="B10">
            <v>1169</v>
          </cell>
          <cell r="C10">
            <v>1242</v>
          </cell>
          <cell r="D10">
            <v>930</v>
          </cell>
          <cell r="E10">
            <v>862</v>
          </cell>
          <cell r="F10">
            <v>1146</v>
          </cell>
          <cell r="G10">
            <v>741</v>
          </cell>
          <cell r="H10">
            <v>709</v>
          </cell>
          <cell r="I10">
            <v>795</v>
          </cell>
          <cell r="J10">
            <v>1070</v>
          </cell>
          <cell r="K10">
            <v>1172</v>
          </cell>
          <cell r="L10">
            <v>2011</v>
          </cell>
          <cell r="M10">
            <v>2256</v>
          </cell>
          <cell r="N10">
            <v>2085</v>
          </cell>
          <cell r="O10">
            <v>2176</v>
          </cell>
          <cell r="P10">
            <v>2831</v>
          </cell>
          <cell r="Q10">
            <v>2745</v>
          </cell>
          <cell r="R10">
            <v>3952</v>
          </cell>
          <cell r="S10">
            <v>6585</v>
          </cell>
          <cell r="T10">
            <v>9238</v>
          </cell>
        </row>
        <row r="11">
          <cell r="A11" t="str">
            <v>江苏省</v>
          </cell>
          <cell r="B11">
            <v>9349</v>
          </cell>
          <cell r="C11">
            <v>10529</v>
          </cell>
          <cell r="D11">
            <v>10529</v>
          </cell>
          <cell r="E11">
            <v>10747</v>
          </cell>
          <cell r="F11">
            <v>12414</v>
          </cell>
          <cell r="G11">
            <v>12978</v>
          </cell>
          <cell r="H11">
            <v>13226</v>
          </cell>
          <cell r="I11">
            <v>13299</v>
          </cell>
          <cell r="J11">
            <v>12999</v>
          </cell>
          <cell r="K11">
            <v>13187</v>
          </cell>
          <cell r="L11">
            <v>13395</v>
          </cell>
          <cell r="M11">
            <v>13517</v>
          </cell>
          <cell r="N11">
            <v>13436</v>
          </cell>
          <cell r="O11">
            <v>13793</v>
          </cell>
          <cell r="P11">
            <v>14542</v>
          </cell>
          <cell r="Q11">
            <v>15431</v>
          </cell>
          <cell r="R11">
            <v>18150</v>
          </cell>
          <cell r="S11">
            <v>23852</v>
          </cell>
          <cell r="T11">
            <v>27690</v>
          </cell>
        </row>
        <row r="12">
          <cell r="A12" t="str">
            <v>浙江省</v>
          </cell>
          <cell r="B12">
            <v>9690</v>
          </cell>
          <cell r="C12">
            <v>10812</v>
          </cell>
          <cell r="D12">
            <v>11262</v>
          </cell>
          <cell r="E12">
            <v>11066</v>
          </cell>
          <cell r="F12">
            <v>11905</v>
          </cell>
          <cell r="G12">
            <v>12565</v>
          </cell>
          <cell r="H12">
            <v>12782</v>
          </cell>
          <cell r="I12">
            <v>14791</v>
          </cell>
          <cell r="J12">
            <v>16270</v>
          </cell>
          <cell r="K12">
            <v>17135</v>
          </cell>
          <cell r="L12">
            <v>18298</v>
          </cell>
          <cell r="M12">
            <v>19270</v>
          </cell>
          <cell r="N12">
            <v>20178</v>
          </cell>
          <cell r="O12">
            <v>21698</v>
          </cell>
          <cell r="P12">
            <v>23391</v>
          </cell>
          <cell r="Q12">
            <v>25911</v>
          </cell>
          <cell r="R12">
            <v>30664</v>
          </cell>
          <cell r="S12">
            <v>36768</v>
          </cell>
          <cell r="T12">
            <v>43266</v>
          </cell>
        </row>
        <row r="13">
          <cell r="A13" t="str">
            <v>安徽省</v>
          </cell>
          <cell r="B13">
            <v>9400</v>
          </cell>
          <cell r="C13">
            <v>8712</v>
          </cell>
          <cell r="D13">
            <v>10267</v>
          </cell>
          <cell r="E13">
            <v>9412</v>
          </cell>
          <cell r="F13">
            <v>11088</v>
          </cell>
          <cell r="G13">
            <v>10928</v>
          </cell>
          <cell r="H13">
            <v>11506</v>
          </cell>
          <cell r="I13">
            <v>12933</v>
          </cell>
          <cell r="J13">
            <v>13770</v>
          </cell>
          <cell r="K13">
            <v>16077</v>
          </cell>
          <cell r="L13">
            <v>17610</v>
          </cell>
          <cell r="M13">
            <v>18076</v>
          </cell>
          <cell r="N13">
            <v>14005</v>
          </cell>
          <cell r="O13">
            <v>7901</v>
          </cell>
          <cell r="P13">
            <v>8191</v>
          </cell>
          <cell r="Q13">
            <v>8412</v>
          </cell>
          <cell r="R13">
            <v>13273</v>
          </cell>
          <cell r="S13">
            <v>14151</v>
          </cell>
          <cell r="T13">
            <v>17474</v>
          </cell>
        </row>
        <row r="14">
          <cell r="A14" t="str">
            <v>福建省</v>
          </cell>
          <cell r="B14">
            <v>7983</v>
          </cell>
          <cell r="C14">
            <v>7645</v>
          </cell>
          <cell r="D14">
            <v>8578</v>
          </cell>
          <cell r="E14">
            <v>9752</v>
          </cell>
          <cell r="F14">
            <v>9111</v>
          </cell>
          <cell r="G14">
            <v>9668</v>
          </cell>
          <cell r="H14">
            <v>8693</v>
          </cell>
          <cell r="I14">
            <v>8867</v>
          </cell>
          <cell r="J14">
            <v>7943</v>
          </cell>
          <cell r="K14">
            <v>8684</v>
          </cell>
          <cell r="L14">
            <v>8521</v>
          </cell>
          <cell r="M14">
            <v>9942</v>
          </cell>
          <cell r="N14">
            <v>11517</v>
          </cell>
          <cell r="O14">
            <v>12714</v>
          </cell>
          <cell r="P14">
            <v>13633</v>
          </cell>
          <cell r="Q14">
            <v>15657</v>
          </cell>
          <cell r="R14">
            <v>20040</v>
          </cell>
          <cell r="S14">
            <v>21924</v>
          </cell>
          <cell r="T14">
            <v>26195</v>
          </cell>
        </row>
        <row r="15">
          <cell r="A15" t="str">
            <v>江西省</v>
          </cell>
          <cell r="B15">
            <v>3695</v>
          </cell>
          <cell r="C15">
            <v>3842</v>
          </cell>
          <cell r="D15">
            <v>4352</v>
          </cell>
          <cell r="E15">
            <v>5535</v>
          </cell>
          <cell r="F15">
            <v>6481</v>
          </cell>
          <cell r="G15">
            <v>6925</v>
          </cell>
          <cell r="H15">
            <v>5356</v>
          </cell>
          <cell r="I15">
            <v>4932</v>
          </cell>
          <cell r="J15">
            <v>3058</v>
          </cell>
          <cell r="K15">
            <v>2873</v>
          </cell>
          <cell r="L15">
            <v>2880</v>
          </cell>
          <cell r="M15">
            <v>3103</v>
          </cell>
          <cell r="N15">
            <v>3354</v>
          </cell>
          <cell r="O15">
            <v>4126</v>
          </cell>
          <cell r="P15">
            <v>4262</v>
          </cell>
          <cell r="Q15">
            <v>5914</v>
          </cell>
          <cell r="R15">
            <v>7535</v>
          </cell>
          <cell r="S15">
            <v>8867</v>
          </cell>
          <cell r="T15">
            <v>8585</v>
          </cell>
        </row>
        <row r="16">
          <cell r="A16" t="str">
            <v>山东省</v>
          </cell>
          <cell r="B16">
            <v>11589</v>
          </cell>
          <cell r="C16">
            <v>12404</v>
          </cell>
          <cell r="D16">
            <v>12660</v>
          </cell>
          <cell r="E16">
            <v>12566</v>
          </cell>
          <cell r="F16">
            <v>13150</v>
          </cell>
          <cell r="G16">
            <v>13226</v>
          </cell>
          <cell r="H16">
            <v>13403</v>
          </cell>
          <cell r="I16">
            <v>13163</v>
          </cell>
          <cell r="J16">
            <v>13376</v>
          </cell>
          <cell r="K16">
            <v>13570</v>
          </cell>
          <cell r="L16">
            <v>12879</v>
          </cell>
          <cell r="M16">
            <v>13275</v>
          </cell>
          <cell r="N16">
            <v>13375</v>
          </cell>
          <cell r="O16">
            <v>14560</v>
          </cell>
          <cell r="P16">
            <v>16166</v>
          </cell>
          <cell r="Q16">
            <v>19594</v>
          </cell>
          <cell r="R16">
            <v>25867</v>
          </cell>
          <cell r="S16">
            <v>30056</v>
          </cell>
          <cell r="T16">
            <v>35251</v>
          </cell>
        </row>
        <row r="17">
          <cell r="A17" t="str">
            <v>河南省</v>
          </cell>
          <cell r="B17">
            <v>20919</v>
          </cell>
          <cell r="C17">
            <v>23568</v>
          </cell>
          <cell r="D17">
            <v>18696</v>
          </cell>
          <cell r="E17">
            <v>12257</v>
          </cell>
          <cell r="F17">
            <v>17462</v>
          </cell>
          <cell r="G17">
            <v>19059</v>
          </cell>
          <cell r="H17">
            <v>6361</v>
          </cell>
          <cell r="I17">
            <v>5825</v>
          </cell>
          <cell r="J17">
            <v>6171</v>
          </cell>
          <cell r="K17">
            <v>6355</v>
          </cell>
          <cell r="L17">
            <v>6449</v>
          </cell>
          <cell r="M17">
            <v>6732</v>
          </cell>
          <cell r="N17">
            <v>6877</v>
          </cell>
          <cell r="O17">
            <v>7890</v>
          </cell>
          <cell r="P17">
            <v>8587</v>
          </cell>
          <cell r="Q17">
            <v>11529</v>
          </cell>
          <cell r="R17">
            <v>16314</v>
          </cell>
          <cell r="S17">
            <v>18402</v>
          </cell>
          <cell r="T17">
            <v>23778</v>
          </cell>
        </row>
        <row r="18">
          <cell r="A18" t="str">
            <v>湖北省</v>
          </cell>
          <cell r="B18">
            <v>28492</v>
          </cell>
          <cell r="C18">
            <v>30164</v>
          </cell>
          <cell r="D18">
            <v>31757</v>
          </cell>
          <cell r="E18">
            <v>23052</v>
          </cell>
          <cell r="F18">
            <v>23168</v>
          </cell>
          <cell r="G18">
            <v>19207</v>
          </cell>
          <cell r="H18">
            <v>11661</v>
          </cell>
          <cell r="I18">
            <v>16908</v>
          </cell>
          <cell r="J18">
            <v>4624</v>
          </cell>
          <cell r="K18">
            <v>5271</v>
          </cell>
          <cell r="L18">
            <v>5798</v>
          </cell>
          <cell r="M18">
            <v>6009</v>
          </cell>
          <cell r="N18">
            <v>6490</v>
          </cell>
          <cell r="O18">
            <v>6543</v>
          </cell>
          <cell r="P18">
            <v>6630</v>
          </cell>
          <cell r="Q18">
            <v>7686</v>
          </cell>
          <cell r="R18">
            <v>8986</v>
          </cell>
          <cell r="S18">
            <v>9590</v>
          </cell>
          <cell r="T18">
            <v>9585</v>
          </cell>
        </row>
        <row r="19">
          <cell r="A19" t="str">
            <v>湖南省</v>
          </cell>
          <cell r="B19">
            <v>7722</v>
          </cell>
          <cell r="C19">
            <v>11879</v>
          </cell>
          <cell r="D19">
            <v>8625</v>
          </cell>
          <cell r="E19">
            <v>6462</v>
          </cell>
          <cell r="F19">
            <v>3724</v>
          </cell>
          <cell r="G19">
            <v>4618</v>
          </cell>
          <cell r="H19">
            <v>5459</v>
          </cell>
          <cell r="I19">
            <v>7359</v>
          </cell>
          <cell r="J19">
            <v>9044</v>
          </cell>
          <cell r="K19">
            <v>8542</v>
          </cell>
          <cell r="L19">
            <v>8699</v>
          </cell>
          <cell r="M19">
            <v>8748</v>
          </cell>
          <cell r="N19">
            <v>8118</v>
          </cell>
          <cell r="O19">
            <v>8413</v>
          </cell>
          <cell r="P19">
            <v>7444</v>
          </cell>
          <cell r="Q19">
            <v>7622</v>
          </cell>
          <cell r="R19">
            <v>9899</v>
          </cell>
          <cell r="S19">
            <v>12202</v>
          </cell>
          <cell r="T19">
            <v>15013</v>
          </cell>
        </row>
        <row r="20">
          <cell r="A20" t="str">
            <v>广东省</v>
          </cell>
          <cell r="B20">
            <v>34353</v>
          </cell>
          <cell r="C20">
            <v>25353</v>
          </cell>
          <cell r="D20">
            <v>25693</v>
          </cell>
          <cell r="E20">
            <v>25414</v>
          </cell>
          <cell r="F20">
            <v>23017</v>
          </cell>
          <cell r="G20">
            <v>24133</v>
          </cell>
          <cell r="H20">
            <v>23900</v>
          </cell>
          <cell r="I20">
            <v>24773</v>
          </cell>
          <cell r="J20">
            <v>24676</v>
          </cell>
          <cell r="K20">
            <v>26445</v>
          </cell>
          <cell r="L20">
            <v>25424</v>
          </cell>
          <cell r="M20">
            <v>25720</v>
          </cell>
          <cell r="N20">
            <v>26586</v>
          </cell>
          <cell r="O20">
            <v>30370</v>
          </cell>
          <cell r="P20">
            <v>32455</v>
          </cell>
          <cell r="Q20">
            <v>39389</v>
          </cell>
          <cell r="R20">
            <v>46558</v>
          </cell>
          <cell r="S20">
            <v>56217</v>
          </cell>
          <cell r="T20">
            <v>67756</v>
          </cell>
        </row>
        <row r="21">
          <cell r="A21" t="str">
            <v>广西壮族自治区</v>
          </cell>
          <cell r="B21">
            <v>15644</v>
          </cell>
          <cell r="C21">
            <v>16185</v>
          </cell>
          <cell r="D21">
            <v>19313</v>
          </cell>
          <cell r="E21">
            <v>18336</v>
          </cell>
          <cell r="F21">
            <v>20053</v>
          </cell>
          <cell r="G21">
            <v>17034</v>
          </cell>
          <cell r="H21">
            <v>3843</v>
          </cell>
          <cell r="I21">
            <v>3842</v>
          </cell>
          <cell r="J21">
            <v>3978</v>
          </cell>
          <cell r="K21">
            <v>3942</v>
          </cell>
          <cell r="L21">
            <v>3821</v>
          </cell>
          <cell r="M21">
            <v>3984</v>
          </cell>
          <cell r="N21">
            <v>4290</v>
          </cell>
          <cell r="O21">
            <v>4351</v>
          </cell>
          <cell r="P21">
            <v>5196</v>
          </cell>
          <cell r="Q21">
            <v>6106</v>
          </cell>
          <cell r="R21">
            <v>7652</v>
          </cell>
          <cell r="S21">
            <v>8895</v>
          </cell>
          <cell r="T21">
            <v>10717</v>
          </cell>
        </row>
        <row r="22">
          <cell r="A22" t="str">
            <v>海南省</v>
          </cell>
          <cell r="B22">
            <v>2994</v>
          </cell>
          <cell r="C22">
            <v>2664</v>
          </cell>
          <cell r="D22">
            <v>2998</v>
          </cell>
          <cell r="E22">
            <v>2105</v>
          </cell>
          <cell r="F22">
            <v>2675</v>
          </cell>
          <cell r="G22">
            <v>2684</v>
          </cell>
          <cell r="H22">
            <v>2022</v>
          </cell>
          <cell r="I22">
            <v>2045</v>
          </cell>
          <cell r="J22">
            <v>2103</v>
          </cell>
          <cell r="K22">
            <v>2058</v>
          </cell>
          <cell r="L22">
            <v>1976</v>
          </cell>
          <cell r="M22">
            <v>1752</v>
          </cell>
          <cell r="N22">
            <v>1737</v>
          </cell>
          <cell r="O22">
            <v>1488</v>
          </cell>
          <cell r="P22">
            <v>1323</v>
          </cell>
          <cell r="Q22">
            <v>1449</v>
          </cell>
          <cell r="R22">
            <v>1534</v>
          </cell>
          <cell r="S22">
            <v>1398</v>
          </cell>
          <cell r="T22">
            <v>1479</v>
          </cell>
        </row>
        <row r="23">
          <cell r="A23" t="str">
            <v>重庆市</v>
          </cell>
          <cell r="B23">
            <v>4227</v>
          </cell>
          <cell r="C23">
            <v>4127</v>
          </cell>
          <cell r="D23">
            <v>4782</v>
          </cell>
          <cell r="E23">
            <v>4042</v>
          </cell>
          <cell r="F23">
            <v>4251</v>
          </cell>
          <cell r="G23">
            <v>4511</v>
          </cell>
          <cell r="H23">
            <v>4573</v>
          </cell>
          <cell r="I23">
            <v>4724</v>
          </cell>
          <cell r="J23">
            <v>4829</v>
          </cell>
          <cell r="K23">
            <v>5220</v>
          </cell>
          <cell r="L23">
            <v>5642</v>
          </cell>
          <cell r="M23">
            <v>5791</v>
          </cell>
          <cell r="N23">
            <v>5729</v>
          </cell>
          <cell r="O23">
            <v>5908</v>
          </cell>
          <cell r="P23">
            <v>5992</v>
          </cell>
          <cell r="Q23">
            <v>7262</v>
          </cell>
          <cell r="R23">
            <v>8236</v>
          </cell>
          <cell r="S23">
            <v>9001</v>
          </cell>
          <cell r="T23">
            <v>10605</v>
          </cell>
        </row>
        <row r="24">
          <cell r="A24" t="str">
            <v>四川省</v>
          </cell>
          <cell r="B24">
            <v>7113</v>
          </cell>
          <cell r="C24">
            <v>7569</v>
          </cell>
          <cell r="D24">
            <v>9636</v>
          </cell>
          <cell r="E24">
            <v>9334</v>
          </cell>
          <cell r="F24">
            <v>9662</v>
          </cell>
          <cell r="G24">
            <v>8804</v>
          </cell>
          <cell r="H24">
            <v>6947</v>
          </cell>
          <cell r="I24">
            <v>7527</v>
          </cell>
          <cell r="J24">
            <v>8571</v>
          </cell>
          <cell r="K24">
            <v>9193</v>
          </cell>
          <cell r="L24">
            <v>9571</v>
          </cell>
          <cell r="M24">
            <v>10024</v>
          </cell>
          <cell r="N24">
            <v>11860</v>
          </cell>
          <cell r="O24">
            <v>13072</v>
          </cell>
          <cell r="P24">
            <v>21680</v>
          </cell>
          <cell r="Q24">
            <v>17037</v>
          </cell>
          <cell r="R24">
            <v>21598</v>
          </cell>
          <cell r="S24">
            <v>24338</v>
          </cell>
          <cell r="T24">
            <v>29628</v>
          </cell>
        </row>
        <row r="25">
          <cell r="A25" t="str">
            <v>贵州省</v>
          </cell>
          <cell r="B25">
            <v>13965</v>
          </cell>
          <cell r="C25">
            <v>14554</v>
          </cell>
          <cell r="D25">
            <v>18052</v>
          </cell>
          <cell r="E25">
            <v>13963</v>
          </cell>
          <cell r="F25">
            <v>13437</v>
          </cell>
          <cell r="G25">
            <v>12199</v>
          </cell>
          <cell r="H25">
            <v>14711</v>
          </cell>
          <cell r="I25">
            <v>12579</v>
          </cell>
          <cell r="J25">
            <v>1035</v>
          </cell>
          <cell r="K25">
            <v>1145</v>
          </cell>
          <cell r="L25">
            <v>1241</v>
          </cell>
          <cell r="M25">
            <v>1360</v>
          </cell>
          <cell r="N25">
            <v>1566</v>
          </cell>
          <cell r="O25">
            <v>1764</v>
          </cell>
          <cell r="P25">
            <v>1816</v>
          </cell>
          <cell r="Q25">
            <v>2219</v>
          </cell>
          <cell r="R25">
            <v>2292</v>
          </cell>
          <cell r="S25">
            <v>2734</v>
          </cell>
          <cell r="T25">
            <v>3315</v>
          </cell>
        </row>
        <row r="26">
          <cell r="A26" t="str">
            <v>云南省</v>
          </cell>
          <cell r="B26">
            <v>5533</v>
          </cell>
          <cell r="C26">
            <v>6307</v>
          </cell>
          <cell r="D26">
            <v>6884</v>
          </cell>
          <cell r="E26">
            <v>6344</v>
          </cell>
          <cell r="F26">
            <v>6663</v>
          </cell>
          <cell r="G26">
            <v>6067</v>
          </cell>
          <cell r="H26">
            <v>5371</v>
          </cell>
          <cell r="I26">
            <v>5375</v>
          </cell>
          <cell r="J26">
            <v>5375</v>
          </cell>
          <cell r="K26">
            <v>5725</v>
          </cell>
          <cell r="L26">
            <v>3748</v>
          </cell>
          <cell r="M26">
            <v>3941</v>
          </cell>
          <cell r="N26">
            <v>5022</v>
          </cell>
          <cell r="O26">
            <v>4739</v>
          </cell>
          <cell r="P26">
            <v>5075</v>
          </cell>
          <cell r="Q26">
            <v>5037</v>
          </cell>
          <cell r="R26">
            <v>5425</v>
          </cell>
          <cell r="S26">
            <v>6692</v>
          </cell>
          <cell r="T26">
            <v>6870</v>
          </cell>
        </row>
        <row r="27">
          <cell r="A27" t="str">
            <v>西藏自治区</v>
          </cell>
          <cell r="B27">
            <v>785</v>
          </cell>
          <cell r="C27">
            <v>507</v>
          </cell>
          <cell r="D27">
            <v>557</v>
          </cell>
          <cell r="E27">
            <v>482</v>
          </cell>
          <cell r="F27">
            <v>468</v>
          </cell>
          <cell r="G27">
            <v>363</v>
          </cell>
          <cell r="H27">
            <v>329</v>
          </cell>
          <cell r="I27">
            <v>308</v>
          </cell>
          <cell r="J27">
            <v>334</v>
          </cell>
          <cell r="K27">
            <v>388</v>
          </cell>
          <cell r="L27">
            <v>717</v>
          </cell>
          <cell r="M27">
            <v>725</v>
          </cell>
          <cell r="N27">
            <v>943</v>
          </cell>
          <cell r="O27">
            <v>781</v>
          </cell>
          <cell r="P27">
            <v>678</v>
          </cell>
          <cell r="Q27">
            <v>600</v>
          </cell>
          <cell r="R27">
            <v>638</v>
          </cell>
          <cell r="S27">
            <v>751</v>
          </cell>
          <cell r="T27">
            <v>845</v>
          </cell>
        </row>
        <row r="28">
          <cell r="A28" t="str">
            <v>陕西省</v>
          </cell>
          <cell r="B28">
            <v>5109</v>
          </cell>
          <cell r="C28">
            <v>4413</v>
          </cell>
          <cell r="D28">
            <v>4887</v>
          </cell>
          <cell r="E28">
            <v>4871</v>
          </cell>
          <cell r="F28">
            <v>5686</v>
          </cell>
          <cell r="G28">
            <v>6122</v>
          </cell>
          <cell r="H28">
            <v>5819</v>
          </cell>
          <cell r="I28">
            <v>5914</v>
          </cell>
          <cell r="J28">
            <v>5406</v>
          </cell>
          <cell r="K28">
            <v>5055</v>
          </cell>
          <cell r="L28">
            <v>5952</v>
          </cell>
          <cell r="M28">
            <v>5996</v>
          </cell>
          <cell r="N28">
            <v>6362</v>
          </cell>
          <cell r="O28">
            <v>6004</v>
          </cell>
          <cell r="P28">
            <v>5501</v>
          </cell>
          <cell r="Q28">
            <v>7205</v>
          </cell>
          <cell r="R28">
            <v>9063</v>
          </cell>
          <cell r="S28">
            <v>10546</v>
          </cell>
          <cell r="T28">
            <v>12011</v>
          </cell>
        </row>
        <row r="29">
          <cell r="A29" t="str">
            <v>甘肃省</v>
          </cell>
          <cell r="B29">
            <v>3791</v>
          </cell>
          <cell r="C29">
            <v>2888</v>
          </cell>
          <cell r="D29">
            <v>2856</v>
          </cell>
          <cell r="E29">
            <v>2778</v>
          </cell>
          <cell r="F29">
            <v>2909</v>
          </cell>
          <cell r="G29">
            <v>3086</v>
          </cell>
          <cell r="H29">
            <v>2755</v>
          </cell>
          <cell r="I29">
            <v>2899</v>
          </cell>
          <cell r="J29">
            <v>3063</v>
          </cell>
          <cell r="K29">
            <v>3035</v>
          </cell>
          <cell r="L29">
            <v>2915</v>
          </cell>
          <cell r="M29">
            <v>2954</v>
          </cell>
          <cell r="N29">
            <v>3027</v>
          </cell>
          <cell r="O29">
            <v>3090</v>
          </cell>
          <cell r="P29">
            <v>2937</v>
          </cell>
          <cell r="Q29">
            <v>3364</v>
          </cell>
          <cell r="R29">
            <v>3808</v>
          </cell>
          <cell r="S29">
            <v>4828</v>
          </cell>
          <cell r="T29">
            <v>5414</v>
          </cell>
        </row>
        <row r="30">
          <cell r="A30" t="str">
            <v>青海省</v>
          </cell>
          <cell r="B30">
            <v>1699</v>
          </cell>
          <cell r="C30">
            <v>1490</v>
          </cell>
          <cell r="D30">
            <v>1821</v>
          </cell>
          <cell r="E30">
            <v>1582</v>
          </cell>
          <cell r="F30">
            <v>1461</v>
          </cell>
          <cell r="G30">
            <v>1281</v>
          </cell>
          <cell r="H30">
            <v>1128</v>
          </cell>
          <cell r="I30">
            <v>1023</v>
          </cell>
          <cell r="J30">
            <v>1036</v>
          </cell>
          <cell r="K30">
            <v>1029</v>
          </cell>
          <cell r="L30">
            <v>1065</v>
          </cell>
          <cell r="M30">
            <v>1096</v>
          </cell>
          <cell r="N30">
            <v>1163</v>
          </cell>
          <cell r="O30">
            <v>1206</v>
          </cell>
          <cell r="P30">
            <v>1146</v>
          </cell>
          <cell r="Q30">
            <v>1120</v>
          </cell>
          <cell r="R30">
            <v>1041</v>
          </cell>
          <cell r="S30">
            <v>939</v>
          </cell>
          <cell r="T30">
            <v>952</v>
          </cell>
        </row>
        <row r="31">
          <cell r="A31" t="str">
            <v>宁夏回族自治区</v>
          </cell>
          <cell r="B31">
            <v>1450</v>
          </cell>
          <cell r="C31">
            <v>1639</v>
          </cell>
          <cell r="D31">
            <v>1588</v>
          </cell>
          <cell r="E31">
            <v>1939</v>
          </cell>
          <cell r="F31">
            <v>1544</v>
          </cell>
          <cell r="G31">
            <v>1735</v>
          </cell>
          <cell r="H31">
            <v>1569</v>
          </cell>
          <cell r="I31">
            <v>1606</v>
          </cell>
          <cell r="J31">
            <v>1692</v>
          </cell>
          <cell r="K31">
            <v>1752</v>
          </cell>
          <cell r="L31">
            <v>1794</v>
          </cell>
          <cell r="M31">
            <v>1767</v>
          </cell>
          <cell r="N31">
            <v>1829</v>
          </cell>
          <cell r="O31">
            <v>1806</v>
          </cell>
          <cell r="P31">
            <v>1856</v>
          </cell>
          <cell r="Q31">
            <v>2172</v>
          </cell>
          <cell r="R31">
            <v>2570</v>
          </cell>
          <cell r="S31">
            <v>2985</v>
          </cell>
          <cell r="T31">
            <v>3803</v>
          </cell>
        </row>
        <row r="32">
          <cell r="A32" t="str">
            <v>新疆维吾尔自治区</v>
          </cell>
          <cell r="B32">
            <v>5039</v>
          </cell>
          <cell r="C32">
            <v>4652</v>
          </cell>
          <cell r="D32">
            <v>5372</v>
          </cell>
          <cell r="E32">
            <v>4437</v>
          </cell>
          <cell r="F32">
            <v>5173</v>
          </cell>
          <cell r="G32">
            <v>6181</v>
          </cell>
          <cell r="H32">
            <v>5017</v>
          </cell>
          <cell r="I32">
            <v>5049</v>
          </cell>
          <cell r="J32">
            <v>4992</v>
          </cell>
          <cell r="K32">
            <v>5010</v>
          </cell>
          <cell r="L32">
            <v>4944</v>
          </cell>
          <cell r="M32">
            <v>4943</v>
          </cell>
          <cell r="N32">
            <v>5182</v>
          </cell>
          <cell r="O32">
            <v>5298</v>
          </cell>
          <cell r="P32">
            <v>5120</v>
          </cell>
          <cell r="Q32">
            <v>5684</v>
          </cell>
          <cell r="R32">
            <v>6735</v>
          </cell>
          <cell r="S32">
            <v>7428</v>
          </cell>
          <cell r="T32">
            <v>9526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</row>
        <row r="2">
          <cell r="A2" t="str">
            <v>北京市</v>
          </cell>
          <cell r="B2">
            <v>8680</v>
          </cell>
          <cell r="C2">
            <v>7260</v>
          </cell>
          <cell r="D2">
            <v>6781</v>
          </cell>
          <cell r="E2">
            <v>6141</v>
          </cell>
          <cell r="F2">
            <v>6114</v>
          </cell>
          <cell r="G2">
            <v>5624</v>
          </cell>
          <cell r="H2">
            <v>5133</v>
          </cell>
          <cell r="I2">
            <v>4734</v>
          </cell>
          <cell r="J2">
            <v>4239</v>
          </cell>
          <cell r="K2">
            <v>3871</v>
          </cell>
          <cell r="L2">
            <v>3596</v>
          </cell>
          <cell r="M2">
            <v>3079</v>
          </cell>
          <cell r="N2">
            <v>2776</v>
          </cell>
          <cell r="O2">
            <v>2316</v>
          </cell>
          <cell r="P2">
            <v>2054</v>
          </cell>
          <cell r="Q2">
            <v>1740</v>
          </cell>
          <cell r="R2">
            <v>1502</v>
          </cell>
          <cell r="S2">
            <v>1295</v>
          </cell>
        </row>
        <row r="3">
          <cell r="A3" t="str">
            <v>天津市</v>
          </cell>
          <cell r="B3">
            <v>1255</v>
          </cell>
          <cell r="C3">
            <v>1117</v>
          </cell>
          <cell r="D3">
            <v>1002</v>
          </cell>
          <cell r="E3">
            <v>862</v>
          </cell>
          <cell r="F3">
            <v>813</v>
          </cell>
          <cell r="G3">
            <v>595</v>
          </cell>
          <cell r="H3">
            <v>573</v>
          </cell>
          <cell r="I3">
            <v>517</v>
          </cell>
          <cell r="J3">
            <v>497</v>
          </cell>
          <cell r="K3">
            <v>503</v>
          </cell>
          <cell r="L3">
            <v>491</v>
          </cell>
          <cell r="M3">
            <v>458</v>
          </cell>
          <cell r="N3">
            <v>331</v>
          </cell>
          <cell r="O3">
            <v>307</v>
          </cell>
          <cell r="P3">
            <v>263</v>
          </cell>
          <cell r="Q3">
            <v>305</v>
          </cell>
          <cell r="R3">
            <v>928</v>
          </cell>
          <cell r="S3">
            <v>665</v>
          </cell>
        </row>
        <row r="4">
          <cell r="A4" t="str">
            <v>河北省</v>
          </cell>
          <cell r="B4">
            <v>142</v>
          </cell>
          <cell r="C4">
            <v>34</v>
          </cell>
          <cell r="D4">
            <v>33</v>
          </cell>
          <cell r="E4">
            <v>29</v>
          </cell>
          <cell r="F4">
            <v>23</v>
          </cell>
          <cell r="G4">
            <v>18</v>
          </cell>
          <cell r="H4">
            <v>18</v>
          </cell>
          <cell r="I4">
            <v>6</v>
          </cell>
          <cell r="J4">
            <v>6</v>
          </cell>
          <cell r="K4">
            <v>6</v>
          </cell>
          <cell r="L4">
            <v>6</v>
          </cell>
          <cell r="M4">
            <v>7</v>
          </cell>
          <cell r="N4">
            <v>7</v>
          </cell>
          <cell r="O4">
            <v>7</v>
          </cell>
          <cell r="P4">
            <v>12</v>
          </cell>
          <cell r="Q4">
            <v>36</v>
          </cell>
          <cell r="R4">
            <v>17</v>
          </cell>
          <cell r="S4">
            <v>351</v>
          </cell>
        </row>
        <row r="5">
          <cell r="A5" t="str">
            <v>山西省</v>
          </cell>
          <cell r="B5">
            <v>286</v>
          </cell>
          <cell r="C5">
            <v>237</v>
          </cell>
          <cell r="D5">
            <v>199</v>
          </cell>
          <cell r="E5">
            <v>169</v>
          </cell>
          <cell r="F5">
            <v>110</v>
          </cell>
          <cell r="G5">
            <v>106</v>
          </cell>
          <cell r="H5">
            <v>109</v>
          </cell>
          <cell r="I5">
            <v>107</v>
          </cell>
          <cell r="J5">
            <v>109</v>
          </cell>
          <cell r="K5">
            <v>115</v>
          </cell>
          <cell r="L5">
            <v>113</v>
          </cell>
          <cell r="M5">
            <v>106</v>
          </cell>
          <cell r="N5">
            <v>95</v>
          </cell>
          <cell r="O5">
            <v>93</v>
          </cell>
          <cell r="P5">
            <v>79</v>
          </cell>
          <cell r="Q5">
            <v>66</v>
          </cell>
          <cell r="R5">
            <v>58</v>
          </cell>
          <cell r="S5">
            <v>291</v>
          </cell>
        </row>
        <row r="6">
          <cell r="A6" t="str">
            <v>内蒙古自治区</v>
          </cell>
          <cell r="B6">
            <v>127</v>
          </cell>
          <cell r="C6">
            <v>103</v>
          </cell>
          <cell r="D6">
            <v>123</v>
          </cell>
          <cell r="E6">
            <v>111</v>
          </cell>
          <cell r="F6">
            <v>111</v>
          </cell>
          <cell r="G6">
            <v>115</v>
          </cell>
          <cell r="H6">
            <v>120</v>
          </cell>
          <cell r="I6">
            <v>130</v>
          </cell>
          <cell r="J6">
            <v>162</v>
          </cell>
          <cell r="K6">
            <v>213</v>
          </cell>
          <cell r="L6">
            <v>320</v>
          </cell>
          <cell r="M6">
            <v>314</v>
          </cell>
          <cell r="N6">
            <v>714</v>
          </cell>
          <cell r="O6">
            <v>1153</v>
          </cell>
          <cell r="P6">
            <v>1067</v>
          </cell>
          <cell r="Q6">
            <v>1239</v>
          </cell>
          <cell r="R6">
            <v>1052</v>
          </cell>
          <cell r="S6">
            <v>178</v>
          </cell>
        </row>
        <row r="7">
          <cell r="A7" t="str">
            <v>辽宁省</v>
          </cell>
          <cell r="B7">
            <v>1625</v>
          </cell>
          <cell r="C7">
            <v>1338</v>
          </cell>
          <cell r="D7">
            <v>1215</v>
          </cell>
          <cell r="E7">
            <v>1104</v>
          </cell>
          <cell r="F7">
            <v>996</v>
          </cell>
          <cell r="G7">
            <v>952</v>
          </cell>
          <cell r="H7">
            <v>730</v>
          </cell>
          <cell r="I7">
            <v>715</v>
          </cell>
          <cell r="J7">
            <v>706</v>
          </cell>
          <cell r="K7">
            <v>706</v>
          </cell>
          <cell r="L7">
            <v>643</v>
          </cell>
          <cell r="M7">
            <v>459</v>
          </cell>
          <cell r="N7">
            <v>402</v>
          </cell>
          <cell r="O7">
            <v>394</v>
          </cell>
          <cell r="P7">
            <v>362</v>
          </cell>
          <cell r="Q7">
            <v>338</v>
          </cell>
          <cell r="R7">
            <v>282</v>
          </cell>
          <cell r="S7">
            <v>256</v>
          </cell>
        </row>
        <row r="8">
          <cell r="A8" t="str">
            <v>吉林省</v>
          </cell>
          <cell r="B8">
            <v>96</v>
          </cell>
          <cell r="C8">
            <v>11</v>
          </cell>
          <cell r="D8">
            <v>11</v>
          </cell>
          <cell r="E8">
            <v>11</v>
          </cell>
          <cell r="F8" t="str">
            <v/>
          </cell>
          <cell r="G8">
            <v>16</v>
          </cell>
          <cell r="H8">
            <v>19</v>
          </cell>
          <cell r="I8">
            <v>18</v>
          </cell>
          <cell r="J8">
            <v>23</v>
          </cell>
          <cell r="K8">
            <v>23</v>
          </cell>
          <cell r="L8">
            <v>23</v>
          </cell>
          <cell r="M8">
            <v>19</v>
          </cell>
          <cell r="N8">
            <v>14</v>
          </cell>
          <cell r="O8">
            <v>14</v>
          </cell>
          <cell r="P8">
            <v>2</v>
          </cell>
          <cell r="Q8">
            <v>2</v>
          </cell>
          <cell r="R8">
            <v>11</v>
          </cell>
          <cell r="S8">
            <v>57</v>
          </cell>
        </row>
        <row r="9">
          <cell r="A9" t="str">
            <v>黑龙江省</v>
          </cell>
          <cell r="B9">
            <v>135</v>
          </cell>
          <cell r="C9">
            <v>124</v>
          </cell>
          <cell r="D9">
            <v>131</v>
          </cell>
          <cell r="E9">
            <v>126</v>
          </cell>
          <cell r="F9">
            <v>79</v>
          </cell>
          <cell r="G9">
            <v>71</v>
          </cell>
          <cell r="H9">
            <v>65</v>
          </cell>
          <cell r="I9">
            <v>66</v>
          </cell>
          <cell r="J9">
            <v>67</v>
          </cell>
          <cell r="K9">
            <v>68</v>
          </cell>
          <cell r="L9">
            <v>75</v>
          </cell>
          <cell r="M9">
            <v>74</v>
          </cell>
          <cell r="N9">
            <v>69</v>
          </cell>
          <cell r="O9">
            <v>69</v>
          </cell>
          <cell r="P9">
            <v>54</v>
          </cell>
          <cell r="Q9">
            <v>53</v>
          </cell>
          <cell r="R9">
            <v>24</v>
          </cell>
          <cell r="S9">
            <v>84</v>
          </cell>
        </row>
        <row r="10">
          <cell r="A10" t="str">
            <v>上海市</v>
          </cell>
          <cell r="B10">
            <v>13119</v>
          </cell>
          <cell r="C10">
            <v>8731</v>
          </cell>
          <cell r="D10">
            <v>8346</v>
          </cell>
          <cell r="E10">
            <v>7378</v>
          </cell>
          <cell r="F10">
            <v>7008</v>
          </cell>
          <cell r="G10">
            <v>6202</v>
          </cell>
          <cell r="H10">
            <v>3888</v>
          </cell>
          <cell r="I10">
            <v>3603</v>
          </cell>
          <cell r="J10">
            <v>3127</v>
          </cell>
          <cell r="K10">
            <v>2685</v>
          </cell>
          <cell r="L10">
            <v>2037</v>
          </cell>
          <cell r="M10">
            <v>1787</v>
          </cell>
          <cell r="N10">
            <v>1616</v>
          </cell>
          <cell r="O10">
            <v>1773</v>
          </cell>
          <cell r="P10">
            <v>1312</v>
          </cell>
          <cell r="Q10">
            <v>1167</v>
          </cell>
          <cell r="R10">
            <v>732</v>
          </cell>
          <cell r="S10">
            <v>757</v>
          </cell>
        </row>
        <row r="11">
          <cell r="A11" t="str">
            <v>江苏省</v>
          </cell>
          <cell r="B11">
            <v>4051</v>
          </cell>
          <cell r="C11">
            <v>2446</v>
          </cell>
          <cell r="D11">
            <v>2090</v>
          </cell>
          <cell r="E11">
            <v>1835</v>
          </cell>
          <cell r="F11">
            <v>1798</v>
          </cell>
          <cell r="G11">
            <v>1707</v>
          </cell>
          <cell r="H11">
            <v>1598</v>
          </cell>
          <cell r="I11">
            <v>1527</v>
          </cell>
          <cell r="J11">
            <v>1491</v>
          </cell>
          <cell r="K11">
            <v>1460</v>
          </cell>
          <cell r="L11">
            <v>1428</v>
          </cell>
          <cell r="M11">
            <v>1333</v>
          </cell>
          <cell r="N11">
            <v>1259</v>
          </cell>
          <cell r="O11">
            <v>1065</v>
          </cell>
          <cell r="P11">
            <v>920</v>
          </cell>
          <cell r="Q11">
            <v>881</v>
          </cell>
          <cell r="R11">
            <v>1269</v>
          </cell>
          <cell r="S11">
            <v>1355</v>
          </cell>
        </row>
        <row r="12">
          <cell r="A12" t="str">
            <v>浙江省</v>
          </cell>
          <cell r="B12">
            <v>3583</v>
          </cell>
          <cell r="C12">
            <v>2823</v>
          </cell>
          <cell r="D12">
            <v>2675</v>
          </cell>
          <cell r="E12">
            <v>2241</v>
          </cell>
          <cell r="F12">
            <v>2028</v>
          </cell>
          <cell r="G12">
            <v>2074</v>
          </cell>
          <cell r="H12">
            <v>1940</v>
          </cell>
          <cell r="I12">
            <v>1741</v>
          </cell>
          <cell r="J12">
            <v>1736</v>
          </cell>
          <cell r="K12">
            <v>1728</v>
          </cell>
          <cell r="L12">
            <v>1588</v>
          </cell>
          <cell r="M12">
            <v>1457</v>
          </cell>
          <cell r="N12">
            <v>1426</v>
          </cell>
          <cell r="O12">
            <v>1289</v>
          </cell>
          <cell r="P12">
            <v>1180</v>
          </cell>
          <cell r="Q12">
            <v>865</v>
          </cell>
          <cell r="R12">
            <v>755</v>
          </cell>
          <cell r="S12">
            <v>659</v>
          </cell>
        </row>
        <row r="13">
          <cell r="A13" t="str">
            <v>安徽省</v>
          </cell>
          <cell r="B13">
            <v>1649</v>
          </cell>
          <cell r="C13">
            <v>1290</v>
          </cell>
          <cell r="D13">
            <v>1272</v>
          </cell>
          <cell r="E13">
            <v>1135</v>
          </cell>
          <cell r="F13">
            <v>738</v>
          </cell>
          <cell r="G13">
            <v>855</v>
          </cell>
          <cell r="H13">
            <v>747</v>
          </cell>
          <cell r="I13">
            <v>690</v>
          </cell>
          <cell r="J13">
            <v>650</v>
          </cell>
          <cell r="K13">
            <v>583</v>
          </cell>
          <cell r="L13">
            <v>439</v>
          </cell>
          <cell r="M13">
            <v>365</v>
          </cell>
          <cell r="N13">
            <v>256</v>
          </cell>
          <cell r="O13">
            <v>186</v>
          </cell>
          <cell r="P13">
            <v>144</v>
          </cell>
          <cell r="Q13">
            <v>111</v>
          </cell>
          <cell r="R13">
            <v>109</v>
          </cell>
          <cell r="S13">
            <v>284</v>
          </cell>
        </row>
        <row r="14">
          <cell r="A14" t="str">
            <v>福建省</v>
          </cell>
          <cell r="B14">
            <v>2191</v>
          </cell>
          <cell r="C14">
            <v>1330</v>
          </cell>
          <cell r="D14">
            <v>1153</v>
          </cell>
          <cell r="E14">
            <v>1057</v>
          </cell>
          <cell r="F14">
            <v>821</v>
          </cell>
          <cell r="G14">
            <v>732</v>
          </cell>
          <cell r="H14">
            <v>703</v>
          </cell>
          <cell r="I14">
            <v>567</v>
          </cell>
          <cell r="J14">
            <v>548</v>
          </cell>
          <cell r="K14">
            <v>786</v>
          </cell>
          <cell r="L14">
            <v>1043</v>
          </cell>
          <cell r="M14">
            <v>952</v>
          </cell>
          <cell r="N14">
            <v>812</v>
          </cell>
          <cell r="O14">
            <v>764</v>
          </cell>
          <cell r="P14">
            <v>789</v>
          </cell>
          <cell r="Q14">
            <v>315</v>
          </cell>
          <cell r="R14">
            <v>535</v>
          </cell>
          <cell r="S14">
            <v>279</v>
          </cell>
        </row>
        <row r="15">
          <cell r="A15" t="str">
            <v>江西省</v>
          </cell>
          <cell r="B15">
            <v>532</v>
          </cell>
          <cell r="C15">
            <v>238</v>
          </cell>
          <cell r="D15">
            <v>210</v>
          </cell>
          <cell r="E15">
            <v>196</v>
          </cell>
          <cell r="F15">
            <v>177</v>
          </cell>
          <cell r="G15">
            <v>167</v>
          </cell>
          <cell r="H15">
            <v>151</v>
          </cell>
          <cell r="I15">
            <v>133</v>
          </cell>
          <cell r="J15">
            <v>113</v>
          </cell>
          <cell r="K15">
            <v>112</v>
          </cell>
          <cell r="L15">
            <v>87</v>
          </cell>
          <cell r="M15">
            <v>79</v>
          </cell>
          <cell r="N15">
            <v>78</v>
          </cell>
          <cell r="O15">
            <v>69</v>
          </cell>
          <cell r="P15">
            <v>68</v>
          </cell>
          <cell r="Q15">
            <v>65</v>
          </cell>
          <cell r="R15">
            <v>51</v>
          </cell>
          <cell r="S15">
            <v>107</v>
          </cell>
        </row>
        <row r="16">
          <cell r="A16" t="str">
            <v>山东省</v>
          </cell>
          <cell r="B16">
            <v>2056</v>
          </cell>
          <cell r="C16">
            <v>1547</v>
          </cell>
          <cell r="D16">
            <v>891</v>
          </cell>
          <cell r="E16">
            <v>813</v>
          </cell>
          <cell r="F16">
            <v>749</v>
          </cell>
          <cell r="G16">
            <v>680</v>
          </cell>
          <cell r="H16">
            <v>646</v>
          </cell>
          <cell r="I16">
            <v>579</v>
          </cell>
          <cell r="J16">
            <v>466</v>
          </cell>
          <cell r="K16">
            <v>438</v>
          </cell>
          <cell r="L16">
            <v>432</v>
          </cell>
          <cell r="M16">
            <v>390</v>
          </cell>
          <cell r="N16">
            <v>180</v>
          </cell>
          <cell r="O16">
            <v>290</v>
          </cell>
          <cell r="P16">
            <v>274</v>
          </cell>
          <cell r="Q16">
            <v>266</v>
          </cell>
          <cell r="R16">
            <v>457</v>
          </cell>
          <cell r="S16">
            <v>572</v>
          </cell>
        </row>
        <row r="17">
          <cell r="A17" t="str">
            <v>河南省</v>
          </cell>
          <cell r="B17">
            <v>669</v>
          </cell>
          <cell r="C17">
            <v>326</v>
          </cell>
          <cell r="D17">
            <v>309</v>
          </cell>
          <cell r="E17">
            <v>286</v>
          </cell>
          <cell r="F17">
            <v>273</v>
          </cell>
          <cell r="G17">
            <v>240</v>
          </cell>
          <cell r="H17">
            <v>217</v>
          </cell>
          <cell r="I17">
            <v>214</v>
          </cell>
          <cell r="J17">
            <v>205</v>
          </cell>
          <cell r="K17">
            <v>210</v>
          </cell>
          <cell r="L17">
            <v>207</v>
          </cell>
          <cell r="M17">
            <v>206</v>
          </cell>
          <cell r="N17">
            <v>180</v>
          </cell>
          <cell r="O17">
            <v>183</v>
          </cell>
          <cell r="P17">
            <v>164</v>
          </cell>
          <cell r="Q17">
            <v>138</v>
          </cell>
          <cell r="R17">
            <v>504</v>
          </cell>
          <cell r="S17">
            <v>469</v>
          </cell>
        </row>
        <row r="18">
          <cell r="A18" t="str">
            <v>湖北省</v>
          </cell>
          <cell r="B18">
            <v>3175</v>
          </cell>
          <cell r="C18">
            <v>2528</v>
          </cell>
          <cell r="D18">
            <v>2244</v>
          </cell>
          <cell r="E18">
            <v>1836</v>
          </cell>
          <cell r="F18">
            <v>1601</v>
          </cell>
          <cell r="G18">
            <v>1354</v>
          </cell>
          <cell r="H18">
            <v>1089</v>
          </cell>
          <cell r="I18">
            <v>906</v>
          </cell>
          <cell r="J18">
            <v>784</v>
          </cell>
          <cell r="K18">
            <v>649</v>
          </cell>
          <cell r="L18">
            <v>544</v>
          </cell>
          <cell r="M18">
            <v>498</v>
          </cell>
          <cell r="N18">
            <v>360</v>
          </cell>
          <cell r="O18">
            <v>310</v>
          </cell>
          <cell r="P18">
            <v>284</v>
          </cell>
          <cell r="Q18">
            <v>263</v>
          </cell>
          <cell r="R18">
            <v>221</v>
          </cell>
          <cell r="S18">
            <v>303</v>
          </cell>
        </row>
        <row r="19">
          <cell r="A19" t="str">
            <v>湖南省</v>
          </cell>
          <cell r="B19">
            <v>2542</v>
          </cell>
          <cell r="C19">
            <v>2358</v>
          </cell>
          <cell r="D19">
            <v>1937</v>
          </cell>
          <cell r="E19">
            <v>1107</v>
          </cell>
          <cell r="F19">
            <v>1023</v>
          </cell>
          <cell r="G19">
            <v>978</v>
          </cell>
          <cell r="H19">
            <v>1133</v>
          </cell>
          <cell r="I19">
            <v>1101</v>
          </cell>
          <cell r="J19">
            <v>844</v>
          </cell>
          <cell r="K19">
            <v>621</v>
          </cell>
          <cell r="L19">
            <v>377</v>
          </cell>
          <cell r="M19">
            <v>350</v>
          </cell>
          <cell r="N19">
            <v>195</v>
          </cell>
          <cell r="O19">
            <v>160</v>
          </cell>
          <cell r="P19">
            <v>153</v>
          </cell>
          <cell r="Q19">
            <v>137</v>
          </cell>
          <cell r="R19">
            <v>50</v>
          </cell>
          <cell r="S19">
            <v>216</v>
          </cell>
        </row>
        <row r="20">
          <cell r="A20" t="str">
            <v>广东省</v>
          </cell>
          <cell r="B20">
            <v>10757</v>
          </cell>
          <cell r="C20">
            <v>7929</v>
          </cell>
          <cell r="D20">
            <v>6890</v>
          </cell>
          <cell r="E20">
            <v>5953</v>
          </cell>
          <cell r="F20">
            <v>5774</v>
          </cell>
          <cell r="G20">
            <v>4532</v>
          </cell>
          <cell r="H20">
            <v>4158</v>
          </cell>
          <cell r="I20">
            <v>3984</v>
          </cell>
          <cell r="J20">
            <v>3706</v>
          </cell>
          <cell r="K20">
            <v>3403</v>
          </cell>
          <cell r="L20">
            <v>3216</v>
          </cell>
          <cell r="M20">
            <v>2792</v>
          </cell>
          <cell r="N20">
            <v>2210</v>
          </cell>
          <cell r="O20">
            <v>1990</v>
          </cell>
          <cell r="P20">
            <v>1840</v>
          </cell>
          <cell r="Q20">
            <v>1820</v>
          </cell>
          <cell r="R20">
            <v>1263</v>
          </cell>
          <cell r="S20">
            <v>1159</v>
          </cell>
        </row>
        <row r="21">
          <cell r="A21" t="str">
            <v>广西壮族自治区</v>
          </cell>
          <cell r="B21">
            <v>825</v>
          </cell>
          <cell r="C21">
            <v>653</v>
          </cell>
          <cell r="D21">
            <v>512</v>
          </cell>
          <cell r="E21">
            <v>443</v>
          </cell>
          <cell r="F21">
            <v>381</v>
          </cell>
          <cell r="G21">
            <v>317</v>
          </cell>
          <cell r="H21">
            <v>247</v>
          </cell>
          <cell r="I21">
            <v>187</v>
          </cell>
          <cell r="J21">
            <v>176</v>
          </cell>
          <cell r="K21">
            <v>170</v>
          </cell>
          <cell r="L21">
            <v>80</v>
          </cell>
          <cell r="M21">
            <v>72</v>
          </cell>
          <cell r="N21">
            <v>63</v>
          </cell>
          <cell r="O21">
            <v>63</v>
          </cell>
          <cell r="P21">
            <v>58</v>
          </cell>
          <cell r="Q21">
            <v>52</v>
          </cell>
          <cell r="R21">
            <v>42</v>
          </cell>
          <cell r="S21">
            <v>105</v>
          </cell>
        </row>
        <row r="22">
          <cell r="A22" t="str">
            <v>海南省</v>
          </cell>
          <cell r="B22">
            <v>267</v>
          </cell>
          <cell r="C22">
            <v>133</v>
          </cell>
          <cell r="D22">
            <v>114</v>
          </cell>
          <cell r="E22">
            <v>8</v>
          </cell>
          <cell r="F22">
            <v>8</v>
          </cell>
          <cell r="G22">
            <v>7</v>
          </cell>
          <cell r="H22">
            <v>7</v>
          </cell>
          <cell r="I22">
            <v>7</v>
          </cell>
          <cell r="J22">
            <v>5</v>
          </cell>
          <cell r="K22">
            <v>5</v>
          </cell>
          <cell r="L22">
            <v>4</v>
          </cell>
          <cell r="M22">
            <v>4</v>
          </cell>
          <cell r="N22">
            <v>4</v>
          </cell>
          <cell r="O22" t="str">
            <v/>
          </cell>
          <cell r="P22" t="str">
            <v/>
          </cell>
          <cell r="Q22">
            <v>7</v>
          </cell>
          <cell r="R22">
            <v>2</v>
          </cell>
          <cell r="S22">
            <v>25</v>
          </cell>
        </row>
        <row r="23">
          <cell r="A23" t="str">
            <v>重庆市</v>
          </cell>
          <cell r="B23">
            <v>2021</v>
          </cell>
          <cell r="C23">
            <v>1182</v>
          </cell>
          <cell r="D23">
            <v>1101</v>
          </cell>
          <cell r="E23">
            <v>1177</v>
          </cell>
          <cell r="F23">
            <v>1279</v>
          </cell>
          <cell r="G23">
            <v>1628</v>
          </cell>
          <cell r="H23">
            <v>2460</v>
          </cell>
          <cell r="I23">
            <v>2411</v>
          </cell>
          <cell r="J23">
            <v>2360</v>
          </cell>
          <cell r="K23">
            <v>2596</v>
          </cell>
          <cell r="L23">
            <v>2408</v>
          </cell>
          <cell r="M23">
            <v>2179</v>
          </cell>
          <cell r="N23">
            <v>2288</v>
          </cell>
          <cell r="O23">
            <v>2038</v>
          </cell>
          <cell r="P23">
            <v>1967</v>
          </cell>
          <cell r="Q23">
            <v>1862</v>
          </cell>
          <cell r="R23">
            <v>2088</v>
          </cell>
          <cell r="S23">
            <v>454</v>
          </cell>
        </row>
        <row r="24">
          <cell r="A24" t="str">
            <v>四川省</v>
          </cell>
          <cell r="B24">
            <v>2663</v>
          </cell>
          <cell r="C24">
            <v>2320</v>
          </cell>
          <cell r="D24">
            <v>2403</v>
          </cell>
          <cell r="E24">
            <v>1955</v>
          </cell>
          <cell r="F24">
            <v>1486</v>
          </cell>
          <cell r="G24">
            <v>1162</v>
          </cell>
          <cell r="H24">
            <v>973</v>
          </cell>
          <cell r="I24">
            <v>951</v>
          </cell>
          <cell r="J24">
            <v>959</v>
          </cell>
          <cell r="K24">
            <v>845</v>
          </cell>
          <cell r="L24">
            <v>741</v>
          </cell>
          <cell r="M24">
            <v>590</v>
          </cell>
          <cell r="N24">
            <v>460</v>
          </cell>
          <cell r="O24">
            <v>369</v>
          </cell>
          <cell r="P24">
            <v>346</v>
          </cell>
          <cell r="Q24">
            <v>226</v>
          </cell>
          <cell r="R24">
            <v>199</v>
          </cell>
          <cell r="S24">
            <v>542</v>
          </cell>
        </row>
        <row r="25">
          <cell r="A25" t="str">
            <v>贵州省</v>
          </cell>
          <cell r="B25">
            <v>149</v>
          </cell>
          <cell r="C25">
            <v>9</v>
          </cell>
          <cell r="D25">
            <v>9</v>
          </cell>
          <cell r="E25">
            <v>15</v>
          </cell>
          <cell r="F25">
            <v>16</v>
          </cell>
          <cell r="G25">
            <v>16</v>
          </cell>
          <cell r="H25">
            <v>18</v>
          </cell>
          <cell r="I25">
            <v>13</v>
          </cell>
          <cell r="J25">
            <v>17</v>
          </cell>
          <cell r="K25">
            <v>18</v>
          </cell>
          <cell r="L25">
            <v>20</v>
          </cell>
          <cell r="M25">
            <v>20</v>
          </cell>
          <cell r="N25">
            <v>10</v>
          </cell>
          <cell r="O25">
            <v>10</v>
          </cell>
          <cell r="P25">
            <v>10</v>
          </cell>
          <cell r="Q25">
            <v>14</v>
          </cell>
          <cell r="R25">
            <v>16</v>
          </cell>
          <cell r="S25">
            <v>115</v>
          </cell>
        </row>
        <row r="26">
          <cell r="A26" t="str">
            <v>云南省</v>
          </cell>
          <cell r="B26">
            <v>253</v>
          </cell>
          <cell r="C26">
            <v>182</v>
          </cell>
          <cell r="D26">
            <v>174</v>
          </cell>
          <cell r="E26">
            <v>278</v>
          </cell>
          <cell r="F26">
            <v>258</v>
          </cell>
          <cell r="G26">
            <v>243</v>
          </cell>
          <cell r="H26">
            <v>249</v>
          </cell>
          <cell r="I26">
            <v>319</v>
          </cell>
          <cell r="J26">
            <v>319</v>
          </cell>
          <cell r="K26">
            <v>295</v>
          </cell>
          <cell r="L26">
            <v>277</v>
          </cell>
          <cell r="M26">
            <v>214</v>
          </cell>
          <cell r="N26">
            <v>212</v>
          </cell>
          <cell r="O26">
            <v>213</v>
          </cell>
          <cell r="P26">
            <v>188</v>
          </cell>
          <cell r="Q26">
            <v>167</v>
          </cell>
          <cell r="R26">
            <v>165</v>
          </cell>
          <cell r="S26">
            <v>215</v>
          </cell>
        </row>
        <row r="27">
          <cell r="A27" t="str">
            <v>西藏自治区</v>
          </cell>
          <cell r="B27" t="str">
            <v/>
          </cell>
          <cell r="C27" t="str">
            <v/>
          </cell>
          <cell r="D27">
            <v>10</v>
          </cell>
          <cell r="E27">
            <v>6</v>
          </cell>
          <cell r="F27">
            <v>6</v>
          </cell>
          <cell r="G27">
            <v>2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 t="str">
            <v/>
          </cell>
          <cell r="S27">
            <v>12</v>
          </cell>
        </row>
        <row r="28">
          <cell r="A28" t="str">
            <v>陕西省</v>
          </cell>
          <cell r="B28">
            <v>1156</v>
          </cell>
          <cell r="C28">
            <v>870</v>
          </cell>
          <cell r="D28">
            <v>828</v>
          </cell>
          <cell r="E28">
            <v>711</v>
          </cell>
          <cell r="F28">
            <v>475</v>
          </cell>
          <cell r="G28">
            <v>413</v>
          </cell>
          <cell r="H28">
            <v>282</v>
          </cell>
          <cell r="I28">
            <v>202</v>
          </cell>
          <cell r="J28">
            <v>199</v>
          </cell>
          <cell r="K28">
            <v>181</v>
          </cell>
          <cell r="L28">
            <v>174</v>
          </cell>
          <cell r="M28">
            <v>162</v>
          </cell>
          <cell r="N28">
            <v>109</v>
          </cell>
          <cell r="O28">
            <v>77</v>
          </cell>
          <cell r="P28">
            <v>39</v>
          </cell>
          <cell r="Q28">
            <v>331</v>
          </cell>
          <cell r="R28">
            <v>338</v>
          </cell>
          <cell r="S28">
            <v>194</v>
          </cell>
        </row>
        <row r="29">
          <cell r="A29" t="str">
            <v>甘肃省</v>
          </cell>
          <cell r="B29">
            <v>119</v>
          </cell>
          <cell r="C29">
            <v>113</v>
          </cell>
          <cell r="D29">
            <v>98</v>
          </cell>
          <cell r="E29">
            <v>78</v>
          </cell>
          <cell r="F29">
            <v>67</v>
          </cell>
          <cell r="G29">
            <v>49</v>
          </cell>
          <cell r="H29">
            <v>37</v>
          </cell>
          <cell r="I29">
            <v>36</v>
          </cell>
          <cell r="J29">
            <v>35</v>
          </cell>
          <cell r="K29">
            <v>37</v>
          </cell>
          <cell r="L29">
            <v>33</v>
          </cell>
          <cell r="M29">
            <v>33</v>
          </cell>
          <cell r="N29">
            <v>10</v>
          </cell>
          <cell r="O29">
            <v>4</v>
          </cell>
          <cell r="P29">
            <v>4</v>
          </cell>
          <cell r="Q29">
            <v>6</v>
          </cell>
          <cell r="R29">
            <v>20</v>
          </cell>
          <cell r="S29">
            <v>98</v>
          </cell>
        </row>
        <row r="30">
          <cell r="A30" t="str">
            <v>青海省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>
            <v>12</v>
          </cell>
          <cell r="P30">
            <v>15</v>
          </cell>
          <cell r="Q30">
            <v>11</v>
          </cell>
          <cell r="R30">
            <v>11</v>
          </cell>
          <cell r="S30">
            <v>34</v>
          </cell>
        </row>
        <row r="31">
          <cell r="A31" t="str">
            <v>宁夏回族自治区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>
            <v>1</v>
          </cell>
          <cell r="M31">
            <v>3</v>
          </cell>
          <cell r="N31" t="str">
            <v/>
          </cell>
          <cell r="O31">
            <v>6</v>
          </cell>
          <cell r="P31">
            <v>7</v>
          </cell>
          <cell r="Q31">
            <v>7</v>
          </cell>
          <cell r="R31">
            <v>6</v>
          </cell>
          <cell r="S31">
            <v>42</v>
          </cell>
        </row>
        <row r="32">
          <cell r="A32" t="str">
            <v>新疆维吾尔自治区</v>
          </cell>
          <cell r="B32">
            <v>569</v>
          </cell>
          <cell r="C32">
            <v>399</v>
          </cell>
          <cell r="D32">
            <v>489</v>
          </cell>
          <cell r="E32">
            <v>156</v>
          </cell>
          <cell r="F32">
            <v>144</v>
          </cell>
          <cell r="G32">
            <v>146</v>
          </cell>
          <cell r="H32">
            <v>165</v>
          </cell>
          <cell r="I32">
            <v>167</v>
          </cell>
          <cell r="J32">
            <v>169</v>
          </cell>
          <cell r="K32">
            <v>164</v>
          </cell>
          <cell r="L32">
            <v>148</v>
          </cell>
          <cell r="M32">
            <v>148</v>
          </cell>
          <cell r="N32">
            <v>146</v>
          </cell>
          <cell r="O32">
            <v>106</v>
          </cell>
          <cell r="P32">
            <v>81</v>
          </cell>
          <cell r="Q32">
            <v>68</v>
          </cell>
          <cell r="R32">
            <v>36</v>
          </cell>
          <cell r="S32">
            <v>171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14462.7</v>
          </cell>
          <cell r="C2">
            <v>13794.2</v>
          </cell>
          <cell r="D2">
            <v>14867.7</v>
          </cell>
          <cell r="E2">
            <v>13716.4</v>
          </cell>
          <cell r="F2">
            <v>15063.7</v>
          </cell>
          <cell r="G2">
            <v>14422.3</v>
          </cell>
          <cell r="H2">
            <v>13933.7</v>
          </cell>
          <cell r="I2">
            <v>13134.9</v>
          </cell>
          <cell r="J2">
            <v>12271.9</v>
          </cell>
          <cell r="K2">
            <v>9638</v>
          </cell>
          <cell r="L2">
            <v>8872.1</v>
          </cell>
          <cell r="M2">
            <v>8123.5</v>
          </cell>
          <cell r="N2">
            <v>7222.2</v>
          </cell>
          <cell r="O2">
            <v>6340.3</v>
          </cell>
          <cell r="P2">
            <v>5309.9</v>
          </cell>
          <cell r="Q2">
            <v>4645.5</v>
          </cell>
          <cell r="R2">
            <v>3835.2</v>
          </cell>
          <cell r="S2">
            <v>3295.3</v>
          </cell>
          <cell r="T2">
            <v>2911.7</v>
          </cell>
        </row>
        <row r="3">
          <cell r="A3" t="str">
            <v>天津市</v>
          </cell>
          <cell r="B3">
            <v>3820.7</v>
          </cell>
          <cell r="C3">
            <v>3572</v>
          </cell>
          <cell r="D3">
            <v>3769.8</v>
          </cell>
          <cell r="E3">
            <v>3582.9</v>
          </cell>
          <cell r="F3">
            <v>4218.2</v>
          </cell>
          <cell r="G3">
            <v>4231.2</v>
          </cell>
          <cell r="H3">
            <v>4210.3999999999996</v>
          </cell>
          <cell r="I3">
            <v>4188.1000000000004</v>
          </cell>
          <cell r="J3">
            <v>3963.2</v>
          </cell>
          <cell r="K3">
            <v>4738.7</v>
          </cell>
          <cell r="L3">
            <v>4470.3999999999996</v>
          </cell>
          <cell r="M3">
            <v>3921.4</v>
          </cell>
          <cell r="N3">
            <v>3395.1</v>
          </cell>
          <cell r="O3">
            <v>2860.2</v>
          </cell>
          <cell r="P3">
            <v>2430.8000000000002</v>
          </cell>
          <cell r="Q3">
            <v>2078.6999999999998</v>
          </cell>
          <cell r="R3">
            <v>1650.6</v>
          </cell>
          <cell r="S3">
            <v>1383.1</v>
          </cell>
          <cell r="T3">
            <v>1201.5999999999999</v>
          </cell>
        </row>
        <row r="4">
          <cell r="A4" t="str">
            <v>河北省</v>
          </cell>
          <cell r="B4">
            <v>15040.5</v>
          </cell>
          <cell r="C4">
            <v>13720.1</v>
          </cell>
          <cell r="D4">
            <v>13509.9</v>
          </cell>
          <cell r="E4">
            <v>12705</v>
          </cell>
          <cell r="F4">
            <v>12985.5</v>
          </cell>
          <cell r="G4">
            <v>11973.9</v>
          </cell>
          <cell r="H4">
            <v>11138.5</v>
          </cell>
          <cell r="I4">
            <v>10191.4</v>
          </cell>
          <cell r="J4">
            <v>9367.5</v>
          </cell>
          <cell r="K4">
            <v>11820.5</v>
          </cell>
          <cell r="L4">
            <v>10516.7</v>
          </cell>
          <cell r="M4">
            <v>9254</v>
          </cell>
          <cell r="N4">
            <v>8035.5</v>
          </cell>
          <cell r="O4">
            <v>6821.8</v>
          </cell>
          <cell r="P4">
            <v>5764.9</v>
          </cell>
          <cell r="Q4">
            <v>4991.1000000000004</v>
          </cell>
          <cell r="R4">
            <v>4053.8</v>
          </cell>
          <cell r="S4">
            <v>3435.7</v>
          </cell>
          <cell r="T4">
            <v>2969.5</v>
          </cell>
        </row>
        <row r="5">
          <cell r="A5" t="str">
            <v>山西省</v>
          </cell>
          <cell r="B5">
            <v>7981.8</v>
          </cell>
          <cell r="C5">
            <v>7562.7</v>
          </cell>
          <cell r="D5">
            <v>7747.3</v>
          </cell>
          <cell r="E5">
            <v>6746.3</v>
          </cell>
          <cell r="F5">
            <v>7030.5</v>
          </cell>
          <cell r="G5">
            <v>6523.3</v>
          </cell>
          <cell r="H5">
            <v>6058.5</v>
          </cell>
          <cell r="I5">
            <v>5699.2</v>
          </cell>
          <cell r="J5">
            <v>5345.1</v>
          </cell>
          <cell r="K5">
            <v>5717.9</v>
          </cell>
          <cell r="L5">
            <v>5139.3</v>
          </cell>
          <cell r="M5">
            <v>4506.8</v>
          </cell>
          <cell r="N5">
            <v>3903.4</v>
          </cell>
          <cell r="O5">
            <v>3318.2</v>
          </cell>
          <cell r="P5">
            <v>2809</v>
          </cell>
          <cell r="Q5">
            <v>2421.1</v>
          </cell>
          <cell r="R5">
            <v>1953.3</v>
          </cell>
          <cell r="S5">
            <v>1635.4</v>
          </cell>
          <cell r="T5">
            <v>1410.7</v>
          </cell>
        </row>
        <row r="6">
          <cell r="A6" t="str">
            <v>内蒙古自治区</v>
          </cell>
          <cell r="B6">
            <v>5374.3</v>
          </cell>
          <cell r="C6">
            <v>4971.3999999999996</v>
          </cell>
          <cell r="D6">
            <v>5060.3</v>
          </cell>
          <cell r="E6">
            <v>4760.5</v>
          </cell>
          <cell r="F6">
            <v>5051.1000000000004</v>
          </cell>
          <cell r="G6">
            <v>4852.3</v>
          </cell>
          <cell r="H6">
            <v>4642.6000000000004</v>
          </cell>
          <cell r="I6">
            <v>4415.8999999999996</v>
          </cell>
          <cell r="J6">
            <v>4103.5</v>
          </cell>
          <cell r="K6">
            <v>5657.6</v>
          </cell>
          <cell r="L6">
            <v>5114.2</v>
          </cell>
          <cell r="M6">
            <v>4572.5</v>
          </cell>
          <cell r="N6">
            <v>3991.7</v>
          </cell>
          <cell r="O6">
            <v>3384</v>
          </cell>
          <cell r="P6">
            <v>2855.3</v>
          </cell>
          <cell r="Q6">
            <v>2463</v>
          </cell>
          <cell r="R6">
            <v>1964</v>
          </cell>
          <cell r="S6">
            <v>1628.6</v>
          </cell>
          <cell r="T6">
            <v>1358.1</v>
          </cell>
        </row>
        <row r="7">
          <cell r="A7" t="str">
            <v>辽宁省</v>
          </cell>
          <cell r="B7">
            <v>10362.1</v>
          </cell>
          <cell r="C7">
            <v>9526.2000000000007</v>
          </cell>
          <cell r="D7">
            <v>9783.9</v>
          </cell>
          <cell r="E7">
            <v>8960.9</v>
          </cell>
          <cell r="F7">
            <v>9670.6</v>
          </cell>
          <cell r="G7">
            <v>9112.7999999999993</v>
          </cell>
          <cell r="H7">
            <v>8696.4</v>
          </cell>
          <cell r="I7">
            <v>8597.1</v>
          </cell>
          <cell r="J7">
            <v>8364.7999999999993</v>
          </cell>
          <cell r="K7">
            <v>11857</v>
          </cell>
          <cell r="L7">
            <v>10581.4</v>
          </cell>
          <cell r="M7">
            <v>9304.2000000000007</v>
          </cell>
          <cell r="N7">
            <v>8095.3</v>
          </cell>
          <cell r="O7">
            <v>6887.6</v>
          </cell>
          <cell r="P7">
            <v>5812.6</v>
          </cell>
          <cell r="Q7">
            <v>5032.3999999999996</v>
          </cell>
          <cell r="R7">
            <v>4097.8</v>
          </cell>
          <cell r="S7">
            <v>3471.6</v>
          </cell>
          <cell r="T7">
            <v>3014.4</v>
          </cell>
        </row>
        <row r="8">
          <cell r="A8" t="str">
            <v>吉林省</v>
          </cell>
          <cell r="B8">
            <v>4150.3999999999996</v>
          </cell>
          <cell r="C8">
            <v>3807.7</v>
          </cell>
          <cell r="D8">
            <v>4216.6000000000004</v>
          </cell>
          <cell r="E8">
            <v>3824</v>
          </cell>
          <cell r="F8">
            <v>4212.8999999999996</v>
          </cell>
          <cell r="G8">
            <v>4073.8</v>
          </cell>
          <cell r="H8">
            <v>3992.3</v>
          </cell>
          <cell r="I8">
            <v>3812.9</v>
          </cell>
          <cell r="J8">
            <v>3571.7</v>
          </cell>
          <cell r="K8">
            <v>6080.9</v>
          </cell>
          <cell r="L8">
            <v>5426.4</v>
          </cell>
          <cell r="M8">
            <v>4772.8999999999996</v>
          </cell>
          <cell r="N8">
            <v>4119.8</v>
          </cell>
          <cell r="O8">
            <v>3504.9</v>
          </cell>
          <cell r="P8">
            <v>2957.3</v>
          </cell>
          <cell r="Q8">
            <v>2549.1999999999998</v>
          </cell>
          <cell r="R8">
            <v>2038.3</v>
          </cell>
          <cell r="S8">
            <v>1697.6</v>
          </cell>
          <cell r="T8">
            <v>1470.3</v>
          </cell>
        </row>
        <row r="9">
          <cell r="A9" t="str">
            <v>黑龙江省</v>
          </cell>
          <cell r="B9">
            <v>5634.2</v>
          </cell>
          <cell r="C9">
            <v>5210</v>
          </cell>
          <cell r="D9">
            <v>5542.9</v>
          </cell>
          <cell r="E9">
            <v>5092.3</v>
          </cell>
          <cell r="F9">
            <v>5603.9</v>
          </cell>
          <cell r="G9">
            <v>5275</v>
          </cell>
          <cell r="H9">
            <v>5077.3999999999996</v>
          </cell>
          <cell r="I9">
            <v>4794.1000000000004</v>
          </cell>
          <cell r="J9">
            <v>4471</v>
          </cell>
          <cell r="K9">
            <v>7015.3</v>
          </cell>
          <cell r="L9">
            <v>6251.2</v>
          </cell>
          <cell r="M9">
            <v>5491</v>
          </cell>
          <cell r="N9">
            <v>4750.1000000000004</v>
          </cell>
          <cell r="O9">
            <v>4039.2</v>
          </cell>
          <cell r="P9">
            <v>3401.8</v>
          </cell>
          <cell r="Q9">
            <v>2928.3</v>
          </cell>
          <cell r="R9">
            <v>2386.1999999999998</v>
          </cell>
          <cell r="S9">
            <v>2029</v>
          </cell>
          <cell r="T9">
            <v>1773.8</v>
          </cell>
        </row>
        <row r="10">
          <cell r="A10" t="str">
            <v>上海市</v>
          </cell>
          <cell r="B10">
            <v>18515.5</v>
          </cell>
          <cell r="C10">
            <v>16442.099999999999</v>
          </cell>
          <cell r="D10">
            <v>18079.3</v>
          </cell>
          <cell r="E10">
            <v>15932.5</v>
          </cell>
          <cell r="F10">
            <v>15847.6</v>
          </cell>
          <cell r="G10">
            <v>14874.8</v>
          </cell>
          <cell r="H10">
            <v>13699.5</v>
          </cell>
          <cell r="I10">
            <v>12588.2</v>
          </cell>
          <cell r="J10">
            <v>11605.7</v>
          </cell>
          <cell r="K10">
            <v>9303.5</v>
          </cell>
          <cell r="L10">
            <v>8557</v>
          </cell>
          <cell r="M10">
            <v>7840.4</v>
          </cell>
          <cell r="N10">
            <v>7185.8</v>
          </cell>
          <cell r="O10">
            <v>6186.6</v>
          </cell>
          <cell r="P10">
            <v>5173.2</v>
          </cell>
          <cell r="Q10">
            <v>4577.2</v>
          </cell>
          <cell r="R10">
            <v>3873.3</v>
          </cell>
          <cell r="S10">
            <v>3375.2</v>
          </cell>
          <cell r="T10">
            <v>2979.5</v>
          </cell>
        </row>
        <row r="11">
          <cell r="A11" t="str">
            <v>江苏省</v>
          </cell>
          <cell r="B11">
            <v>45547.5</v>
          </cell>
          <cell r="C11">
            <v>42752.1</v>
          </cell>
          <cell r="D11">
            <v>42702.6</v>
          </cell>
          <cell r="E11">
            <v>37086.1</v>
          </cell>
          <cell r="F11">
            <v>37672.5</v>
          </cell>
          <cell r="G11">
            <v>35472.6</v>
          </cell>
          <cell r="H11">
            <v>32818.199999999997</v>
          </cell>
          <cell r="I11">
            <v>29612.5</v>
          </cell>
          <cell r="J11">
            <v>26710.1</v>
          </cell>
          <cell r="K11">
            <v>23458.1</v>
          </cell>
          <cell r="L11">
            <v>20878.2</v>
          </cell>
          <cell r="M11">
            <v>18411.099999999999</v>
          </cell>
          <cell r="N11">
            <v>16058.3</v>
          </cell>
          <cell r="O11">
            <v>13606.3</v>
          </cell>
          <cell r="P11">
            <v>11484.1</v>
          </cell>
          <cell r="Q11">
            <v>9905.1</v>
          </cell>
          <cell r="R11">
            <v>7985.9</v>
          </cell>
          <cell r="S11">
            <v>6706.2</v>
          </cell>
          <cell r="T11">
            <v>5735.5</v>
          </cell>
        </row>
        <row r="12">
          <cell r="A12" t="str">
            <v>浙江省</v>
          </cell>
          <cell r="B12">
            <v>32550.2</v>
          </cell>
          <cell r="C12">
            <v>30467.200000000001</v>
          </cell>
          <cell r="D12">
            <v>29210.5</v>
          </cell>
          <cell r="E12">
            <v>26629.8</v>
          </cell>
          <cell r="F12">
            <v>27343.8</v>
          </cell>
          <cell r="G12">
            <v>25161.9</v>
          </cell>
          <cell r="H12">
            <v>23121.3</v>
          </cell>
          <cell r="I12">
            <v>20916.7</v>
          </cell>
          <cell r="J12">
            <v>18910.7</v>
          </cell>
          <cell r="K12">
            <v>17835.3</v>
          </cell>
          <cell r="L12">
            <v>15970.8</v>
          </cell>
          <cell r="M12">
            <v>14199.6</v>
          </cell>
          <cell r="N12">
            <v>12532.8</v>
          </cell>
          <cell r="O12">
            <v>10387</v>
          </cell>
          <cell r="P12">
            <v>8622.2999999999993</v>
          </cell>
          <cell r="Q12">
            <v>7533.3</v>
          </cell>
          <cell r="R12">
            <v>6271.3</v>
          </cell>
          <cell r="S12">
            <v>5358</v>
          </cell>
          <cell r="T12">
            <v>4645.8999999999996</v>
          </cell>
        </row>
        <row r="13">
          <cell r="A13" t="str">
            <v>安徽省</v>
          </cell>
          <cell r="B13">
            <v>23008.3</v>
          </cell>
          <cell r="C13">
            <v>21518.400000000001</v>
          </cell>
          <cell r="D13">
            <v>21471.200000000001</v>
          </cell>
          <cell r="E13">
            <v>18334</v>
          </cell>
          <cell r="F13">
            <v>17862.099999999999</v>
          </cell>
          <cell r="G13">
            <v>16156.2</v>
          </cell>
          <cell r="H13">
            <v>14328.8</v>
          </cell>
          <cell r="I13">
            <v>12662.5</v>
          </cell>
          <cell r="J13">
            <v>11190.8</v>
          </cell>
          <cell r="K13">
            <v>7957</v>
          </cell>
          <cell r="L13">
            <v>7044.7</v>
          </cell>
          <cell r="M13">
            <v>6142.8</v>
          </cell>
          <cell r="N13">
            <v>5288.2</v>
          </cell>
          <cell r="O13">
            <v>4300.5</v>
          </cell>
          <cell r="P13">
            <v>3527.8</v>
          </cell>
          <cell r="Q13">
            <v>3045.2</v>
          </cell>
          <cell r="R13">
            <v>2451.9</v>
          </cell>
          <cell r="S13">
            <v>2056.5</v>
          </cell>
          <cell r="T13">
            <v>1776.7</v>
          </cell>
        </row>
        <row r="14">
          <cell r="A14" t="str">
            <v>福建省</v>
          </cell>
          <cell r="B14">
            <v>22109.599999999999</v>
          </cell>
          <cell r="C14">
            <v>21050.1</v>
          </cell>
          <cell r="D14">
            <v>20373.099999999999</v>
          </cell>
          <cell r="E14">
            <v>18626.5</v>
          </cell>
          <cell r="F14">
            <v>18896.8</v>
          </cell>
          <cell r="G14">
            <v>17178.400000000001</v>
          </cell>
          <cell r="H14">
            <v>15393.9</v>
          </cell>
          <cell r="I14">
            <v>13703</v>
          </cell>
          <cell r="J14">
            <v>12273</v>
          </cell>
          <cell r="K14">
            <v>9346.7000000000007</v>
          </cell>
          <cell r="L14">
            <v>8275.2999999999993</v>
          </cell>
          <cell r="M14">
            <v>7256.5</v>
          </cell>
          <cell r="N14">
            <v>6276.2</v>
          </cell>
          <cell r="O14">
            <v>5310</v>
          </cell>
          <cell r="P14">
            <v>4481</v>
          </cell>
          <cell r="Q14">
            <v>3866.7</v>
          </cell>
          <cell r="R14">
            <v>3212.3</v>
          </cell>
          <cell r="S14">
            <v>2717.6</v>
          </cell>
          <cell r="T14">
            <v>2351.6999999999998</v>
          </cell>
        </row>
        <row r="15">
          <cell r="A15" t="str">
            <v>江西省</v>
          </cell>
          <cell r="B15">
            <v>13659.8</v>
          </cell>
          <cell r="C15">
            <v>12853.5</v>
          </cell>
          <cell r="D15">
            <v>12206.7</v>
          </cell>
          <cell r="E15">
            <v>10371.799999999999</v>
          </cell>
          <cell r="F15">
            <v>10068.1</v>
          </cell>
          <cell r="G15">
            <v>9045.7000000000007</v>
          </cell>
          <cell r="H15">
            <v>8118</v>
          </cell>
          <cell r="I15">
            <v>7198.5</v>
          </cell>
          <cell r="J15">
            <v>6419.8</v>
          </cell>
          <cell r="K15">
            <v>5292.6</v>
          </cell>
          <cell r="L15">
            <v>4696.1000000000004</v>
          </cell>
          <cell r="M15">
            <v>4123.3</v>
          </cell>
          <cell r="N15">
            <v>3560.5</v>
          </cell>
          <cell r="O15">
            <v>2971</v>
          </cell>
          <cell r="P15">
            <v>2484.4</v>
          </cell>
          <cell r="Q15">
            <v>2142</v>
          </cell>
          <cell r="R15">
            <v>1718.9</v>
          </cell>
          <cell r="S15">
            <v>1448.2</v>
          </cell>
          <cell r="T15">
            <v>1244.9000000000001</v>
          </cell>
        </row>
        <row r="16">
          <cell r="A16" t="str">
            <v>山东省</v>
          </cell>
          <cell r="B16">
            <v>36141.800000000003</v>
          </cell>
          <cell r="C16">
            <v>33236.199999999997</v>
          </cell>
          <cell r="D16">
            <v>33714.5</v>
          </cell>
          <cell r="E16">
            <v>29248</v>
          </cell>
          <cell r="F16">
            <v>29251.200000000001</v>
          </cell>
          <cell r="G16">
            <v>27480.3</v>
          </cell>
          <cell r="H16">
            <v>25527.9</v>
          </cell>
          <cell r="I16">
            <v>23482.1</v>
          </cell>
          <cell r="J16">
            <v>21550.9</v>
          </cell>
          <cell r="K16">
            <v>25111.5</v>
          </cell>
          <cell r="L16">
            <v>22294.799999999999</v>
          </cell>
          <cell r="M16">
            <v>19651.900000000001</v>
          </cell>
          <cell r="N16">
            <v>17155.5</v>
          </cell>
          <cell r="O16">
            <v>14620.3</v>
          </cell>
          <cell r="P16">
            <v>12363</v>
          </cell>
          <cell r="Q16">
            <v>10658.8</v>
          </cell>
          <cell r="R16">
            <v>8607.5</v>
          </cell>
          <cell r="S16">
            <v>7217.1</v>
          </cell>
          <cell r="T16">
            <v>6166.9</v>
          </cell>
        </row>
        <row r="17">
          <cell r="A17" t="str">
            <v>河南省</v>
          </cell>
          <cell r="B17">
            <v>26004.400000000001</v>
          </cell>
          <cell r="C17">
            <v>24407.4</v>
          </cell>
          <cell r="D17">
            <v>24381.7</v>
          </cell>
          <cell r="E17">
            <v>22502.799999999999</v>
          </cell>
          <cell r="F17">
            <v>23476.1</v>
          </cell>
          <cell r="G17">
            <v>21268</v>
          </cell>
          <cell r="H17">
            <v>19289.099999999999</v>
          </cell>
          <cell r="I17">
            <v>17274.5</v>
          </cell>
          <cell r="J17">
            <v>15475.8</v>
          </cell>
          <cell r="K17">
            <v>14005</v>
          </cell>
          <cell r="L17">
            <v>12426.6</v>
          </cell>
          <cell r="M17">
            <v>10915.6</v>
          </cell>
          <cell r="N17">
            <v>9453.6</v>
          </cell>
          <cell r="O17">
            <v>8004.2</v>
          </cell>
          <cell r="P17">
            <v>6746.4</v>
          </cell>
          <cell r="Q17">
            <v>5815.4</v>
          </cell>
          <cell r="R17">
            <v>4690.3</v>
          </cell>
          <cell r="S17">
            <v>3932.6</v>
          </cell>
          <cell r="T17">
            <v>3380.9</v>
          </cell>
        </row>
        <row r="18">
          <cell r="A18" t="str">
            <v>湖北省</v>
          </cell>
          <cell r="B18">
            <v>24041.9</v>
          </cell>
          <cell r="C18">
            <v>22164.799999999999</v>
          </cell>
          <cell r="D18">
            <v>21561.4</v>
          </cell>
          <cell r="E18">
            <v>17984.900000000001</v>
          </cell>
          <cell r="F18">
            <v>22722.3</v>
          </cell>
          <cell r="G18">
            <v>20598.2</v>
          </cell>
          <cell r="H18">
            <v>18519.7</v>
          </cell>
          <cell r="I18">
            <v>16601.900000000001</v>
          </cell>
          <cell r="J18">
            <v>14847.9</v>
          </cell>
          <cell r="K18">
            <v>12449.3</v>
          </cell>
          <cell r="L18">
            <v>11035.9</v>
          </cell>
          <cell r="M18">
            <v>9682.4</v>
          </cell>
          <cell r="N18">
            <v>8363.2999999999993</v>
          </cell>
          <cell r="O18">
            <v>7014.4</v>
          </cell>
          <cell r="P18">
            <v>5928.4</v>
          </cell>
          <cell r="Q18">
            <v>5109.7</v>
          </cell>
          <cell r="R18">
            <v>4115.8</v>
          </cell>
          <cell r="S18">
            <v>3461.1</v>
          </cell>
          <cell r="T18">
            <v>2985.9</v>
          </cell>
        </row>
        <row r="19">
          <cell r="A19" t="str">
            <v>湖南省</v>
          </cell>
          <cell r="B19">
            <v>20203.3</v>
          </cell>
          <cell r="C19">
            <v>19050.7</v>
          </cell>
          <cell r="D19">
            <v>18596.900000000001</v>
          </cell>
          <cell r="E19">
            <v>16258.1</v>
          </cell>
          <cell r="F19">
            <v>16683.900000000001</v>
          </cell>
          <cell r="G19">
            <v>15134.3</v>
          </cell>
          <cell r="H19">
            <v>13793.7</v>
          </cell>
          <cell r="I19">
            <v>12500</v>
          </cell>
          <cell r="J19">
            <v>11241.4</v>
          </cell>
          <cell r="K19">
            <v>10723.5</v>
          </cell>
          <cell r="L19">
            <v>9509.5</v>
          </cell>
          <cell r="M19">
            <v>8318.7000000000007</v>
          </cell>
          <cell r="N19">
            <v>7209</v>
          </cell>
          <cell r="O19">
            <v>5952.6</v>
          </cell>
          <cell r="P19">
            <v>4913.7</v>
          </cell>
          <cell r="Q19">
            <v>4222.6000000000004</v>
          </cell>
          <cell r="R19">
            <v>3419.2</v>
          </cell>
          <cell r="S19">
            <v>2869.4</v>
          </cell>
          <cell r="T19">
            <v>2474.3000000000002</v>
          </cell>
        </row>
        <row r="20">
          <cell r="A20" t="str">
            <v>广东省</v>
          </cell>
          <cell r="B20">
            <v>47494.9</v>
          </cell>
          <cell r="C20">
            <v>44882.9</v>
          </cell>
          <cell r="D20">
            <v>44187.7</v>
          </cell>
          <cell r="E20">
            <v>40207.9</v>
          </cell>
          <cell r="F20">
            <v>42951.8</v>
          </cell>
          <cell r="G20">
            <v>39767.1</v>
          </cell>
          <cell r="H20">
            <v>36598.6</v>
          </cell>
          <cell r="I20">
            <v>33303.199999999997</v>
          </cell>
          <cell r="J20">
            <v>30326.799999999999</v>
          </cell>
          <cell r="K20">
            <v>28471.1</v>
          </cell>
          <cell r="L20">
            <v>25453.9</v>
          </cell>
          <cell r="M20">
            <v>22677.1</v>
          </cell>
          <cell r="N20">
            <v>20297.5</v>
          </cell>
          <cell r="O20">
            <v>17458.400000000001</v>
          </cell>
          <cell r="P20">
            <v>14891.8</v>
          </cell>
          <cell r="Q20">
            <v>12986.6</v>
          </cell>
          <cell r="R20">
            <v>10731.3</v>
          </cell>
          <cell r="S20">
            <v>9194.2999999999993</v>
          </cell>
          <cell r="T20">
            <v>7915.5</v>
          </cell>
        </row>
        <row r="21">
          <cell r="A21" t="str">
            <v>广西壮族自治区</v>
          </cell>
          <cell r="B21">
            <v>8651.6</v>
          </cell>
          <cell r="C21">
            <v>8539.1</v>
          </cell>
          <cell r="D21">
            <v>8538.5</v>
          </cell>
          <cell r="E21">
            <v>7831</v>
          </cell>
          <cell r="F21">
            <v>8200.9</v>
          </cell>
          <cell r="G21">
            <v>7663.5</v>
          </cell>
          <cell r="H21">
            <v>7038</v>
          </cell>
          <cell r="I21">
            <v>6349.8</v>
          </cell>
          <cell r="J21">
            <v>5771.5</v>
          </cell>
          <cell r="K21">
            <v>5772.8</v>
          </cell>
          <cell r="L21">
            <v>5133.1000000000004</v>
          </cell>
          <cell r="M21">
            <v>4516.6000000000004</v>
          </cell>
          <cell r="N21">
            <v>3908.2</v>
          </cell>
          <cell r="O21">
            <v>3312</v>
          </cell>
          <cell r="P21">
            <v>2790.7</v>
          </cell>
          <cell r="Q21">
            <v>2395.8000000000002</v>
          </cell>
          <cell r="R21">
            <v>1932.7</v>
          </cell>
          <cell r="S21">
            <v>1620.3</v>
          </cell>
          <cell r="T21">
            <v>1405.5</v>
          </cell>
        </row>
        <row r="22">
          <cell r="A22" t="str">
            <v>海南省</v>
          </cell>
          <cell r="B22">
            <v>2511.3000000000002</v>
          </cell>
          <cell r="C22">
            <v>2268.4</v>
          </cell>
          <cell r="D22">
            <v>2497.6</v>
          </cell>
          <cell r="E22">
            <v>1974.6</v>
          </cell>
          <cell r="F22">
            <v>1951.1</v>
          </cell>
          <cell r="G22">
            <v>1852.7</v>
          </cell>
          <cell r="H22">
            <v>1729.4</v>
          </cell>
          <cell r="I22">
            <v>1547.3</v>
          </cell>
          <cell r="J22">
            <v>1409.4</v>
          </cell>
          <cell r="K22">
            <v>1224.5</v>
          </cell>
          <cell r="L22">
            <v>1090.9000000000001</v>
          </cell>
          <cell r="M22">
            <v>950.2</v>
          </cell>
          <cell r="N22">
            <v>822.5</v>
          </cell>
          <cell r="O22">
            <v>663.8</v>
          </cell>
          <cell r="P22">
            <v>537.5</v>
          </cell>
          <cell r="Q22">
            <v>463.2</v>
          </cell>
          <cell r="R22">
            <v>370.9</v>
          </cell>
          <cell r="S22">
            <v>313.39999999999998</v>
          </cell>
          <cell r="T22">
            <v>270.8</v>
          </cell>
        </row>
        <row r="23">
          <cell r="A23" t="str">
            <v>重庆市</v>
          </cell>
          <cell r="B23">
            <v>15130.3</v>
          </cell>
          <cell r="C23">
            <v>13926.1</v>
          </cell>
          <cell r="D23">
            <v>13967.7</v>
          </cell>
          <cell r="E23">
            <v>11787.2</v>
          </cell>
          <cell r="F23">
            <v>11631.7</v>
          </cell>
          <cell r="G23">
            <v>10705.2</v>
          </cell>
          <cell r="H23">
            <v>9769.4</v>
          </cell>
          <cell r="I23">
            <v>8728.4</v>
          </cell>
          <cell r="J23">
            <v>7667.6</v>
          </cell>
          <cell r="K23">
            <v>5710.7</v>
          </cell>
          <cell r="L23">
            <v>5055.8</v>
          </cell>
          <cell r="M23">
            <v>4403</v>
          </cell>
          <cell r="N23">
            <v>3782.3</v>
          </cell>
          <cell r="O23">
            <v>3051.1</v>
          </cell>
          <cell r="P23">
            <v>2479</v>
          </cell>
          <cell r="Q23">
            <v>2147.1</v>
          </cell>
          <cell r="R23">
            <v>1711.1</v>
          </cell>
          <cell r="S23">
            <v>1431.5</v>
          </cell>
          <cell r="T23">
            <v>1227.8</v>
          </cell>
        </row>
        <row r="24">
          <cell r="A24" t="str">
            <v>四川省</v>
          </cell>
          <cell r="B24">
            <v>26313.4</v>
          </cell>
          <cell r="C24">
            <v>24104.6</v>
          </cell>
          <cell r="D24">
            <v>24133.200000000001</v>
          </cell>
          <cell r="E24">
            <v>20824.900000000001</v>
          </cell>
          <cell r="F24">
            <v>21343</v>
          </cell>
          <cell r="G24">
            <v>19340.7</v>
          </cell>
          <cell r="H24">
            <v>17404.400000000001</v>
          </cell>
          <cell r="I24">
            <v>15519.7</v>
          </cell>
          <cell r="J24">
            <v>13834.4</v>
          </cell>
          <cell r="K24">
            <v>12393</v>
          </cell>
          <cell r="L24">
            <v>11001</v>
          </cell>
          <cell r="M24">
            <v>9622</v>
          </cell>
          <cell r="N24">
            <v>8290.7999999999993</v>
          </cell>
          <cell r="O24">
            <v>6884.8</v>
          </cell>
          <cell r="P24">
            <v>5758.7</v>
          </cell>
          <cell r="Q24">
            <v>4944.8</v>
          </cell>
          <cell r="R24">
            <v>4105.6000000000004</v>
          </cell>
          <cell r="S24">
            <v>3472.5</v>
          </cell>
          <cell r="T24">
            <v>3003.5</v>
          </cell>
        </row>
        <row r="25">
          <cell r="A25" t="str">
            <v>贵州省</v>
          </cell>
          <cell r="B25">
            <v>9011.2000000000007</v>
          </cell>
          <cell r="C25">
            <v>8507.1</v>
          </cell>
          <cell r="D25">
            <v>8904.2999999999993</v>
          </cell>
          <cell r="E25">
            <v>7833.4</v>
          </cell>
          <cell r="F25">
            <v>7468.2</v>
          </cell>
          <cell r="G25">
            <v>7105</v>
          </cell>
          <cell r="H25">
            <v>6449.4</v>
          </cell>
          <cell r="I25">
            <v>5651.9</v>
          </cell>
          <cell r="J25">
            <v>4925.2</v>
          </cell>
          <cell r="K25">
            <v>2936.9</v>
          </cell>
          <cell r="L25">
            <v>2601.1999999999998</v>
          </cell>
          <cell r="M25">
            <v>2266.3000000000002</v>
          </cell>
          <cell r="N25">
            <v>1899.9</v>
          </cell>
          <cell r="O25">
            <v>1531.6</v>
          </cell>
          <cell r="P25">
            <v>1247.3</v>
          </cell>
          <cell r="Q25">
            <v>1075.2</v>
          </cell>
          <cell r="R25">
            <v>858.2</v>
          </cell>
          <cell r="S25">
            <v>710</v>
          </cell>
          <cell r="T25">
            <v>615.70000000000005</v>
          </cell>
        </row>
        <row r="26">
          <cell r="A26" t="str">
            <v>云南省</v>
          </cell>
          <cell r="B26">
            <v>11560.7</v>
          </cell>
          <cell r="C26">
            <v>10838.8</v>
          </cell>
          <cell r="D26">
            <v>10731.8</v>
          </cell>
          <cell r="E26">
            <v>9792.9</v>
          </cell>
          <cell r="F26">
            <v>10158.200000000001</v>
          </cell>
          <cell r="G26">
            <v>9197.2999999999993</v>
          </cell>
          <cell r="H26">
            <v>8194.7999999999993</v>
          </cell>
          <cell r="I26">
            <v>7222.7</v>
          </cell>
          <cell r="J26">
            <v>6390.8</v>
          </cell>
          <cell r="K26">
            <v>4632.8999999999996</v>
          </cell>
          <cell r="L26">
            <v>4112.6000000000004</v>
          </cell>
          <cell r="M26">
            <v>3597.9</v>
          </cell>
          <cell r="N26">
            <v>3105.9</v>
          </cell>
          <cell r="O26">
            <v>2555.8000000000002</v>
          </cell>
          <cell r="P26">
            <v>2051.1</v>
          </cell>
          <cell r="Q26">
            <v>1764.7</v>
          </cell>
          <cell r="R26">
            <v>1422.5</v>
          </cell>
          <cell r="S26">
            <v>1204.8</v>
          </cell>
          <cell r="T26">
            <v>1041.3</v>
          </cell>
        </row>
        <row r="27">
          <cell r="A27" t="str">
            <v>西藏自治区</v>
          </cell>
          <cell r="B27">
            <v>879.8</v>
          </cell>
          <cell r="C27">
            <v>726.5</v>
          </cell>
          <cell r="D27">
            <v>810.3</v>
          </cell>
          <cell r="E27">
            <v>745.8</v>
          </cell>
          <cell r="F27">
            <v>773.4</v>
          </cell>
          <cell r="G27">
            <v>711.8</v>
          </cell>
          <cell r="H27">
            <v>618.79999999999995</v>
          </cell>
          <cell r="I27">
            <v>539.1</v>
          </cell>
          <cell r="J27">
            <v>477.1</v>
          </cell>
          <cell r="K27">
            <v>364.5</v>
          </cell>
          <cell r="L27">
            <v>322.2</v>
          </cell>
          <cell r="M27">
            <v>277.89999999999998</v>
          </cell>
          <cell r="N27">
            <v>237.5</v>
          </cell>
          <cell r="O27">
            <v>192.4</v>
          </cell>
          <cell r="P27">
            <v>156.6</v>
          </cell>
          <cell r="Q27">
            <v>130</v>
          </cell>
          <cell r="R27">
            <v>112.6</v>
          </cell>
          <cell r="S27">
            <v>90</v>
          </cell>
          <cell r="T27">
            <v>73.2</v>
          </cell>
        </row>
        <row r="28">
          <cell r="A28" t="str">
            <v>陕西省</v>
          </cell>
          <cell r="B28">
            <v>10759</v>
          </cell>
          <cell r="C28">
            <v>10401.6</v>
          </cell>
          <cell r="D28">
            <v>10250.5</v>
          </cell>
          <cell r="E28">
            <v>9605.9</v>
          </cell>
          <cell r="F28">
            <v>10213</v>
          </cell>
          <cell r="G28">
            <v>9510.2999999999993</v>
          </cell>
          <cell r="H28">
            <v>8611.2000000000007</v>
          </cell>
          <cell r="I28">
            <v>7680.7</v>
          </cell>
          <cell r="J28">
            <v>6859.1</v>
          </cell>
          <cell r="K28">
            <v>5918.7</v>
          </cell>
          <cell r="L28">
            <v>5245</v>
          </cell>
          <cell r="M28">
            <v>4581.6000000000004</v>
          </cell>
          <cell r="N28">
            <v>3900.6</v>
          </cell>
          <cell r="O28">
            <v>3257.5</v>
          </cell>
          <cell r="P28">
            <v>2699.7</v>
          </cell>
          <cell r="Q28">
            <v>2317.1</v>
          </cell>
          <cell r="R28">
            <v>1837.3</v>
          </cell>
          <cell r="S28">
            <v>1542.4</v>
          </cell>
          <cell r="T28">
            <v>1331.3</v>
          </cell>
        </row>
        <row r="29">
          <cell r="A29" t="str">
            <v>甘肃省</v>
          </cell>
          <cell r="B29">
            <v>4329.7</v>
          </cell>
          <cell r="C29">
            <v>3922.2</v>
          </cell>
          <cell r="D29">
            <v>4037.1</v>
          </cell>
          <cell r="E29">
            <v>3632.4</v>
          </cell>
          <cell r="F29">
            <v>3700.3</v>
          </cell>
          <cell r="G29">
            <v>3435.6</v>
          </cell>
          <cell r="H29">
            <v>3206.2</v>
          </cell>
          <cell r="I29">
            <v>2984.2</v>
          </cell>
          <cell r="J29">
            <v>2737.1</v>
          </cell>
          <cell r="K29">
            <v>2668.3</v>
          </cell>
          <cell r="L29">
            <v>2368.8000000000002</v>
          </cell>
          <cell r="M29">
            <v>2064.4</v>
          </cell>
          <cell r="N29">
            <v>1772.9</v>
          </cell>
          <cell r="O29">
            <v>1435.5</v>
          </cell>
          <cell r="P29">
            <v>1183</v>
          </cell>
          <cell r="Q29">
            <v>1023.6</v>
          </cell>
          <cell r="R29">
            <v>854.4</v>
          </cell>
          <cell r="S29">
            <v>729.5</v>
          </cell>
          <cell r="T29">
            <v>638.1</v>
          </cell>
        </row>
        <row r="30">
          <cell r="A30" t="str">
            <v>青海省</v>
          </cell>
          <cell r="B30">
            <v>987.7</v>
          </cell>
          <cell r="C30">
            <v>842.1</v>
          </cell>
          <cell r="D30">
            <v>947.8</v>
          </cell>
          <cell r="E30">
            <v>877.3</v>
          </cell>
          <cell r="F30">
            <v>948.5</v>
          </cell>
          <cell r="G30">
            <v>899.9</v>
          </cell>
          <cell r="H30">
            <v>842.9</v>
          </cell>
          <cell r="I30">
            <v>769.9</v>
          </cell>
          <cell r="J30">
            <v>694.6</v>
          </cell>
          <cell r="K30">
            <v>620.79999999999995</v>
          </cell>
          <cell r="L30">
            <v>549.6</v>
          </cell>
          <cell r="M30">
            <v>480.3</v>
          </cell>
          <cell r="N30">
            <v>413.4</v>
          </cell>
          <cell r="O30">
            <v>351</v>
          </cell>
          <cell r="P30">
            <v>300.5</v>
          </cell>
          <cell r="Q30">
            <v>259.7</v>
          </cell>
          <cell r="R30">
            <v>212.6</v>
          </cell>
          <cell r="S30">
            <v>182.6</v>
          </cell>
          <cell r="T30">
            <v>161.6</v>
          </cell>
        </row>
        <row r="31">
          <cell r="A31" t="str">
            <v>宁夏回族自治区</v>
          </cell>
          <cell r="B31">
            <v>1354.9</v>
          </cell>
          <cell r="C31">
            <v>1338.4</v>
          </cell>
          <cell r="D31">
            <v>1335.1</v>
          </cell>
          <cell r="E31">
            <v>1301.4000000000001</v>
          </cell>
          <cell r="F31">
            <v>1399.4</v>
          </cell>
          <cell r="G31">
            <v>1330.1</v>
          </cell>
          <cell r="H31">
            <v>1253.7</v>
          </cell>
          <cell r="I31">
            <v>1130.5999999999999</v>
          </cell>
          <cell r="J31">
            <v>1039.8</v>
          </cell>
          <cell r="K31">
            <v>737.2</v>
          </cell>
          <cell r="L31">
            <v>668.5</v>
          </cell>
          <cell r="M31">
            <v>590.5</v>
          </cell>
          <cell r="N31">
            <v>515.5</v>
          </cell>
          <cell r="O31">
            <v>418.5</v>
          </cell>
          <cell r="P31">
            <v>339.3</v>
          </cell>
          <cell r="Q31">
            <v>295.39999999999998</v>
          </cell>
          <cell r="R31">
            <v>239.5</v>
          </cell>
          <cell r="S31">
            <v>202.5</v>
          </cell>
          <cell r="T31">
            <v>175.8</v>
          </cell>
        </row>
        <row r="32">
          <cell r="A32" t="str">
            <v>新疆维吾尔自治区</v>
          </cell>
          <cell r="B32">
            <v>3849.7</v>
          </cell>
          <cell r="C32">
            <v>3240.5</v>
          </cell>
          <cell r="D32">
            <v>3584.6</v>
          </cell>
          <cell r="E32">
            <v>3062.5</v>
          </cell>
          <cell r="F32">
            <v>3617</v>
          </cell>
          <cell r="G32">
            <v>3429.1</v>
          </cell>
          <cell r="H32">
            <v>3249.8</v>
          </cell>
          <cell r="I32">
            <v>3005.2</v>
          </cell>
          <cell r="J32">
            <v>2769.6</v>
          </cell>
          <cell r="K32">
            <v>2436.5</v>
          </cell>
          <cell r="L32">
            <v>2179.5</v>
          </cell>
          <cell r="M32">
            <v>1916.1</v>
          </cell>
          <cell r="N32">
            <v>1662.4</v>
          </cell>
          <cell r="O32">
            <v>1386.1</v>
          </cell>
          <cell r="P32">
            <v>1177.5</v>
          </cell>
          <cell r="Q32">
            <v>1041.5</v>
          </cell>
          <cell r="R32">
            <v>857.5</v>
          </cell>
          <cell r="S32">
            <v>733.2</v>
          </cell>
          <cell r="T32">
            <v>640.20000000000005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100</v>
          </cell>
          <cell r="C2">
            <v>99.81</v>
          </cell>
          <cell r="D2">
            <v>98.8</v>
          </cell>
          <cell r="E2">
            <v>98.39</v>
          </cell>
          <cell r="F2">
            <v>99.06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123.36</v>
          </cell>
          <cell r="T2">
            <v>100</v>
          </cell>
        </row>
        <row r="3">
          <cell r="A3" t="str">
            <v>天津市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100.26</v>
          </cell>
          <cell r="T3">
            <v>100</v>
          </cell>
        </row>
        <row r="4">
          <cell r="A4" t="str">
            <v>河北省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99.98</v>
          </cell>
          <cell r="G4">
            <v>99.7</v>
          </cell>
          <cell r="H4">
            <v>99.05</v>
          </cell>
          <cell r="I4">
            <v>99.52</v>
          </cell>
          <cell r="J4">
            <v>99.56</v>
          </cell>
          <cell r="K4">
            <v>99.29</v>
          </cell>
          <cell r="L4">
            <v>99.85</v>
          </cell>
          <cell r="M4">
            <v>99.96</v>
          </cell>
          <cell r="N4">
            <v>100</v>
          </cell>
          <cell r="O4">
            <v>99.97</v>
          </cell>
          <cell r="P4">
            <v>99.97</v>
          </cell>
          <cell r="Q4">
            <v>99.97</v>
          </cell>
          <cell r="R4">
            <v>99.97</v>
          </cell>
          <cell r="S4">
            <v>92.01</v>
          </cell>
          <cell r="T4">
            <v>99.95</v>
          </cell>
        </row>
        <row r="5">
          <cell r="A5" t="str">
            <v>山西省</v>
          </cell>
          <cell r="B5">
            <v>98.35</v>
          </cell>
          <cell r="C5">
            <v>98.66</v>
          </cell>
          <cell r="D5">
            <v>99.53</v>
          </cell>
          <cell r="E5">
            <v>99.6</v>
          </cell>
          <cell r="F5">
            <v>99.28</v>
          </cell>
          <cell r="G5">
            <v>99.7</v>
          </cell>
          <cell r="H5">
            <v>97.81</v>
          </cell>
          <cell r="I5">
            <v>99.29</v>
          </cell>
          <cell r="J5">
            <v>98.85</v>
          </cell>
          <cell r="K5">
            <v>98.54</v>
          </cell>
          <cell r="L5">
            <v>98.14</v>
          </cell>
          <cell r="M5">
            <v>97.64</v>
          </cell>
          <cell r="N5">
            <v>97.48</v>
          </cell>
          <cell r="O5">
            <v>97.26</v>
          </cell>
          <cell r="P5">
            <v>95.38</v>
          </cell>
          <cell r="Q5">
            <v>93.27</v>
          </cell>
          <cell r="R5">
            <v>92.96</v>
          </cell>
          <cell r="S5">
            <v>89.58</v>
          </cell>
          <cell r="T5">
            <v>90.32</v>
          </cell>
        </row>
        <row r="6">
          <cell r="A6" t="str">
            <v>内蒙古自治区</v>
          </cell>
          <cell r="B6">
            <v>99.13</v>
          </cell>
          <cell r="C6">
            <v>99.7</v>
          </cell>
          <cell r="D6">
            <v>99.58</v>
          </cell>
          <cell r="E6">
            <v>99.5</v>
          </cell>
          <cell r="F6">
            <v>99.27</v>
          </cell>
          <cell r="G6">
            <v>99.23</v>
          </cell>
          <cell r="H6">
            <v>99.1</v>
          </cell>
          <cell r="I6">
            <v>98.98</v>
          </cell>
          <cell r="J6">
            <v>98.47</v>
          </cell>
          <cell r="K6">
            <v>97.79</v>
          </cell>
          <cell r="L6">
            <v>96.23</v>
          </cell>
          <cell r="M6">
            <v>94.43</v>
          </cell>
          <cell r="N6">
            <v>91.39</v>
          </cell>
          <cell r="O6">
            <v>87.97</v>
          </cell>
          <cell r="P6">
            <v>87.89</v>
          </cell>
          <cell r="Q6">
            <v>82.03</v>
          </cell>
          <cell r="R6">
            <v>81.45</v>
          </cell>
          <cell r="S6">
            <v>80.67</v>
          </cell>
          <cell r="T6">
            <v>83.88</v>
          </cell>
        </row>
        <row r="7">
          <cell r="A7" t="str">
            <v>辽宁省</v>
          </cell>
          <cell r="B7">
            <v>97.22</v>
          </cell>
          <cell r="C7">
            <v>98.99</v>
          </cell>
          <cell r="D7">
            <v>99.66</v>
          </cell>
          <cell r="E7">
            <v>99.71</v>
          </cell>
          <cell r="F7">
            <v>99.16</v>
          </cell>
          <cell r="G7">
            <v>99.16</v>
          </cell>
          <cell r="H7">
            <v>98.45</v>
          </cell>
          <cell r="I7">
            <v>98.96</v>
          </cell>
          <cell r="J7">
            <v>98.84</v>
          </cell>
          <cell r="K7">
            <v>98.72</v>
          </cell>
          <cell r="L7">
            <v>98.77</v>
          </cell>
          <cell r="M7">
            <v>98.45</v>
          </cell>
          <cell r="N7">
            <v>98.36</v>
          </cell>
          <cell r="O7">
            <v>97.44</v>
          </cell>
          <cell r="P7">
            <v>97.23</v>
          </cell>
          <cell r="Q7">
            <v>96.89</v>
          </cell>
          <cell r="R7">
            <v>96.94</v>
          </cell>
          <cell r="S7">
            <v>92.14</v>
          </cell>
          <cell r="T7">
            <v>93.83</v>
          </cell>
        </row>
        <row r="8">
          <cell r="A8" t="str">
            <v>吉林省</v>
          </cell>
          <cell r="B8">
            <v>96.35</v>
          </cell>
          <cell r="C8">
            <v>96.46</v>
          </cell>
          <cell r="D8">
            <v>95.91</v>
          </cell>
          <cell r="E8">
            <v>95.6</v>
          </cell>
          <cell r="F8">
            <v>94.7</v>
          </cell>
          <cell r="G8">
            <v>93.89</v>
          </cell>
          <cell r="H8">
            <v>94.85</v>
          </cell>
          <cell r="I8">
            <v>93.4</v>
          </cell>
          <cell r="J8">
            <v>93.64</v>
          </cell>
          <cell r="K8">
            <v>93.79</v>
          </cell>
          <cell r="L8">
            <v>93.84</v>
          </cell>
          <cell r="M8">
            <v>92.38</v>
          </cell>
          <cell r="N8">
            <v>92.71</v>
          </cell>
          <cell r="O8">
            <v>89.6</v>
          </cell>
          <cell r="P8">
            <v>88.75</v>
          </cell>
          <cell r="Q8">
            <v>88.63</v>
          </cell>
          <cell r="R8">
            <v>88.03</v>
          </cell>
          <cell r="S8">
            <v>80.53</v>
          </cell>
          <cell r="T8">
            <v>83.2</v>
          </cell>
        </row>
        <row r="9">
          <cell r="A9" t="str">
            <v>黑龙江省</v>
          </cell>
          <cell r="B9">
            <v>99.39</v>
          </cell>
          <cell r="C9">
            <v>99.1</v>
          </cell>
          <cell r="D9">
            <v>99.17</v>
          </cell>
          <cell r="E9">
            <v>98.99</v>
          </cell>
          <cell r="F9">
            <v>98.79</v>
          </cell>
          <cell r="G9">
            <v>98.48</v>
          </cell>
          <cell r="H9">
            <v>98.53</v>
          </cell>
          <cell r="I9">
            <v>97.25</v>
          </cell>
          <cell r="J9">
            <v>97.2</v>
          </cell>
          <cell r="K9">
            <v>96.2</v>
          </cell>
          <cell r="L9">
            <v>95.46</v>
          </cell>
          <cell r="M9">
            <v>94.14</v>
          </cell>
          <cell r="N9">
            <v>90.78</v>
          </cell>
          <cell r="O9">
            <v>88.43</v>
          </cell>
          <cell r="P9">
            <v>86.56</v>
          </cell>
          <cell r="Q9">
            <v>84.24</v>
          </cell>
          <cell r="R9">
            <v>81.84</v>
          </cell>
          <cell r="S9">
            <v>79.2</v>
          </cell>
          <cell r="T9">
            <v>79.55</v>
          </cell>
        </row>
        <row r="10">
          <cell r="A10" t="str">
            <v>上海市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99.98</v>
          </cell>
        </row>
        <row r="11">
          <cell r="A11" t="str">
            <v>江苏省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99.98</v>
          </cell>
          <cell r="H11">
            <v>99.98</v>
          </cell>
          <cell r="I11">
            <v>99.86</v>
          </cell>
          <cell r="J11">
            <v>99.83</v>
          </cell>
          <cell r="K11">
            <v>99.75</v>
          </cell>
          <cell r="L11">
            <v>99.69</v>
          </cell>
          <cell r="M11">
            <v>99.7</v>
          </cell>
          <cell r="N11">
            <v>99.58</v>
          </cell>
          <cell r="O11">
            <v>99.56</v>
          </cell>
          <cell r="P11">
            <v>99.65</v>
          </cell>
          <cell r="Q11">
            <v>99.88</v>
          </cell>
          <cell r="R11">
            <v>99.47</v>
          </cell>
          <cell r="S11">
            <v>81.99</v>
          </cell>
          <cell r="T11">
            <v>96.28</v>
          </cell>
        </row>
        <row r="12">
          <cell r="A12" t="str">
            <v>浙江省</v>
          </cell>
          <cell r="B12">
            <v>100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99.97</v>
          </cell>
          <cell r="J12">
            <v>99.95</v>
          </cell>
          <cell r="K12">
            <v>99.93</v>
          </cell>
          <cell r="L12">
            <v>99.97</v>
          </cell>
          <cell r="M12">
            <v>99.88</v>
          </cell>
          <cell r="N12">
            <v>99.84</v>
          </cell>
          <cell r="O12">
            <v>99.79</v>
          </cell>
          <cell r="P12">
            <v>99.81</v>
          </cell>
          <cell r="Q12">
            <v>99.7</v>
          </cell>
          <cell r="R12">
            <v>99.58</v>
          </cell>
          <cell r="S12">
            <v>70.959999999999994</v>
          </cell>
          <cell r="T12">
            <v>99.1</v>
          </cell>
        </row>
        <row r="13">
          <cell r="A13" t="str">
            <v>安徽省</v>
          </cell>
          <cell r="B13">
            <v>98.42</v>
          </cell>
          <cell r="C13">
            <v>99.76</v>
          </cell>
          <cell r="D13">
            <v>99.81</v>
          </cell>
          <cell r="E13">
            <v>99.6</v>
          </cell>
          <cell r="F13">
            <v>99.36</v>
          </cell>
          <cell r="G13">
            <v>99.75</v>
          </cell>
          <cell r="H13">
            <v>99.43</v>
          </cell>
          <cell r="I13">
            <v>99.2</v>
          </cell>
          <cell r="J13">
            <v>98.79</v>
          </cell>
          <cell r="K13">
            <v>98.63</v>
          </cell>
          <cell r="L13">
            <v>98.4</v>
          </cell>
          <cell r="M13">
            <v>98.02</v>
          </cell>
          <cell r="N13">
            <v>96.55</v>
          </cell>
          <cell r="O13">
            <v>96.06</v>
          </cell>
          <cell r="P13">
            <v>95.25</v>
          </cell>
          <cell r="Q13">
            <v>95.11</v>
          </cell>
          <cell r="R13">
            <v>94.4</v>
          </cell>
          <cell r="S13">
            <v>89.93</v>
          </cell>
          <cell r="T13">
            <v>90.52</v>
          </cell>
        </row>
        <row r="14">
          <cell r="A14" t="str">
            <v>福建省</v>
          </cell>
          <cell r="B14">
            <v>99.97</v>
          </cell>
          <cell r="C14">
            <v>99.97</v>
          </cell>
          <cell r="D14">
            <v>99.92</v>
          </cell>
          <cell r="E14">
            <v>99.9</v>
          </cell>
          <cell r="F14">
            <v>99.86</v>
          </cell>
          <cell r="G14">
            <v>99.69</v>
          </cell>
          <cell r="H14">
            <v>99.56</v>
          </cell>
          <cell r="I14">
            <v>99.52</v>
          </cell>
          <cell r="J14">
            <v>99.55</v>
          </cell>
          <cell r="K14">
            <v>99.49</v>
          </cell>
          <cell r="L14">
            <v>99.42</v>
          </cell>
          <cell r="M14">
            <v>99.13</v>
          </cell>
          <cell r="N14">
            <v>99.11</v>
          </cell>
          <cell r="O14">
            <v>99.5</v>
          </cell>
          <cell r="P14">
            <v>99.18</v>
          </cell>
          <cell r="Q14">
            <v>97.47</v>
          </cell>
          <cell r="R14">
            <v>98.86</v>
          </cell>
          <cell r="S14">
            <v>78.37</v>
          </cell>
          <cell r="T14">
            <v>98.68</v>
          </cell>
        </row>
        <row r="15">
          <cell r="A15" t="str">
            <v>江西省</v>
          </cell>
          <cell r="B15">
            <v>99.5</v>
          </cell>
          <cell r="C15">
            <v>99.37</v>
          </cell>
          <cell r="D15">
            <v>99.17</v>
          </cell>
          <cell r="E15">
            <v>98.62</v>
          </cell>
          <cell r="F15">
            <v>98.45</v>
          </cell>
          <cell r="G15">
            <v>98.31</v>
          </cell>
          <cell r="H15">
            <v>98.11</v>
          </cell>
          <cell r="I15">
            <v>97.69</v>
          </cell>
          <cell r="J15">
            <v>97.55</v>
          </cell>
          <cell r="K15">
            <v>97.78</v>
          </cell>
          <cell r="L15">
            <v>97.73</v>
          </cell>
          <cell r="M15">
            <v>97.67</v>
          </cell>
          <cell r="N15">
            <v>97.94</v>
          </cell>
          <cell r="O15">
            <v>97.43</v>
          </cell>
          <cell r="P15">
            <v>98</v>
          </cell>
          <cell r="Q15">
            <v>96.49</v>
          </cell>
          <cell r="R15">
            <v>94.59</v>
          </cell>
          <cell r="S15">
            <v>91.34</v>
          </cell>
          <cell r="T15">
            <v>92.64</v>
          </cell>
        </row>
        <row r="16">
          <cell r="A16" t="str">
            <v>山东省</v>
          </cell>
          <cell r="B16">
            <v>99.92</v>
          </cell>
          <cell r="C16">
            <v>99.92</v>
          </cell>
          <cell r="D16">
            <v>99.88</v>
          </cell>
          <cell r="E16">
            <v>99.84</v>
          </cell>
          <cell r="F16">
            <v>99.73</v>
          </cell>
          <cell r="G16">
            <v>99.4</v>
          </cell>
          <cell r="H16">
            <v>99.82</v>
          </cell>
          <cell r="I16">
            <v>99.78</v>
          </cell>
          <cell r="J16">
            <v>99.95</v>
          </cell>
          <cell r="K16">
            <v>99.92</v>
          </cell>
          <cell r="L16">
            <v>99.85</v>
          </cell>
          <cell r="M16">
            <v>99.85</v>
          </cell>
          <cell r="N16">
            <v>99.74</v>
          </cell>
          <cell r="O16">
            <v>99.57</v>
          </cell>
          <cell r="P16">
            <v>99.47</v>
          </cell>
          <cell r="Q16">
            <v>99.39</v>
          </cell>
          <cell r="R16">
            <v>98.79</v>
          </cell>
          <cell r="S16">
            <v>97.17</v>
          </cell>
          <cell r="T16">
            <v>77.39</v>
          </cell>
        </row>
        <row r="17">
          <cell r="A17" t="str">
            <v>河南省</v>
          </cell>
          <cell r="B17">
            <v>99.45</v>
          </cell>
          <cell r="C17">
            <v>99.3</v>
          </cell>
          <cell r="D17">
            <v>99.32</v>
          </cell>
          <cell r="E17">
            <v>98.19</v>
          </cell>
          <cell r="F17">
            <v>97.38</v>
          </cell>
          <cell r="G17">
            <v>96.65</v>
          </cell>
          <cell r="H17">
            <v>95.88</v>
          </cell>
          <cell r="I17">
            <v>93.42</v>
          </cell>
          <cell r="J17">
            <v>93.1</v>
          </cell>
          <cell r="K17">
            <v>92.99</v>
          </cell>
          <cell r="L17">
            <v>92.16</v>
          </cell>
          <cell r="M17">
            <v>91.76</v>
          </cell>
          <cell r="N17">
            <v>92.64</v>
          </cell>
          <cell r="O17">
            <v>91.03</v>
          </cell>
          <cell r="P17">
            <v>88.34</v>
          </cell>
          <cell r="Q17">
            <v>85.56</v>
          </cell>
          <cell r="R17">
            <v>88.63</v>
          </cell>
          <cell r="S17">
            <v>87.16</v>
          </cell>
          <cell r="T17">
            <v>91.94</v>
          </cell>
        </row>
        <row r="18">
          <cell r="A18" t="str">
            <v>湖北省</v>
          </cell>
          <cell r="B18">
            <v>99.95</v>
          </cell>
          <cell r="C18">
            <v>99.93</v>
          </cell>
          <cell r="D18">
            <v>99.87</v>
          </cell>
          <cell r="E18">
            <v>99.56</v>
          </cell>
          <cell r="F18">
            <v>99.16</v>
          </cell>
          <cell r="G18">
            <v>99.37</v>
          </cell>
          <cell r="H18">
            <v>99.27</v>
          </cell>
          <cell r="I18">
            <v>99.12</v>
          </cell>
          <cell r="J18">
            <v>98.83</v>
          </cell>
          <cell r="K18">
            <v>98.75</v>
          </cell>
          <cell r="L18">
            <v>98.19</v>
          </cell>
          <cell r="M18">
            <v>98.24</v>
          </cell>
          <cell r="N18">
            <v>98.25</v>
          </cell>
          <cell r="O18">
            <v>97.59</v>
          </cell>
          <cell r="P18">
            <v>97.45</v>
          </cell>
          <cell r="Q18">
            <v>97.88</v>
          </cell>
          <cell r="R18">
            <v>97.56</v>
          </cell>
          <cell r="S18">
            <v>91.45</v>
          </cell>
          <cell r="T18">
            <v>77.62</v>
          </cell>
        </row>
        <row r="19">
          <cell r="A19" t="str">
            <v>湖南省</v>
          </cell>
          <cell r="B19">
            <v>99.86</v>
          </cell>
          <cell r="C19">
            <v>99.01</v>
          </cell>
          <cell r="D19">
            <v>98.99</v>
          </cell>
          <cell r="E19">
            <v>98.94</v>
          </cell>
          <cell r="F19">
            <v>97.71</v>
          </cell>
          <cell r="G19">
            <v>96.35</v>
          </cell>
          <cell r="H19">
            <v>96.52</v>
          </cell>
          <cell r="I19">
            <v>96.81</v>
          </cell>
          <cell r="J19">
            <v>97.3</v>
          </cell>
          <cell r="K19">
            <v>97.05</v>
          </cell>
          <cell r="L19">
            <v>96.86</v>
          </cell>
          <cell r="M19">
            <v>96.42</v>
          </cell>
          <cell r="N19">
            <v>95.68</v>
          </cell>
          <cell r="O19">
            <v>95.17</v>
          </cell>
          <cell r="P19">
            <v>94.82</v>
          </cell>
          <cell r="Q19">
            <v>94.57</v>
          </cell>
          <cell r="R19">
            <v>93.71</v>
          </cell>
          <cell r="S19">
            <v>90.27</v>
          </cell>
          <cell r="T19">
            <v>91.11</v>
          </cell>
        </row>
        <row r="20">
          <cell r="A20" t="str">
            <v>广东省</v>
          </cell>
          <cell r="B20">
            <v>99.7</v>
          </cell>
          <cell r="C20">
            <v>99.74</v>
          </cell>
          <cell r="D20">
            <v>100</v>
          </cell>
          <cell r="E20">
            <v>98.49</v>
          </cell>
          <cell r="F20">
            <v>99.06</v>
          </cell>
          <cell r="G20">
            <v>97.3</v>
          </cell>
          <cell r="H20">
            <v>97.8</v>
          </cell>
          <cell r="I20">
            <v>98.06</v>
          </cell>
          <cell r="J20">
            <v>98.46</v>
          </cell>
          <cell r="K20">
            <v>97.26</v>
          </cell>
          <cell r="L20">
            <v>97.47</v>
          </cell>
          <cell r="M20">
            <v>97.62</v>
          </cell>
          <cell r="N20">
            <v>98.39</v>
          </cell>
          <cell r="O20">
            <v>98.37</v>
          </cell>
          <cell r="P20">
            <v>97.7</v>
          </cell>
          <cell r="Q20">
            <v>93.97</v>
          </cell>
          <cell r="R20">
            <v>84.8</v>
          </cell>
          <cell r="S20">
            <v>76.599999999999994</v>
          </cell>
          <cell r="T20">
            <v>98.8</v>
          </cell>
        </row>
        <row r="21">
          <cell r="A21" t="str">
            <v>广西壮族自治区</v>
          </cell>
          <cell r="B21">
            <v>99.89</v>
          </cell>
          <cell r="C21">
            <v>99.91</v>
          </cell>
          <cell r="D21">
            <v>99.81</v>
          </cell>
          <cell r="E21">
            <v>99.68</v>
          </cell>
          <cell r="F21">
            <v>98.88</v>
          </cell>
          <cell r="G21">
            <v>97.8</v>
          </cell>
          <cell r="H21">
            <v>97.63</v>
          </cell>
          <cell r="I21">
            <v>97.7</v>
          </cell>
          <cell r="J21">
            <v>97.5</v>
          </cell>
          <cell r="K21">
            <v>94.4</v>
          </cell>
          <cell r="L21">
            <v>95.91</v>
          </cell>
          <cell r="M21">
            <v>95.3</v>
          </cell>
          <cell r="N21">
            <v>93.91</v>
          </cell>
          <cell r="O21">
            <v>94.65</v>
          </cell>
          <cell r="P21">
            <v>94.43</v>
          </cell>
          <cell r="Q21">
            <v>92.87</v>
          </cell>
          <cell r="R21">
            <v>91.89</v>
          </cell>
          <cell r="S21">
            <v>79.849999999999994</v>
          </cell>
          <cell r="T21">
            <v>82.28</v>
          </cell>
        </row>
        <row r="22">
          <cell r="A22" t="str">
            <v>海南省</v>
          </cell>
          <cell r="B22">
            <v>99.85</v>
          </cell>
          <cell r="C22">
            <v>99.95</v>
          </cell>
          <cell r="D22">
            <v>95.73</v>
          </cell>
          <cell r="E22">
            <v>98.02</v>
          </cell>
          <cell r="F22">
            <v>98.47</v>
          </cell>
          <cell r="G22">
            <v>97.04</v>
          </cell>
          <cell r="H22">
            <v>98.4</v>
          </cell>
          <cell r="I22">
            <v>97.41</v>
          </cell>
          <cell r="J22">
            <v>98.64</v>
          </cell>
          <cell r="K22">
            <v>98.1</v>
          </cell>
          <cell r="L22">
            <v>98.38</v>
          </cell>
          <cell r="M22">
            <v>97.74</v>
          </cell>
          <cell r="N22">
            <v>96.09</v>
          </cell>
          <cell r="O22">
            <v>89.43</v>
          </cell>
          <cell r="P22">
            <v>89.65</v>
          </cell>
          <cell r="Q22">
            <v>83.87</v>
          </cell>
          <cell r="R22">
            <v>77.150000000000006</v>
          </cell>
          <cell r="S22">
            <v>80.400000000000006</v>
          </cell>
          <cell r="T22">
            <v>85.97</v>
          </cell>
        </row>
        <row r="23">
          <cell r="A23" t="str">
            <v>重庆市</v>
          </cell>
          <cell r="B23">
            <v>99.92</v>
          </cell>
          <cell r="C23">
            <v>98.57</v>
          </cell>
          <cell r="D23">
            <v>96.26</v>
          </cell>
          <cell r="E23">
            <v>94.69</v>
          </cell>
          <cell r="F23">
            <v>97.89</v>
          </cell>
          <cell r="G23">
            <v>98.28</v>
          </cell>
          <cell r="H23">
            <v>98.05</v>
          </cell>
          <cell r="I23">
            <v>97.13</v>
          </cell>
          <cell r="J23">
            <v>96.87</v>
          </cell>
          <cell r="K23">
            <v>96.78</v>
          </cell>
          <cell r="L23">
            <v>96.25</v>
          </cell>
          <cell r="M23">
            <v>93.84</v>
          </cell>
          <cell r="N23">
            <v>93.41</v>
          </cell>
          <cell r="O23">
            <v>94.05</v>
          </cell>
          <cell r="P23">
            <v>94.6</v>
          </cell>
          <cell r="Q23">
            <v>93.2</v>
          </cell>
          <cell r="R23">
            <v>91.49</v>
          </cell>
          <cell r="S23">
            <v>81.38</v>
          </cell>
          <cell r="T23">
            <v>79.38</v>
          </cell>
        </row>
        <row r="24">
          <cell r="A24" t="str">
            <v>四川省</v>
          </cell>
          <cell r="B24">
            <v>99.01</v>
          </cell>
          <cell r="C24">
            <v>97.18</v>
          </cell>
          <cell r="D24">
            <v>98.66</v>
          </cell>
          <cell r="E24">
            <v>98.28</v>
          </cell>
          <cell r="F24">
            <v>95.89</v>
          </cell>
          <cell r="G24">
            <v>95.7</v>
          </cell>
          <cell r="H24">
            <v>94.91</v>
          </cell>
          <cell r="I24">
            <v>93.07</v>
          </cell>
          <cell r="J24">
            <v>93.05</v>
          </cell>
          <cell r="K24">
            <v>91.12</v>
          </cell>
          <cell r="L24">
            <v>91.76</v>
          </cell>
          <cell r="M24">
            <v>92.04</v>
          </cell>
          <cell r="N24">
            <v>91.83</v>
          </cell>
          <cell r="O24">
            <v>90.8</v>
          </cell>
          <cell r="P24">
            <v>89.68</v>
          </cell>
          <cell r="Q24">
            <v>88.09</v>
          </cell>
          <cell r="R24">
            <v>86.55</v>
          </cell>
          <cell r="S24">
            <v>80.83</v>
          </cell>
          <cell r="T24">
            <v>97.22</v>
          </cell>
        </row>
        <row r="25">
          <cell r="A25" t="str">
            <v>贵州省</v>
          </cell>
          <cell r="B25">
            <v>98.1</v>
          </cell>
          <cell r="C25">
            <v>98.88</v>
          </cell>
          <cell r="D25">
            <v>98.44</v>
          </cell>
          <cell r="E25">
            <v>98.9</v>
          </cell>
          <cell r="F25">
            <v>98.33</v>
          </cell>
          <cell r="G25">
            <v>96.68</v>
          </cell>
          <cell r="H25">
            <v>96.54</v>
          </cell>
          <cell r="I25">
            <v>96.03</v>
          </cell>
          <cell r="J25">
            <v>95.43</v>
          </cell>
          <cell r="K25">
            <v>94.47</v>
          </cell>
          <cell r="L25">
            <v>92.86</v>
          </cell>
          <cell r="M25">
            <v>92.07</v>
          </cell>
          <cell r="N25">
            <v>91.55</v>
          </cell>
          <cell r="O25">
            <v>94.1</v>
          </cell>
          <cell r="P25">
            <v>92.09</v>
          </cell>
          <cell r="Q25">
            <v>88.69</v>
          </cell>
          <cell r="R25">
            <v>82.52</v>
          </cell>
          <cell r="S25">
            <v>84.24</v>
          </cell>
          <cell r="T25">
            <v>92.75</v>
          </cell>
        </row>
        <row r="26">
          <cell r="A26" t="str">
            <v>云南省</v>
          </cell>
          <cell r="B26">
            <v>98.94</v>
          </cell>
          <cell r="C26">
            <v>99.01</v>
          </cell>
          <cell r="D26">
            <v>99.02</v>
          </cell>
          <cell r="E26">
            <v>98.1</v>
          </cell>
          <cell r="F26">
            <v>97.08</v>
          </cell>
          <cell r="G26">
            <v>96.6</v>
          </cell>
          <cell r="H26">
            <v>96.71</v>
          </cell>
          <cell r="I26">
            <v>96.66</v>
          </cell>
          <cell r="J26">
            <v>97.33</v>
          </cell>
          <cell r="K26">
            <v>97.85</v>
          </cell>
          <cell r="L26">
            <v>97.92</v>
          </cell>
          <cell r="M26">
            <v>94.32</v>
          </cell>
          <cell r="N26">
            <v>95.09</v>
          </cell>
          <cell r="O26">
            <v>96.5</v>
          </cell>
          <cell r="P26">
            <v>96.23</v>
          </cell>
          <cell r="Q26">
            <v>95.22</v>
          </cell>
          <cell r="R26">
            <v>95.41</v>
          </cell>
          <cell r="S26">
            <v>74.459999999999994</v>
          </cell>
          <cell r="T26">
            <v>82.07</v>
          </cell>
        </row>
        <row r="27">
          <cell r="A27" t="str">
            <v>西藏自治区</v>
          </cell>
          <cell r="B27">
            <v>100</v>
          </cell>
          <cell r="C27">
            <v>99.7</v>
          </cell>
          <cell r="D27">
            <v>98.9</v>
          </cell>
          <cell r="E27">
            <v>98.78</v>
          </cell>
          <cell r="F27">
            <v>95.03</v>
          </cell>
          <cell r="G27">
            <v>85.9</v>
          </cell>
          <cell r="H27">
            <v>92.8</v>
          </cell>
          <cell r="I27">
            <v>67.569999999999993</v>
          </cell>
          <cell r="J27">
            <v>88.06</v>
          </cell>
          <cell r="K27">
            <v>89.07</v>
          </cell>
          <cell r="L27">
            <v>96.95</v>
          </cell>
          <cell r="M27">
            <v>75.39</v>
          </cell>
          <cell r="N27">
            <v>91.93</v>
          </cell>
          <cell r="O27">
            <v>97.42</v>
          </cell>
          <cell r="P27">
            <v>92.53</v>
          </cell>
          <cell r="Q27">
            <v>86.59</v>
          </cell>
          <cell r="R27">
            <v>90.58</v>
          </cell>
          <cell r="S27">
            <v>48.63</v>
          </cell>
          <cell r="T27">
            <v>61.82</v>
          </cell>
        </row>
        <row r="28">
          <cell r="A28" t="str">
            <v>陕西省</v>
          </cell>
          <cell r="B28">
            <v>98.53</v>
          </cell>
          <cell r="C28">
            <v>98.25</v>
          </cell>
          <cell r="D28">
            <v>98.16</v>
          </cell>
          <cell r="E28">
            <v>97.88</v>
          </cell>
          <cell r="F28">
            <v>96.84</v>
          </cell>
          <cell r="G28">
            <v>95.49</v>
          </cell>
          <cell r="H28">
            <v>95.95</v>
          </cell>
          <cell r="I28">
            <v>95.61</v>
          </cell>
          <cell r="J28">
            <v>97.12</v>
          </cell>
          <cell r="K28">
            <v>96.31</v>
          </cell>
          <cell r="L28">
            <v>96.52</v>
          </cell>
          <cell r="M28">
            <v>96.15</v>
          </cell>
          <cell r="N28">
            <v>95.72</v>
          </cell>
          <cell r="O28">
            <v>99.39</v>
          </cell>
          <cell r="P28">
            <v>98.06</v>
          </cell>
          <cell r="Q28">
            <v>96.65</v>
          </cell>
          <cell r="R28">
            <v>95.7</v>
          </cell>
          <cell r="S28">
            <v>85.66</v>
          </cell>
          <cell r="T28">
            <v>93.24</v>
          </cell>
        </row>
        <row r="29">
          <cell r="A29" t="str">
            <v>甘肃省</v>
          </cell>
          <cell r="B29">
            <v>99.67</v>
          </cell>
          <cell r="C29">
            <v>99.5</v>
          </cell>
          <cell r="D29">
            <v>99.46</v>
          </cell>
          <cell r="E29">
            <v>98.15</v>
          </cell>
          <cell r="F29">
            <v>98.04</v>
          </cell>
          <cell r="G29">
            <v>97.9</v>
          </cell>
          <cell r="H29">
            <v>98.81</v>
          </cell>
          <cell r="I29">
            <v>97.93</v>
          </cell>
          <cell r="J29">
            <v>97.28</v>
          </cell>
          <cell r="K29">
            <v>94.95</v>
          </cell>
          <cell r="L29">
            <v>93.68</v>
          </cell>
          <cell r="M29">
            <v>92.77</v>
          </cell>
          <cell r="N29">
            <v>92.5</v>
          </cell>
          <cell r="O29">
            <v>91.57</v>
          </cell>
          <cell r="P29">
            <v>89.66</v>
          </cell>
          <cell r="Q29">
            <v>87.85</v>
          </cell>
          <cell r="R29">
            <v>91.76</v>
          </cell>
          <cell r="S29">
            <v>88.66</v>
          </cell>
          <cell r="T29">
            <v>85.94</v>
          </cell>
        </row>
        <row r="30">
          <cell r="A30" t="str">
            <v>青海省</v>
          </cell>
          <cell r="B30">
            <v>99.53</v>
          </cell>
          <cell r="C30">
            <v>99.57</v>
          </cell>
          <cell r="D30">
            <v>98.83</v>
          </cell>
          <cell r="E30">
            <v>98.69</v>
          </cell>
          <cell r="F30">
            <v>99.24</v>
          </cell>
          <cell r="G30">
            <v>99</v>
          </cell>
          <cell r="H30">
            <v>98.93</v>
          </cell>
          <cell r="I30">
            <v>99.21</v>
          </cell>
          <cell r="J30">
            <v>99.06</v>
          </cell>
          <cell r="K30">
            <v>99.71</v>
          </cell>
          <cell r="L30">
            <v>99.08</v>
          </cell>
          <cell r="M30">
            <v>99.9</v>
          </cell>
          <cell r="N30">
            <v>99.86</v>
          </cell>
          <cell r="O30">
            <v>99.87</v>
          </cell>
          <cell r="P30">
            <v>99.45</v>
          </cell>
          <cell r="Q30">
            <v>100</v>
          </cell>
          <cell r="R30">
            <v>100</v>
          </cell>
          <cell r="S30">
            <v>91.28</v>
          </cell>
          <cell r="T30">
            <v>100</v>
          </cell>
        </row>
        <row r="31">
          <cell r="A31" t="str">
            <v>宁夏回族自治区</v>
          </cell>
          <cell r="B31">
            <v>99.33</v>
          </cell>
          <cell r="C31">
            <v>99.99</v>
          </cell>
          <cell r="D31">
            <v>99.66</v>
          </cell>
          <cell r="E31">
            <v>98.87</v>
          </cell>
          <cell r="F31">
            <v>98.39</v>
          </cell>
          <cell r="G31">
            <v>98.4</v>
          </cell>
          <cell r="H31">
            <v>95.66</v>
          </cell>
          <cell r="I31">
            <v>94.75</v>
          </cell>
          <cell r="J31">
            <v>96.4</v>
          </cell>
          <cell r="K31">
            <v>97.26</v>
          </cell>
          <cell r="L31">
            <v>96.51</v>
          </cell>
          <cell r="M31">
            <v>92.3</v>
          </cell>
          <cell r="N31">
            <v>95.45</v>
          </cell>
          <cell r="O31">
            <v>98.23</v>
          </cell>
          <cell r="P31">
            <v>97.2</v>
          </cell>
          <cell r="Q31">
            <v>87.25</v>
          </cell>
          <cell r="R31">
            <v>90.07</v>
          </cell>
          <cell r="S31">
            <v>84.03</v>
          </cell>
          <cell r="T31">
            <v>62.89</v>
          </cell>
        </row>
        <row r="32">
          <cell r="A32" t="str">
            <v>新疆维吾尔自治区</v>
          </cell>
          <cell r="B32">
            <v>99.64</v>
          </cell>
          <cell r="C32">
            <v>99.49</v>
          </cell>
          <cell r="D32">
            <v>99.43</v>
          </cell>
          <cell r="E32">
            <v>99.52</v>
          </cell>
          <cell r="F32">
            <v>98.55</v>
          </cell>
          <cell r="G32">
            <v>97.66</v>
          </cell>
          <cell r="H32">
            <v>98.75</v>
          </cell>
          <cell r="I32">
            <v>98.86</v>
          </cell>
          <cell r="J32">
            <v>98.81</v>
          </cell>
          <cell r="K32">
            <v>98.15</v>
          </cell>
          <cell r="L32">
            <v>98.08</v>
          </cell>
          <cell r="M32">
            <v>99.13</v>
          </cell>
          <cell r="N32">
            <v>99.17</v>
          </cell>
          <cell r="O32">
            <v>99.17</v>
          </cell>
          <cell r="P32">
            <v>99.03</v>
          </cell>
          <cell r="Q32">
            <v>92.82</v>
          </cell>
          <cell r="R32">
            <v>99.12</v>
          </cell>
          <cell r="S32">
            <v>90.5</v>
          </cell>
          <cell r="T32">
            <v>97.86</v>
          </cell>
        </row>
        <row r="33">
          <cell r="A33" t="str">
            <v>注：人均和普及率指标按城区人口与暂住人口之和计算，以公安部门的户籍统计和暂住人口统计为准。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113.84</v>
          </cell>
          <cell r="T2" t="str">
            <v/>
          </cell>
        </row>
        <row r="3">
          <cell r="A3" t="str">
            <v>天津市</v>
          </cell>
          <cell r="B3">
            <v>99.48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99.22</v>
          </cell>
          <cell r="T3">
            <v>98.5</v>
          </cell>
        </row>
        <row r="4">
          <cell r="A4" t="str">
            <v>河北省</v>
          </cell>
          <cell r="B4">
            <v>99.6</v>
          </cell>
          <cell r="C4">
            <v>99.55</v>
          </cell>
          <cell r="D4">
            <v>99.79</v>
          </cell>
          <cell r="E4">
            <v>99.72</v>
          </cell>
          <cell r="F4">
            <v>99.46</v>
          </cell>
          <cell r="G4">
            <v>99.28</v>
          </cell>
          <cell r="H4">
            <v>98.78</v>
          </cell>
          <cell r="I4">
            <v>98.88</v>
          </cell>
          <cell r="J4">
            <v>98.81</v>
          </cell>
          <cell r="K4">
            <v>94.26</v>
          </cell>
          <cell r="L4">
            <v>98.35</v>
          </cell>
          <cell r="M4">
            <v>99.79</v>
          </cell>
          <cell r="N4">
            <v>99.86</v>
          </cell>
          <cell r="O4">
            <v>99.07</v>
          </cell>
          <cell r="P4">
            <v>97.86</v>
          </cell>
          <cell r="Q4">
            <v>97.11</v>
          </cell>
          <cell r="R4">
            <v>95.26</v>
          </cell>
          <cell r="S4">
            <v>86.96</v>
          </cell>
          <cell r="T4">
            <v>94.2</v>
          </cell>
        </row>
        <row r="5">
          <cell r="A5" t="str">
            <v>山西省</v>
          </cell>
          <cell r="B5">
            <v>97.32</v>
          </cell>
          <cell r="C5">
            <v>97.56</v>
          </cell>
          <cell r="D5">
            <v>97.9</v>
          </cell>
          <cell r="E5">
            <v>98.7</v>
          </cell>
          <cell r="F5">
            <v>96.43</v>
          </cell>
          <cell r="G5">
            <v>98.3</v>
          </cell>
          <cell r="H5">
            <v>98.34</v>
          </cell>
          <cell r="I5">
            <v>97.92</v>
          </cell>
          <cell r="J5">
            <v>97.31</v>
          </cell>
          <cell r="K5">
            <v>95.77</v>
          </cell>
          <cell r="L5">
            <v>96.1</v>
          </cell>
          <cell r="M5">
            <v>95.18</v>
          </cell>
          <cell r="N5">
            <v>94.63</v>
          </cell>
          <cell r="O5">
            <v>89.94</v>
          </cell>
          <cell r="P5">
            <v>87.3</v>
          </cell>
          <cell r="Q5">
            <v>82.64</v>
          </cell>
          <cell r="R5">
            <v>79.5</v>
          </cell>
          <cell r="S5">
            <v>74.56</v>
          </cell>
          <cell r="T5">
            <v>68.290000000000006</v>
          </cell>
        </row>
        <row r="6">
          <cell r="A6" t="str">
            <v>内蒙古自治区</v>
          </cell>
          <cell r="B6">
            <v>97.76</v>
          </cell>
          <cell r="C6">
            <v>97.96</v>
          </cell>
          <cell r="D6">
            <v>97.86</v>
          </cell>
          <cell r="E6">
            <v>97.26</v>
          </cell>
          <cell r="F6">
            <v>95.8</v>
          </cell>
          <cell r="G6">
            <v>94.76</v>
          </cell>
          <cell r="H6">
            <v>96.01</v>
          </cell>
          <cell r="I6">
            <v>94.9</v>
          </cell>
          <cell r="J6">
            <v>94.09</v>
          </cell>
          <cell r="K6">
            <v>92.28</v>
          </cell>
          <cell r="L6">
            <v>87.93</v>
          </cell>
          <cell r="M6">
            <v>84.39</v>
          </cell>
          <cell r="N6">
            <v>82.23</v>
          </cell>
          <cell r="O6">
            <v>79.260000000000005</v>
          </cell>
          <cell r="P6">
            <v>75.510000000000005</v>
          </cell>
          <cell r="Q6">
            <v>74.25</v>
          </cell>
          <cell r="R6">
            <v>75.599999999999994</v>
          </cell>
          <cell r="S6">
            <v>71.03</v>
          </cell>
          <cell r="T6">
            <v>68.180000000000007</v>
          </cell>
        </row>
        <row r="7">
          <cell r="A7" t="str">
            <v>辽宁省</v>
          </cell>
          <cell r="B7">
            <v>97</v>
          </cell>
          <cell r="C7">
            <v>97.73</v>
          </cell>
          <cell r="D7">
            <v>97.86</v>
          </cell>
          <cell r="E7">
            <v>98.75</v>
          </cell>
          <cell r="F7">
            <v>97.95</v>
          </cell>
          <cell r="G7">
            <v>97.52</v>
          </cell>
          <cell r="H7">
            <v>97.14</v>
          </cell>
          <cell r="I7">
            <v>96.07</v>
          </cell>
          <cell r="J7">
            <v>94.76</v>
          </cell>
          <cell r="K7">
            <v>96.19</v>
          </cell>
          <cell r="L7">
            <v>96.15</v>
          </cell>
          <cell r="M7">
            <v>96.02</v>
          </cell>
          <cell r="N7">
            <v>95.46</v>
          </cell>
          <cell r="O7">
            <v>94.19</v>
          </cell>
          <cell r="P7">
            <v>93.74</v>
          </cell>
          <cell r="Q7">
            <v>92.38</v>
          </cell>
          <cell r="R7">
            <v>91.99</v>
          </cell>
          <cell r="S7">
            <v>87.95</v>
          </cell>
          <cell r="T7">
            <v>88.11</v>
          </cell>
        </row>
        <row r="8">
          <cell r="A8" t="str">
            <v>吉林省</v>
          </cell>
          <cell r="B8">
            <v>96.83</v>
          </cell>
          <cell r="C8">
            <v>96.54</v>
          </cell>
          <cell r="D8">
            <v>94.85</v>
          </cell>
          <cell r="E8">
            <v>92.93</v>
          </cell>
          <cell r="F8">
            <v>91.8</v>
          </cell>
          <cell r="G8">
            <v>93.04</v>
          </cell>
          <cell r="H8">
            <v>92.99</v>
          </cell>
          <cell r="I8">
            <v>93</v>
          </cell>
          <cell r="J8">
            <v>92.46</v>
          </cell>
          <cell r="K8">
            <v>91.98</v>
          </cell>
          <cell r="L8">
            <v>91.43</v>
          </cell>
          <cell r="M8">
            <v>89.46</v>
          </cell>
          <cell r="N8">
            <v>88.28</v>
          </cell>
          <cell r="O8">
            <v>85.64</v>
          </cell>
          <cell r="P8">
            <v>85.48</v>
          </cell>
          <cell r="Q8">
            <v>84.82</v>
          </cell>
          <cell r="R8">
            <v>82.38</v>
          </cell>
          <cell r="S8">
            <v>75.03</v>
          </cell>
          <cell r="T8">
            <v>76.23</v>
          </cell>
        </row>
        <row r="9">
          <cell r="A9" t="str">
            <v>黑龙江省</v>
          </cell>
          <cell r="B9">
            <v>93.42</v>
          </cell>
          <cell r="C9">
            <v>93.22</v>
          </cell>
          <cell r="D9">
            <v>92.23</v>
          </cell>
          <cell r="E9">
            <v>90.82</v>
          </cell>
          <cell r="F9">
            <v>91.09</v>
          </cell>
          <cell r="G9">
            <v>89.5</v>
          </cell>
          <cell r="H9">
            <v>87.77</v>
          </cell>
          <cell r="I9">
            <v>86.66</v>
          </cell>
          <cell r="J9">
            <v>86.61</v>
          </cell>
          <cell r="K9">
            <v>86.23</v>
          </cell>
          <cell r="L9">
            <v>85.58</v>
          </cell>
          <cell r="M9">
            <v>83.39</v>
          </cell>
          <cell r="N9">
            <v>81.41</v>
          </cell>
          <cell r="O9">
            <v>84.67</v>
          </cell>
          <cell r="P9">
            <v>83.78</v>
          </cell>
          <cell r="Q9">
            <v>79.45</v>
          </cell>
          <cell r="R9">
            <v>74.45</v>
          </cell>
          <cell r="S9">
            <v>70.72</v>
          </cell>
          <cell r="T9">
            <v>70.959999999999994</v>
          </cell>
        </row>
        <row r="10">
          <cell r="A10" t="str">
            <v>上海市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99.87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105.25</v>
          </cell>
          <cell r="T10">
            <v>100</v>
          </cell>
        </row>
        <row r="11">
          <cell r="A11" t="str">
            <v>江苏省</v>
          </cell>
          <cell r="B11">
            <v>99.94</v>
          </cell>
          <cell r="C11">
            <v>99.92</v>
          </cell>
          <cell r="D11">
            <v>99.92</v>
          </cell>
          <cell r="E11">
            <v>99.92</v>
          </cell>
          <cell r="F11">
            <v>99.77</v>
          </cell>
          <cell r="G11">
            <v>99.81</v>
          </cell>
          <cell r="H11">
            <v>99.73</v>
          </cell>
          <cell r="I11">
            <v>99.54</v>
          </cell>
          <cell r="J11">
            <v>99.56</v>
          </cell>
          <cell r="K11">
            <v>99.49</v>
          </cell>
          <cell r="L11">
            <v>99.59</v>
          </cell>
          <cell r="M11">
            <v>99.43</v>
          </cell>
          <cell r="N11">
            <v>99.03</v>
          </cell>
          <cell r="O11">
            <v>99.12</v>
          </cell>
          <cell r="P11">
            <v>98.39</v>
          </cell>
          <cell r="Q11">
            <v>98.23</v>
          </cell>
          <cell r="R11">
            <v>97.41</v>
          </cell>
          <cell r="S11">
            <v>80.2</v>
          </cell>
          <cell r="T11">
            <v>95.11</v>
          </cell>
        </row>
        <row r="12">
          <cell r="A12" t="str">
            <v>浙江省</v>
          </cell>
          <cell r="B12">
            <v>100</v>
          </cell>
          <cell r="C12">
            <v>99.97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99.97</v>
          </cell>
          <cell r="I12">
            <v>99.95</v>
          </cell>
          <cell r="J12">
            <v>99.91</v>
          </cell>
          <cell r="K12">
            <v>99.81</v>
          </cell>
          <cell r="L12">
            <v>99.8</v>
          </cell>
          <cell r="M12">
            <v>99.49</v>
          </cell>
          <cell r="N12">
            <v>99.34</v>
          </cell>
          <cell r="O12">
            <v>99.07</v>
          </cell>
          <cell r="P12">
            <v>97.93</v>
          </cell>
          <cell r="Q12">
            <v>97.72</v>
          </cell>
          <cell r="R12">
            <v>97.78</v>
          </cell>
          <cell r="S12">
            <v>70.13</v>
          </cell>
          <cell r="T12">
            <v>98.47</v>
          </cell>
        </row>
        <row r="13">
          <cell r="A13" t="str">
            <v>安徽省</v>
          </cell>
          <cell r="B13">
            <v>99.73</v>
          </cell>
          <cell r="C13">
            <v>99.42</v>
          </cell>
          <cell r="D13">
            <v>99.48</v>
          </cell>
          <cell r="E13">
            <v>99.24</v>
          </cell>
          <cell r="F13">
            <v>98.7</v>
          </cell>
          <cell r="G13">
            <v>98.56</v>
          </cell>
          <cell r="H13">
            <v>98.57</v>
          </cell>
          <cell r="I13">
            <v>98.05</v>
          </cell>
          <cell r="J13">
            <v>97.55</v>
          </cell>
          <cell r="K13">
            <v>96.81</v>
          </cell>
          <cell r="L13">
            <v>96.14</v>
          </cell>
          <cell r="M13">
            <v>94.61</v>
          </cell>
          <cell r="N13">
            <v>93.35</v>
          </cell>
          <cell r="O13">
            <v>90.52</v>
          </cell>
          <cell r="P13">
            <v>88.62</v>
          </cell>
          <cell r="Q13">
            <v>87.6</v>
          </cell>
          <cell r="R13">
            <v>83.15</v>
          </cell>
          <cell r="S13">
            <v>76.09</v>
          </cell>
          <cell r="T13">
            <v>72.290000000000006</v>
          </cell>
        </row>
        <row r="14">
          <cell r="A14" t="str">
            <v>福建省</v>
          </cell>
          <cell r="B14">
            <v>99.77</v>
          </cell>
          <cell r="C14">
            <v>99.67</v>
          </cell>
          <cell r="D14">
            <v>99.34</v>
          </cell>
          <cell r="E14">
            <v>99.21</v>
          </cell>
          <cell r="F14">
            <v>98.42</v>
          </cell>
          <cell r="G14">
            <v>98.29</v>
          </cell>
          <cell r="H14">
            <v>97.45</v>
          </cell>
          <cell r="I14">
            <v>97.21</v>
          </cell>
          <cell r="J14">
            <v>98.56</v>
          </cell>
          <cell r="K14">
            <v>98.83</v>
          </cell>
          <cell r="L14">
            <v>98.85</v>
          </cell>
          <cell r="M14">
            <v>98.6</v>
          </cell>
          <cell r="N14">
            <v>98.67</v>
          </cell>
          <cell r="O14">
            <v>98.92</v>
          </cell>
          <cell r="P14">
            <v>98.63</v>
          </cell>
          <cell r="Q14">
            <v>97.23</v>
          </cell>
          <cell r="R14">
            <v>97.34</v>
          </cell>
          <cell r="S14">
            <v>76.73</v>
          </cell>
          <cell r="T14">
            <v>96.19</v>
          </cell>
        </row>
        <row r="15">
          <cell r="A15" t="str">
            <v>江西省</v>
          </cell>
          <cell r="B15">
            <v>99.36</v>
          </cell>
          <cell r="C15">
            <v>98.82</v>
          </cell>
          <cell r="D15">
            <v>98.76</v>
          </cell>
          <cell r="E15">
            <v>97.59</v>
          </cell>
          <cell r="F15">
            <v>97.87</v>
          </cell>
          <cell r="G15">
            <v>97.4</v>
          </cell>
          <cell r="H15">
            <v>97.38</v>
          </cell>
          <cell r="I15">
            <v>95.31</v>
          </cell>
          <cell r="J15">
            <v>94.83</v>
          </cell>
          <cell r="K15">
            <v>95.18</v>
          </cell>
          <cell r="L15">
            <v>95.1</v>
          </cell>
          <cell r="M15">
            <v>94.4</v>
          </cell>
          <cell r="N15">
            <v>94.31</v>
          </cell>
          <cell r="O15">
            <v>92.36</v>
          </cell>
          <cell r="P15">
            <v>92.22</v>
          </cell>
          <cell r="Q15">
            <v>90.18</v>
          </cell>
          <cell r="R15">
            <v>86.18</v>
          </cell>
          <cell r="S15">
            <v>77.260000000000005</v>
          </cell>
          <cell r="T15">
            <v>80.64</v>
          </cell>
        </row>
        <row r="16">
          <cell r="A16" t="str">
            <v>山东省</v>
          </cell>
          <cell r="B16">
            <v>99.66</v>
          </cell>
          <cell r="C16">
            <v>99.47</v>
          </cell>
          <cell r="D16">
            <v>99.33</v>
          </cell>
          <cell r="E16">
            <v>99.31</v>
          </cell>
          <cell r="F16">
            <v>99.14</v>
          </cell>
          <cell r="G16">
            <v>99.2</v>
          </cell>
          <cell r="H16">
            <v>99.57</v>
          </cell>
          <cell r="I16">
            <v>99.51</v>
          </cell>
          <cell r="J16">
            <v>99.37</v>
          </cell>
          <cell r="K16">
            <v>99.49</v>
          </cell>
          <cell r="L16">
            <v>99.58</v>
          </cell>
          <cell r="M16">
            <v>99.48</v>
          </cell>
          <cell r="N16">
            <v>99.48</v>
          </cell>
          <cell r="O16">
            <v>99.3</v>
          </cell>
          <cell r="P16">
            <v>99.17</v>
          </cell>
          <cell r="Q16">
            <v>98.5</v>
          </cell>
          <cell r="R16">
            <v>97.07</v>
          </cell>
          <cell r="S16">
            <v>94.47</v>
          </cell>
          <cell r="T16">
            <v>75.739999999999995</v>
          </cell>
        </row>
        <row r="17">
          <cell r="A17" t="str">
            <v>河南省</v>
          </cell>
          <cell r="B17">
            <v>99.28</v>
          </cell>
          <cell r="C17">
            <v>98.21</v>
          </cell>
          <cell r="D17">
            <v>97.65</v>
          </cell>
          <cell r="E17">
            <v>96.83</v>
          </cell>
          <cell r="F17">
            <v>97.05</v>
          </cell>
          <cell r="G17">
            <v>96.3</v>
          </cell>
          <cell r="H17">
            <v>93.96</v>
          </cell>
          <cell r="I17">
            <v>88.93</v>
          </cell>
          <cell r="J17">
            <v>86.02</v>
          </cell>
          <cell r="K17">
            <v>83.76</v>
          </cell>
          <cell r="L17">
            <v>81.98</v>
          </cell>
          <cell r="M17">
            <v>77.94</v>
          </cell>
          <cell r="N17">
            <v>76.19</v>
          </cell>
          <cell r="O17">
            <v>73.430000000000007</v>
          </cell>
          <cell r="P17">
            <v>72.89</v>
          </cell>
          <cell r="Q17">
            <v>66.91</v>
          </cell>
          <cell r="R17">
            <v>68.87</v>
          </cell>
          <cell r="S17">
            <v>63.23</v>
          </cell>
          <cell r="T17">
            <v>69.25</v>
          </cell>
        </row>
        <row r="18">
          <cell r="A18" t="str">
            <v>湖北省</v>
          </cell>
          <cell r="B18">
            <v>96.06</v>
          </cell>
          <cell r="C18">
            <v>99.5</v>
          </cell>
          <cell r="D18">
            <v>98.86</v>
          </cell>
          <cell r="E18">
            <v>98.4</v>
          </cell>
          <cell r="F18">
            <v>97.92</v>
          </cell>
          <cell r="G18">
            <v>97.64</v>
          </cell>
          <cell r="H18">
            <v>97.13</v>
          </cell>
          <cell r="I18">
            <v>96.3</v>
          </cell>
          <cell r="J18">
            <v>94.49</v>
          </cell>
          <cell r="K18">
            <v>94.71</v>
          </cell>
          <cell r="L18">
            <v>95.09</v>
          </cell>
          <cell r="M18">
            <v>95.09</v>
          </cell>
          <cell r="N18">
            <v>93.89</v>
          </cell>
          <cell r="O18">
            <v>91.75</v>
          </cell>
          <cell r="P18">
            <v>91.2</v>
          </cell>
          <cell r="Q18">
            <v>90.9</v>
          </cell>
          <cell r="R18">
            <v>89.72</v>
          </cell>
          <cell r="S18">
            <v>83.69</v>
          </cell>
          <cell r="T18">
            <v>68.599999999999994</v>
          </cell>
        </row>
        <row r="19">
          <cell r="A19" t="str">
            <v>湖南省</v>
          </cell>
          <cell r="B19">
            <v>98.59</v>
          </cell>
          <cell r="C19">
            <v>97.7</v>
          </cell>
          <cell r="D19">
            <v>97.45</v>
          </cell>
          <cell r="E19">
            <v>97.29</v>
          </cell>
          <cell r="F19">
            <v>96.65</v>
          </cell>
          <cell r="G19">
            <v>93.64</v>
          </cell>
          <cell r="H19">
            <v>93.5</v>
          </cell>
          <cell r="I19">
            <v>93.28</v>
          </cell>
          <cell r="J19">
            <v>92.28</v>
          </cell>
          <cell r="K19">
            <v>91.24</v>
          </cell>
          <cell r="L19">
            <v>91.93</v>
          </cell>
          <cell r="M19">
            <v>91.33</v>
          </cell>
          <cell r="N19">
            <v>88.45</v>
          </cell>
          <cell r="O19">
            <v>86.5</v>
          </cell>
          <cell r="P19">
            <v>85.6</v>
          </cell>
          <cell r="Q19">
            <v>84.26</v>
          </cell>
          <cell r="R19">
            <v>83.27</v>
          </cell>
          <cell r="S19">
            <v>75.95</v>
          </cell>
          <cell r="T19">
            <v>75.430000000000007</v>
          </cell>
        </row>
        <row r="20">
          <cell r="A20" t="str">
            <v>广东省</v>
          </cell>
          <cell r="B20">
            <v>98.62</v>
          </cell>
          <cell r="C20">
            <v>98.61</v>
          </cell>
          <cell r="D20">
            <v>98.26</v>
          </cell>
          <cell r="E20">
            <v>98.99</v>
          </cell>
          <cell r="F20">
            <v>97.94</v>
          </cell>
          <cell r="G20">
            <v>96.66</v>
          </cell>
          <cell r="H20">
            <v>96.88</v>
          </cell>
          <cell r="I20">
            <v>97.43</v>
          </cell>
          <cell r="J20">
            <v>97.6</v>
          </cell>
          <cell r="K20">
            <v>96.64</v>
          </cell>
          <cell r="L20">
            <v>96.89</v>
          </cell>
          <cell r="M20">
            <v>94.93</v>
          </cell>
          <cell r="N20">
            <v>91.3</v>
          </cell>
          <cell r="O20">
            <v>95.75</v>
          </cell>
          <cell r="P20">
            <v>96.45</v>
          </cell>
          <cell r="Q20">
            <v>93.94</v>
          </cell>
          <cell r="R20">
            <v>78.959999999999994</v>
          </cell>
          <cell r="S20">
            <v>71.02</v>
          </cell>
          <cell r="T20">
            <v>95.42</v>
          </cell>
        </row>
        <row r="21">
          <cell r="A21" t="str">
            <v>广西壮族自治区</v>
          </cell>
          <cell r="B21">
            <v>99.21</v>
          </cell>
          <cell r="C21">
            <v>99.44</v>
          </cell>
          <cell r="D21">
            <v>99.47</v>
          </cell>
          <cell r="E21">
            <v>99.36</v>
          </cell>
          <cell r="F21">
            <v>98.84</v>
          </cell>
          <cell r="G21">
            <v>98.15</v>
          </cell>
          <cell r="H21">
            <v>97.8</v>
          </cell>
          <cell r="I21">
            <v>95.85</v>
          </cell>
          <cell r="J21">
            <v>94.46</v>
          </cell>
          <cell r="K21">
            <v>92.99</v>
          </cell>
          <cell r="L21">
            <v>93.58</v>
          </cell>
          <cell r="M21">
            <v>93.26</v>
          </cell>
          <cell r="N21">
            <v>91.08</v>
          </cell>
          <cell r="O21">
            <v>92.35</v>
          </cell>
          <cell r="P21">
            <v>92.19</v>
          </cell>
          <cell r="Q21">
            <v>84.04</v>
          </cell>
          <cell r="R21">
            <v>81.510000000000005</v>
          </cell>
          <cell r="S21">
            <v>72.95</v>
          </cell>
          <cell r="T21">
            <v>72.680000000000007</v>
          </cell>
        </row>
        <row r="22">
          <cell r="A22" t="str">
            <v>海南省</v>
          </cell>
          <cell r="B22">
            <v>99.82</v>
          </cell>
          <cell r="C22">
            <v>99.53</v>
          </cell>
          <cell r="D22">
            <v>99.42</v>
          </cell>
          <cell r="E22">
            <v>98.95</v>
          </cell>
          <cell r="F22">
            <v>97.73</v>
          </cell>
          <cell r="G22">
            <v>96.74</v>
          </cell>
          <cell r="H22">
            <v>98.32</v>
          </cell>
          <cell r="I22">
            <v>97.34</v>
          </cell>
          <cell r="J22">
            <v>97.77</v>
          </cell>
          <cell r="K22">
            <v>96.49</v>
          </cell>
          <cell r="L22">
            <v>94.59</v>
          </cell>
          <cell r="M22">
            <v>92.15</v>
          </cell>
          <cell r="N22">
            <v>93.59</v>
          </cell>
          <cell r="O22">
            <v>82.44</v>
          </cell>
          <cell r="P22">
            <v>83.68</v>
          </cell>
          <cell r="Q22">
            <v>72.81</v>
          </cell>
          <cell r="R22">
            <v>65.37</v>
          </cell>
          <cell r="S22">
            <v>70.900000000000006</v>
          </cell>
          <cell r="T22">
            <v>82.56</v>
          </cell>
        </row>
        <row r="23">
          <cell r="A23" t="str">
            <v>重庆市</v>
          </cell>
          <cell r="B23">
            <v>99.66</v>
          </cell>
          <cell r="C23">
            <v>98.82</v>
          </cell>
          <cell r="D23">
            <v>98.19</v>
          </cell>
          <cell r="E23">
            <v>96.16</v>
          </cell>
          <cell r="F23">
            <v>97.36</v>
          </cell>
          <cell r="G23">
            <v>97.39</v>
          </cell>
          <cell r="H23">
            <v>96.37</v>
          </cell>
          <cell r="I23">
            <v>96.11</v>
          </cell>
          <cell r="J23">
            <v>95.34</v>
          </cell>
          <cell r="K23">
            <v>94.27</v>
          </cell>
          <cell r="L23">
            <v>93.09</v>
          </cell>
          <cell r="M23">
            <v>93.32</v>
          </cell>
          <cell r="N23">
            <v>93.03</v>
          </cell>
          <cell r="O23">
            <v>92.02</v>
          </cell>
          <cell r="P23">
            <v>91.83</v>
          </cell>
          <cell r="Q23">
            <v>90.87</v>
          </cell>
          <cell r="R23">
            <v>88.4</v>
          </cell>
          <cell r="S23">
            <v>75.84</v>
          </cell>
          <cell r="T23">
            <v>68.84</v>
          </cell>
        </row>
        <row r="24">
          <cell r="A24" t="str">
            <v>四川省</v>
          </cell>
          <cell r="B24">
            <v>97.96</v>
          </cell>
          <cell r="C24">
            <v>96.55</v>
          </cell>
          <cell r="D24">
            <v>98.12</v>
          </cell>
          <cell r="E24">
            <v>97.41</v>
          </cell>
          <cell r="F24">
            <v>94.95</v>
          </cell>
          <cell r="G24">
            <v>93.7</v>
          </cell>
          <cell r="H24">
            <v>91.22</v>
          </cell>
          <cell r="I24">
            <v>91.78</v>
          </cell>
          <cell r="J24">
            <v>92.46</v>
          </cell>
          <cell r="K24">
            <v>90.89</v>
          </cell>
          <cell r="L24">
            <v>89.68</v>
          </cell>
          <cell r="M24">
            <v>87.96</v>
          </cell>
          <cell r="N24">
            <v>87.09</v>
          </cell>
          <cell r="O24">
            <v>84.39</v>
          </cell>
          <cell r="P24">
            <v>83.38</v>
          </cell>
          <cell r="Q24">
            <v>81.09</v>
          </cell>
          <cell r="R24">
            <v>78.92</v>
          </cell>
          <cell r="S24">
            <v>71.819999999999993</v>
          </cell>
          <cell r="T24">
            <v>82.19</v>
          </cell>
        </row>
        <row r="25">
          <cell r="A25" t="str">
            <v>贵州省</v>
          </cell>
          <cell r="B25">
            <v>94.8</v>
          </cell>
          <cell r="C25">
            <v>93.26</v>
          </cell>
          <cell r="D25">
            <v>90.19</v>
          </cell>
          <cell r="E25">
            <v>94.55</v>
          </cell>
          <cell r="F25">
            <v>91.8</v>
          </cell>
          <cell r="G25">
            <v>87.25</v>
          </cell>
          <cell r="H25">
            <v>87.74</v>
          </cell>
          <cell r="I25">
            <v>85.66</v>
          </cell>
          <cell r="J25">
            <v>84.06</v>
          </cell>
          <cell r="K25">
            <v>76.3</v>
          </cell>
          <cell r="L25">
            <v>74.86</v>
          </cell>
          <cell r="M25">
            <v>71.349999999999994</v>
          </cell>
          <cell r="N25">
            <v>71.56</v>
          </cell>
          <cell r="O25">
            <v>69.72</v>
          </cell>
          <cell r="P25">
            <v>68.489999999999995</v>
          </cell>
          <cell r="Q25">
            <v>67.819999999999993</v>
          </cell>
          <cell r="R25">
            <v>62.08</v>
          </cell>
          <cell r="S25">
            <v>60.41</v>
          </cell>
          <cell r="T25">
            <v>64.739999999999995</v>
          </cell>
        </row>
        <row r="26">
          <cell r="A26" t="str">
            <v>云南省</v>
          </cell>
          <cell r="B26">
            <v>76.69</v>
          </cell>
          <cell r="C26">
            <v>71.75</v>
          </cell>
          <cell r="D26">
            <v>78.53</v>
          </cell>
          <cell r="E26">
            <v>78.650000000000006</v>
          </cell>
          <cell r="F26">
            <v>77.92</v>
          </cell>
          <cell r="G26">
            <v>77.31</v>
          </cell>
          <cell r="H26">
            <v>75.930000000000007</v>
          </cell>
          <cell r="I26">
            <v>78.78</v>
          </cell>
          <cell r="J26">
            <v>76.790000000000006</v>
          </cell>
          <cell r="K26">
            <v>76.180000000000007</v>
          </cell>
          <cell r="L26">
            <v>71.53</v>
          </cell>
          <cell r="M26">
            <v>66.459999999999994</v>
          </cell>
          <cell r="N26">
            <v>74.209999999999994</v>
          </cell>
          <cell r="O26">
            <v>76.400000000000006</v>
          </cell>
          <cell r="P26">
            <v>77.680000000000007</v>
          </cell>
          <cell r="Q26">
            <v>76.099999999999994</v>
          </cell>
          <cell r="R26">
            <v>77.569999999999993</v>
          </cell>
          <cell r="S26">
            <v>57.37</v>
          </cell>
          <cell r="T26">
            <v>60.01</v>
          </cell>
        </row>
        <row r="27">
          <cell r="A27" t="str">
            <v>西藏自治区</v>
          </cell>
          <cell r="B27">
            <v>86.93</v>
          </cell>
          <cell r="C27">
            <v>74.260000000000005</v>
          </cell>
          <cell r="D27">
            <v>68.09</v>
          </cell>
          <cell r="E27">
            <v>63.2</v>
          </cell>
          <cell r="F27">
            <v>60.11</v>
          </cell>
          <cell r="G27">
            <v>55.05</v>
          </cell>
          <cell r="H27">
            <v>56.77</v>
          </cell>
          <cell r="I27">
            <v>52.99</v>
          </cell>
          <cell r="J27">
            <v>79.98</v>
          </cell>
          <cell r="K27">
            <v>57.13</v>
          </cell>
          <cell r="L27">
            <v>38.619999999999997</v>
          </cell>
          <cell r="M27">
            <v>29.79</v>
          </cell>
          <cell r="N27">
            <v>83.44</v>
          </cell>
          <cell r="O27">
            <v>79.83</v>
          </cell>
          <cell r="P27">
            <v>81.400000000000006</v>
          </cell>
          <cell r="Q27">
            <v>74.8</v>
          </cell>
          <cell r="R27">
            <v>65.099999999999994</v>
          </cell>
          <cell r="S27">
            <v>48.63</v>
          </cell>
          <cell r="T27">
            <v>53.74</v>
          </cell>
        </row>
        <row r="28">
          <cell r="A28" t="str">
            <v>陕西省</v>
          </cell>
          <cell r="B28">
            <v>99.08</v>
          </cell>
          <cell r="C28">
            <v>99.03</v>
          </cell>
          <cell r="D28">
            <v>98.77</v>
          </cell>
          <cell r="E28">
            <v>98.62</v>
          </cell>
          <cell r="F28">
            <v>97.8</v>
          </cell>
          <cell r="G28">
            <v>96.19</v>
          </cell>
          <cell r="H28">
            <v>93.61</v>
          </cell>
          <cell r="I28">
            <v>94.66</v>
          </cell>
          <cell r="J28">
            <v>94.73</v>
          </cell>
          <cell r="K28">
            <v>95.08</v>
          </cell>
          <cell r="L28">
            <v>93.75</v>
          </cell>
          <cell r="M28">
            <v>94.11</v>
          </cell>
          <cell r="N28">
            <v>92.09</v>
          </cell>
          <cell r="O28">
            <v>90.39</v>
          </cell>
          <cell r="P28">
            <v>89.64</v>
          </cell>
          <cell r="Q28">
            <v>89.55</v>
          </cell>
          <cell r="R28">
            <v>86.17</v>
          </cell>
          <cell r="S28">
            <v>71.239999999999995</v>
          </cell>
          <cell r="T28">
            <v>79.819999999999993</v>
          </cell>
        </row>
        <row r="29">
          <cell r="A29" t="str">
            <v>甘肃省</v>
          </cell>
          <cell r="B29">
            <v>97.98</v>
          </cell>
          <cell r="C29">
            <v>96.93</v>
          </cell>
          <cell r="D29">
            <v>96.87</v>
          </cell>
          <cell r="E29">
            <v>94.8</v>
          </cell>
          <cell r="F29">
            <v>92.66</v>
          </cell>
          <cell r="G29">
            <v>90.91</v>
          </cell>
          <cell r="H29">
            <v>90.56</v>
          </cell>
          <cell r="I29">
            <v>88.15</v>
          </cell>
          <cell r="J29">
            <v>85.77</v>
          </cell>
          <cell r="K29">
            <v>83.48</v>
          </cell>
          <cell r="L29">
            <v>80.22</v>
          </cell>
          <cell r="M29">
            <v>77.81</v>
          </cell>
          <cell r="N29">
            <v>75.62</v>
          </cell>
          <cell r="O29">
            <v>74.290000000000006</v>
          </cell>
          <cell r="P29">
            <v>73.03</v>
          </cell>
          <cell r="Q29">
            <v>65.319999999999993</v>
          </cell>
          <cell r="R29">
            <v>64.459999999999994</v>
          </cell>
          <cell r="S29">
            <v>57.06</v>
          </cell>
          <cell r="T29">
            <v>55.36</v>
          </cell>
        </row>
        <row r="30">
          <cell r="A30" t="str">
            <v>青海省</v>
          </cell>
          <cell r="B30">
            <v>97.02</v>
          </cell>
          <cell r="C30">
            <v>94.72</v>
          </cell>
          <cell r="D30">
            <v>94.48</v>
          </cell>
          <cell r="E30">
            <v>93.81</v>
          </cell>
          <cell r="F30">
            <v>93.83</v>
          </cell>
          <cell r="G30">
            <v>94.69</v>
          </cell>
          <cell r="H30">
            <v>94.19</v>
          </cell>
          <cell r="I30">
            <v>87.55</v>
          </cell>
          <cell r="J30">
            <v>85.96</v>
          </cell>
          <cell r="K30">
            <v>88.81</v>
          </cell>
          <cell r="L30">
            <v>84.76</v>
          </cell>
          <cell r="M30">
            <v>92.65</v>
          </cell>
          <cell r="N30">
            <v>92.1</v>
          </cell>
          <cell r="O30">
            <v>90.79</v>
          </cell>
          <cell r="P30">
            <v>91.49</v>
          </cell>
          <cell r="Q30">
            <v>94.78</v>
          </cell>
          <cell r="R30">
            <v>89.41</v>
          </cell>
          <cell r="S30">
            <v>81.13</v>
          </cell>
          <cell r="T30">
            <v>72</v>
          </cell>
        </row>
        <row r="31">
          <cell r="A31" t="str">
            <v>宁夏回族自治区</v>
          </cell>
          <cell r="B31">
            <v>96.79</v>
          </cell>
          <cell r="C31">
            <v>98.48</v>
          </cell>
          <cell r="D31">
            <v>97.75</v>
          </cell>
          <cell r="E31">
            <v>97.52</v>
          </cell>
          <cell r="F31">
            <v>96.65</v>
          </cell>
          <cell r="G31">
            <v>93.85</v>
          </cell>
          <cell r="H31">
            <v>91.71</v>
          </cell>
          <cell r="I31">
            <v>90.69</v>
          </cell>
          <cell r="J31">
            <v>87.26</v>
          </cell>
          <cell r="K31">
            <v>89.23</v>
          </cell>
          <cell r="L31">
            <v>89.08</v>
          </cell>
          <cell r="M31">
            <v>79.67</v>
          </cell>
          <cell r="N31">
            <v>88.38</v>
          </cell>
          <cell r="O31">
            <v>88.01</v>
          </cell>
          <cell r="P31">
            <v>87.13</v>
          </cell>
          <cell r="Q31">
            <v>75.680000000000007</v>
          </cell>
          <cell r="R31">
            <v>74.58</v>
          </cell>
          <cell r="S31">
            <v>66.459999999999994</v>
          </cell>
          <cell r="T31">
            <v>51.84</v>
          </cell>
        </row>
        <row r="32">
          <cell r="A32" t="str">
            <v>新疆维吾尔自治区</v>
          </cell>
          <cell r="B32">
            <v>98.54</v>
          </cell>
          <cell r="C32">
            <v>98.63</v>
          </cell>
          <cell r="D32">
            <v>98.8</v>
          </cell>
          <cell r="E32">
            <v>98.39</v>
          </cell>
          <cell r="F32">
            <v>98.52</v>
          </cell>
          <cell r="G32">
            <v>98.01</v>
          </cell>
          <cell r="H32">
            <v>98.32</v>
          </cell>
          <cell r="I32">
            <v>97.89</v>
          </cell>
          <cell r="J32">
            <v>97.63</v>
          </cell>
          <cell r="K32">
            <v>96.87</v>
          </cell>
          <cell r="L32">
            <v>96.37</v>
          </cell>
          <cell r="M32">
            <v>96.6</v>
          </cell>
          <cell r="N32">
            <v>96.19</v>
          </cell>
          <cell r="O32">
            <v>95.8</v>
          </cell>
          <cell r="P32">
            <v>89.34</v>
          </cell>
          <cell r="Q32">
            <v>88.61</v>
          </cell>
          <cell r="R32">
            <v>92.77</v>
          </cell>
          <cell r="S32">
            <v>83.4</v>
          </cell>
          <cell r="T32">
            <v>89.33</v>
          </cell>
        </row>
        <row r="33">
          <cell r="A33" t="str">
            <v>注：人均和普及率指标按城区人口与暂住人口之和计算，以公安部门的户籍统计和暂住人口统计为准。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132</v>
          </cell>
          <cell r="C2">
            <v>9.1999999999999993</v>
          </cell>
          <cell r="D2">
            <v>10.5</v>
          </cell>
          <cell r="E2">
            <v>1.8</v>
          </cell>
          <cell r="F2">
            <v>6.4</v>
          </cell>
          <cell r="G2">
            <v>15.7</v>
          </cell>
          <cell r="H2">
            <v>4.5999999999999996</v>
          </cell>
          <cell r="I2">
            <v>24.8</v>
          </cell>
          <cell r="J2">
            <v>5.5</v>
          </cell>
          <cell r="K2">
            <v>32.1</v>
          </cell>
          <cell r="L2">
            <v>21.1</v>
          </cell>
          <cell r="M2">
            <v>95.2</v>
          </cell>
          <cell r="N2">
            <v>25.7</v>
          </cell>
          <cell r="O2">
            <v>11.5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13.2</v>
          </cell>
          <cell r="C3">
            <v>0.5</v>
          </cell>
          <cell r="D3">
            <v>4.5</v>
          </cell>
          <cell r="E3">
            <v>12.9</v>
          </cell>
          <cell r="F3" t="str">
            <v/>
          </cell>
          <cell r="G3">
            <v>10.9</v>
          </cell>
          <cell r="H3" t="str">
            <v/>
          </cell>
          <cell r="I3">
            <v>14.5</v>
          </cell>
          <cell r="J3" t="str">
            <v/>
          </cell>
          <cell r="K3">
            <v>3.7</v>
          </cell>
          <cell r="L3">
            <v>8.6</v>
          </cell>
          <cell r="M3">
            <v>88.4</v>
          </cell>
          <cell r="N3">
            <v>3.6</v>
          </cell>
          <cell r="O3">
            <v>0.6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598.20000000000005</v>
          </cell>
          <cell r="C4">
            <v>94.2</v>
          </cell>
          <cell r="D4">
            <v>328.2</v>
          </cell>
          <cell r="E4">
            <v>286.10000000000002</v>
          </cell>
          <cell r="F4">
            <v>289.2</v>
          </cell>
          <cell r="G4">
            <v>503.9</v>
          </cell>
          <cell r="H4">
            <v>722</v>
          </cell>
          <cell r="I4">
            <v>1428.2</v>
          </cell>
          <cell r="J4">
            <v>1699.5</v>
          </cell>
          <cell r="K4">
            <v>1716.1</v>
          </cell>
          <cell r="L4">
            <v>1709.6</v>
          </cell>
          <cell r="M4">
            <v>2112.1</v>
          </cell>
          <cell r="N4">
            <v>2181.9</v>
          </cell>
          <cell r="O4">
            <v>2280.5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276.8</v>
          </cell>
          <cell r="C5">
            <v>214.2</v>
          </cell>
          <cell r="D5">
            <v>768.5</v>
          </cell>
          <cell r="E5">
            <v>607.29999999999995</v>
          </cell>
          <cell r="F5">
            <v>953</v>
          </cell>
          <cell r="G5">
            <v>619.1</v>
          </cell>
          <cell r="H5">
            <v>658</v>
          </cell>
          <cell r="I5">
            <v>648.79999999999995</v>
          </cell>
          <cell r="J5">
            <v>863.3</v>
          </cell>
          <cell r="K5">
            <v>476</v>
          </cell>
          <cell r="L5">
            <v>1465.9</v>
          </cell>
          <cell r="M5">
            <v>546.70000000000005</v>
          </cell>
          <cell r="N5">
            <v>1273.5999999999999</v>
          </cell>
          <cell r="O5">
            <v>1330.1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253.5</v>
          </cell>
          <cell r="C6">
            <v>256.39999999999998</v>
          </cell>
          <cell r="D6">
            <v>232.1</v>
          </cell>
          <cell r="E6">
            <v>416.1</v>
          </cell>
          <cell r="F6">
            <v>220.7</v>
          </cell>
          <cell r="G6">
            <v>484.2</v>
          </cell>
          <cell r="H6">
            <v>722.7</v>
          </cell>
          <cell r="I6">
            <v>596.20000000000005</v>
          </cell>
          <cell r="J6">
            <v>584.4</v>
          </cell>
          <cell r="K6">
            <v>644.5</v>
          </cell>
          <cell r="L6">
            <v>565.6</v>
          </cell>
          <cell r="M6">
            <v>668.9</v>
          </cell>
          <cell r="N6">
            <v>692</v>
          </cell>
          <cell r="O6">
            <v>889.4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199.2</v>
          </cell>
          <cell r="C7">
            <v>294.7</v>
          </cell>
          <cell r="D7">
            <v>172.3</v>
          </cell>
          <cell r="E7">
            <v>612.79999999999995</v>
          </cell>
          <cell r="F7">
            <v>171.4</v>
          </cell>
          <cell r="G7">
            <v>680.3</v>
          </cell>
          <cell r="H7">
            <v>599.4</v>
          </cell>
          <cell r="I7">
            <v>156.5</v>
          </cell>
          <cell r="J7">
            <v>715.6</v>
          </cell>
          <cell r="K7">
            <v>746.7</v>
          </cell>
          <cell r="L7">
            <v>322</v>
          </cell>
          <cell r="M7">
            <v>569.1</v>
          </cell>
          <cell r="N7">
            <v>255.6</v>
          </cell>
          <cell r="O7">
            <v>631.29999999999995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75.599999999999994</v>
          </cell>
          <cell r="C8">
            <v>80.900000000000006</v>
          </cell>
          <cell r="D8">
            <v>75.7</v>
          </cell>
          <cell r="E8">
            <v>475.1</v>
          </cell>
          <cell r="F8">
            <v>177.7</v>
          </cell>
          <cell r="G8">
            <v>383.7</v>
          </cell>
          <cell r="H8">
            <v>363.4</v>
          </cell>
          <cell r="I8">
            <v>259.89999999999998</v>
          </cell>
          <cell r="J8">
            <v>450.5</v>
          </cell>
          <cell r="K8">
            <v>545.5</v>
          </cell>
          <cell r="L8">
            <v>675.4</v>
          </cell>
          <cell r="M8">
            <v>712.4</v>
          </cell>
          <cell r="N8">
            <v>201.5</v>
          </cell>
          <cell r="O8">
            <v>779.6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74.900000000000006</v>
          </cell>
          <cell r="C9">
            <v>18.100000000000001</v>
          </cell>
          <cell r="D9">
            <v>101.4</v>
          </cell>
          <cell r="E9">
            <v>528.6</v>
          </cell>
          <cell r="F9">
            <v>397.6</v>
          </cell>
          <cell r="G9">
            <v>362.3</v>
          </cell>
          <cell r="H9">
            <v>241.5</v>
          </cell>
          <cell r="I9">
            <v>589.1</v>
          </cell>
          <cell r="J9">
            <v>249.7</v>
          </cell>
          <cell r="K9">
            <v>257.39999999999998</v>
          </cell>
          <cell r="L9">
            <v>666.9</v>
          </cell>
          <cell r="M9">
            <v>796.2</v>
          </cell>
          <cell r="N9">
            <v>660.6</v>
          </cell>
          <cell r="O9">
            <v>698.7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0</v>
          </cell>
          <cell r="C10">
            <v>42.9</v>
          </cell>
          <cell r="D10">
            <v>73.400000000000006</v>
          </cell>
          <cell r="E10">
            <v>0.8</v>
          </cell>
          <cell r="F10">
            <v>18.899999999999999</v>
          </cell>
          <cell r="G10">
            <v>40.799999999999997</v>
          </cell>
          <cell r="H10" t="str">
            <v/>
          </cell>
          <cell r="I10">
            <v>0.5</v>
          </cell>
          <cell r="J10">
            <v>16.899999999999999</v>
          </cell>
          <cell r="K10" t="str">
            <v/>
          </cell>
          <cell r="L10">
            <v>12.1</v>
          </cell>
          <cell r="M10">
            <v>42</v>
          </cell>
          <cell r="N10">
            <v>44.1</v>
          </cell>
          <cell r="O10">
            <v>0.1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7.4</v>
          </cell>
          <cell r="C11">
            <v>45.2</v>
          </cell>
          <cell r="D11">
            <v>65</v>
          </cell>
          <cell r="E11">
            <v>108.2</v>
          </cell>
          <cell r="F11">
            <v>145.9</v>
          </cell>
          <cell r="G11">
            <v>348.3</v>
          </cell>
          <cell r="H11">
            <v>77</v>
          </cell>
          <cell r="I11">
            <v>237.7</v>
          </cell>
          <cell r="J11">
            <v>534.79999999999995</v>
          </cell>
          <cell r="K11">
            <v>548.4</v>
          </cell>
          <cell r="L11">
            <v>590.70000000000005</v>
          </cell>
          <cell r="M11">
            <v>1492.9</v>
          </cell>
          <cell r="N11">
            <v>1907.5</v>
          </cell>
          <cell r="O11">
            <v>743.7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20.2</v>
          </cell>
          <cell r="C12">
            <v>203.7</v>
          </cell>
          <cell r="D12">
            <v>322.89999999999998</v>
          </cell>
          <cell r="E12">
            <v>230.7</v>
          </cell>
          <cell r="F12">
            <v>896</v>
          </cell>
          <cell r="G12">
            <v>139.9</v>
          </cell>
          <cell r="H12">
            <v>113</v>
          </cell>
          <cell r="I12">
            <v>436.9</v>
          </cell>
          <cell r="J12">
            <v>704.6</v>
          </cell>
          <cell r="K12">
            <v>471.4</v>
          </cell>
          <cell r="L12">
            <v>1702.2</v>
          </cell>
          <cell r="M12">
            <v>1126.7</v>
          </cell>
          <cell r="N12">
            <v>784.7</v>
          </cell>
          <cell r="O12">
            <v>611.6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35.9</v>
          </cell>
          <cell r="C13">
            <v>263.3</v>
          </cell>
          <cell r="D13">
            <v>265.89999999999998</v>
          </cell>
          <cell r="E13">
            <v>1064.0999999999999</v>
          </cell>
          <cell r="F13">
            <v>789.1</v>
          </cell>
          <cell r="G13">
            <v>728.3</v>
          </cell>
          <cell r="H13">
            <v>347.6</v>
          </cell>
          <cell r="I13">
            <v>1487.8</v>
          </cell>
          <cell r="J13">
            <v>1069.7</v>
          </cell>
          <cell r="K13">
            <v>1201.5999999999999</v>
          </cell>
          <cell r="L13">
            <v>2855.9</v>
          </cell>
          <cell r="M13">
            <v>2206.3000000000002</v>
          </cell>
          <cell r="N13">
            <v>2990.3</v>
          </cell>
          <cell r="O13">
            <v>1640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561.20000000000005</v>
          </cell>
          <cell r="C14">
            <v>138.69999999999999</v>
          </cell>
          <cell r="D14">
            <v>44.5</v>
          </cell>
          <cell r="E14">
            <v>59.3</v>
          </cell>
          <cell r="F14">
            <v>139.80000000000001</v>
          </cell>
          <cell r="G14">
            <v>115.1</v>
          </cell>
          <cell r="H14">
            <v>61.4</v>
          </cell>
          <cell r="I14">
            <v>562.29999999999995</v>
          </cell>
          <cell r="J14">
            <v>370.9</v>
          </cell>
          <cell r="K14">
            <v>155.80000000000001</v>
          </cell>
          <cell r="L14">
            <v>404.2</v>
          </cell>
          <cell r="M14">
            <v>225.6</v>
          </cell>
          <cell r="N14">
            <v>156.1</v>
          </cell>
          <cell r="O14">
            <v>809.2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200.4</v>
          </cell>
          <cell r="C15">
            <v>1109.7</v>
          </cell>
          <cell r="D15">
            <v>573.4</v>
          </cell>
          <cell r="E15">
            <v>954.7</v>
          </cell>
          <cell r="F15">
            <v>1545.9</v>
          </cell>
          <cell r="G15">
            <v>621.1</v>
          </cell>
          <cell r="H15">
            <v>665.5</v>
          </cell>
          <cell r="I15">
            <v>805.1</v>
          </cell>
          <cell r="J15">
            <v>628.29999999999995</v>
          </cell>
          <cell r="K15">
            <v>634.20000000000005</v>
          </cell>
          <cell r="L15">
            <v>1160.3</v>
          </cell>
          <cell r="M15">
            <v>775.9</v>
          </cell>
          <cell r="N15">
            <v>1659.3</v>
          </cell>
          <cell r="O15">
            <v>2184.6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15.3</v>
          </cell>
          <cell r="C16">
            <v>31.5</v>
          </cell>
          <cell r="D16">
            <v>109.9</v>
          </cell>
          <cell r="E16">
            <v>395.7</v>
          </cell>
          <cell r="F16">
            <v>1126.5999999999999</v>
          </cell>
          <cell r="G16">
            <v>889.3</v>
          </cell>
          <cell r="H16">
            <v>785.7</v>
          </cell>
          <cell r="I16">
            <v>544.20000000000005</v>
          </cell>
          <cell r="J16">
            <v>1173.2</v>
          </cell>
          <cell r="K16">
            <v>959.8</v>
          </cell>
          <cell r="L16">
            <v>1157.5</v>
          </cell>
          <cell r="M16">
            <v>1940.3</v>
          </cell>
          <cell r="N16">
            <v>3083.3</v>
          </cell>
          <cell r="O16">
            <v>2226.3000000000002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2464.3000000000002</v>
          </cell>
          <cell r="C17">
            <v>799.9</v>
          </cell>
          <cell r="D17">
            <v>2449.1999999999998</v>
          </cell>
          <cell r="E17">
            <v>814.5</v>
          </cell>
          <cell r="F17">
            <v>1221.9000000000001</v>
          </cell>
          <cell r="G17">
            <v>1332.3</v>
          </cell>
          <cell r="H17">
            <v>1538.5</v>
          </cell>
          <cell r="I17">
            <v>712.2</v>
          </cell>
          <cell r="J17">
            <v>516.5</v>
          </cell>
          <cell r="K17">
            <v>2491</v>
          </cell>
          <cell r="L17">
            <v>2587.8000000000002</v>
          </cell>
          <cell r="M17">
            <v>1232.0999999999999</v>
          </cell>
          <cell r="N17">
            <v>2468</v>
          </cell>
          <cell r="O17">
            <v>1843.8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386.9</v>
          </cell>
          <cell r="C18">
            <v>1163.9000000000001</v>
          </cell>
          <cell r="D18">
            <v>654.1</v>
          </cell>
          <cell r="E18">
            <v>1575.1</v>
          </cell>
          <cell r="F18">
            <v>1281.5999999999999</v>
          </cell>
          <cell r="G18">
            <v>1026.3</v>
          </cell>
          <cell r="H18">
            <v>1254.8</v>
          </cell>
          <cell r="I18">
            <v>2331</v>
          </cell>
          <cell r="J18">
            <v>1100.2</v>
          </cell>
          <cell r="K18">
            <v>986.9</v>
          </cell>
          <cell r="L18">
            <v>2353.9</v>
          </cell>
          <cell r="M18">
            <v>1703.6</v>
          </cell>
          <cell r="N18">
            <v>2843.3</v>
          </cell>
          <cell r="O18">
            <v>2362.5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341</v>
          </cell>
          <cell r="C19">
            <v>1183.7</v>
          </cell>
          <cell r="D19">
            <v>652.4</v>
          </cell>
          <cell r="E19">
            <v>907.8</v>
          </cell>
          <cell r="F19">
            <v>1173.9000000000001</v>
          </cell>
          <cell r="G19">
            <v>698.5</v>
          </cell>
          <cell r="H19">
            <v>1716.3</v>
          </cell>
          <cell r="I19">
            <v>1660.1</v>
          </cell>
          <cell r="J19">
            <v>1221.4000000000001</v>
          </cell>
          <cell r="K19">
            <v>1704.9</v>
          </cell>
          <cell r="L19">
            <v>3344</v>
          </cell>
          <cell r="M19">
            <v>1622.8</v>
          </cell>
          <cell r="N19">
            <v>4308.7</v>
          </cell>
          <cell r="O19">
            <v>2283.9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448.6</v>
          </cell>
          <cell r="C20">
            <v>408.7</v>
          </cell>
          <cell r="D20">
            <v>100.1</v>
          </cell>
          <cell r="E20">
            <v>119</v>
          </cell>
          <cell r="F20">
            <v>103.8</v>
          </cell>
          <cell r="G20">
            <v>675.2</v>
          </cell>
          <cell r="H20">
            <v>326.39999999999998</v>
          </cell>
          <cell r="I20">
            <v>618.5</v>
          </cell>
          <cell r="J20">
            <v>848.7</v>
          </cell>
          <cell r="K20">
            <v>742.8</v>
          </cell>
          <cell r="L20">
            <v>2464</v>
          </cell>
          <cell r="M20">
            <v>499.5</v>
          </cell>
          <cell r="N20">
            <v>479.2</v>
          </cell>
          <cell r="O20">
            <v>1087.5999999999999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441.7</v>
          </cell>
          <cell r="C21">
            <v>713.9</v>
          </cell>
          <cell r="D21">
            <v>261.10000000000002</v>
          </cell>
          <cell r="E21">
            <v>336.9</v>
          </cell>
          <cell r="F21">
            <v>356</v>
          </cell>
          <cell r="G21">
            <v>224.6</v>
          </cell>
          <cell r="H21">
            <v>357.4</v>
          </cell>
          <cell r="I21">
            <v>301.60000000000002</v>
          </cell>
          <cell r="J21">
            <v>768.3</v>
          </cell>
          <cell r="K21">
            <v>1100.5</v>
          </cell>
          <cell r="L21">
            <v>764.8</v>
          </cell>
          <cell r="M21">
            <v>844.1</v>
          </cell>
          <cell r="N21">
            <v>1473.4</v>
          </cell>
          <cell r="O21">
            <v>2560.6999999999998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9.9</v>
          </cell>
          <cell r="C22">
            <v>9.8000000000000007</v>
          </cell>
          <cell r="D22">
            <v>36.799999999999997</v>
          </cell>
          <cell r="E22">
            <v>26.7</v>
          </cell>
          <cell r="F22">
            <v>12.9</v>
          </cell>
          <cell r="G22">
            <v>60.2</v>
          </cell>
          <cell r="H22">
            <v>88.4</v>
          </cell>
          <cell r="I22">
            <v>457.3</v>
          </cell>
          <cell r="J22">
            <v>144.9</v>
          </cell>
          <cell r="K22">
            <v>621.4</v>
          </cell>
          <cell r="L22">
            <v>366.3</v>
          </cell>
          <cell r="M22">
            <v>197.5</v>
          </cell>
          <cell r="N22">
            <v>516.70000000000005</v>
          </cell>
          <cell r="O22">
            <v>437.7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169.3</v>
          </cell>
          <cell r="C23">
            <v>372.3</v>
          </cell>
          <cell r="D23">
            <v>140</v>
          </cell>
          <cell r="E23">
            <v>401.8</v>
          </cell>
          <cell r="F23">
            <v>145.9</v>
          </cell>
          <cell r="G23">
            <v>148.19999999999999</v>
          </cell>
          <cell r="H23">
            <v>252.1</v>
          </cell>
          <cell r="I23">
            <v>371.8</v>
          </cell>
          <cell r="J23">
            <v>189.2</v>
          </cell>
          <cell r="K23">
            <v>649.70000000000005</v>
          </cell>
          <cell r="L23">
            <v>1085.2</v>
          </cell>
          <cell r="M23">
            <v>795.4</v>
          </cell>
          <cell r="N23">
            <v>1466.8</v>
          </cell>
          <cell r="O23">
            <v>1182.7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741.3</v>
          </cell>
          <cell r="C24">
            <v>1103</v>
          </cell>
          <cell r="D24">
            <v>714.3</v>
          </cell>
          <cell r="E24">
            <v>1152.3</v>
          </cell>
          <cell r="F24">
            <v>487.6</v>
          </cell>
          <cell r="G24">
            <v>836.8</v>
          </cell>
          <cell r="H24">
            <v>421.8</v>
          </cell>
          <cell r="I24">
            <v>741.7</v>
          </cell>
          <cell r="J24">
            <v>997.5</v>
          </cell>
          <cell r="K24">
            <v>1611.9</v>
          </cell>
          <cell r="L24">
            <v>4555.5</v>
          </cell>
          <cell r="M24">
            <v>3655.1</v>
          </cell>
          <cell r="N24">
            <v>4652.3999999999996</v>
          </cell>
          <cell r="O24">
            <v>4326.3999999999996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426.3</v>
          </cell>
          <cell r="C25">
            <v>592.9</v>
          </cell>
          <cell r="D25">
            <v>244.6</v>
          </cell>
          <cell r="E25">
            <v>475.2</v>
          </cell>
          <cell r="F25">
            <v>277.2</v>
          </cell>
          <cell r="G25">
            <v>508.2</v>
          </cell>
          <cell r="H25">
            <v>531.4</v>
          </cell>
          <cell r="I25">
            <v>661.7</v>
          </cell>
          <cell r="J25">
            <v>588</v>
          </cell>
          <cell r="K25">
            <v>1493.8</v>
          </cell>
          <cell r="L25">
            <v>2278.1</v>
          </cell>
          <cell r="M25">
            <v>1194.8</v>
          </cell>
          <cell r="N25">
            <v>3479.2</v>
          </cell>
          <cell r="O25">
            <v>3082.1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723.2</v>
          </cell>
          <cell r="C26">
            <v>1038.7</v>
          </cell>
          <cell r="D26">
            <v>791.5</v>
          </cell>
          <cell r="E26">
            <v>1128.5</v>
          </cell>
          <cell r="F26">
            <v>949.4</v>
          </cell>
          <cell r="G26">
            <v>480.2</v>
          </cell>
          <cell r="H26">
            <v>629</v>
          </cell>
          <cell r="I26">
            <v>1168.7</v>
          </cell>
          <cell r="J26">
            <v>1279.2</v>
          </cell>
          <cell r="K26">
            <v>1414.8</v>
          </cell>
          <cell r="L26">
            <v>1984.2</v>
          </cell>
          <cell r="M26">
            <v>1760</v>
          </cell>
          <cell r="N26">
            <v>2163.1999999999998</v>
          </cell>
          <cell r="O26">
            <v>3119.6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19.7</v>
          </cell>
          <cell r="C27">
            <v>16.899999999999999</v>
          </cell>
          <cell r="D27">
            <v>19.100000000000001</v>
          </cell>
          <cell r="E27">
            <v>16.5</v>
          </cell>
          <cell r="F27">
            <v>11.4</v>
          </cell>
          <cell r="G27">
            <v>23.5</v>
          </cell>
          <cell r="H27">
            <v>29.7</v>
          </cell>
          <cell r="I27">
            <v>45.6</v>
          </cell>
          <cell r="J27">
            <v>55.4</v>
          </cell>
          <cell r="K27">
            <v>17.600000000000001</v>
          </cell>
          <cell r="L27">
            <v>151.5</v>
          </cell>
          <cell r="M27">
            <v>49</v>
          </cell>
          <cell r="N27">
            <v>57.3</v>
          </cell>
          <cell r="O27">
            <v>63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388.3</v>
          </cell>
          <cell r="C28">
            <v>427.6</v>
          </cell>
          <cell r="D28">
            <v>834.5</v>
          </cell>
          <cell r="E28">
            <v>409.7</v>
          </cell>
          <cell r="F28">
            <v>458.8</v>
          </cell>
          <cell r="G28">
            <v>330.7</v>
          </cell>
          <cell r="H28">
            <v>687.3</v>
          </cell>
          <cell r="I28">
            <v>543.9</v>
          </cell>
          <cell r="J28">
            <v>583</v>
          </cell>
          <cell r="K28">
            <v>1208.5</v>
          </cell>
          <cell r="L28">
            <v>1471.9</v>
          </cell>
          <cell r="M28">
            <v>733.2</v>
          </cell>
          <cell r="N28">
            <v>1372.7</v>
          </cell>
          <cell r="O28">
            <v>1572.5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358.4</v>
          </cell>
          <cell r="C29">
            <v>483</v>
          </cell>
          <cell r="D29">
            <v>389.1</v>
          </cell>
          <cell r="E29">
            <v>485.3</v>
          </cell>
          <cell r="F29">
            <v>224.5</v>
          </cell>
          <cell r="G29">
            <v>922.8</v>
          </cell>
          <cell r="H29">
            <v>668.2</v>
          </cell>
          <cell r="I29">
            <v>997.8</v>
          </cell>
          <cell r="J29">
            <v>658</v>
          </cell>
          <cell r="K29">
            <v>1052.7</v>
          </cell>
          <cell r="L29">
            <v>1540.2</v>
          </cell>
          <cell r="M29">
            <v>1185.2</v>
          </cell>
          <cell r="N29">
            <v>1452.3</v>
          </cell>
          <cell r="O29">
            <v>2741.7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56.5</v>
          </cell>
          <cell r="C30">
            <v>85.2</v>
          </cell>
          <cell r="D30">
            <v>49.5</v>
          </cell>
          <cell r="E30">
            <v>48.3</v>
          </cell>
          <cell r="F30">
            <v>86.9</v>
          </cell>
          <cell r="G30">
            <v>72.900000000000006</v>
          </cell>
          <cell r="H30">
            <v>207.6</v>
          </cell>
          <cell r="I30">
            <v>124.4</v>
          </cell>
          <cell r="J30">
            <v>189.5</v>
          </cell>
          <cell r="K30">
            <v>129.80000000000001</v>
          </cell>
          <cell r="L30">
            <v>167.5</v>
          </cell>
          <cell r="M30">
            <v>172.7</v>
          </cell>
          <cell r="N30">
            <v>235.6</v>
          </cell>
          <cell r="O30">
            <v>261.3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50.3</v>
          </cell>
          <cell r="C31">
            <v>28.6</v>
          </cell>
          <cell r="D31">
            <v>132.19999999999999</v>
          </cell>
          <cell r="E31">
            <v>93.2</v>
          </cell>
          <cell r="F31">
            <v>14.6</v>
          </cell>
          <cell r="G31">
            <v>42.6</v>
          </cell>
          <cell r="H31">
            <v>227.2</v>
          </cell>
          <cell r="I31">
            <v>186.1</v>
          </cell>
          <cell r="J31">
            <v>131</v>
          </cell>
          <cell r="K31">
            <v>220.6</v>
          </cell>
          <cell r="L31">
            <v>188.7</v>
          </cell>
          <cell r="M31">
            <v>144.6</v>
          </cell>
          <cell r="N31">
            <v>181.2</v>
          </cell>
          <cell r="O31">
            <v>182.3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55.1</v>
          </cell>
          <cell r="C32">
            <v>36.5</v>
          </cell>
          <cell r="D32">
            <v>114.7</v>
          </cell>
          <cell r="E32">
            <v>84.7</v>
          </cell>
          <cell r="F32">
            <v>74.400000000000006</v>
          </cell>
          <cell r="G32">
            <v>228</v>
          </cell>
          <cell r="H32">
            <v>150.1</v>
          </cell>
          <cell r="I32">
            <v>196.8</v>
          </cell>
          <cell r="J32">
            <v>282.60000000000002</v>
          </cell>
          <cell r="K32">
            <v>513.6</v>
          </cell>
          <cell r="L32">
            <v>197.1</v>
          </cell>
          <cell r="M32">
            <v>233.4</v>
          </cell>
          <cell r="N32">
            <v>171.5</v>
          </cell>
          <cell r="O32">
            <v>573.29999999999995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16.34</v>
          </cell>
          <cell r="D2">
            <v>16.45</v>
          </cell>
          <cell r="E2">
            <v>17.02</v>
          </cell>
          <cell r="F2">
            <v>17.41</v>
          </cell>
          <cell r="G2">
            <v>18.239999999999998</v>
          </cell>
          <cell r="H2">
            <v>26.55</v>
          </cell>
          <cell r="I2">
            <v>24.31</v>
          </cell>
          <cell r="J2">
            <v>24.58</v>
          </cell>
          <cell r="K2">
            <v>24.84</v>
          </cell>
          <cell r="L2">
            <v>24.39</v>
          </cell>
          <cell r="M2">
            <v>23.43</v>
          </cell>
          <cell r="N2">
            <v>22.38</v>
          </cell>
          <cell r="O2">
            <v>14.24</v>
          </cell>
          <cell r="P2">
            <v>24.75</v>
          </cell>
          <cell r="Q2">
            <v>24.67</v>
          </cell>
          <cell r="R2">
            <v>21.56</v>
          </cell>
          <cell r="S2">
            <v>22.19</v>
          </cell>
          <cell r="T2">
            <v>17.64</v>
          </cell>
        </row>
        <row r="3">
          <cell r="A3" t="str">
            <v>天津市</v>
          </cell>
          <cell r="B3" t="str">
            <v/>
          </cell>
          <cell r="C3">
            <v>11.25</v>
          </cell>
          <cell r="D3">
            <v>12.51</v>
          </cell>
          <cell r="E3">
            <v>11.54</v>
          </cell>
          <cell r="F3">
            <v>10.93</v>
          </cell>
          <cell r="G3">
            <v>11.93</v>
          </cell>
          <cell r="H3">
            <v>19.64</v>
          </cell>
          <cell r="I3">
            <v>18.09</v>
          </cell>
          <cell r="J3">
            <v>16.3</v>
          </cell>
          <cell r="K3">
            <v>18.14</v>
          </cell>
          <cell r="L3">
            <v>18.989999999999998</v>
          </cell>
          <cell r="M3">
            <v>17.34</v>
          </cell>
          <cell r="N3">
            <v>15.19</v>
          </cell>
          <cell r="O3">
            <v>12.05</v>
          </cell>
          <cell r="P3">
            <v>15.38</v>
          </cell>
          <cell r="Q3">
            <v>14.33</v>
          </cell>
          <cell r="R3">
            <v>12.72</v>
          </cell>
          <cell r="S3">
            <v>14.23</v>
          </cell>
          <cell r="T3">
            <v>11.23</v>
          </cell>
        </row>
        <row r="4">
          <cell r="A4" t="str">
            <v>河北省</v>
          </cell>
          <cell r="B4" t="str">
            <v/>
          </cell>
          <cell r="C4">
            <v>17.579999999999998</v>
          </cell>
          <cell r="D4">
            <v>11.34</v>
          </cell>
          <cell r="E4">
            <v>13.29</v>
          </cell>
          <cell r="F4">
            <v>13.18</v>
          </cell>
          <cell r="G4">
            <v>14.62</v>
          </cell>
          <cell r="H4">
            <v>15.34</v>
          </cell>
          <cell r="I4">
            <v>13.68</v>
          </cell>
          <cell r="J4">
            <v>12.94</v>
          </cell>
          <cell r="K4">
            <v>11.34</v>
          </cell>
          <cell r="L4">
            <v>12.62</v>
          </cell>
          <cell r="M4">
            <v>11.29</v>
          </cell>
          <cell r="N4">
            <v>10.44</v>
          </cell>
          <cell r="O4">
            <v>9.5299999999999994</v>
          </cell>
          <cell r="P4">
            <v>9.02</v>
          </cell>
          <cell r="Q4">
            <v>9.7899999999999991</v>
          </cell>
          <cell r="R4">
            <v>8.98</v>
          </cell>
          <cell r="S4">
            <v>8.0500000000000007</v>
          </cell>
          <cell r="T4">
            <v>7.15</v>
          </cell>
        </row>
        <row r="5">
          <cell r="A5" t="str">
            <v>山西省</v>
          </cell>
          <cell r="B5" t="str">
            <v/>
          </cell>
          <cell r="C5">
            <v>13.96</v>
          </cell>
          <cell r="D5">
            <v>10.32</v>
          </cell>
          <cell r="E5">
            <v>11.01</v>
          </cell>
          <cell r="F5">
            <v>11.3</v>
          </cell>
          <cell r="G5">
            <v>10.57</v>
          </cell>
          <cell r="H5">
            <v>9.74</v>
          </cell>
          <cell r="I5">
            <v>9.42</v>
          </cell>
          <cell r="J5">
            <v>8.5299999999999994</v>
          </cell>
          <cell r="K5">
            <v>8.85</v>
          </cell>
          <cell r="L5">
            <v>9.9</v>
          </cell>
          <cell r="M5">
            <v>8.4700000000000006</v>
          </cell>
          <cell r="N5">
            <v>7.87</v>
          </cell>
          <cell r="O5">
            <v>6.83</v>
          </cell>
          <cell r="P5">
            <v>7.09</v>
          </cell>
          <cell r="Q5">
            <v>6.85</v>
          </cell>
          <cell r="R5">
            <v>6.62</v>
          </cell>
          <cell r="S5">
            <v>5.73</v>
          </cell>
          <cell r="T5">
            <v>5.25</v>
          </cell>
        </row>
        <row r="6">
          <cell r="A6" t="str">
            <v>内蒙古自治区</v>
          </cell>
          <cell r="B6" t="str">
            <v/>
          </cell>
          <cell r="C6">
            <v>12.87</v>
          </cell>
          <cell r="D6">
            <v>9.8699999999999992</v>
          </cell>
          <cell r="E6">
            <v>11.51</v>
          </cell>
          <cell r="F6">
            <v>11.53</v>
          </cell>
          <cell r="G6">
            <v>10.18</v>
          </cell>
          <cell r="H6">
            <v>10.65</v>
          </cell>
          <cell r="I6">
            <v>10.26</v>
          </cell>
          <cell r="J6">
            <v>9.1</v>
          </cell>
          <cell r="K6">
            <v>9.01</v>
          </cell>
          <cell r="L6">
            <v>8.57</v>
          </cell>
          <cell r="M6">
            <v>7.05</v>
          </cell>
          <cell r="N6">
            <v>7.2</v>
          </cell>
          <cell r="O6">
            <v>6.89</v>
          </cell>
          <cell r="P6">
            <v>7.5</v>
          </cell>
          <cell r="Q6">
            <v>7.5</v>
          </cell>
          <cell r="R6">
            <v>6.9</v>
          </cell>
          <cell r="S6">
            <v>6.08</v>
          </cell>
          <cell r="T6">
            <v>5.61</v>
          </cell>
        </row>
        <row r="7">
          <cell r="A7" t="str">
            <v>辽宁省</v>
          </cell>
          <cell r="B7" t="str">
            <v/>
          </cell>
          <cell r="C7">
            <v>11.52</v>
          </cell>
          <cell r="D7">
            <v>11.95</v>
          </cell>
          <cell r="E7">
            <v>12.3</v>
          </cell>
          <cell r="F7">
            <v>12.14</v>
          </cell>
          <cell r="G7">
            <v>11.72</v>
          </cell>
          <cell r="H7">
            <v>13.23</v>
          </cell>
          <cell r="I7">
            <v>12.91</v>
          </cell>
          <cell r="J7">
            <v>12.3</v>
          </cell>
          <cell r="K7">
            <v>11.79</v>
          </cell>
          <cell r="L7">
            <v>11.19</v>
          </cell>
          <cell r="M7">
            <v>11.11</v>
          </cell>
          <cell r="N7">
            <v>11.03</v>
          </cell>
          <cell r="O7">
            <v>9.35</v>
          </cell>
          <cell r="P7">
            <v>10.34</v>
          </cell>
          <cell r="Q7">
            <v>10.58</v>
          </cell>
          <cell r="R7">
            <v>10.02</v>
          </cell>
          <cell r="S7">
            <v>9.2799999999999994</v>
          </cell>
          <cell r="T7">
            <v>8.94</v>
          </cell>
        </row>
        <row r="8">
          <cell r="A8" t="str">
            <v>吉林省</v>
          </cell>
          <cell r="B8" t="str">
            <v/>
          </cell>
          <cell r="C8">
            <v>11.23</v>
          </cell>
          <cell r="D8">
            <v>9.57</v>
          </cell>
          <cell r="E8">
            <v>10.07</v>
          </cell>
          <cell r="F8">
            <v>10.220000000000001</v>
          </cell>
          <cell r="G8">
            <v>10.73</v>
          </cell>
          <cell r="H8">
            <v>11.15</v>
          </cell>
          <cell r="I8">
            <v>10.26</v>
          </cell>
          <cell r="J8">
            <v>10.62</v>
          </cell>
          <cell r="K8">
            <v>10.32</v>
          </cell>
          <cell r="L8">
            <v>10.210000000000001</v>
          </cell>
          <cell r="M8">
            <v>9.75</v>
          </cell>
          <cell r="N8">
            <v>9.31</v>
          </cell>
          <cell r="O8">
            <v>9.75</v>
          </cell>
          <cell r="P8">
            <v>9.56</v>
          </cell>
          <cell r="Q8">
            <v>9.27</v>
          </cell>
          <cell r="R8">
            <v>8.68</v>
          </cell>
          <cell r="S8">
            <v>7.65</v>
          </cell>
          <cell r="T8">
            <v>7.28</v>
          </cell>
        </row>
        <row r="9">
          <cell r="A9" t="str">
            <v>黑龙江省</v>
          </cell>
          <cell r="B9" t="str">
            <v/>
          </cell>
          <cell r="C9">
            <v>16.78</v>
          </cell>
          <cell r="D9">
            <v>13.11</v>
          </cell>
          <cell r="E9">
            <v>13.99</v>
          </cell>
          <cell r="F9">
            <v>14.81</v>
          </cell>
          <cell r="G9">
            <v>14.03</v>
          </cell>
          <cell r="H9">
            <v>14.09</v>
          </cell>
          <cell r="I9">
            <v>13.58</v>
          </cell>
          <cell r="J9">
            <v>13.11</v>
          </cell>
          <cell r="K9">
            <v>12.78</v>
          </cell>
          <cell r="L9">
            <v>12.62</v>
          </cell>
          <cell r="M9">
            <v>11.26</v>
          </cell>
          <cell r="N9">
            <v>11.14</v>
          </cell>
          <cell r="O9">
            <v>10</v>
          </cell>
          <cell r="P9">
            <v>10.14</v>
          </cell>
          <cell r="Q9">
            <v>9.7100000000000009</v>
          </cell>
          <cell r="R9">
            <v>8.9600000000000009</v>
          </cell>
          <cell r="S9">
            <v>8.7200000000000006</v>
          </cell>
          <cell r="T9">
            <v>6.68</v>
          </cell>
        </row>
        <row r="10">
          <cell r="A10" t="str">
            <v>上海市</v>
          </cell>
          <cell r="B10" t="str">
            <v/>
          </cell>
          <cell r="C10">
            <v>8.84</v>
          </cell>
          <cell r="D10">
            <v>8.98</v>
          </cell>
          <cell r="E10">
            <v>9.2100000000000009</v>
          </cell>
          <cell r="F10">
            <v>9.2899999999999991</v>
          </cell>
          <cell r="G10">
            <v>9.0399999999999991</v>
          </cell>
          <cell r="H10">
            <v>13.94</v>
          </cell>
          <cell r="I10">
            <v>12.7</v>
          </cell>
          <cell r="J10">
            <v>12.36</v>
          </cell>
          <cell r="K10">
            <v>11.97</v>
          </cell>
          <cell r="L10">
            <v>12.11</v>
          </cell>
          <cell r="M10">
            <v>11.91</v>
          </cell>
          <cell r="N10">
            <v>11.79</v>
          </cell>
          <cell r="O10">
            <v>8.82</v>
          </cell>
          <cell r="P10">
            <v>12.76</v>
          </cell>
          <cell r="Q10">
            <v>12.51</v>
          </cell>
          <cell r="R10">
            <v>12.41</v>
          </cell>
          <cell r="S10">
            <v>12.52</v>
          </cell>
          <cell r="T10">
            <v>12.95</v>
          </cell>
        </row>
        <row r="11">
          <cell r="A11" t="str">
            <v>江苏省</v>
          </cell>
          <cell r="B11" t="str">
            <v/>
          </cell>
          <cell r="C11">
            <v>16.510000000000002</v>
          </cell>
          <cell r="D11">
            <v>14.67</v>
          </cell>
          <cell r="E11">
            <v>15.61</v>
          </cell>
          <cell r="F11">
            <v>15.52</v>
          </cell>
          <cell r="G11">
            <v>15.63</v>
          </cell>
          <cell r="H11">
            <v>17.420000000000002</v>
          </cell>
          <cell r="I11">
            <v>16.57</v>
          </cell>
          <cell r="J11">
            <v>15.81</v>
          </cell>
          <cell r="K11">
            <v>15.08</v>
          </cell>
          <cell r="L11">
            <v>14.15</v>
          </cell>
          <cell r="M11">
            <v>13.36</v>
          </cell>
          <cell r="N11">
            <v>13.21</v>
          </cell>
          <cell r="O11">
            <v>10.91</v>
          </cell>
          <cell r="P11">
            <v>13.24</v>
          </cell>
          <cell r="Q11">
            <v>12.41</v>
          </cell>
          <cell r="R11">
            <v>11.55</v>
          </cell>
          <cell r="S11">
            <v>8.61</v>
          </cell>
          <cell r="T11">
            <v>9.07</v>
          </cell>
        </row>
        <row r="12">
          <cell r="A12" t="str">
            <v>浙江省</v>
          </cell>
          <cell r="B12" t="str">
            <v/>
          </cell>
          <cell r="C12">
            <v>14.87</v>
          </cell>
          <cell r="D12">
            <v>13.22</v>
          </cell>
          <cell r="E12">
            <v>14.75</v>
          </cell>
          <cell r="F12">
            <v>16.420000000000002</v>
          </cell>
          <cell r="G12">
            <v>16.100000000000001</v>
          </cell>
          <cell r="H12">
            <v>16.93</v>
          </cell>
          <cell r="I12">
            <v>16.27</v>
          </cell>
          <cell r="J12">
            <v>15.99</v>
          </cell>
          <cell r="K12">
            <v>15.46</v>
          </cell>
          <cell r="L12">
            <v>14.64</v>
          </cell>
          <cell r="M12">
            <v>13.96</v>
          </cell>
          <cell r="N12">
            <v>13.55</v>
          </cell>
          <cell r="O12">
            <v>11.87</v>
          </cell>
          <cell r="P12">
            <v>13.7</v>
          </cell>
          <cell r="Q12">
            <v>13.24</v>
          </cell>
          <cell r="R12">
            <v>11.34</v>
          </cell>
          <cell r="S12">
            <v>9.33</v>
          </cell>
          <cell r="T12">
            <v>11.71</v>
          </cell>
        </row>
        <row r="13">
          <cell r="A13" t="str">
            <v>安徽省</v>
          </cell>
          <cell r="B13" t="str">
            <v/>
          </cell>
          <cell r="C13">
            <v>16.02</v>
          </cell>
          <cell r="D13">
            <v>11.23</v>
          </cell>
          <cell r="E13">
            <v>13.02</v>
          </cell>
          <cell r="F13">
            <v>13.23</v>
          </cell>
          <cell r="G13">
            <v>12.8</v>
          </cell>
          <cell r="H13">
            <v>13.61</v>
          </cell>
          <cell r="I13">
            <v>11.95</v>
          </cell>
          <cell r="J13">
            <v>11.39</v>
          </cell>
          <cell r="K13">
            <v>11.6</v>
          </cell>
          <cell r="L13">
            <v>10.99</v>
          </cell>
          <cell r="M13">
            <v>10.14</v>
          </cell>
          <cell r="N13">
            <v>9.74</v>
          </cell>
          <cell r="O13">
            <v>7.73</v>
          </cell>
          <cell r="P13">
            <v>8.61</v>
          </cell>
          <cell r="Q13">
            <v>9.18</v>
          </cell>
          <cell r="R13">
            <v>8.67</v>
          </cell>
          <cell r="S13">
            <v>7.7</v>
          </cell>
          <cell r="T13">
            <v>7.2</v>
          </cell>
        </row>
        <row r="14">
          <cell r="A14" t="str">
            <v>福建省</v>
          </cell>
          <cell r="B14" t="str">
            <v/>
          </cell>
          <cell r="C14">
            <v>15.11</v>
          </cell>
          <cell r="D14">
            <v>11.54</v>
          </cell>
          <cell r="E14">
            <v>14.18</v>
          </cell>
          <cell r="F14">
            <v>14.85</v>
          </cell>
          <cell r="G14">
            <v>15.28</v>
          </cell>
          <cell r="H14">
            <v>15.85</v>
          </cell>
          <cell r="I14">
            <v>15.26</v>
          </cell>
          <cell r="J14">
            <v>14.44</v>
          </cell>
          <cell r="K14">
            <v>13.33</v>
          </cell>
          <cell r="L14">
            <v>12.65</v>
          </cell>
          <cell r="M14">
            <v>12.16</v>
          </cell>
          <cell r="N14">
            <v>11.86</v>
          </cell>
          <cell r="O14">
            <v>10.32</v>
          </cell>
          <cell r="P14">
            <v>11.51</v>
          </cell>
          <cell r="Q14">
            <v>10.42</v>
          </cell>
          <cell r="R14">
            <v>9.52</v>
          </cell>
          <cell r="S14">
            <v>9.0399999999999991</v>
          </cell>
          <cell r="T14">
            <v>12.08</v>
          </cell>
        </row>
        <row r="15">
          <cell r="A15" t="str">
            <v>江西省</v>
          </cell>
          <cell r="B15" t="str">
            <v/>
          </cell>
          <cell r="C15">
            <v>14.06</v>
          </cell>
          <cell r="D15">
            <v>8.2899999999999991</v>
          </cell>
          <cell r="E15">
            <v>9.73</v>
          </cell>
          <cell r="F15">
            <v>9.6300000000000008</v>
          </cell>
          <cell r="G15">
            <v>9.7200000000000006</v>
          </cell>
          <cell r="H15">
            <v>12.55</v>
          </cell>
          <cell r="I15">
            <v>8.86</v>
          </cell>
          <cell r="J15">
            <v>8.69</v>
          </cell>
          <cell r="K15">
            <v>8.56</v>
          </cell>
          <cell r="L15">
            <v>9.15</v>
          </cell>
          <cell r="M15">
            <v>10.01</v>
          </cell>
          <cell r="N15">
            <v>9.7799999999999994</v>
          </cell>
          <cell r="O15">
            <v>7.61</v>
          </cell>
          <cell r="P15">
            <v>9.2200000000000006</v>
          </cell>
          <cell r="Q15">
            <v>10.23</v>
          </cell>
          <cell r="R15">
            <v>9.3699999999999992</v>
          </cell>
          <cell r="S15">
            <v>8.06</v>
          </cell>
          <cell r="T15">
            <v>8.0299999999999994</v>
          </cell>
        </row>
        <row r="16">
          <cell r="A16" t="str">
            <v>山东省</v>
          </cell>
          <cell r="B16" t="str">
            <v/>
          </cell>
          <cell r="C16">
            <v>17.71</v>
          </cell>
          <cell r="D16">
            <v>14.41</v>
          </cell>
          <cell r="E16">
            <v>15.56</v>
          </cell>
          <cell r="F16">
            <v>16.079999999999998</v>
          </cell>
          <cell r="G16">
            <v>15.13</v>
          </cell>
          <cell r="H16">
            <v>16.36</v>
          </cell>
          <cell r="I16">
            <v>15.88</v>
          </cell>
          <cell r="J16">
            <v>14.43</v>
          </cell>
          <cell r="K16">
            <v>13.17</v>
          </cell>
          <cell r="L16">
            <v>13.54</v>
          </cell>
          <cell r="M16">
            <v>12.76</v>
          </cell>
          <cell r="N16">
            <v>12.41</v>
          </cell>
          <cell r="O16">
            <v>10.18</v>
          </cell>
          <cell r="P16">
            <v>10.34</v>
          </cell>
          <cell r="Q16">
            <v>12.19</v>
          </cell>
          <cell r="R16">
            <v>11.42</v>
          </cell>
          <cell r="S16">
            <v>10.5</v>
          </cell>
          <cell r="T16">
            <v>6.92</v>
          </cell>
        </row>
        <row r="17">
          <cell r="A17" t="str">
            <v>河南省</v>
          </cell>
          <cell r="B17" t="str">
            <v/>
          </cell>
          <cell r="C17">
            <v>13.96</v>
          </cell>
          <cell r="D17">
            <v>9.67</v>
          </cell>
          <cell r="E17">
            <v>12.2</v>
          </cell>
          <cell r="F17">
            <v>12.29</v>
          </cell>
          <cell r="G17">
            <v>12.59</v>
          </cell>
          <cell r="H17">
            <v>12.28</v>
          </cell>
          <cell r="I17">
            <v>10.88</v>
          </cell>
          <cell r="J17">
            <v>10.14</v>
          </cell>
          <cell r="K17">
            <v>9.75</v>
          </cell>
          <cell r="L17">
            <v>9.07</v>
          </cell>
          <cell r="M17">
            <v>8.6</v>
          </cell>
          <cell r="N17">
            <v>8.68</v>
          </cell>
          <cell r="O17">
            <v>7.58</v>
          </cell>
          <cell r="P17">
            <v>8.15</v>
          </cell>
          <cell r="Q17">
            <v>7.98</v>
          </cell>
          <cell r="R17">
            <v>7.8</v>
          </cell>
          <cell r="S17">
            <v>7.09</v>
          </cell>
          <cell r="T17">
            <v>7.77</v>
          </cell>
        </row>
        <row r="18">
          <cell r="A18" t="str">
            <v>湖北省</v>
          </cell>
          <cell r="B18" t="str">
            <v/>
          </cell>
          <cell r="C18">
            <v>12.24</v>
          </cell>
          <cell r="D18">
            <v>9.85</v>
          </cell>
          <cell r="E18">
            <v>11.36</v>
          </cell>
          <cell r="F18">
            <v>10.82</v>
          </cell>
          <cell r="G18">
            <v>10.98</v>
          </cell>
          <cell r="H18">
            <v>12.38</v>
          </cell>
          <cell r="I18">
            <v>12.76</v>
          </cell>
          <cell r="J18">
            <v>11.84</v>
          </cell>
          <cell r="K18">
            <v>11.91</v>
          </cell>
          <cell r="L18">
            <v>11.56</v>
          </cell>
          <cell r="M18">
            <v>11.25</v>
          </cell>
          <cell r="N18">
            <v>11.17</v>
          </cell>
          <cell r="O18">
            <v>9.4700000000000006</v>
          </cell>
          <cell r="P18">
            <v>11.02</v>
          </cell>
          <cell r="Q18">
            <v>11.89</v>
          </cell>
          <cell r="R18">
            <v>11.88</v>
          </cell>
          <cell r="S18">
            <v>10.55</v>
          </cell>
          <cell r="T18">
            <v>7.8</v>
          </cell>
        </row>
        <row r="19">
          <cell r="A19" t="str">
            <v>湖南省</v>
          </cell>
          <cell r="B19" t="str">
            <v/>
          </cell>
          <cell r="C19">
            <v>19.11</v>
          </cell>
          <cell r="D19">
            <v>11.97</v>
          </cell>
          <cell r="E19">
            <v>17.25</v>
          </cell>
          <cell r="F19">
            <v>17.940000000000001</v>
          </cell>
          <cell r="G19">
            <v>15.49</v>
          </cell>
          <cell r="H19">
            <v>14.43</v>
          </cell>
          <cell r="I19">
            <v>15.13</v>
          </cell>
          <cell r="J19">
            <v>13.64</v>
          </cell>
          <cell r="K19">
            <v>12.46</v>
          </cell>
          <cell r="L19">
            <v>10.8</v>
          </cell>
          <cell r="M19">
            <v>10.38</v>
          </cell>
          <cell r="N19">
            <v>10.36</v>
          </cell>
          <cell r="O19">
            <v>10.01</v>
          </cell>
          <cell r="P19">
            <v>10.59</v>
          </cell>
          <cell r="Q19">
            <v>10.89</v>
          </cell>
          <cell r="R19">
            <v>10.62</v>
          </cell>
          <cell r="S19">
            <v>8.98</v>
          </cell>
          <cell r="T19">
            <v>8.86</v>
          </cell>
        </row>
        <row r="20">
          <cell r="A20" t="str">
            <v>广东省</v>
          </cell>
          <cell r="B20" t="str">
            <v/>
          </cell>
          <cell r="C20">
            <v>11.21</v>
          </cell>
          <cell r="D20">
            <v>10.88</v>
          </cell>
          <cell r="E20">
            <v>11.85</v>
          </cell>
          <cell r="F20">
            <v>11.93</v>
          </cell>
          <cell r="G20">
            <v>12.74</v>
          </cell>
          <cell r="H20">
            <v>15.3</v>
          </cell>
          <cell r="I20">
            <v>14.2</v>
          </cell>
          <cell r="J20">
            <v>13.52</v>
          </cell>
          <cell r="K20">
            <v>13.28</v>
          </cell>
          <cell r="L20">
            <v>13.08</v>
          </cell>
          <cell r="M20">
            <v>13.42</v>
          </cell>
          <cell r="N20">
            <v>12.9</v>
          </cell>
          <cell r="O20">
            <v>9.5299999999999994</v>
          </cell>
          <cell r="P20">
            <v>10.43</v>
          </cell>
          <cell r="Q20">
            <v>9.7899999999999991</v>
          </cell>
          <cell r="R20">
            <v>7.9</v>
          </cell>
          <cell r="S20">
            <v>5.74</v>
          </cell>
          <cell r="T20">
            <v>6.45</v>
          </cell>
        </row>
        <row r="21">
          <cell r="A21" t="str">
            <v>广西壮族自治区</v>
          </cell>
          <cell r="B21" t="str">
            <v/>
          </cell>
          <cell r="C21">
            <v>11.56</v>
          </cell>
          <cell r="D21">
            <v>8.41</v>
          </cell>
          <cell r="E21">
            <v>9.41</v>
          </cell>
          <cell r="F21">
            <v>10.1</v>
          </cell>
          <cell r="G21">
            <v>10.78</v>
          </cell>
          <cell r="H21">
            <v>10.74</v>
          </cell>
          <cell r="I21">
            <v>9.77</v>
          </cell>
          <cell r="J21">
            <v>9.1</v>
          </cell>
          <cell r="K21">
            <v>9.19</v>
          </cell>
          <cell r="L21">
            <v>9.42</v>
          </cell>
          <cell r="M21">
            <v>9.18</v>
          </cell>
          <cell r="N21">
            <v>8.9</v>
          </cell>
          <cell r="O21">
            <v>8.07</v>
          </cell>
          <cell r="P21">
            <v>9.94</v>
          </cell>
          <cell r="Q21">
            <v>8.43</v>
          </cell>
          <cell r="R21">
            <v>8.1300000000000008</v>
          </cell>
          <cell r="S21">
            <v>7.41</v>
          </cell>
          <cell r="T21">
            <v>6.93</v>
          </cell>
        </row>
        <row r="22">
          <cell r="A22" t="str">
            <v>海南省</v>
          </cell>
          <cell r="B22" t="str">
            <v/>
          </cell>
          <cell r="C22">
            <v>15.21</v>
          </cell>
          <cell r="D22">
            <v>13.13</v>
          </cell>
          <cell r="E22">
            <v>12.53</v>
          </cell>
          <cell r="F22">
            <v>13.38</v>
          </cell>
          <cell r="G22">
            <v>12.67</v>
          </cell>
          <cell r="H22">
            <v>13.54</v>
          </cell>
          <cell r="I22">
            <v>11.35</v>
          </cell>
          <cell r="J22">
            <v>11.25</v>
          </cell>
          <cell r="K22">
            <v>11.97</v>
          </cell>
          <cell r="L22">
            <v>11.48</v>
          </cell>
          <cell r="M22">
            <v>11.6</v>
          </cell>
          <cell r="N22">
            <v>10.76</v>
          </cell>
          <cell r="O22">
            <v>8.61</v>
          </cell>
          <cell r="P22">
            <v>7.77</v>
          </cell>
          <cell r="Q22">
            <v>7.4</v>
          </cell>
          <cell r="R22">
            <v>6.8</v>
          </cell>
          <cell r="S22">
            <v>7.85</v>
          </cell>
          <cell r="T22">
            <v>6.49</v>
          </cell>
        </row>
        <row r="23">
          <cell r="A23" t="str">
            <v>重庆市</v>
          </cell>
          <cell r="B23" t="str">
            <v/>
          </cell>
          <cell r="C23">
            <v>10.82</v>
          </cell>
          <cell r="D23">
            <v>9.3800000000000008</v>
          </cell>
          <cell r="E23">
            <v>10.050000000000001</v>
          </cell>
          <cell r="F23">
            <v>10.1</v>
          </cell>
          <cell r="G23">
            <v>9.51</v>
          </cell>
          <cell r="H23">
            <v>11.5</v>
          </cell>
          <cell r="I23">
            <v>10.7</v>
          </cell>
          <cell r="J23">
            <v>11.03</v>
          </cell>
          <cell r="K23">
            <v>11.18</v>
          </cell>
          <cell r="L23">
            <v>11.57</v>
          </cell>
          <cell r="M23">
            <v>9</v>
          </cell>
          <cell r="N23">
            <v>8.8000000000000007</v>
          </cell>
          <cell r="O23">
            <v>7.23</v>
          </cell>
          <cell r="P23">
            <v>7.85</v>
          </cell>
          <cell r="Q23">
            <v>9.56</v>
          </cell>
          <cell r="R23">
            <v>9.64</v>
          </cell>
          <cell r="S23">
            <v>9.2899999999999991</v>
          </cell>
          <cell r="T23">
            <v>8.6999999999999993</v>
          </cell>
        </row>
        <row r="24">
          <cell r="A24" t="str">
            <v>四川省</v>
          </cell>
          <cell r="B24" t="str">
            <v/>
          </cell>
          <cell r="C24">
            <v>12.3</v>
          </cell>
          <cell r="D24">
            <v>9.0299999999999994</v>
          </cell>
          <cell r="E24">
            <v>12.1</v>
          </cell>
          <cell r="F24">
            <v>13.25</v>
          </cell>
          <cell r="G24">
            <v>13.18</v>
          </cell>
          <cell r="H24">
            <v>14.46</v>
          </cell>
          <cell r="I24">
            <v>12.9</v>
          </cell>
          <cell r="J24">
            <v>13.52</v>
          </cell>
          <cell r="K24">
            <v>14.22</v>
          </cell>
          <cell r="L24">
            <v>14.59</v>
          </cell>
          <cell r="M24">
            <v>13.34</v>
          </cell>
          <cell r="N24">
            <v>12.6</v>
          </cell>
          <cell r="O24">
            <v>9.65</v>
          </cell>
          <cell r="P24">
            <v>11.18</v>
          </cell>
          <cell r="Q24">
            <v>11.06</v>
          </cell>
          <cell r="R24">
            <v>9.64</v>
          </cell>
          <cell r="S24">
            <v>8.24</v>
          </cell>
          <cell r="T24">
            <v>7.63</v>
          </cell>
        </row>
        <row r="25">
          <cell r="A25" t="str">
            <v>贵州省</v>
          </cell>
          <cell r="B25" t="str">
            <v/>
          </cell>
          <cell r="C25">
            <v>14.25</v>
          </cell>
          <cell r="D25">
            <v>8.43</v>
          </cell>
          <cell r="E25">
            <v>11.29</v>
          </cell>
          <cell r="F25">
            <v>11.16</v>
          </cell>
          <cell r="G25">
            <v>10.96</v>
          </cell>
          <cell r="H25">
            <v>11.02</v>
          </cell>
          <cell r="I25">
            <v>11.36</v>
          </cell>
          <cell r="J25">
            <v>11.27</v>
          </cell>
          <cell r="K25">
            <v>10.61</v>
          </cell>
          <cell r="L25">
            <v>9.6</v>
          </cell>
          <cell r="M25">
            <v>8.8000000000000007</v>
          </cell>
          <cell r="N25">
            <v>8.6999999999999993</v>
          </cell>
          <cell r="O25">
            <v>8.4600000000000009</v>
          </cell>
          <cell r="P25">
            <v>8.2799999999999994</v>
          </cell>
          <cell r="Q25">
            <v>8.2799999999999994</v>
          </cell>
          <cell r="R25">
            <v>8.0399999999999991</v>
          </cell>
          <cell r="S25">
            <v>5.81</v>
          </cell>
          <cell r="T25">
            <v>8.6300000000000008</v>
          </cell>
        </row>
        <row r="26">
          <cell r="A26" t="str">
            <v>云南省</v>
          </cell>
          <cell r="B26" t="str">
            <v/>
          </cell>
          <cell r="C26">
            <v>15.48</v>
          </cell>
          <cell r="D26">
            <v>10.28</v>
          </cell>
          <cell r="E26">
            <v>12.9</v>
          </cell>
          <cell r="F26">
            <v>12.97</v>
          </cell>
          <cell r="G26">
            <v>12.97</v>
          </cell>
          <cell r="H26">
            <v>13.6</v>
          </cell>
          <cell r="I26">
            <v>13.17</v>
          </cell>
          <cell r="J26">
            <v>12.62</v>
          </cell>
          <cell r="K26">
            <v>12.36</v>
          </cell>
          <cell r="L26">
            <v>11.61</v>
          </cell>
          <cell r="M26">
            <v>10.25</v>
          </cell>
          <cell r="N26">
            <v>10.06</v>
          </cell>
          <cell r="O26">
            <v>9.74</v>
          </cell>
          <cell r="P26">
            <v>9.8000000000000007</v>
          </cell>
          <cell r="Q26">
            <v>11.01</v>
          </cell>
          <cell r="R26">
            <v>10.81</v>
          </cell>
          <cell r="S26">
            <v>9.69</v>
          </cell>
          <cell r="T26">
            <v>9.0299999999999994</v>
          </cell>
        </row>
        <row r="27">
          <cell r="A27" t="str">
            <v>西藏自治区</v>
          </cell>
          <cell r="B27" t="str">
            <v/>
          </cell>
          <cell r="C27">
            <v>8.99</v>
          </cell>
          <cell r="D27">
            <v>5.63</v>
          </cell>
          <cell r="E27">
            <v>8.3000000000000007</v>
          </cell>
          <cell r="F27">
            <v>7.62</v>
          </cell>
          <cell r="G27">
            <v>7.72</v>
          </cell>
          <cell r="H27">
            <v>10.43</v>
          </cell>
          <cell r="I27">
            <v>6.2</v>
          </cell>
          <cell r="J27">
            <v>9.0500000000000007</v>
          </cell>
          <cell r="K27">
            <v>8.43</v>
          </cell>
          <cell r="L27">
            <v>7.7</v>
          </cell>
          <cell r="M27">
            <v>8.59</v>
          </cell>
          <cell r="N27">
            <v>9.02</v>
          </cell>
          <cell r="O27">
            <v>20.91</v>
          </cell>
          <cell r="P27">
            <v>12.6</v>
          </cell>
          <cell r="Q27">
            <v>12.76</v>
          </cell>
          <cell r="R27">
            <v>16.73</v>
          </cell>
          <cell r="S27">
            <v>15.47</v>
          </cell>
          <cell r="T27">
            <v>14.88</v>
          </cell>
        </row>
        <row r="28">
          <cell r="A28" t="str">
            <v>陕西省</v>
          </cell>
          <cell r="B28" t="str">
            <v/>
          </cell>
          <cell r="C28">
            <v>15.23</v>
          </cell>
          <cell r="D28">
            <v>11.35</v>
          </cell>
          <cell r="E28">
            <v>14.07</v>
          </cell>
          <cell r="F28">
            <v>14.73</v>
          </cell>
          <cell r="G28">
            <v>13.72</v>
          </cell>
          <cell r="H28">
            <v>15.63</v>
          </cell>
          <cell r="I28">
            <v>16.010000000000002</v>
          </cell>
          <cell r="J28">
            <v>15.51</v>
          </cell>
          <cell r="K28">
            <v>15.85</v>
          </cell>
          <cell r="L28">
            <v>16.27</v>
          </cell>
          <cell r="M28">
            <v>15.58</v>
          </cell>
          <cell r="N28">
            <v>15.59</v>
          </cell>
          <cell r="O28">
            <v>12.64</v>
          </cell>
          <cell r="P28">
            <v>13.36</v>
          </cell>
          <cell r="Q28">
            <v>12.13</v>
          </cell>
          <cell r="R28">
            <v>10.99</v>
          </cell>
          <cell r="S28">
            <v>9.1</v>
          </cell>
          <cell r="T28">
            <v>8.19</v>
          </cell>
        </row>
        <row r="29">
          <cell r="A29" t="str">
            <v>甘肃省</v>
          </cell>
          <cell r="B29" t="str">
            <v/>
          </cell>
          <cell r="C29">
            <v>16.59</v>
          </cell>
          <cell r="D29">
            <v>10.63</v>
          </cell>
          <cell r="E29">
            <v>13.33</v>
          </cell>
          <cell r="F29">
            <v>13.29</v>
          </cell>
          <cell r="G29">
            <v>11.87</v>
          </cell>
          <cell r="H29">
            <v>10.52</v>
          </cell>
          <cell r="I29">
            <v>9.16</v>
          </cell>
          <cell r="J29">
            <v>9</v>
          </cell>
          <cell r="K29">
            <v>9.67</v>
          </cell>
          <cell r="L29">
            <v>10.36</v>
          </cell>
          <cell r="M29">
            <v>10.039999999999999</v>
          </cell>
          <cell r="N29">
            <v>9.76</v>
          </cell>
          <cell r="O29">
            <v>8.1</v>
          </cell>
          <cell r="P29">
            <v>8.1999999999999993</v>
          </cell>
          <cell r="Q29">
            <v>8.11</v>
          </cell>
          <cell r="R29">
            <v>7.64</v>
          </cell>
          <cell r="S29">
            <v>6.08</v>
          </cell>
          <cell r="T29">
            <v>6.31</v>
          </cell>
        </row>
        <row r="30">
          <cell r="A30" t="str">
            <v>青海省</v>
          </cell>
          <cell r="B30" t="str">
            <v/>
          </cell>
          <cell r="C30">
            <v>19.34</v>
          </cell>
          <cell r="D30">
            <v>12.78</v>
          </cell>
          <cell r="E30">
            <v>13.87</v>
          </cell>
          <cell r="F30">
            <v>14.09</v>
          </cell>
          <cell r="G30">
            <v>14.57</v>
          </cell>
          <cell r="H30">
            <v>14.37</v>
          </cell>
          <cell r="I30">
            <v>14.49</v>
          </cell>
          <cell r="J30">
            <v>13.25</v>
          </cell>
          <cell r="K30">
            <v>14.4</v>
          </cell>
          <cell r="L30">
            <v>14.47</v>
          </cell>
          <cell r="M30">
            <v>16.600000000000001</v>
          </cell>
          <cell r="N30">
            <v>16.940000000000001</v>
          </cell>
          <cell r="O30">
            <v>18.3</v>
          </cell>
          <cell r="P30">
            <v>17.62</v>
          </cell>
          <cell r="Q30">
            <v>17.66</v>
          </cell>
          <cell r="R30">
            <v>18.73</v>
          </cell>
          <cell r="S30">
            <v>18.32</v>
          </cell>
          <cell r="T30">
            <v>17.84</v>
          </cell>
        </row>
        <row r="31">
          <cell r="A31" t="str">
            <v>宁夏回族自治区</v>
          </cell>
          <cell r="B31" t="str">
            <v/>
          </cell>
          <cell r="C31">
            <v>17.329999999999998</v>
          </cell>
          <cell r="D31">
            <v>10.75</v>
          </cell>
          <cell r="E31">
            <v>11.85</v>
          </cell>
          <cell r="F31">
            <v>12.85</v>
          </cell>
          <cell r="G31">
            <v>13.35</v>
          </cell>
          <cell r="H31">
            <v>15.26</v>
          </cell>
          <cell r="I31">
            <v>13.47</v>
          </cell>
          <cell r="J31">
            <v>13.97</v>
          </cell>
          <cell r="K31">
            <v>13.17</v>
          </cell>
          <cell r="L31">
            <v>13.19</v>
          </cell>
          <cell r="M31">
            <v>12.46</v>
          </cell>
          <cell r="N31">
            <v>11.24</v>
          </cell>
          <cell r="O31">
            <v>10.63</v>
          </cell>
          <cell r="P31">
            <v>10.06</v>
          </cell>
          <cell r="Q31">
            <v>9.36</v>
          </cell>
          <cell r="R31">
            <v>8.1300000000000008</v>
          </cell>
          <cell r="S31">
            <v>7.72</v>
          </cell>
          <cell r="T31">
            <v>4.76</v>
          </cell>
        </row>
        <row r="32">
          <cell r="A32" t="str">
            <v>新疆维吾尔自治区</v>
          </cell>
          <cell r="B32" t="str">
            <v/>
          </cell>
          <cell r="C32">
            <v>14.07</v>
          </cell>
          <cell r="D32">
            <v>10.33</v>
          </cell>
          <cell r="E32">
            <v>13.06</v>
          </cell>
          <cell r="F32">
            <v>13.39</v>
          </cell>
          <cell r="G32">
            <v>14.44</v>
          </cell>
          <cell r="H32">
            <v>14.58</v>
          </cell>
          <cell r="I32">
            <v>15.24</v>
          </cell>
          <cell r="J32">
            <v>16.079999999999998</v>
          </cell>
          <cell r="K32">
            <v>15.54</v>
          </cell>
          <cell r="L32">
            <v>14.35</v>
          </cell>
          <cell r="M32">
            <v>13.91</v>
          </cell>
          <cell r="N32">
            <v>13.46</v>
          </cell>
          <cell r="O32">
            <v>11.66</v>
          </cell>
          <cell r="P32">
            <v>12.22</v>
          </cell>
          <cell r="Q32">
            <v>13.23</v>
          </cell>
          <cell r="R32">
            <v>15.6</v>
          </cell>
          <cell r="S32">
            <v>13.41</v>
          </cell>
          <cell r="T32">
            <v>13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3.71</v>
          </cell>
          <cell r="C2">
            <v>3.36</v>
          </cell>
          <cell r="D2">
            <v>3.31</v>
          </cell>
          <cell r="E2">
            <v>3.22</v>
          </cell>
          <cell r="F2">
            <v>3.24</v>
          </cell>
          <cell r="G2">
            <v>2.83</v>
          </cell>
          <cell r="H2">
            <v>2.81</v>
          </cell>
          <cell r="I2">
            <v>2.87</v>
          </cell>
          <cell r="J2">
            <v>2.88</v>
          </cell>
          <cell r="K2">
            <v>2.92</v>
          </cell>
          <cell r="L2">
            <v>3.05</v>
          </cell>
          <cell r="M2">
            <v>3.24</v>
          </cell>
          <cell r="N2">
            <v>3.36</v>
          </cell>
          <cell r="O2">
            <v>3.54</v>
          </cell>
          <cell r="P2">
            <v>4.04</v>
          </cell>
          <cell r="Q2">
            <v>3.88</v>
          </cell>
          <cell r="R2">
            <v>3.86</v>
          </cell>
          <cell r="S2">
            <v>3.82</v>
          </cell>
          <cell r="T2">
            <v>3.66</v>
          </cell>
        </row>
        <row r="3">
          <cell r="A3" t="str">
            <v>天津市</v>
          </cell>
          <cell r="B3">
            <v>4.34</v>
          </cell>
          <cell r="C3">
            <v>3.93</v>
          </cell>
          <cell r="D3">
            <v>3.73</v>
          </cell>
          <cell r="E3">
            <v>3.63</v>
          </cell>
          <cell r="F3">
            <v>1.1599999999999999</v>
          </cell>
          <cell r="G3">
            <v>1.07</v>
          </cell>
          <cell r="H3">
            <v>1.74</v>
          </cell>
          <cell r="I3">
            <v>1.44</v>
          </cell>
          <cell r="J3">
            <v>1.52</v>
          </cell>
          <cell r="K3">
            <v>1.53</v>
          </cell>
          <cell r="L3">
            <v>1.8</v>
          </cell>
          <cell r="M3">
            <v>1.84</v>
          </cell>
          <cell r="N3">
            <v>2</v>
          </cell>
          <cell r="O3">
            <v>2.0099999999999998</v>
          </cell>
          <cell r="P3">
            <v>2.3199999999999998</v>
          </cell>
          <cell r="Q3">
            <v>2.23</v>
          </cell>
          <cell r="R3">
            <v>2.11</v>
          </cell>
          <cell r="S3">
            <v>3.4</v>
          </cell>
          <cell r="T3">
            <v>3.24</v>
          </cell>
        </row>
        <row r="4">
          <cell r="A4" t="str">
            <v>河北省</v>
          </cell>
          <cell r="B4">
            <v>4.0199999999999996</v>
          </cell>
          <cell r="C4">
            <v>4.12</v>
          </cell>
          <cell r="D4">
            <v>3.71</v>
          </cell>
          <cell r="E4">
            <v>3.39</v>
          </cell>
          <cell r="F4">
            <v>3.04</v>
          </cell>
          <cell r="G4">
            <v>3.18</v>
          </cell>
          <cell r="H4">
            <v>2.95</v>
          </cell>
          <cell r="I4">
            <v>3.15</v>
          </cell>
          <cell r="J4">
            <v>3.72</v>
          </cell>
          <cell r="K4">
            <v>3.92</v>
          </cell>
          <cell r="L4">
            <v>4.07</v>
          </cell>
          <cell r="M4">
            <v>4.18</v>
          </cell>
          <cell r="N4">
            <v>4.2300000000000004</v>
          </cell>
          <cell r="O4">
            <v>4.22</v>
          </cell>
          <cell r="P4">
            <v>3.54</v>
          </cell>
          <cell r="Q4">
            <v>3.46</v>
          </cell>
          <cell r="R4">
            <v>3.83</v>
          </cell>
          <cell r="S4">
            <v>3.97</v>
          </cell>
          <cell r="T4">
            <v>4.34</v>
          </cell>
        </row>
        <row r="5">
          <cell r="A5" t="str">
            <v>山西省</v>
          </cell>
          <cell r="B5">
            <v>3.5</v>
          </cell>
          <cell r="C5">
            <v>3.46</v>
          </cell>
          <cell r="D5">
            <v>3.38</v>
          </cell>
          <cell r="E5">
            <v>2.4900000000000002</v>
          </cell>
          <cell r="F5">
            <v>2.19</v>
          </cell>
          <cell r="G5">
            <v>2.12</v>
          </cell>
          <cell r="H5">
            <v>2.09</v>
          </cell>
          <cell r="I5">
            <v>3.14</v>
          </cell>
          <cell r="J5">
            <v>2.93</v>
          </cell>
          <cell r="K5">
            <v>2.98</v>
          </cell>
          <cell r="L5">
            <v>3.19</v>
          </cell>
          <cell r="M5">
            <v>3.09</v>
          </cell>
          <cell r="N5">
            <v>3.14</v>
          </cell>
          <cell r="O5">
            <v>3.32</v>
          </cell>
          <cell r="P5">
            <v>3.33</v>
          </cell>
          <cell r="Q5">
            <v>4.0599999999999996</v>
          </cell>
          <cell r="R5">
            <v>4.17</v>
          </cell>
          <cell r="S5">
            <v>4.45</v>
          </cell>
          <cell r="T5">
            <v>4.68</v>
          </cell>
        </row>
        <row r="6">
          <cell r="A6" t="str">
            <v>内蒙古自治区</v>
          </cell>
          <cell r="B6">
            <v>6.96</v>
          </cell>
          <cell r="C6">
            <v>7.43</v>
          </cell>
          <cell r="D6">
            <v>7.58</v>
          </cell>
          <cell r="E6">
            <v>7.85</v>
          </cell>
          <cell r="F6">
            <v>7.82</v>
          </cell>
          <cell r="G6">
            <v>8.15</v>
          </cell>
          <cell r="H6">
            <v>7.24</v>
          </cell>
          <cell r="I6">
            <v>4.6900000000000004</v>
          </cell>
          <cell r="J6">
            <v>4.76</v>
          </cell>
          <cell r="K6">
            <v>4.67</v>
          </cell>
          <cell r="L6">
            <v>4.8499999999999996</v>
          </cell>
          <cell r="M6">
            <v>5.08</v>
          </cell>
          <cell r="N6">
            <v>5.1100000000000003</v>
          </cell>
          <cell r="O6">
            <v>4.7300000000000004</v>
          </cell>
          <cell r="P6">
            <v>5.19</v>
          </cell>
          <cell r="Q6">
            <v>5.72</v>
          </cell>
          <cell r="R6">
            <v>6.04</v>
          </cell>
          <cell r="S6">
            <v>6.35</v>
          </cell>
          <cell r="T6">
            <v>6.57</v>
          </cell>
        </row>
        <row r="7">
          <cell r="A7" t="str">
            <v>辽宁省</v>
          </cell>
          <cell r="B7">
            <v>2.54</v>
          </cell>
          <cell r="C7">
            <v>2.4500000000000002</v>
          </cell>
          <cell r="D7">
            <v>2.4</v>
          </cell>
          <cell r="E7">
            <v>2.0699999999999998</v>
          </cell>
          <cell r="F7">
            <v>2.02</v>
          </cell>
          <cell r="G7">
            <v>1.8</v>
          </cell>
          <cell r="H7">
            <v>1.84</v>
          </cell>
          <cell r="I7">
            <v>2.4</v>
          </cell>
          <cell r="J7">
            <v>2.2200000000000002</v>
          </cell>
          <cell r="K7">
            <v>2.35</v>
          </cell>
          <cell r="L7">
            <v>2.37</v>
          </cell>
          <cell r="M7">
            <v>2.46</v>
          </cell>
          <cell r="N7">
            <v>2.67</v>
          </cell>
          <cell r="O7">
            <v>2.99</v>
          </cell>
          <cell r="P7">
            <v>3.31</v>
          </cell>
          <cell r="Q7">
            <v>3.81</v>
          </cell>
          <cell r="R7">
            <v>3.9</v>
          </cell>
          <cell r="S7">
            <v>4.07</v>
          </cell>
          <cell r="T7">
            <v>4.7</v>
          </cell>
        </row>
        <row r="8">
          <cell r="A8" t="str">
            <v>吉林省</v>
          </cell>
          <cell r="B8">
            <v>4.04</v>
          </cell>
          <cell r="C8">
            <v>4.01</v>
          </cell>
          <cell r="D8">
            <v>3.88</v>
          </cell>
          <cell r="E8">
            <v>3.55</v>
          </cell>
          <cell r="F8">
            <v>3.62</v>
          </cell>
          <cell r="G8">
            <v>3.14</v>
          </cell>
          <cell r="H8">
            <v>2.93</v>
          </cell>
          <cell r="I8">
            <v>3.14</v>
          </cell>
          <cell r="J8">
            <v>3.11</v>
          </cell>
          <cell r="K8">
            <v>3.23</v>
          </cell>
          <cell r="L8">
            <v>3.51</v>
          </cell>
          <cell r="M8">
            <v>3.67</v>
          </cell>
          <cell r="N8">
            <v>3.91</v>
          </cell>
          <cell r="O8">
            <v>4.53</v>
          </cell>
          <cell r="P8">
            <v>5.4</v>
          </cell>
          <cell r="Q8">
            <v>5.27</v>
          </cell>
          <cell r="R8">
            <v>5.05</v>
          </cell>
          <cell r="S8">
            <v>4.92</v>
          </cell>
          <cell r="T8">
            <v>4.93</v>
          </cell>
        </row>
        <row r="9">
          <cell r="A9" t="str">
            <v>黑龙江省</v>
          </cell>
          <cell r="B9">
            <v>4.29</v>
          </cell>
          <cell r="C9">
            <v>4.3499999999999996</v>
          </cell>
          <cell r="D9">
            <v>4.3099999999999996</v>
          </cell>
          <cell r="E9">
            <v>4.2699999999999996</v>
          </cell>
          <cell r="F9">
            <v>4.29</v>
          </cell>
          <cell r="G9">
            <v>4.08</v>
          </cell>
          <cell r="H9">
            <v>4.01</v>
          </cell>
          <cell r="I9">
            <v>4.28</v>
          </cell>
          <cell r="J9">
            <v>4.66</v>
          </cell>
          <cell r="K9">
            <v>5.13</v>
          </cell>
          <cell r="L9">
            <v>4.74</v>
          </cell>
          <cell r="M9">
            <v>5.14</v>
          </cell>
          <cell r="N9">
            <v>5.33</v>
          </cell>
          <cell r="O9">
            <v>6.56</v>
          </cell>
          <cell r="P9">
            <v>7.65</v>
          </cell>
          <cell r="Q9">
            <v>7.79</v>
          </cell>
          <cell r="R9">
            <v>7.81</v>
          </cell>
          <cell r="S9">
            <v>7.74</v>
          </cell>
          <cell r="T9">
            <v>7.57</v>
          </cell>
        </row>
        <row r="10">
          <cell r="A10" t="str">
            <v>上海市</v>
          </cell>
          <cell r="B10">
            <v>2.97</v>
          </cell>
          <cell r="C10">
            <v>2.5299999999999998</v>
          </cell>
          <cell r="D10">
            <v>2.5299999999999998</v>
          </cell>
          <cell r="E10">
            <v>2.34</v>
          </cell>
          <cell r="F10">
            <v>2.56</v>
          </cell>
          <cell r="G10">
            <v>2.5</v>
          </cell>
          <cell r="H10">
            <v>2.57</v>
          </cell>
          <cell r="I10">
            <v>2.57</v>
          </cell>
          <cell r="J10">
            <v>2.57</v>
          </cell>
          <cell r="K10">
            <v>2.54</v>
          </cell>
          <cell r="L10">
            <v>2.58</v>
          </cell>
          <cell r="M10">
            <v>2.66</v>
          </cell>
          <cell r="N10">
            <v>2.46</v>
          </cell>
          <cell r="O10">
            <v>2.62</v>
          </cell>
          <cell r="P10">
            <v>2.93</v>
          </cell>
          <cell r="Q10">
            <v>1.94</v>
          </cell>
          <cell r="R10">
            <v>2.89</v>
          </cell>
          <cell r="S10">
            <v>1.54</v>
          </cell>
          <cell r="T10">
            <v>2.0499999999999998</v>
          </cell>
        </row>
        <row r="11">
          <cell r="A11" t="str">
            <v>江苏省</v>
          </cell>
          <cell r="B11">
            <v>3.9</v>
          </cell>
          <cell r="C11">
            <v>3.95</v>
          </cell>
          <cell r="D11">
            <v>4.21</v>
          </cell>
          <cell r="E11">
            <v>4.2300000000000004</v>
          </cell>
          <cell r="F11">
            <v>4.1399999999999997</v>
          </cell>
          <cell r="G11">
            <v>4.13</v>
          </cell>
          <cell r="H11">
            <v>4.0199999999999996</v>
          </cell>
          <cell r="I11">
            <v>3.86</v>
          </cell>
          <cell r="J11">
            <v>3.82</v>
          </cell>
          <cell r="K11">
            <v>3.75</v>
          </cell>
          <cell r="L11">
            <v>3.62</v>
          </cell>
          <cell r="M11">
            <v>3.59</v>
          </cell>
          <cell r="N11">
            <v>3.79</v>
          </cell>
          <cell r="O11">
            <v>3.75</v>
          </cell>
          <cell r="P11">
            <v>3.94</v>
          </cell>
          <cell r="Q11">
            <v>3.88</v>
          </cell>
          <cell r="R11">
            <v>3.68</v>
          </cell>
          <cell r="S11">
            <v>3.4</v>
          </cell>
          <cell r="T11">
            <v>4.2300000000000004</v>
          </cell>
        </row>
        <row r="12">
          <cell r="A12" t="str">
            <v>浙江省</v>
          </cell>
          <cell r="B12">
            <v>2.89</v>
          </cell>
          <cell r="C12">
            <v>3.13</v>
          </cell>
          <cell r="D12">
            <v>2.98</v>
          </cell>
          <cell r="E12">
            <v>3.05</v>
          </cell>
          <cell r="F12">
            <v>3.02</v>
          </cell>
          <cell r="G12">
            <v>3.17</v>
          </cell>
          <cell r="H12">
            <v>3.23</v>
          </cell>
          <cell r="I12">
            <v>3.5</v>
          </cell>
          <cell r="J12">
            <v>3.78</v>
          </cell>
          <cell r="K12">
            <v>3.96</v>
          </cell>
          <cell r="L12">
            <v>3.98</v>
          </cell>
          <cell r="M12">
            <v>4.18</v>
          </cell>
          <cell r="N12">
            <v>4.2</v>
          </cell>
          <cell r="O12">
            <v>4.01</v>
          </cell>
          <cell r="P12">
            <v>4.43</v>
          </cell>
          <cell r="Q12">
            <v>3.84</v>
          </cell>
          <cell r="R12">
            <v>3.8</v>
          </cell>
          <cell r="S12">
            <v>2.8</v>
          </cell>
          <cell r="T12">
            <v>3.75</v>
          </cell>
        </row>
        <row r="13">
          <cell r="A13" t="str">
            <v>安徽省</v>
          </cell>
          <cell r="B13">
            <v>3.55</v>
          </cell>
          <cell r="C13">
            <v>3.63</v>
          </cell>
          <cell r="D13">
            <v>3.44</v>
          </cell>
          <cell r="E13">
            <v>2.68</v>
          </cell>
          <cell r="F13">
            <v>2.6</v>
          </cell>
          <cell r="G13">
            <v>2.38</v>
          </cell>
          <cell r="H13">
            <v>2.25</v>
          </cell>
          <cell r="I13">
            <v>2.25</v>
          </cell>
          <cell r="J13">
            <v>2.16</v>
          </cell>
          <cell r="K13">
            <v>2.23</v>
          </cell>
          <cell r="L13">
            <v>2.2599999999999998</v>
          </cell>
          <cell r="M13">
            <v>2.3199999999999998</v>
          </cell>
          <cell r="N13">
            <v>2.4500000000000002</v>
          </cell>
          <cell r="O13">
            <v>2.5499999999999998</v>
          </cell>
          <cell r="P13">
            <v>2.42</v>
          </cell>
          <cell r="Q13">
            <v>2.6</v>
          </cell>
          <cell r="R13">
            <v>2.44</v>
          </cell>
          <cell r="S13">
            <v>2.2200000000000002</v>
          </cell>
          <cell r="T13">
            <v>3.19</v>
          </cell>
        </row>
        <row r="14">
          <cell r="A14" t="str">
            <v>福建省</v>
          </cell>
          <cell r="B14">
            <v>5.07</v>
          </cell>
          <cell r="C14">
            <v>4.59</v>
          </cell>
          <cell r="D14">
            <v>4.6500000000000004</v>
          </cell>
          <cell r="E14">
            <v>4.57</v>
          </cell>
          <cell r="F14">
            <v>4.18</v>
          </cell>
          <cell r="G14">
            <v>3.68</v>
          </cell>
          <cell r="H14">
            <v>3.07</v>
          </cell>
          <cell r="I14">
            <v>2.15</v>
          </cell>
          <cell r="J14">
            <v>2.7</v>
          </cell>
          <cell r="K14">
            <v>2.74</v>
          </cell>
          <cell r="L14">
            <v>2.79</v>
          </cell>
          <cell r="M14">
            <v>2.69</v>
          </cell>
          <cell r="N14">
            <v>2.83</v>
          </cell>
          <cell r="O14">
            <v>2.64</v>
          </cell>
          <cell r="P14">
            <v>1.84</v>
          </cell>
          <cell r="Q14">
            <v>2.06</v>
          </cell>
          <cell r="R14">
            <v>1.62</v>
          </cell>
          <cell r="S14">
            <v>1.69</v>
          </cell>
          <cell r="T14">
            <v>2.75</v>
          </cell>
        </row>
        <row r="15">
          <cell r="A15" t="str">
            <v>江西省</v>
          </cell>
          <cell r="B15">
            <v>5.7</v>
          </cell>
          <cell r="C15">
            <v>4.97</v>
          </cell>
          <cell r="D15">
            <v>4.33</v>
          </cell>
          <cell r="E15">
            <v>3.27</v>
          </cell>
          <cell r="F15">
            <v>3.02</v>
          </cell>
          <cell r="G15">
            <v>2.15</v>
          </cell>
          <cell r="H15">
            <v>1.95</v>
          </cell>
          <cell r="I15">
            <v>1.9</v>
          </cell>
          <cell r="J15">
            <v>1.8</v>
          </cell>
          <cell r="K15">
            <v>2.0099999999999998</v>
          </cell>
          <cell r="L15">
            <v>1.98</v>
          </cell>
          <cell r="M15">
            <v>2.25</v>
          </cell>
          <cell r="N15">
            <v>2.35</v>
          </cell>
          <cell r="O15">
            <v>2.17</v>
          </cell>
          <cell r="P15">
            <v>2.5099999999999998</v>
          </cell>
          <cell r="Q15">
            <v>2.5099999999999998</v>
          </cell>
          <cell r="R15">
            <v>2.29</v>
          </cell>
          <cell r="S15">
            <v>1.95</v>
          </cell>
          <cell r="T15">
            <v>2.02</v>
          </cell>
        </row>
        <row r="16">
          <cell r="A16" t="str">
            <v>山东省</v>
          </cell>
          <cell r="B16">
            <v>2.48</v>
          </cell>
          <cell r="C16">
            <v>2.61</v>
          </cell>
          <cell r="D16">
            <v>2.23</v>
          </cell>
          <cell r="E16">
            <v>2.0099999999999998</v>
          </cell>
          <cell r="F16">
            <v>1.93</v>
          </cell>
          <cell r="G16">
            <v>1.92</v>
          </cell>
          <cell r="H16">
            <v>1.85</v>
          </cell>
          <cell r="I16">
            <v>2.04</v>
          </cell>
          <cell r="J16">
            <v>2.0299999999999998</v>
          </cell>
          <cell r="K16">
            <v>2</v>
          </cell>
          <cell r="L16">
            <v>1.95</v>
          </cell>
          <cell r="M16">
            <v>1.99</v>
          </cell>
          <cell r="N16">
            <v>2.0299999999999998</v>
          </cell>
          <cell r="O16">
            <v>2.0499999999999998</v>
          </cell>
          <cell r="P16">
            <v>2.02</v>
          </cell>
          <cell r="Q16">
            <v>2.13</v>
          </cell>
          <cell r="R16">
            <v>2.0299999999999998</v>
          </cell>
          <cell r="S16">
            <v>1.97</v>
          </cell>
          <cell r="T16">
            <v>1.27</v>
          </cell>
        </row>
        <row r="17">
          <cell r="A17" t="str">
            <v>河南省</v>
          </cell>
          <cell r="B17">
            <v>4.43</v>
          </cell>
          <cell r="C17">
            <v>4.4400000000000004</v>
          </cell>
          <cell r="D17">
            <v>4.4800000000000004</v>
          </cell>
          <cell r="E17">
            <v>4.0599999999999996</v>
          </cell>
          <cell r="F17">
            <v>4.0999999999999996</v>
          </cell>
          <cell r="G17">
            <v>3.92</v>
          </cell>
          <cell r="H17">
            <v>3.44</v>
          </cell>
          <cell r="I17">
            <v>3.25</v>
          </cell>
          <cell r="J17">
            <v>3.04</v>
          </cell>
          <cell r="K17">
            <v>3.01</v>
          </cell>
          <cell r="L17">
            <v>3.05</v>
          </cell>
          <cell r="M17">
            <v>3.12</v>
          </cell>
          <cell r="N17">
            <v>3.33</v>
          </cell>
          <cell r="O17">
            <v>3.32</v>
          </cell>
          <cell r="P17">
            <v>3.55</v>
          </cell>
          <cell r="Q17">
            <v>3.31</v>
          </cell>
          <cell r="R17">
            <v>3.27</v>
          </cell>
          <cell r="S17">
            <v>3.2</v>
          </cell>
          <cell r="T17">
            <v>3.52</v>
          </cell>
        </row>
        <row r="18">
          <cell r="A18" t="str">
            <v>湖北省</v>
          </cell>
          <cell r="B18">
            <v>3.53</v>
          </cell>
          <cell r="C18">
            <v>3.24</v>
          </cell>
          <cell r="D18">
            <v>2.61</v>
          </cell>
          <cell r="E18">
            <v>2.71</v>
          </cell>
          <cell r="F18">
            <v>2.5</v>
          </cell>
          <cell r="G18">
            <v>2.4500000000000002</v>
          </cell>
          <cell r="H18">
            <v>2.33</v>
          </cell>
          <cell r="I18">
            <v>2.64</v>
          </cell>
          <cell r="J18">
            <v>2.78</v>
          </cell>
          <cell r="K18">
            <v>2.73</v>
          </cell>
          <cell r="L18">
            <v>2.59</v>
          </cell>
          <cell r="M18">
            <v>2.59</v>
          </cell>
          <cell r="N18">
            <v>2.85</v>
          </cell>
          <cell r="O18">
            <v>2.91</v>
          </cell>
          <cell r="P18">
            <v>2.41</v>
          </cell>
          <cell r="Q18">
            <v>2.5299999999999998</v>
          </cell>
          <cell r="R18">
            <v>2.63</v>
          </cell>
          <cell r="S18">
            <v>2.5499999999999998</v>
          </cell>
          <cell r="T18">
            <v>2.3199999999999998</v>
          </cell>
        </row>
        <row r="19">
          <cell r="A19" t="str">
            <v>湖南省</v>
          </cell>
          <cell r="B19">
            <v>3.03</v>
          </cell>
          <cell r="C19">
            <v>2.67</v>
          </cell>
          <cell r="D19">
            <v>2.61</v>
          </cell>
          <cell r="E19">
            <v>2.4900000000000002</v>
          </cell>
          <cell r="F19">
            <v>2.41</v>
          </cell>
          <cell r="G19">
            <v>2.5</v>
          </cell>
          <cell r="H19">
            <v>2.0099999999999998</v>
          </cell>
          <cell r="I19">
            <v>2.3199999999999998</v>
          </cell>
          <cell r="J19">
            <v>2.2599999999999998</v>
          </cell>
          <cell r="K19">
            <v>2.31</v>
          </cell>
          <cell r="L19">
            <v>2.3199999999999998</v>
          </cell>
          <cell r="M19">
            <v>2.34</v>
          </cell>
          <cell r="N19">
            <v>2.19</v>
          </cell>
          <cell r="O19">
            <v>2.35</v>
          </cell>
          <cell r="P19">
            <v>2.4300000000000002</v>
          </cell>
          <cell r="Q19">
            <v>2.4700000000000002</v>
          </cell>
          <cell r="R19">
            <v>2.4300000000000002</v>
          </cell>
          <cell r="S19">
            <v>2.35</v>
          </cell>
          <cell r="T19">
            <v>2.5499999999999998</v>
          </cell>
        </row>
        <row r="20">
          <cell r="A20" t="str">
            <v>广东省</v>
          </cell>
          <cell r="B20">
            <v>2.0499999999999998</v>
          </cell>
          <cell r="C20">
            <v>2.0499999999999998</v>
          </cell>
          <cell r="D20">
            <v>2.08</v>
          </cell>
          <cell r="E20">
            <v>1.94</v>
          </cell>
          <cell r="F20">
            <v>1.85</v>
          </cell>
          <cell r="G20">
            <v>1.87</v>
          </cell>
          <cell r="H20">
            <v>1.93</v>
          </cell>
          <cell r="I20">
            <v>1.95</v>
          </cell>
          <cell r="J20">
            <v>1.9</v>
          </cell>
          <cell r="K20">
            <v>1.89</v>
          </cell>
          <cell r="L20">
            <v>1.95</v>
          </cell>
          <cell r="M20">
            <v>2.06</v>
          </cell>
          <cell r="N20">
            <v>2.02</v>
          </cell>
          <cell r="O20">
            <v>2.06</v>
          </cell>
          <cell r="P20">
            <v>2.06</v>
          </cell>
          <cell r="Q20">
            <v>1.93</v>
          </cell>
          <cell r="R20">
            <v>1.42</v>
          </cell>
          <cell r="S20">
            <v>1.1299999999999999</v>
          </cell>
          <cell r="T20">
            <v>1.81</v>
          </cell>
        </row>
        <row r="21">
          <cell r="A21" t="str">
            <v>广西壮族自治区</v>
          </cell>
          <cell r="B21">
            <v>2.71</v>
          </cell>
          <cell r="C21">
            <v>2.2799999999999998</v>
          </cell>
          <cell r="D21">
            <v>1.48</v>
          </cell>
          <cell r="E21">
            <v>1.52</v>
          </cell>
          <cell r="F21">
            <v>1.46</v>
          </cell>
          <cell r="G21">
            <v>1.4</v>
          </cell>
          <cell r="H21">
            <v>1.37</v>
          </cell>
          <cell r="I21">
            <v>1.38</v>
          </cell>
          <cell r="J21">
            <v>1.43</v>
          </cell>
          <cell r="K21">
            <v>2.15</v>
          </cell>
          <cell r="L21">
            <v>2.29</v>
          </cell>
          <cell r="M21">
            <v>2.33</v>
          </cell>
          <cell r="N21">
            <v>2.3199999999999998</v>
          </cell>
          <cell r="O21">
            <v>1.76</v>
          </cell>
          <cell r="P21">
            <v>1.9</v>
          </cell>
          <cell r="Q21">
            <v>1.73</v>
          </cell>
          <cell r="R21">
            <v>2.09</v>
          </cell>
          <cell r="S21">
            <v>1.79</v>
          </cell>
          <cell r="T21">
            <v>1.89</v>
          </cell>
        </row>
        <row r="22">
          <cell r="A22" t="str">
            <v>海南省</v>
          </cell>
          <cell r="B22">
            <v>4.4400000000000004</v>
          </cell>
          <cell r="C22">
            <v>4.43</v>
          </cell>
          <cell r="D22">
            <v>2.85</v>
          </cell>
          <cell r="E22">
            <v>3.68</v>
          </cell>
          <cell r="F22">
            <v>3.01</v>
          </cell>
          <cell r="G22">
            <v>2.69</v>
          </cell>
          <cell r="H22">
            <v>2.33</v>
          </cell>
          <cell r="I22">
            <v>2.44</v>
          </cell>
          <cell r="J22">
            <v>1.57</v>
          </cell>
          <cell r="K22">
            <v>1.83</v>
          </cell>
          <cell r="L22">
            <v>1.86</v>
          </cell>
          <cell r="M22">
            <v>1.92</v>
          </cell>
          <cell r="N22">
            <v>1.73</v>
          </cell>
          <cell r="O22">
            <v>1.73</v>
          </cell>
          <cell r="P22">
            <v>1.46</v>
          </cell>
          <cell r="Q22">
            <v>1.36</v>
          </cell>
          <cell r="R22">
            <v>1.61</v>
          </cell>
          <cell r="S22">
            <v>1.29</v>
          </cell>
          <cell r="T22">
            <v>1.38</v>
          </cell>
        </row>
        <row r="23">
          <cell r="A23" t="str">
            <v>重庆市</v>
          </cell>
          <cell r="B23">
            <v>3.04</v>
          </cell>
          <cell r="C23">
            <v>3.09</v>
          </cell>
          <cell r="D23">
            <v>2.98</v>
          </cell>
          <cell r="E23">
            <v>2.98</v>
          </cell>
          <cell r="F23">
            <v>2.99</v>
          </cell>
          <cell r="G23">
            <v>2.81</v>
          </cell>
          <cell r="H23">
            <v>2.74</v>
          </cell>
          <cell r="I23">
            <v>2.4300000000000002</v>
          </cell>
          <cell r="J23">
            <v>2.4</v>
          </cell>
          <cell r="K23">
            <v>2.29</v>
          </cell>
          <cell r="L23">
            <v>1.85</v>
          </cell>
          <cell r="M23">
            <v>1.78</v>
          </cell>
          <cell r="N23">
            <v>1.76</v>
          </cell>
          <cell r="O23">
            <v>1.55</v>
          </cell>
          <cell r="P23">
            <v>2.4</v>
          </cell>
          <cell r="Q23">
            <v>2.1</v>
          </cell>
          <cell r="R23">
            <v>2.38</v>
          </cell>
          <cell r="S23">
            <v>2.64</v>
          </cell>
          <cell r="T23">
            <v>2.65</v>
          </cell>
        </row>
        <row r="24">
          <cell r="A24" t="str">
            <v>四川省</v>
          </cell>
          <cell r="B24">
            <v>3.28</v>
          </cell>
          <cell r="C24">
            <v>3.06</v>
          </cell>
          <cell r="D24">
            <v>3.05</v>
          </cell>
          <cell r="E24">
            <v>2.68</v>
          </cell>
          <cell r="F24">
            <v>2.5299999999999998</v>
          </cell>
          <cell r="G24">
            <v>2.36</v>
          </cell>
          <cell r="H24">
            <v>2.38</v>
          </cell>
          <cell r="I24">
            <v>2.1800000000000002</v>
          </cell>
          <cell r="J24">
            <v>2.14</v>
          </cell>
          <cell r="K24">
            <v>2.17</v>
          </cell>
          <cell r="L24">
            <v>2.9</v>
          </cell>
          <cell r="M24">
            <v>2.89</v>
          </cell>
          <cell r="N24">
            <v>2.82</v>
          </cell>
          <cell r="O24">
            <v>2.93</v>
          </cell>
          <cell r="P24">
            <v>2.92</v>
          </cell>
          <cell r="Q24">
            <v>2.64</v>
          </cell>
          <cell r="R24">
            <v>2.44</v>
          </cell>
          <cell r="S24">
            <v>2.41</v>
          </cell>
          <cell r="T24">
            <v>3.38</v>
          </cell>
        </row>
        <row r="25">
          <cell r="A25" t="str">
            <v>贵州省</v>
          </cell>
          <cell r="B25">
            <v>6.01</v>
          </cell>
          <cell r="C25">
            <v>4.74</v>
          </cell>
          <cell r="D25">
            <v>4.38</v>
          </cell>
          <cell r="E25">
            <v>2.92</v>
          </cell>
          <cell r="F25">
            <v>2.8</v>
          </cell>
          <cell r="G25">
            <v>2.86</v>
          </cell>
          <cell r="H25">
            <v>2.88</v>
          </cell>
          <cell r="I25">
            <v>2.0099999999999998</v>
          </cell>
          <cell r="J25">
            <v>2.2400000000000002</v>
          </cell>
          <cell r="K25">
            <v>2.17</v>
          </cell>
          <cell r="L25">
            <v>2.06</v>
          </cell>
          <cell r="M25">
            <v>2.09</v>
          </cell>
          <cell r="N25">
            <v>2.0499999999999998</v>
          </cell>
          <cell r="O25">
            <v>2.21</v>
          </cell>
          <cell r="P25">
            <v>2.23</v>
          </cell>
          <cell r="Q25">
            <v>2.2000000000000002</v>
          </cell>
          <cell r="R25">
            <v>2.0499999999999998</v>
          </cell>
          <cell r="S25">
            <v>2.2200000000000002</v>
          </cell>
          <cell r="T25">
            <v>2.2000000000000002</v>
          </cell>
        </row>
        <row r="26">
          <cell r="A26" t="str">
            <v>云南省</v>
          </cell>
          <cell r="B26">
            <v>6.58</v>
          </cell>
          <cell r="C26">
            <v>6.03</v>
          </cell>
          <cell r="D26">
            <v>5.72</v>
          </cell>
          <cell r="E26">
            <v>5.0199999999999996</v>
          </cell>
          <cell r="F26">
            <v>4.59</v>
          </cell>
          <cell r="G26">
            <v>6.4</v>
          </cell>
          <cell r="H26">
            <v>5.38</v>
          </cell>
          <cell r="I26">
            <v>3.46</v>
          </cell>
          <cell r="J26">
            <v>2.94</v>
          </cell>
          <cell r="K26">
            <v>2.87</v>
          </cell>
          <cell r="L26">
            <v>3.14</v>
          </cell>
          <cell r="M26">
            <v>2.79</v>
          </cell>
          <cell r="N26">
            <v>2.19</v>
          </cell>
          <cell r="O26">
            <v>2.2599999999999998</v>
          </cell>
          <cell r="P26">
            <v>2.2200000000000002</v>
          </cell>
          <cell r="Q26">
            <v>2.13</v>
          </cell>
          <cell r="R26">
            <v>1.52</v>
          </cell>
          <cell r="S26">
            <v>1.9</v>
          </cell>
          <cell r="T26">
            <v>2.19</v>
          </cell>
        </row>
        <row r="27">
          <cell r="A27" t="str">
            <v>西藏自治区</v>
          </cell>
          <cell r="B27">
            <v>9.6</v>
          </cell>
          <cell r="C27">
            <v>9.35</v>
          </cell>
          <cell r="D27">
            <v>9</v>
          </cell>
          <cell r="E27">
            <v>7.77</v>
          </cell>
          <cell r="F27">
            <v>6.34</v>
          </cell>
          <cell r="G27">
            <v>3.94</v>
          </cell>
          <cell r="H27">
            <v>4.84</v>
          </cell>
          <cell r="I27">
            <v>2.69</v>
          </cell>
          <cell r="J27">
            <v>4.1900000000000004</v>
          </cell>
          <cell r="K27">
            <v>4.51</v>
          </cell>
          <cell r="L27">
            <v>4.62</v>
          </cell>
          <cell r="M27">
            <v>0.77</v>
          </cell>
          <cell r="N27">
            <v>3.38</v>
          </cell>
          <cell r="O27">
            <v>4.16</v>
          </cell>
          <cell r="P27">
            <v>4.6500000000000004</v>
          </cell>
          <cell r="Q27">
            <v>4.66</v>
          </cell>
          <cell r="R27">
            <v>5.84</v>
          </cell>
          <cell r="S27">
            <v>6.44</v>
          </cell>
          <cell r="T27">
            <v>3.52</v>
          </cell>
        </row>
        <row r="28">
          <cell r="A28" t="str">
            <v>陕西省</v>
          </cell>
          <cell r="B28">
            <v>4.7699999999999996</v>
          </cell>
          <cell r="C28">
            <v>4.6500000000000004</v>
          </cell>
          <cell r="D28">
            <v>4.6399999999999997</v>
          </cell>
          <cell r="E28">
            <v>4.8600000000000003</v>
          </cell>
          <cell r="F28">
            <v>4.9000000000000004</v>
          </cell>
          <cell r="G28">
            <v>5.28</v>
          </cell>
          <cell r="H28">
            <v>4.9800000000000004</v>
          </cell>
          <cell r="I28">
            <v>4.47</v>
          </cell>
          <cell r="J28">
            <v>4.58</v>
          </cell>
          <cell r="K28">
            <v>4.3</v>
          </cell>
          <cell r="L28">
            <v>3.81</v>
          </cell>
          <cell r="M28">
            <v>3.48</v>
          </cell>
          <cell r="N28">
            <v>3.52</v>
          </cell>
          <cell r="O28">
            <v>3.13</v>
          </cell>
          <cell r="P28">
            <v>2.92</v>
          </cell>
          <cell r="Q28">
            <v>3.09</v>
          </cell>
          <cell r="R28">
            <v>2.72</v>
          </cell>
          <cell r="S28">
            <v>1.92</v>
          </cell>
          <cell r="T28">
            <v>2.1800000000000002</v>
          </cell>
        </row>
        <row r="29">
          <cell r="A29" t="str">
            <v>甘肃省</v>
          </cell>
          <cell r="B29">
            <v>4.5599999999999996</v>
          </cell>
          <cell r="C29">
            <v>4.5199999999999996</v>
          </cell>
          <cell r="D29">
            <v>4.4000000000000004</v>
          </cell>
          <cell r="E29">
            <v>3.26</v>
          </cell>
          <cell r="F29">
            <v>3.05</v>
          </cell>
          <cell r="G29">
            <v>3.1</v>
          </cell>
          <cell r="H29">
            <v>2.62</v>
          </cell>
          <cell r="I29">
            <v>2.58</v>
          </cell>
          <cell r="J29">
            <v>2.39</v>
          </cell>
          <cell r="K29">
            <v>2.5</v>
          </cell>
          <cell r="L29">
            <v>2.41</v>
          </cell>
          <cell r="M29">
            <v>2.36</v>
          </cell>
          <cell r="N29">
            <v>2.34</v>
          </cell>
          <cell r="O29">
            <v>2.17</v>
          </cell>
          <cell r="P29">
            <v>2.17</v>
          </cell>
          <cell r="Q29">
            <v>2.13</v>
          </cell>
          <cell r="R29">
            <v>1.9</v>
          </cell>
          <cell r="S29">
            <v>1.89</v>
          </cell>
          <cell r="T29">
            <v>2.14</v>
          </cell>
        </row>
        <row r="30">
          <cell r="A30" t="str">
            <v>青海省</v>
          </cell>
          <cell r="B30">
            <v>3.87</v>
          </cell>
          <cell r="C30">
            <v>3.9</v>
          </cell>
          <cell r="D30">
            <v>3.54</v>
          </cell>
          <cell r="E30">
            <v>3.44</v>
          </cell>
          <cell r="F30">
            <v>3.65</v>
          </cell>
          <cell r="G30">
            <v>3.69</v>
          </cell>
          <cell r="H30">
            <v>3.65</v>
          </cell>
          <cell r="I30">
            <v>3.74</v>
          </cell>
          <cell r="J30">
            <v>3.73</v>
          </cell>
          <cell r="K30">
            <v>4.04</v>
          </cell>
          <cell r="L30">
            <v>3.98</v>
          </cell>
          <cell r="M30">
            <v>4.32</v>
          </cell>
          <cell r="N30">
            <v>4.6500000000000004</v>
          </cell>
          <cell r="O30">
            <v>4.6500000000000004</v>
          </cell>
          <cell r="P30">
            <v>4.82</v>
          </cell>
          <cell r="Q30">
            <v>4.88</v>
          </cell>
          <cell r="R30">
            <v>4.87</v>
          </cell>
          <cell r="S30">
            <v>4.38</v>
          </cell>
          <cell r="T30">
            <v>4.1100000000000003</v>
          </cell>
        </row>
        <row r="31">
          <cell r="A31" t="str">
            <v>宁夏回族自治区</v>
          </cell>
          <cell r="B31">
            <v>3.27</v>
          </cell>
          <cell r="C31">
            <v>3.06</v>
          </cell>
          <cell r="D31">
            <v>3.04</v>
          </cell>
          <cell r="E31">
            <v>2.99</v>
          </cell>
          <cell r="F31">
            <v>2.99</v>
          </cell>
          <cell r="G31">
            <v>2.65</v>
          </cell>
          <cell r="H31">
            <v>2.5299999999999998</v>
          </cell>
          <cell r="I31">
            <v>2.62</v>
          </cell>
          <cell r="J31">
            <v>2.63</v>
          </cell>
          <cell r="K31">
            <v>2.5099999999999998</v>
          </cell>
          <cell r="L31">
            <v>2.54</v>
          </cell>
          <cell r="M31">
            <v>2.2999999999999998</v>
          </cell>
          <cell r="N31">
            <v>3.23</v>
          </cell>
          <cell r="O31">
            <v>4.18</v>
          </cell>
          <cell r="P31">
            <v>2.12</v>
          </cell>
          <cell r="Q31">
            <v>4.13</v>
          </cell>
          <cell r="R31">
            <v>4.0599999999999996</v>
          </cell>
          <cell r="S31">
            <v>4</v>
          </cell>
          <cell r="T31">
            <v>3.65</v>
          </cell>
        </row>
        <row r="32">
          <cell r="A32" t="str">
            <v>新疆维吾尔自治区</v>
          </cell>
          <cell r="B32">
            <v>2.85</v>
          </cell>
          <cell r="C32">
            <v>2.8</v>
          </cell>
          <cell r="D32">
            <v>2.91</v>
          </cell>
          <cell r="E32">
            <v>2.67</v>
          </cell>
          <cell r="F32">
            <v>2.74</v>
          </cell>
          <cell r="G32">
            <v>3.03</v>
          </cell>
          <cell r="H32">
            <v>3.04</v>
          </cell>
          <cell r="I32">
            <v>3.28</v>
          </cell>
          <cell r="J32">
            <v>3.44</v>
          </cell>
          <cell r="K32">
            <v>3.36</v>
          </cell>
          <cell r="L32">
            <v>3.16</v>
          </cell>
          <cell r="M32">
            <v>3.22</v>
          </cell>
          <cell r="N32">
            <v>3.26</v>
          </cell>
          <cell r="O32">
            <v>3.23</v>
          </cell>
          <cell r="P32">
            <v>3.09</v>
          </cell>
          <cell r="Q32">
            <v>4.32</v>
          </cell>
          <cell r="R32">
            <v>4.71</v>
          </cell>
          <cell r="S32">
            <v>4.62</v>
          </cell>
          <cell r="T32">
            <v>3.66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16.899999999999999</v>
          </cell>
          <cell r="C2">
            <v>16.63</v>
          </cell>
          <cell r="D2">
            <v>16.62</v>
          </cell>
          <cell r="E2">
            <v>16.59</v>
          </cell>
          <cell r="F2">
            <v>16.399999999999999</v>
          </cell>
          <cell r="G2">
            <v>16.3</v>
          </cell>
          <cell r="H2">
            <v>16.2</v>
          </cell>
          <cell r="I2">
            <v>16.010000000000002</v>
          </cell>
          <cell r="J2">
            <v>16</v>
          </cell>
          <cell r="K2">
            <v>15.94</v>
          </cell>
          <cell r="L2">
            <v>12.72</v>
          </cell>
          <cell r="M2">
            <v>11.87</v>
          </cell>
          <cell r="N2">
            <v>11.33</v>
          </cell>
          <cell r="O2">
            <v>11.28</v>
          </cell>
          <cell r="P2">
            <v>12.11</v>
          </cell>
          <cell r="Q2">
            <v>8.56</v>
          </cell>
          <cell r="R2">
            <v>8.57</v>
          </cell>
          <cell r="S2">
            <v>10.68</v>
          </cell>
          <cell r="T2" t="str">
            <v/>
          </cell>
        </row>
        <row r="3">
          <cell r="A3" t="str">
            <v>天津市</v>
          </cell>
          <cell r="B3">
            <v>9.9700000000000006</v>
          </cell>
          <cell r="C3">
            <v>9.98</v>
          </cell>
          <cell r="D3">
            <v>9.74</v>
          </cell>
          <cell r="E3">
            <v>10.31</v>
          </cell>
          <cell r="F3">
            <v>9.2100000000000009</v>
          </cell>
          <cell r="G3">
            <v>9.3800000000000008</v>
          </cell>
          <cell r="H3">
            <v>14.15</v>
          </cell>
          <cell r="I3">
            <v>10.59</v>
          </cell>
          <cell r="J3">
            <v>10.130000000000001</v>
          </cell>
          <cell r="K3">
            <v>9.73</v>
          </cell>
          <cell r="L3">
            <v>10.97</v>
          </cell>
          <cell r="M3">
            <v>10.54</v>
          </cell>
          <cell r="N3">
            <v>10.3</v>
          </cell>
          <cell r="O3">
            <v>8.56</v>
          </cell>
          <cell r="P3">
            <v>8.59</v>
          </cell>
          <cell r="Q3" t="str">
            <v/>
          </cell>
          <cell r="R3" t="str">
            <v/>
          </cell>
          <cell r="S3">
            <v>6.59</v>
          </cell>
          <cell r="T3">
            <v>8.3800000000000008</v>
          </cell>
        </row>
        <row r="4">
          <cell r="A4" t="str">
            <v>河北省</v>
          </cell>
          <cell r="B4">
            <v>14.69</v>
          </cell>
          <cell r="C4">
            <v>15.35</v>
          </cell>
          <cell r="D4">
            <v>15.14</v>
          </cell>
          <cell r="E4">
            <v>15.3</v>
          </cell>
          <cell r="F4">
            <v>14.29</v>
          </cell>
          <cell r="G4">
            <v>14.23</v>
          </cell>
          <cell r="H4">
            <v>14.52</v>
          </cell>
          <cell r="I4">
            <v>14.31</v>
          </cell>
          <cell r="J4">
            <v>14.18</v>
          </cell>
          <cell r="K4">
            <v>14.45</v>
          </cell>
          <cell r="L4">
            <v>14.05</v>
          </cell>
          <cell r="M4">
            <v>14</v>
          </cell>
          <cell r="N4">
            <v>14.26</v>
          </cell>
          <cell r="O4">
            <v>14.23</v>
          </cell>
          <cell r="P4">
            <v>11.19</v>
          </cell>
          <cell r="Q4">
            <v>9.49</v>
          </cell>
          <cell r="R4">
            <v>8.4</v>
          </cell>
          <cell r="S4">
            <v>7.87</v>
          </cell>
          <cell r="T4">
            <v>7.79</v>
          </cell>
        </row>
        <row r="5">
          <cell r="A5" t="str">
            <v>山西省</v>
          </cell>
          <cell r="B5">
            <v>13.49</v>
          </cell>
          <cell r="C5">
            <v>13.72</v>
          </cell>
          <cell r="D5">
            <v>13.66</v>
          </cell>
          <cell r="E5">
            <v>13.51</v>
          </cell>
          <cell r="F5">
            <v>12.63</v>
          </cell>
          <cell r="G5">
            <v>12.28</v>
          </cell>
          <cell r="H5">
            <v>11.98</v>
          </cell>
          <cell r="I5">
            <v>11.86</v>
          </cell>
          <cell r="J5">
            <v>11.61</v>
          </cell>
          <cell r="K5">
            <v>11.3</v>
          </cell>
          <cell r="L5">
            <v>11.18</v>
          </cell>
          <cell r="M5">
            <v>10.82</v>
          </cell>
          <cell r="N5">
            <v>10.17</v>
          </cell>
          <cell r="O5">
            <v>9.36</v>
          </cell>
          <cell r="P5">
            <v>8.2100000000000009</v>
          </cell>
          <cell r="Q5">
            <v>7.64</v>
          </cell>
          <cell r="R5">
            <v>7.13</v>
          </cell>
          <cell r="S5">
            <v>6.63</v>
          </cell>
          <cell r="T5">
            <v>6.02</v>
          </cell>
        </row>
        <row r="6">
          <cell r="A6" t="str">
            <v>内蒙古自治区</v>
          </cell>
          <cell r="B6">
            <v>19.190000000000001</v>
          </cell>
          <cell r="C6">
            <v>19.47</v>
          </cell>
          <cell r="D6">
            <v>19.96</v>
          </cell>
          <cell r="E6">
            <v>19.2</v>
          </cell>
          <cell r="F6">
            <v>18.71</v>
          </cell>
          <cell r="G6">
            <v>18.52</v>
          </cell>
          <cell r="H6">
            <v>19.66</v>
          </cell>
          <cell r="I6">
            <v>19.77</v>
          </cell>
          <cell r="J6">
            <v>19.28</v>
          </cell>
          <cell r="K6">
            <v>18.8</v>
          </cell>
          <cell r="L6">
            <v>16.899999999999999</v>
          </cell>
          <cell r="M6">
            <v>15.52</v>
          </cell>
          <cell r="N6">
            <v>14.47</v>
          </cell>
          <cell r="O6">
            <v>12.36</v>
          </cell>
          <cell r="P6">
            <v>11.65</v>
          </cell>
          <cell r="Q6">
            <v>11.1</v>
          </cell>
          <cell r="R6">
            <v>10.63</v>
          </cell>
          <cell r="S6">
            <v>9.39</v>
          </cell>
          <cell r="T6">
            <v>7.78</v>
          </cell>
        </row>
        <row r="7">
          <cell r="A7" t="str">
            <v>辽宁省</v>
          </cell>
          <cell r="B7">
            <v>14.22</v>
          </cell>
          <cell r="C7">
            <v>13.39</v>
          </cell>
          <cell r="D7">
            <v>13.44</v>
          </cell>
          <cell r="E7">
            <v>13.4</v>
          </cell>
          <cell r="F7">
            <v>11.97</v>
          </cell>
          <cell r="G7">
            <v>12.04</v>
          </cell>
          <cell r="H7">
            <v>12.07</v>
          </cell>
          <cell r="I7">
            <v>11.33</v>
          </cell>
          <cell r="J7">
            <v>11.52</v>
          </cell>
          <cell r="K7">
            <v>11.61</v>
          </cell>
          <cell r="L7">
            <v>11.06</v>
          </cell>
          <cell r="M7">
            <v>10.89</v>
          </cell>
          <cell r="N7">
            <v>10.56</v>
          </cell>
          <cell r="O7">
            <v>10.210000000000001</v>
          </cell>
          <cell r="P7">
            <v>9.76</v>
          </cell>
          <cell r="Q7">
            <v>9.3699999999999992</v>
          </cell>
          <cell r="R7">
            <v>9.0299999999999994</v>
          </cell>
          <cell r="S7">
            <v>7.93</v>
          </cell>
          <cell r="T7">
            <v>7.49</v>
          </cell>
        </row>
        <row r="8">
          <cell r="A8" t="str">
            <v>吉林省</v>
          </cell>
          <cell r="B8">
            <v>14.73</v>
          </cell>
          <cell r="C8">
            <v>14.45</v>
          </cell>
          <cell r="D8">
            <v>13.55</v>
          </cell>
          <cell r="E8">
            <v>12.94</v>
          </cell>
          <cell r="F8">
            <v>12.54</v>
          </cell>
          <cell r="G8">
            <v>13.45</v>
          </cell>
          <cell r="H8">
            <v>11.37</v>
          </cell>
          <cell r="I8">
            <v>13.37</v>
          </cell>
          <cell r="J8">
            <v>12.51</v>
          </cell>
          <cell r="K8">
            <v>12.05</v>
          </cell>
          <cell r="L8">
            <v>11.78</v>
          </cell>
          <cell r="M8">
            <v>10.96</v>
          </cell>
          <cell r="N8">
            <v>10.53</v>
          </cell>
          <cell r="O8">
            <v>10.27</v>
          </cell>
          <cell r="P8">
            <v>9.82</v>
          </cell>
          <cell r="Q8">
            <v>9.1999999999999993</v>
          </cell>
          <cell r="R8">
            <v>8.27</v>
          </cell>
          <cell r="S8">
            <v>7.34</v>
          </cell>
          <cell r="T8">
            <v>6.8</v>
          </cell>
        </row>
        <row r="9">
          <cell r="A9" t="str">
            <v>黑龙江省</v>
          </cell>
          <cell r="B9">
            <v>14.75</v>
          </cell>
          <cell r="C9">
            <v>14.04</v>
          </cell>
          <cell r="D9">
            <v>13.6</v>
          </cell>
          <cell r="E9">
            <v>12.77</v>
          </cell>
          <cell r="F9">
            <v>12.43</v>
          </cell>
          <cell r="G9">
            <v>12.35</v>
          </cell>
          <cell r="H9">
            <v>11.78</v>
          </cell>
          <cell r="I9">
            <v>11.91</v>
          </cell>
          <cell r="J9">
            <v>11.98</v>
          </cell>
          <cell r="K9">
            <v>12.1</v>
          </cell>
          <cell r="L9">
            <v>12.11</v>
          </cell>
          <cell r="M9">
            <v>11.75</v>
          </cell>
          <cell r="N9">
            <v>11.47</v>
          </cell>
          <cell r="O9">
            <v>11.27</v>
          </cell>
          <cell r="P9">
            <v>10.47</v>
          </cell>
          <cell r="Q9">
            <v>9.4600000000000009</v>
          </cell>
          <cell r="R9">
            <v>8.24</v>
          </cell>
          <cell r="S9">
            <v>7.29</v>
          </cell>
          <cell r="T9">
            <v>7.36</v>
          </cell>
        </row>
        <row r="10">
          <cell r="A10" t="str">
            <v>上海市</v>
          </cell>
          <cell r="B10">
            <v>9.4499999999999993</v>
          </cell>
          <cell r="C10">
            <v>9.2799999999999994</v>
          </cell>
          <cell r="D10">
            <v>9.02</v>
          </cell>
          <cell r="E10">
            <v>9.0500000000000007</v>
          </cell>
          <cell r="F10">
            <v>8.73</v>
          </cell>
          <cell r="G10">
            <v>8.49</v>
          </cell>
          <cell r="H10">
            <v>8.19</v>
          </cell>
          <cell r="I10">
            <v>7.83</v>
          </cell>
          <cell r="J10">
            <v>7.62</v>
          </cell>
          <cell r="K10">
            <v>7.33</v>
          </cell>
          <cell r="L10">
            <v>7.1</v>
          </cell>
          <cell r="M10">
            <v>7.08</v>
          </cell>
          <cell r="N10">
            <v>7.01</v>
          </cell>
          <cell r="O10">
            <v>6.97</v>
          </cell>
          <cell r="P10">
            <v>8.02</v>
          </cell>
          <cell r="Q10">
            <v>7.82</v>
          </cell>
          <cell r="R10">
            <v>7.48</v>
          </cell>
          <cell r="S10">
            <v>7.33</v>
          </cell>
          <cell r="T10">
            <v>6.73</v>
          </cell>
        </row>
        <row r="11">
          <cell r="A11" t="str">
            <v>江苏省</v>
          </cell>
          <cell r="B11">
            <v>16.22</v>
          </cell>
          <cell r="C11">
            <v>16.02</v>
          </cell>
          <cell r="D11">
            <v>15.6</v>
          </cell>
          <cell r="E11">
            <v>15.34</v>
          </cell>
          <cell r="F11">
            <v>14.98</v>
          </cell>
          <cell r="G11">
            <v>14.66</v>
          </cell>
          <cell r="H11">
            <v>14.95</v>
          </cell>
          <cell r="I11">
            <v>14.79</v>
          </cell>
          <cell r="J11">
            <v>14.55</v>
          </cell>
          <cell r="K11">
            <v>14.41</v>
          </cell>
          <cell r="L11">
            <v>14.01</v>
          </cell>
          <cell r="M11">
            <v>13.63</v>
          </cell>
          <cell r="N11">
            <v>13.34</v>
          </cell>
          <cell r="O11">
            <v>13.29</v>
          </cell>
          <cell r="P11">
            <v>13.21</v>
          </cell>
          <cell r="Q11">
            <v>13.11</v>
          </cell>
          <cell r="R11">
            <v>12.59</v>
          </cell>
          <cell r="S11">
            <v>9.6</v>
          </cell>
          <cell r="T11">
            <v>10.27</v>
          </cell>
        </row>
        <row r="12">
          <cell r="A12" t="str">
            <v>浙江省</v>
          </cell>
          <cell r="B12">
            <v>15.46</v>
          </cell>
          <cell r="C12">
            <v>13.79</v>
          </cell>
          <cell r="D12">
            <v>12.87</v>
          </cell>
          <cell r="E12">
            <v>13.59</v>
          </cell>
          <cell r="F12">
            <v>14.03</v>
          </cell>
          <cell r="G12">
            <v>13.73</v>
          </cell>
          <cell r="H12">
            <v>13.32</v>
          </cell>
          <cell r="I12">
            <v>13.17</v>
          </cell>
          <cell r="J12">
            <v>13.19</v>
          </cell>
          <cell r="K12">
            <v>12.9</v>
          </cell>
          <cell r="L12">
            <v>12.44</v>
          </cell>
          <cell r="M12">
            <v>12.47</v>
          </cell>
          <cell r="N12">
            <v>11.77</v>
          </cell>
          <cell r="O12">
            <v>11.05</v>
          </cell>
          <cell r="P12">
            <v>10.76</v>
          </cell>
          <cell r="Q12">
            <v>9.6</v>
          </cell>
          <cell r="R12">
            <v>8.7899999999999991</v>
          </cell>
          <cell r="S12">
            <v>6.99</v>
          </cell>
          <cell r="T12">
            <v>9.31</v>
          </cell>
        </row>
        <row r="13">
          <cell r="A13" t="str">
            <v>安徽省</v>
          </cell>
          <cell r="B13">
            <v>17.09</v>
          </cell>
          <cell r="C13">
            <v>16.98</v>
          </cell>
          <cell r="D13">
            <v>14.49</v>
          </cell>
          <cell r="E13">
            <v>14.88</v>
          </cell>
          <cell r="F13">
            <v>14.8</v>
          </cell>
          <cell r="G13">
            <v>14.67</v>
          </cell>
          <cell r="H13">
            <v>14.32</v>
          </cell>
          <cell r="I13">
            <v>14.02</v>
          </cell>
          <cell r="J13">
            <v>13.37</v>
          </cell>
          <cell r="K13">
            <v>13.2</v>
          </cell>
          <cell r="L13">
            <v>12.47</v>
          </cell>
          <cell r="M13">
            <v>11.92</v>
          </cell>
          <cell r="N13">
            <v>11.88</v>
          </cell>
          <cell r="O13">
            <v>10.95</v>
          </cell>
          <cell r="P13">
            <v>10.23</v>
          </cell>
          <cell r="Q13">
            <v>9.2899999999999991</v>
          </cell>
          <cell r="R13">
            <v>8.7200000000000006</v>
          </cell>
          <cell r="S13">
            <v>7.28</v>
          </cell>
          <cell r="T13">
            <v>6.58</v>
          </cell>
        </row>
        <row r="14">
          <cell r="A14" t="str">
            <v>福建省</v>
          </cell>
          <cell r="B14">
            <v>15.72</v>
          </cell>
          <cell r="C14">
            <v>15.28</v>
          </cell>
          <cell r="D14">
            <v>15.01</v>
          </cell>
          <cell r="E14">
            <v>14.94</v>
          </cell>
          <cell r="F14">
            <v>15.03</v>
          </cell>
          <cell r="G14">
            <v>14.62</v>
          </cell>
          <cell r="H14">
            <v>14.13</v>
          </cell>
          <cell r="I14">
            <v>13.08</v>
          </cell>
          <cell r="J14">
            <v>12.98</v>
          </cell>
          <cell r="K14">
            <v>12.76</v>
          </cell>
          <cell r="L14">
            <v>12.57</v>
          </cell>
          <cell r="M14">
            <v>12.1</v>
          </cell>
          <cell r="N14">
            <v>11.72</v>
          </cell>
          <cell r="O14">
            <v>10.99</v>
          </cell>
          <cell r="P14">
            <v>10.51</v>
          </cell>
          <cell r="Q14">
            <v>10.42</v>
          </cell>
          <cell r="R14">
            <v>8.64</v>
          </cell>
          <cell r="S14">
            <v>7.51</v>
          </cell>
          <cell r="T14">
            <v>9.17</v>
          </cell>
        </row>
        <row r="15">
          <cell r="A15" t="str">
            <v>江西省</v>
          </cell>
          <cell r="B15">
            <v>17.98</v>
          </cell>
          <cell r="C15">
            <v>17.010000000000002</v>
          </cell>
          <cell r="D15">
            <v>16.22</v>
          </cell>
          <cell r="E15">
            <v>14.8</v>
          </cell>
          <cell r="F15">
            <v>14.53</v>
          </cell>
          <cell r="G15">
            <v>14.67</v>
          </cell>
          <cell r="H15">
            <v>14.5</v>
          </cell>
          <cell r="I15">
            <v>14.16</v>
          </cell>
          <cell r="J15">
            <v>13.96</v>
          </cell>
          <cell r="K15">
            <v>14.13</v>
          </cell>
          <cell r="L15">
            <v>14.12</v>
          </cell>
          <cell r="M15">
            <v>14.1</v>
          </cell>
          <cell r="N15">
            <v>13.49</v>
          </cell>
          <cell r="O15">
            <v>13.04</v>
          </cell>
          <cell r="P15">
            <v>11.48</v>
          </cell>
          <cell r="Q15">
            <v>10.6</v>
          </cell>
          <cell r="R15">
            <v>8.73</v>
          </cell>
          <cell r="S15">
            <v>7.74</v>
          </cell>
          <cell r="T15">
            <v>7.82</v>
          </cell>
        </row>
        <row r="16">
          <cell r="A16" t="str">
            <v>山东省</v>
          </cell>
          <cell r="B16">
            <v>18.47</v>
          </cell>
          <cell r="C16">
            <v>18.18</v>
          </cell>
          <cell r="D16">
            <v>17.940000000000001</v>
          </cell>
          <cell r="E16">
            <v>17.68</v>
          </cell>
          <cell r="F16">
            <v>17.57</v>
          </cell>
          <cell r="G16">
            <v>17.64</v>
          </cell>
          <cell r="H16">
            <v>17.84</v>
          </cell>
          <cell r="I16">
            <v>17.91</v>
          </cell>
          <cell r="J16">
            <v>17.36</v>
          </cell>
          <cell r="K16">
            <v>17.100000000000001</v>
          </cell>
          <cell r="L16">
            <v>16.809999999999999</v>
          </cell>
          <cell r="M16">
            <v>16.37</v>
          </cell>
          <cell r="N16">
            <v>16</v>
          </cell>
          <cell r="O16">
            <v>15.84</v>
          </cell>
          <cell r="P16">
            <v>15.09</v>
          </cell>
          <cell r="Q16">
            <v>14.2</v>
          </cell>
          <cell r="R16">
            <v>13.33</v>
          </cell>
          <cell r="S16">
            <v>12.77</v>
          </cell>
          <cell r="T16">
            <v>8.09</v>
          </cell>
        </row>
        <row r="17">
          <cell r="A17" t="str">
            <v>河南省</v>
          </cell>
          <cell r="B17">
            <v>16.13</v>
          </cell>
          <cell r="C17">
            <v>15.6</v>
          </cell>
          <cell r="D17">
            <v>15.08</v>
          </cell>
          <cell r="E17">
            <v>14.43</v>
          </cell>
          <cell r="F17">
            <v>13.59</v>
          </cell>
          <cell r="G17">
            <v>12.69</v>
          </cell>
          <cell r="H17">
            <v>12</v>
          </cell>
          <cell r="I17">
            <v>10.43</v>
          </cell>
          <cell r="J17">
            <v>10.16</v>
          </cell>
          <cell r="K17">
            <v>9.93</v>
          </cell>
          <cell r="L17">
            <v>9.58</v>
          </cell>
          <cell r="M17">
            <v>9.23</v>
          </cell>
          <cell r="N17">
            <v>8.9</v>
          </cell>
          <cell r="O17">
            <v>8.65</v>
          </cell>
          <cell r="P17">
            <v>8.7200000000000006</v>
          </cell>
          <cell r="Q17">
            <v>8.1999999999999993</v>
          </cell>
          <cell r="R17">
            <v>8.92</v>
          </cell>
          <cell r="S17">
            <v>7.93</v>
          </cell>
          <cell r="T17">
            <v>7.85</v>
          </cell>
        </row>
        <row r="18">
          <cell r="A18" t="str">
            <v>湖北省</v>
          </cell>
          <cell r="B18">
            <v>15.57</v>
          </cell>
          <cell r="C18">
            <v>15.38</v>
          </cell>
          <cell r="D18">
            <v>14.63</v>
          </cell>
          <cell r="E18">
            <v>13.83</v>
          </cell>
          <cell r="F18">
            <v>11.96</v>
          </cell>
          <cell r="G18">
            <v>11.47</v>
          </cell>
          <cell r="H18">
            <v>11</v>
          </cell>
          <cell r="I18">
            <v>10.99</v>
          </cell>
          <cell r="J18">
            <v>11.01</v>
          </cell>
          <cell r="K18">
            <v>11.1</v>
          </cell>
          <cell r="L18">
            <v>10.83</v>
          </cell>
          <cell r="M18">
            <v>10.5</v>
          </cell>
          <cell r="N18">
            <v>10.11</v>
          </cell>
          <cell r="O18">
            <v>9.6199999999999992</v>
          </cell>
          <cell r="P18">
            <v>9.58</v>
          </cell>
          <cell r="Q18">
            <v>9.4</v>
          </cell>
          <cell r="R18">
            <v>9.2899999999999991</v>
          </cell>
          <cell r="S18">
            <v>8.34</v>
          </cell>
          <cell r="T18">
            <v>6.54</v>
          </cell>
        </row>
        <row r="19">
          <cell r="A19" t="str">
            <v>湖南省</v>
          </cell>
          <cell r="B19">
            <v>13.85</v>
          </cell>
          <cell r="C19">
            <v>13.06</v>
          </cell>
          <cell r="D19">
            <v>12.61</v>
          </cell>
          <cell r="E19">
            <v>12.16</v>
          </cell>
          <cell r="F19">
            <v>11.81</v>
          </cell>
          <cell r="G19">
            <v>10.99</v>
          </cell>
          <cell r="H19">
            <v>9.99</v>
          </cell>
          <cell r="I19">
            <v>10.57</v>
          </cell>
          <cell r="J19">
            <v>9.99</v>
          </cell>
          <cell r="K19">
            <v>9.85</v>
          </cell>
          <cell r="L19">
            <v>8.99</v>
          </cell>
          <cell r="M19">
            <v>8.83</v>
          </cell>
          <cell r="N19">
            <v>8.81</v>
          </cell>
          <cell r="O19">
            <v>8.89</v>
          </cell>
          <cell r="P19">
            <v>8.4700000000000006</v>
          </cell>
          <cell r="Q19">
            <v>7.96</v>
          </cell>
          <cell r="R19">
            <v>7.63</v>
          </cell>
          <cell r="S19">
            <v>6.99</v>
          </cell>
          <cell r="T19">
            <v>6.87</v>
          </cell>
        </row>
        <row r="20">
          <cell r="A20" t="str">
            <v>广东省</v>
          </cell>
          <cell r="B20">
            <v>18.100000000000001</v>
          </cell>
          <cell r="C20">
            <v>17.95</v>
          </cell>
          <cell r="D20">
            <v>17.739999999999998</v>
          </cell>
          <cell r="E20">
            <v>18.14</v>
          </cell>
          <cell r="F20">
            <v>18.13</v>
          </cell>
          <cell r="G20">
            <v>18.34</v>
          </cell>
          <cell r="H20">
            <v>18.239999999999998</v>
          </cell>
          <cell r="I20">
            <v>17.87</v>
          </cell>
          <cell r="J20">
            <v>17.399999999999999</v>
          </cell>
          <cell r="K20">
            <v>16.28</v>
          </cell>
          <cell r="L20">
            <v>15.94</v>
          </cell>
          <cell r="M20">
            <v>15.82</v>
          </cell>
          <cell r="N20">
            <v>14.35</v>
          </cell>
          <cell r="O20">
            <v>13.29</v>
          </cell>
          <cell r="P20">
            <v>12.27</v>
          </cell>
          <cell r="Q20">
            <v>11.46</v>
          </cell>
          <cell r="R20">
            <v>9.2200000000000006</v>
          </cell>
          <cell r="S20">
            <v>9.25</v>
          </cell>
          <cell r="T20">
            <v>11</v>
          </cell>
        </row>
        <row r="21">
          <cell r="A21" t="str">
            <v>广西壮族自治区</v>
          </cell>
          <cell r="B21">
            <v>12.25</v>
          </cell>
          <cell r="C21">
            <v>11.67</v>
          </cell>
          <cell r="D21">
            <v>13.8</v>
          </cell>
          <cell r="E21">
            <v>12.85</v>
          </cell>
          <cell r="F21">
            <v>13.52</v>
          </cell>
          <cell r="G21">
            <v>13.05</v>
          </cell>
          <cell r="H21">
            <v>12.42</v>
          </cell>
          <cell r="I21">
            <v>11.77</v>
          </cell>
          <cell r="J21">
            <v>11.6</v>
          </cell>
          <cell r="K21">
            <v>11.19</v>
          </cell>
          <cell r="L21">
            <v>11.48</v>
          </cell>
          <cell r="M21">
            <v>11.42</v>
          </cell>
          <cell r="N21">
            <v>11.02</v>
          </cell>
          <cell r="O21">
            <v>9.83</v>
          </cell>
          <cell r="P21">
            <v>9.6</v>
          </cell>
          <cell r="Q21">
            <v>8.61</v>
          </cell>
          <cell r="R21">
            <v>8.56</v>
          </cell>
          <cell r="S21">
            <v>7.58</v>
          </cell>
          <cell r="T21">
            <v>6.76</v>
          </cell>
        </row>
        <row r="22">
          <cell r="A22" t="str">
            <v>海南省</v>
          </cell>
          <cell r="B22">
            <v>12.71</v>
          </cell>
          <cell r="C22">
            <v>12.23</v>
          </cell>
          <cell r="D22">
            <v>12.96</v>
          </cell>
          <cell r="E22">
            <v>11.62</v>
          </cell>
          <cell r="F22">
            <v>10.57</v>
          </cell>
          <cell r="G22">
            <v>10.23</v>
          </cell>
          <cell r="H22">
            <v>12.16</v>
          </cell>
          <cell r="I22">
            <v>12.02</v>
          </cell>
          <cell r="J22">
            <v>12.96</v>
          </cell>
          <cell r="K22">
            <v>13.01</v>
          </cell>
          <cell r="L22">
            <v>12.47</v>
          </cell>
          <cell r="M22">
            <v>12.01</v>
          </cell>
          <cell r="N22">
            <v>12.51</v>
          </cell>
          <cell r="O22">
            <v>11.22</v>
          </cell>
          <cell r="P22">
            <v>9.9600000000000009</v>
          </cell>
          <cell r="Q22">
            <v>9</v>
          </cell>
          <cell r="R22">
            <v>10.119999999999999</v>
          </cell>
          <cell r="S22">
            <v>10.85</v>
          </cell>
          <cell r="T22">
            <v>10.44</v>
          </cell>
        </row>
        <row r="23">
          <cell r="A23" t="str">
            <v>重庆市</v>
          </cell>
          <cell r="B23">
            <v>18.18</v>
          </cell>
          <cell r="C23">
            <v>17.63</v>
          </cell>
          <cell r="D23">
            <v>16.670000000000002</v>
          </cell>
          <cell r="E23">
            <v>16.5</v>
          </cell>
          <cell r="F23">
            <v>16.61</v>
          </cell>
          <cell r="G23">
            <v>17.14</v>
          </cell>
          <cell r="H23">
            <v>17.05</v>
          </cell>
          <cell r="I23">
            <v>16.86</v>
          </cell>
          <cell r="J23">
            <v>16.989999999999998</v>
          </cell>
          <cell r="K23">
            <v>16.97</v>
          </cell>
          <cell r="L23">
            <v>18.04</v>
          </cell>
          <cell r="M23">
            <v>18.13</v>
          </cell>
          <cell r="N23">
            <v>17.87</v>
          </cell>
          <cell r="O23">
            <v>13.24</v>
          </cell>
          <cell r="P23">
            <v>11.25</v>
          </cell>
          <cell r="Q23">
            <v>9.6199999999999992</v>
          </cell>
          <cell r="R23">
            <v>7.61</v>
          </cell>
          <cell r="S23">
            <v>6.45</v>
          </cell>
          <cell r="T23">
            <v>5.04</v>
          </cell>
        </row>
        <row r="24">
          <cell r="A24" t="str">
            <v>四川省</v>
          </cell>
          <cell r="B24">
            <v>14.59</v>
          </cell>
          <cell r="C24">
            <v>13.99</v>
          </cell>
          <cell r="D24">
            <v>13.73</v>
          </cell>
          <cell r="E24">
            <v>14.4</v>
          </cell>
          <cell r="F24">
            <v>14.03</v>
          </cell>
          <cell r="G24">
            <v>12.97</v>
          </cell>
          <cell r="H24">
            <v>12.48</v>
          </cell>
          <cell r="I24">
            <v>12.47</v>
          </cell>
          <cell r="J24">
            <v>11.96</v>
          </cell>
          <cell r="K24">
            <v>11.26</v>
          </cell>
          <cell r="L24">
            <v>11.21</v>
          </cell>
          <cell r="M24">
            <v>10.79</v>
          </cell>
          <cell r="N24">
            <v>10.73</v>
          </cell>
          <cell r="O24">
            <v>10.19</v>
          </cell>
          <cell r="P24">
            <v>9.49</v>
          </cell>
          <cell r="Q24">
            <v>8.74</v>
          </cell>
          <cell r="R24">
            <v>8.3699999999999992</v>
          </cell>
          <cell r="S24">
            <v>7.74</v>
          </cell>
          <cell r="T24">
            <v>8</v>
          </cell>
        </row>
        <row r="25">
          <cell r="A25" t="str">
            <v>贵州省</v>
          </cell>
          <cell r="B25">
            <v>16.63</v>
          </cell>
          <cell r="C25">
            <v>16.41</v>
          </cell>
          <cell r="D25">
            <v>16.010000000000002</v>
          </cell>
          <cell r="E25">
            <v>17.04</v>
          </cell>
          <cell r="F25">
            <v>16.38</v>
          </cell>
          <cell r="G25">
            <v>15.51</v>
          </cell>
          <cell r="H25">
            <v>15.25</v>
          </cell>
          <cell r="I25">
            <v>14.98</v>
          </cell>
          <cell r="J25">
            <v>12.94</v>
          </cell>
          <cell r="K25">
            <v>12.5</v>
          </cell>
          <cell r="L25">
            <v>11.41</v>
          </cell>
          <cell r="M25">
            <v>9.3800000000000008</v>
          </cell>
          <cell r="N25">
            <v>7.26</v>
          </cell>
          <cell r="O25">
            <v>7.33</v>
          </cell>
          <cell r="P25">
            <v>6.13</v>
          </cell>
          <cell r="Q25">
            <v>6.16</v>
          </cell>
          <cell r="R25">
            <v>5.89</v>
          </cell>
          <cell r="S25">
            <v>5.49</v>
          </cell>
          <cell r="T25">
            <v>5.95</v>
          </cell>
        </row>
        <row r="26">
          <cell r="A26" t="str">
            <v>云南省</v>
          </cell>
          <cell r="B26">
            <v>13.81</v>
          </cell>
          <cell r="C26">
            <v>13.94</v>
          </cell>
          <cell r="D26">
            <v>12.94</v>
          </cell>
          <cell r="E26">
            <v>12.27</v>
          </cell>
          <cell r="F26">
            <v>11.88</v>
          </cell>
          <cell r="G26">
            <v>11.85</v>
          </cell>
          <cell r="H26">
            <v>11.5</v>
          </cell>
          <cell r="I26">
            <v>11.33</v>
          </cell>
          <cell r="J26">
            <v>10.57</v>
          </cell>
          <cell r="K26">
            <v>11</v>
          </cell>
          <cell r="L26">
            <v>10.56</v>
          </cell>
          <cell r="M26">
            <v>10.43</v>
          </cell>
          <cell r="N26">
            <v>10.26</v>
          </cell>
          <cell r="O26">
            <v>9.3000000000000007</v>
          </cell>
          <cell r="P26">
            <v>8.89</v>
          </cell>
          <cell r="Q26">
            <v>7.62</v>
          </cell>
          <cell r="R26">
            <v>7.44</v>
          </cell>
          <cell r="S26">
            <v>6.47</v>
          </cell>
          <cell r="T26">
            <v>7.98</v>
          </cell>
        </row>
        <row r="27">
          <cell r="A27" t="str">
            <v>西藏自治区</v>
          </cell>
          <cell r="B27">
            <v>17.37</v>
          </cell>
          <cell r="C27">
            <v>16.23</v>
          </cell>
          <cell r="D27">
            <v>13.33</v>
          </cell>
          <cell r="E27">
            <v>12.02</v>
          </cell>
          <cell r="F27">
            <v>9.8000000000000007</v>
          </cell>
          <cell r="G27">
            <v>8.7100000000000009</v>
          </cell>
          <cell r="H27">
            <v>5.85</v>
          </cell>
          <cell r="I27">
            <v>7.84</v>
          </cell>
          <cell r="J27">
            <v>11.65</v>
          </cell>
          <cell r="K27">
            <v>10.8</v>
          </cell>
          <cell r="L27">
            <v>9.0399999999999991</v>
          </cell>
          <cell r="M27">
            <v>9.4</v>
          </cell>
          <cell r="N27">
            <v>10.73</v>
          </cell>
          <cell r="O27">
            <v>5.78</v>
          </cell>
          <cell r="P27">
            <v>7.62</v>
          </cell>
          <cell r="Q27">
            <v>5.64</v>
          </cell>
          <cell r="R27">
            <v>6.9</v>
          </cell>
          <cell r="S27">
            <v>9.2100000000000009</v>
          </cell>
          <cell r="T27">
            <v>0.42</v>
          </cell>
        </row>
        <row r="28">
          <cell r="A28" t="str">
            <v>陕西省</v>
          </cell>
          <cell r="B28">
            <v>13.15</v>
          </cell>
          <cell r="C28">
            <v>13.15</v>
          </cell>
          <cell r="D28">
            <v>12.9</v>
          </cell>
          <cell r="E28">
            <v>12.79</v>
          </cell>
          <cell r="F28">
            <v>11.62</v>
          </cell>
          <cell r="G28">
            <v>11.76</v>
          </cell>
          <cell r="H28">
            <v>12.64</v>
          </cell>
          <cell r="I28">
            <v>12.3</v>
          </cell>
          <cell r="J28">
            <v>12.57</v>
          </cell>
          <cell r="K28">
            <v>12.48</v>
          </cell>
          <cell r="L28">
            <v>11.77</v>
          </cell>
          <cell r="M28">
            <v>11.58</v>
          </cell>
          <cell r="N28">
            <v>11.41</v>
          </cell>
          <cell r="O28">
            <v>10.67</v>
          </cell>
          <cell r="P28">
            <v>9.34</v>
          </cell>
          <cell r="Q28">
            <v>8.7100000000000009</v>
          </cell>
          <cell r="R28">
            <v>8</v>
          </cell>
          <cell r="S28">
            <v>5.89</v>
          </cell>
          <cell r="T28">
            <v>5.1100000000000003</v>
          </cell>
        </row>
        <row r="29">
          <cell r="A29" t="str">
            <v>甘肃省</v>
          </cell>
          <cell r="B29">
            <v>16.04</v>
          </cell>
          <cell r="C29">
            <v>16.36</v>
          </cell>
          <cell r="D29">
            <v>14.88</v>
          </cell>
          <cell r="E29">
            <v>15.15</v>
          </cell>
          <cell r="F29">
            <v>14.28</v>
          </cell>
          <cell r="G29">
            <v>13.65</v>
          </cell>
          <cell r="H29">
            <v>14.87</v>
          </cell>
          <cell r="I29">
            <v>13.94</v>
          </cell>
          <cell r="J29">
            <v>12.23</v>
          </cell>
          <cell r="K29">
            <v>12.79</v>
          </cell>
          <cell r="L29">
            <v>11.76</v>
          </cell>
          <cell r="M29">
            <v>9.52</v>
          </cell>
          <cell r="N29">
            <v>8.32</v>
          </cell>
          <cell r="O29">
            <v>8.1199999999999992</v>
          </cell>
          <cell r="P29">
            <v>7.99</v>
          </cell>
          <cell r="Q29">
            <v>7.87</v>
          </cell>
          <cell r="R29">
            <v>6.83</v>
          </cell>
          <cell r="S29">
            <v>6.95</v>
          </cell>
          <cell r="T29">
            <v>6.86</v>
          </cell>
        </row>
        <row r="30">
          <cell r="A30" t="str">
            <v>青海省</v>
          </cell>
          <cell r="B30">
            <v>12.85</v>
          </cell>
          <cell r="C30">
            <v>13.24</v>
          </cell>
          <cell r="D30">
            <v>12.81</v>
          </cell>
          <cell r="E30">
            <v>12.45</v>
          </cell>
          <cell r="F30">
            <v>11.93</v>
          </cell>
          <cell r="G30">
            <v>11.45</v>
          </cell>
          <cell r="H30">
            <v>11.18</v>
          </cell>
          <cell r="I30">
            <v>10.78</v>
          </cell>
          <cell r="J30">
            <v>10.48</v>
          </cell>
          <cell r="K30">
            <v>10.78</v>
          </cell>
          <cell r="L30">
            <v>9.66</v>
          </cell>
          <cell r="M30">
            <v>9.81</v>
          </cell>
          <cell r="N30">
            <v>9.65</v>
          </cell>
          <cell r="O30">
            <v>8.5299999999999994</v>
          </cell>
          <cell r="P30">
            <v>8.1300000000000008</v>
          </cell>
          <cell r="Q30">
            <v>8.5299999999999994</v>
          </cell>
          <cell r="R30">
            <v>8.4700000000000006</v>
          </cell>
          <cell r="S30">
            <v>7.81</v>
          </cell>
          <cell r="T30">
            <v>5.82</v>
          </cell>
        </row>
        <row r="31">
          <cell r="A31" t="str">
            <v>宁夏回族自治区</v>
          </cell>
          <cell r="B31">
            <v>21.99</v>
          </cell>
          <cell r="C31">
            <v>22.84</v>
          </cell>
          <cell r="D31">
            <v>20.48</v>
          </cell>
          <cell r="E31">
            <v>21.02</v>
          </cell>
          <cell r="F31">
            <v>21.05</v>
          </cell>
          <cell r="G31">
            <v>20.38</v>
          </cell>
          <cell r="H31">
            <v>19.170000000000002</v>
          </cell>
          <cell r="I31">
            <v>18.3</v>
          </cell>
          <cell r="J31">
            <v>18.11</v>
          </cell>
          <cell r="K31">
            <v>17.91</v>
          </cell>
          <cell r="L31">
            <v>17.510000000000002</v>
          </cell>
          <cell r="M31">
            <v>15.71</v>
          </cell>
          <cell r="N31">
            <v>16.03</v>
          </cell>
          <cell r="O31">
            <v>16.18</v>
          </cell>
          <cell r="P31">
            <v>14.96</v>
          </cell>
          <cell r="Q31">
            <v>11</v>
          </cell>
          <cell r="R31">
            <v>10.42</v>
          </cell>
          <cell r="S31">
            <v>8.66</v>
          </cell>
          <cell r="T31">
            <v>5.38</v>
          </cell>
        </row>
        <row r="32">
          <cell r="A32" t="str">
            <v>新疆维吾尔自治区</v>
          </cell>
          <cell r="B32">
            <v>16.350000000000001</v>
          </cell>
          <cell r="C32">
            <v>16.23</v>
          </cell>
          <cell r="D32">
            <v>15.4</v>
          </cell>
          <cell r="E32">
            <v>14.02</v>
          </cell>
          <cell r="F32">
            <v>14.88</v>
          </cell>
          <cell r="G32">
            <v>14.31</v>
          </cell>
          <cell r="H32">
            <v>13.23</v>
          </cell>
          <cell r="I32">
            <v>12.22</v>
          </cell>
          <cell r="J32">
            <v>11.5</v>
          </cell>
          <cell r="K32">
            <v>10.74</v>
          </cell>
          <cell r="L32">
            <v>10.08</v>
          </cell>
          <cell r="M32">
            <v>10</v>
          </cell>
          <cell r="N32">
            <v>9.48</v>
          </cell>
          <cell r="O32">
            <v>8.61</v>
          </cell>
          <cell r="P32">
            <v>8.4600000000000009</v>
          </cell>
          <cell r="Q32">
            <v>7.91</v>
          </cell>
          <cell r="R32">
            <v>8.09</v>
          </cell>
          <cell r="S32">
            <v>6.96</v>
          </cell>
          <cell r="T32">
            <v>6.37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167.26</v>
          </cell>
          <cell r="C2">
            <v>163.22</v>
          </cell>
          <cell r="D2">
            <v>163.27000000000001</v>
          </cell>
          <cell r="E2">
            <v>154.19</v>
          </cell>
          <cell r="F2">
            <v>168.52</v>
          </cell>
          <cell r="G2">
            <v>198.7</v>
          </cell>
          <cell r="H2">
            <v>188.01</v>
          </cell>
          <cell r="I2">
            <v>173.1</v>
          </cell>
          <cell r="J2">
            <v>183.81</v>
          </cell>
          <cell r="K2">
            <v>187.52</v>
          </cell>
          <cell r="L2">
            <v>196.85</v>
          </cell>
          <cell r="M2">
            <v>171.79</v>
          </cell>
          <cell r="N2">
            <v>172.62</v>
          </cell>
          <cell r="O2">
            <v>174.92</v>
          </cell>
          <cell r="P2">
            <v>192.05</v>
          </cell>
          <cell r="Q2">
            <v>187.22</v>
          </cell>
          <cell r="R2">
            <v>166.8</v>
          </cell>
          <cell r="S2">
            <v>154.66999999999999</v>
          </cell>
          <cell r="T2">
            <v>152.91</v>
          </cell>
        </row>
        <row r="3">
          <cell r="A3" t="str">
            <v>天津市</v>
          </cell>
          <cell r="B3">
            <v>128.21</v>
          </cell>
          <cell r="C3">
            <v>122.81</v>
          </cell>
          <cell r="D3">
            <v>122.72</v>
          </cell>
          <cell r="E3">
            <v>115.69</v>
          </cell>
          <cell r="F3">
            <v>111.25</v>
          </cell>
          <cell r="G3">
            <v>100.41</v>
          </cell>
          <cell r="H3">
            <v>145.91</v>
          </cell>
          <cell r="I3">
            <v>113.96</v>
          </cell>
          <cell r="J3">
            <v>119.58</v>
          </cell>
          <cell r="K3">
            <v>124.33</v>
          </cell>
          <cell r="L3">
            <v>142.34</v>
          </cell>
          <cell r="M3">
            <v>134.12</v>
          </cell>
          <cell r="N3">
            <v>128.80000000000001</v>
          </cell>
          <cell r="O3">
            <v>132.04</v>
          </cell>
          <cell r="P3">
            <v>133.15</v>
          </cell>
          <cell r="Q3">
            <v>129.25</v>
          </cell>
          <cell r="R3">
            <v>122.38</v>
          </cell>
          <cell r="S3">
            <v>130.43</v>
          </cell>
          <cell r="T3">
            <v>123.56</v>
          </cell>
        </row>
        <row r="4">
          <cell r="A4" t="str">
            <v>河北省</v>
          </cell>
          <cell r="B4">
            <v>112.9</v>
          </cell>
          <cell r="C4">
            <v>123.31</v>
          </cell>
          <cell r="D4">
            <v>128.18</v>
          </cell>
          <cell r="E4">
            <v>127.34</v>
          </cell>
          <cell r="F4">
            <v>120.72</v>
          </cell>
          <cell r="G4">
            <v>120.42</v>
          </cell>
          <cell r="H4">
            <v>122.39</v>
          </cell>
          <cell r="I4">
            <v>132</v>
          </cell>
          <cell r="J4">
            <v>119.13</v>
          </cell>
          <cell r="K4">
            <v>116.91</v>
          </cell>
          <cell r="L4">
            <v>125.79</v>
          </cell>
          <cell r="M4">
            <v>126.23</v>
          </cell>
          <cell r="N4">
            <v>124.45</v>
          </cell>
          <cell r="O4">
            <v>122.96</v>
          </cell>
          <cell r="P4">
            <v>124.79</v>
          </cell>
          <cell r="Q4">
            <v>125.07</v>
          </cell>
          <cell r="R4">
            <v>125.38</v>
          </cell>
          <cell r="S4">
            <v>132.59</v>
          </cell>
          <cell r="T4">
            <v>144.63999999999999</v>
          </cell>
        </row>
        <row r="5">
          <cell r="A5" t="str">
            <v>山西省</v>
          </cell>
          <cell r="B5">
            <v>123.4</v>
          </cell>
          <cell r="C5">
            <v>136.52000000000001</v>
          </cell>
          <cell r="D5">
            <v>138.25</v>
          </cell>
          <cell r="E5">
            <v>133.86000000000001</v>
          </cell>
          <cell r="F5">
            <v>121.63</v>
          </cell>
          <cell r="G5">
            <v>139.28</v>
          </cell>
          <cell r="H5">
            <v>128.62</v>
          </cell>
          <cell r="I5">
            <v>114.52</v>
          </cell>
          <cell r="J5">
            <v>112.44</v>
          </cell>
          <cell r="K5">
            <v>114.59</v>
          </cell>
          <cell r="L5">
            <v>111.19</v>
          </cell>
          <cell r="M5">
            <v>110.93</v>
          </cell>
          <cell r="N5">
            <v>111.42</v>
          </cell>
          <cell r="O5">
            <v>106.39</v>
          </cell>
          <cell r="P5">
            <v>122.1</v>
          </cell>
          <cell r="Q5">
            <v>120.9</v>
          </cell>
          <cell r="R5">
            <v>124.65</v>
          </cell>
          <cell r="S5">
            <v>126.6</v>
          </cell>
          <cell r="T5">
            <v>120.35</v>
          </cell>
        </row>
        <row r="6">
          <cell r="A6" t="str">
            <v>内蒙古自治区</v>
          </cell>
          <cell r="B6">
            <v>115.07</v>
          </cell>
          <cell r="C6">
            <v>119.25</v>
          </cell>
          <cell r="D6">
            <v>109.65</v>
          </cell>
          <cell r="E6">
            <v>101.25</v>
          </cell>
          <cell r="F6">
            <v>104.91</v>
          </cell>
          <cell r="G6">
            <v>97.84</v>
          </cell>
          <cell r="H6">
            <v>114.51</v>
          </cell>
          <cell r="I6">
            <v>103.44</v>
          </cell>
          <cell r="J6">
            <v>106.71</v>
          </cell>
          <cell r="K6">
            <v>103.49</v>
          </cell>
          <cell r="L6">
            <v>97.47</v>
          </cell>
          <cell r="M6">
            <v>91.12</v>
          </cell>
          <cell r="N6">
            <v>94.48</v>
          </cell>
          <cell r="O6">
            <v>88.49</v>
          </cell>
          <cell r="P6">
            <v>85.99</v>
          </cell>
          <cell r="Q6">
            <v>85.65</v>
          </cell>
          <cell r="R6">
            <v>102.09</v>
          </cell>
          <cell r="S6">
            <v>105.08</v>
          </cell>
          <cell r="T6">
            <v>129.93</v>
          </cell>
        </row>
        <row r="7">
          <cell r="A7" t="str">
            <v>辽宁省</v>
          </cell>
          <cell r="B7">
            <v>171.37</v>
          </cell>
          <cell r="C7">
            <v>155.81</v>
          </cell>
          <cell r="D7">
            <v>154.72999999999999</v>
          </cell>
          <cell r="E7">
            <v>149.97999999999999</v>
          </cell>
          <cell r="F7">
            <v>148.65</v>
          </cell>
          <cell r="G7">
            <v>151.86000000000001</v>
          </cell>
          <cell r="H7">
            <v>139.71</v>
          </cell>
          <cell r="I7">
            <v>146.26</v>
          </cell>
          <cell r="J7">
            <v>135.5</v>
          </cell>
          <cell r="K7">
            <v>131.79</v>
          </cell>
          <cell r="L7">
            <v>128.71</v>
          </cell>
          <cell r="M7">
            <v>128.05000000000001</v>
          </cell>
          <cell r="N7">
            <v>126.16</v>
          </cell>
          <cell r="O7">
            <v>120.96</v>
          </cell>
          <cell r="P7">
            <v>124.19</v>
          </cell>
          <cell r="Q7">
            <v>125.84</v>
          </cell>
          <cell r="R7">
            <v>127.93</v>
          </cell>
          <cell r="S7">
            <v>134.12</v>
          </cell>
          <cell r="T7">
            <v>147.27000000000001</v>
          </cell>
        </row>
        <row r="8">
          <cell r="A8" t="str">
            <v>吉林省</v>
          </cell>
          <cell r="B8">
            <v>125.04</v>
          </cell>
          <cell r="C8">
            <v>121.83</v>
          </cell>
          <cell r="D8">
            <v>125.35</v>
          </cell>
          <cell r="E8">
            <v>121.79</v>
          </cell>
          <cell r="F8">
            <v>120.9</v>
          </cell>
          <cell r="G8">
            <v>117.54</v>
          </cell>
          <cell r="H8">
            <v>117.75</v>
          </cell>
          <cell r="I8">
            <v>124.51</v>
          </cell>
          <cell r="J8">
            <v>122.27</v>
          </cell>
          <cell r="K8">
            <v>122.79</v>
          </cell>
          <cell r="L8">
            <v>119.31</v>
          </cell>
          <cell r="M8">
            <v>111.6</v>
          </cell>
          <cell r="N8">
            <v>113.33</v>
          </cell>
          <cell r="O8">
            <v>121.03</v>
          </cell>
          <cell r="P8">
            <v>122.99</v>
          </cell>
          <cell r="Q8">
            <v>128.01</v>
          </cell>
          <cell r="R8">
            <v>121.12</v>
          </cell>
          <cell r="S8">
            <v>131.27000000000001</v>
          </cell>
          <cell r="T8">
            <v>137.97</v>
          </cell>
        </row>
        <row r="9">
          <cell r="A9" t="str">
            <v>黑龙江省</v>
          </cell>
          <cell r="B9">
            <v>131.93</v>
          </cell>
          <cell r="C9">
            <v>127.28</v>
          </cell>
          <cell r="D9">
            <v>120.55</v>
          </cell>
          <cell r="E9">
            <v>129.47</v>
          </cell>
          <cell r="F9">
            <v>126.83</v>
          </cell>
          <cell r="G9">
            <v>125.46</v>
          </cell>
          <cell r="H9">
            <v>120.4</v>
          </cell>
          <cell r="I9">
            <v>117.38</v>
          </cell>
          <cell r="J9">
            <v>116.34</v>
          </cell>
          <cell r="K9">
            <v>116.54</v>
          </cell>
          <cell r="L9">
            <v>119.33</v>
          </cell>
          <cell r="M9">
            <v>125.48</v>
          </cell>
          <cell r="N9">
            <v>128.02000000000001</v>
          </cell>
          <cell r="O9">
            <v>123.87</v>
          </cell>
          <cell r="P9">
            <v>129.69999999999999</v>
          </cell>
          <cell r="Q9">
            <v>142.13</v>
          </cell>
          <cell r="R9">
            <v>143.52000000000001</v>
          </cell>
          <cell r="S9">
            <v>138.96</v>
          </cell>
          <cell r="T9">
            <v>151.18</v>
          </cell>
        </row>
        <row r="10">
          <cell r="A10" t="str">
            <v>上海市</v>
          </cell>
          <cell r="B10">
            <v>210.9</v>
          </cell>
          <cell r="C10">
            <v>207.04</v>
          </cell>
          <cell r="D10">
            <v>211.51</v>
          </cell>
          <cell r="E10">
            <v>203.92</v>
          </cell>
          <cell r="F10">
            <v>207.51</v>
          </cell>
          <cell r="G10">
            <v>203.3</v>
          </cell>
          <cell r="H10">
            <v>200.32</v>
          </cell>
          <cell r="I10">
            <v>200.85</v>
          </cell>
          <cell r="J10">
            <v>190.19</v>
          </cell>
          <cell r="K10">
            <v>186.4</v>
          </cell>
          <cell r="L10">
            <v>192</v>
          </cell>
          <cell r="M10">
            <v>186.54</v>
          </cell>
          <cell r="N10">
            <v>183.57</v>
          </cell>
          <cell r="O10">
            <v>174.83</v>
          </cell>
          <cell r="P10">
            <v>206.96</v>
          </cell>
          <cell r="Q10">
            <v>201.95</v>
          </cell>
          <cell r="R10">
            <v>215.09</v>
          </cell>
          <cell r="S10">
            <v>213.1</v>
          </cell>
          <cell r="T10">
            <v>262.08</v>
          </cell>
        </row>
        <row r="11">
          <cell r="A11" t="str">
            <v>江苏省</v>
          </cell>
          <cell r="B11">
            <v>213.55</v>
          </cell>
          <cell r="C11">
            <v>211.54</v>
          </cell>
          <cell r="D11">
            <v>226.15</v>
          </cell>
          <cell r="E11">
            <v>220.69</v>
          </cell>
          <cell r="F11">
            <v>217.15</v>
          </cell>
          <cell r="G11">
            <v>214.01</v>
          </cell>
          <cell r="H11">
            <v>215.2</v>
          </cell>
          <cell r="I11">
            <v>215.39</v>
          </cell>
          <cell r="J11">
            <v>210.66</v>
          </cell>
          <cell r="K11">
            <v>209.62</v>
          </cell>
          <cell r="L11">
            <v>209.76</v>
          </cell>
          <cell r="M11">
            <v>215.44</v>
          </cell>
          <cell r="N11">
            <v>212.26</v>
          </cell>
          <cell r="O11">
            <v>220.37</v>
          </cell>
          <cell r="P11">
            <v>207.17</v>
          </cell>
          <cell r="Q11">
            <v>204.99</v>
          </cell>
          <cell r="R11">
            <v>199.54</v>
          </cell>
          <cell r="S11">
            <v>204.55</v>
          </cell>
          <cell r="T11">
            <v>211.47</v>
          </cell>
        </row>
        <row r="12">
          <cell r="A12" t="str">
            <v>浙江省</v>
          </cell>
          <cell r="B12">
            <v>217.87</v>
          </cell>
          <cell r="C12">
            <v>215.05</v>
          </cell>
          <cell r="D12">
            <v>212.21</v>
          </cell>
          <cell r="E12">
            <v>220.06</v>
          </cell>
          <cell r="F12">
            <v>217.72</v>
          </cell>
          <cell r="G12">
            <v>204.36</v>
          </cell>
          <cell r="H12">
            <v>200.21</v>
          </cell>
          <cell r="I12">
            <v>187.17</v>
          </cell>
          <cell r="J12">
            <v>196.18</v>
          </cell>
          <cell r="K12">
            <v>197.01</v>
          </cell>
          <cell r="L12">
            <v>192.32</v>
          </cell>
          <cell r="M12">
            <v>195.81</v>
          </cell>
          <cell r="N12">
            <v>196.3</v>
          </cell>
          <cell r="O12">
            <v>185.43</v>
          </cell>
          <cell r="P12">
            <v>201.55</v>
          </cell>
          <cell r="Q12">
            <v>194.22</v>
          </cell>
          <cell r="R12">
            <v>189.28</v>
          </cell>
          <cell r="S12">
            <v>230.68</v>
          </cell>
          <cell r="T12">
            <v>243.93</v>
          </cell>
        </row>
        <row r="13">
          <cell r="A13" t="str">
            <v>安徽省</v>
          </cell>
          <cell r="B13">
            <v>198.59</v>
          </cell>
          <cell r="C13">
            <v>194.31</v>
          </cell>
          <cell r="D13">
            <v>190.23</v>
          </cell>
          <cell r="E13">
            <v>197.37</v>
          </cell>
          <cell r="F13">
            <v>194.49</v>
          </cell>
          <cell r="G13">
            <v>190.68</v>
          </cell>
          <cell r="H13">
            <v>188.11</v>
          </cell>
          <cell r="I13">
            <v>180.19</v>
          </cell>
          <cell r="J13">
            <v>168.9</v>
          </cell>
          <cell r="K13">
            <v>166.72</v>
          </cell>
          <cell r="L13">
            <v>166.15</v>
          </cell>
          <cell r="M13">
            <v>165.45</v>
          </cell>
          <cell r="N13">
            <v>168.99</v>
          </cell>
          <cell r="O13">
            <v>160.83000000000001</v>
          </cell>
          <cell r="P13">
            <v>160.96</v>
          </cell>
          <cell r="Q13">
            <v>174.61</v>
          </cell>
          <cell r="R13">
            <v>180.4</v>
          </cell>
          <cell r="S13">
            <v>189.95</v>
          </cell>
          <cell r="T13">
            <v>195.69</v>
          </cell>
        </row>
        <row r="14">
          <cell r="A14" t="str">
            <v>福建省</v>
          </cell>
          <cell r="B14">
            <v>235.25</v>
          </cell>
          <cell r="C14">
            <v>228.88</v>
          </cell>
          <cell r="D14">
            <v>231.1</v>
          </cell>
          <cell r="E14">
            <v>214.47</v>
          </cell>
          <cell r="F14">
            <v>208.76</v>
          </cell>
          <cell r="G14">
            <v>210.1</v>
          </cell>
          <cell r="H14">
            <v>203.69</v>
          </cell>
          <cell r="I14">
            <v>191.52</v>
          </cell>
          <cell r="J14">
            <v>176.93</v>
          </cell>
          <cell r="K14">
            <v>180.98</v>
          </cell>
          <cell r="L14">
            <v>180.87</v>
          </cell>
          <cell r="M14">
            <v>178.37</v>
          </cell>
          <cell r="N14">
            <v>188.18</v>
          </cell>
          <cell r="O14">
            <v>186.62</v>
          </cell>
          <cell r="P14">
            <v>191.92</v>
          </cell>
          <cell r="Q14">
            <v>219.64</v>
          </cell>
          <cell r="R14">
            <v>211.73</v>
          </cell>
          <cell r="S14">
            <v>275.42</v>
          </cell>
          <cell r="T14">
            <v>267.91000000000003</v>
          </cell>
        </row>
        <row r="15">
          <cell r="A15" t="str">
            <v>江西省</v>
          </cell>
          <cell r="B15">
            <v>238.38</v>
          </cell>
          <cell r="C15">
            <v>222.48</v>
          </cell>
          <cell r="D15">
            <v>200.21</v>
          </cell>
          <cell r="E15">
            <v>176.68</v>
          </cell>
          <cell r="F15">
            <v>174.58</v>
          </cell>
          <cell r="G15">
            <v>174.61</v>
          </cell>
          <cell r="H15">
            <v>170.33</v>
          </cell>
          <cell r="I15">
            <v>171.37</v>
          </cell>
          <cell r="J15">
            <v>171.28</v>
          </cell>
          <cell r="K15">
            <v>178.71</v>
          </cell>
          <cell r="L15">
            <v>173.98</v>
          </cell>
          <cell r="M15">
            <v>175.69</v>
          </cell>
          <cell r="N15">
            <v>174.79</v>
          </cell>
          <cell r="O15">
            <v>184.35</v>
          </cell>
          <cell r="P15">
            <v>194.24</v>
          </cell>
          <cell r="Q15">
            <v>201.75</v>
          </cell>
          <cell r="R15">
            <v>201.5</v>
          </cell>
          <cell r="S15">
            <v>211.56</v>
          </cell>
          <cell r="T15">
            <v>236.54</v>
          </cell>
        </row>
        <row r="16">
          <cell r="A16" t="str">
            <v>山东省</v>
          </cell>
          <cell r="B16">
            <v>130.91999999999999</v>
          </cell>
          <cell r="C16">
            <v>126.22</v>
          </cell>
          <cell r="D16">
            <v>126.12</v>
          </cell>
          <cell r="E16">
            <v>119.35</v>
          </cell>
          <cell r="F16">
            <v>125.54</v>
          </cell>
          <cell r="G16">
            <v>126.56</v>
          </cell>
          <cell r="H16">
            <v>126.73</v>
          </cell>
          <cell r="I16">
            <v>132.84</v>
          </cell>
          <cell r="J16">
            <v>138.47</v>
          </cell>
          <cell r="K16">
            <v>138.78</v>
          </cell>
          <cell r="L16">
            <v>134.93</v>
          </cell>
          <cell r="M16">
            <v>131.6</v>
          </cell>
          <cell r="N16">
            <v>129.79</v>
          </cell>
          <cell r="O16">
            <v>129.52000000000001</v>
          </cell>
          <cell r="P16">
            <v>129.91</v>
          </cell>
          <cell r="Q16">
            <v>127.87</v>
          </cell>
          <cell r="R16">
            <v>132.91</v>
          </cell>
          <cell r="S16">
            <v>140.88</v>
          </cell>
          <cell r="T16">
            <v>140.22</v>
          </cell>
        </row>
        <row r="17">
          <cell r="A17" t="str">
            <v>河南省</v>
          </cell>
          <cell r="B17">
            <v>143.61000000000001</v>
          </cell>
          <cell r="C17">
            <v>139.88999999999999</v>
          </cell>
          <cell r="D17">
            <v>141.27000000000001</v>
          </cell>
          <cell r="E17">
            <v>128.99</v>
          </cell>
          <cell r="F17">
            <v>133.88</v>
          </cell>
          <cell r="G17">
            <v>134.79</v>
          </cell>
          <cell r="H17">
            <v>129.32</v>
          </cell>
          <cell r="I17">
            <v>115.61</v>
          </cell>
          <cell r="J17">
            <v>111.07</v>
          </cell>
          <cell r="K17">
            <v>107.44</v>
          </cell>
          <cell r="L17">
            <v>105.38</v>
          </cell>
          <cell r="M17">
            <v>104.09</v>
          </cell>
          <cell r="N17">
            <v>108.59</v>
          </cell>
          <cell r="O17">
            <v>109.1</v>
          </cell>
          <cell r="P17">
            <v>118.49</v>
          </cell>
          <cell r="Q17">
            <v>115.88</v>
          </cell>
          <cell r="R17">
            <v>125.9</v>
          </cell>
          <cell r="S17">
            <v>129.47</v>
          </cell>
          <cell r="T17">
            <v>147.06</v>
          </cell>
        </row>
        <row r="18">
          <cell r="A18" t="str">
            <v>湖北省</v>
          </cell>
          <cell r="B18">
            <v>204.52</v>
          </cell>
          <cell r="C18">
            <v>199.93</v>
          </cell>
          <cell r="D18">
            <v>190.26</v>
          </cell>
          <cell r="E18">
            <v>192.85</v>
          </cell>
          <cell r="F18">
            <v>190.76</v>
          </cell>
          <cell r="G18">
            <v>202.19</v>
          </cell>
          <cell r="H18">
            <v>199.55</v>
          </cell>
          <cell r="I18">
            <v>204.26</v>
          </cell>
          <cell r="J18">
            <v>205.32</v>
          </cell>
          <cell r="K18">
            <v>210.6</v>
          </cell>
          <cell r="L18">
            <v>214.82</v>
          </cell>
          <cell r="M18">
            <v>215.72</v>
          </cell>
          <cell r="N18">
            <v>213.18</v>
          </cell>
          <cell r="O18">
            <v>211.54</v>
          </cell>
          <cell r="P18">
            <v>215</v>
          </cell>
          <cell r="Q18">
            <v>228.34</v>
          </cell>
          <cell r="R18">
            <v>244.45</v>
          </cell>
          <cell r="S18">
            <v>246.43</v>
          </cell>
          <cell r="T18">
            <v>274.33</v>
          </cell>
        </row>
        <row r="19">
          <cell r="A19" t="str">
            <v>湖南省</v>
          </cell>
          <cell r="B19">
            <v>223.47</v>
          </cell>
          <cell r="C19">
            <v>217.07</v>
          </cell>
          <cell r="D19">
            <v>210.44</v>
          </cell>
          <cell r="E19">
            <v>211.47</v>
          </cell>
          <cell r="F19">
            <v>216.56</v>
          </cell>
          <cell r="G19">
            <v>210.73</v>
          </cell>
          <cell r="H19">
            <v>180.25</v>
          </cell>
          <cell r="I19">
            <v>217.12</v>
          </cell>
          <cell r="J19">
            <v>207.79</v>
          </cell>
          <cell r="K19">
            <v>202.96</v>
          </cell>
          <cell r="L19">
            <v>215</v>
          </cell>
          <cell r="M19">
            <v>212.78</v>
          </cell>
          <cell r="N19">
            <v>203.16</v>
          </cell>
          <cell r="O19">
            <v>220.38</v>
          </cell>
          <cell r="P19">
            <v>229.46</v>
          </cell>
          <cell r="Q19">
            <v>234.53</v>
          </cell>
          <cell r="R19">
            <v>240.95</v>
          </cell>
          <cell r="S19">
            <v>252.7</v>
          </cell>
          <cell r="T19">
            <v>278.68</v>
          </cell>
        </row>
        <row r="20">
          <cell r="A20" t="str">
            <v>广东省</v>
          </cell>
          <cell r="B20">
            <v>247.09</v>
          </cell>
          <cell r="C20">
            <v>241.53</v>
          </cell>
          <cell r="D20">
            <v>250.52</v>
          </cell>
          <cell r="E20">
            <v>236.78</v>
          </cell>
          <cell r="F20">
            <v>240.82</v>
          </cell>
          <cell r="G20">
            <v>254.37</v>
          </cell>
          <cell r="H20">
            <v>256.48</v>
          </cell>
          <cell r="I20">
            <v>246.14</v>
          </cell>
          <cell r="J20">
            <v>248.95</v>
          </cell>
          <cell r="K20">
            <v>247.51</v>
          </cell>
          <cell r="L20">
            <v>242.02</v>
          </cell>
          <cell r="M20">
            <v>246.68</v>
          </cell>
          <cell r="N20">
            <v>241.38</v>
          </cell>
          <cell r="O20">
            <v>249.96</v>
          </cell>
          <cell r="P20">
            <v>253.14</v>
          </cell>
          <cell r="Q20">
            <v>252.03</v>
          </cell>
          <cell r="R20">
            <v>238.16</v>
          </cell>
          <cell r="S20">
            <v>260.27</v>
          </cell>
          <cell r="T20">
            <v>320.16000000000003</v>
          </cell>
        </row>
        <row r="21">
          <cell r="A21" t="str">
            <v>广西壮族自治区</v>
          </cell>
          <cell r="B21">
            <v>272.95</v>
          </cell>
          <cell r="C21">
            <v>273.73</v>
          </cell>
          <cell r="D21">
            <v>262.37</v>
          </cell>
          <cell r="E21">
            <v>263.48</v>
          </cell>
          <cell r="F21">
            <v>269.26</v>
          </cell>
          <cell r="G21">
            <v>266.14</v>
          </cell>
          <cell r="H21">
            <v>257.18</v>
          </cell>
          <cell r="I21">
            <v>256.38</v>
          </cell>
          <cell r="J21">
            <v>255.65</v>
          </cell>
          <cell r="K21">
            <v>234.97</v>
          </cell>
          <cell r="L21">
            <v>239.89</v>
          </cell>
          <cell r="M21">
            <v>248.11</v>
          </cell>
          <cell r="N21">
            <v>241.94</v>
          </cell>
          <cell r="O21">
            <v>249.7</v>
          </cell>
          <cell r="P21">
            <v>259.05</v>
          </cell>
          <cell r="Q21">
            <v>239.99</v>
          </cell>
          <cell r="R21">
            <v>246.62</v>
          </cell>
          <cell r="S21">
            <v>269.29000000000002</v>
          </cell>
          <cell r="T21">
            <v>272.05</v>
          </cell>
        </row>
        <row r="22">
          <cell r="A22" t="str">
            <v>海南省</v>
          </cell>
          <cell r="B22">
            <v>304.64999999999998</v>
          </cell>
          <cell r="C22">
            <v>287.04000000000002</v>
          </cell>
          <cell r="D22">
            <v>315.08</v>
          </cell>
          <cell r="E22">
            <v>275.27</v>
          </cell>
          <cell r="F22">
            <v>296.08999999999997</v>
          </cell>
          <cell r="G22">
            <v>197.61</v>
          </cell>
          <cell r="H22">
            <v>268.18</v>
          </cell>
          <cell r="I22">
            <v>253.06</v>
          </cell>
          <cell r="J22">
            <v>263.77999999999997</v>
          </cell>
          <cell r="K22">
            <v>243.54</v>
          </cell>
          <cell r="L22">
            <v>222.9</v>
          </cell>
          <cell r="M22">
            <v>237.16</v>
          </cell>
          <cell r="N22">
            <v>249.2</v>
          </cell>
          <cell r="O22">
            <v>264.5</v>
          </cell>
          <cell r="P22">
            <v>265.06</v>
          </cell>
          <cell r="Q22">
            <v>252.74</v>
          </cell>
          <cell r="R22">
            <v>292.25</v>
          </cell>
          <cell r="S22">
            <v>311.52</v>
          </cell>
          <cell r="T22">
            <v>337.85</v>
          </cell>
        </row>
        <row r="23">
          <cell r="A23" t="str">
            <v>重庆市</v>
          </cell>
          <cell r="B23">
            <v>190.04</v>
          </cell>
          <cell r="C23">
            <v>180.77</v>
          </cell>
          <cell r="D23">
            <v>178.52</v>
          </cell>
          <cell r="E23">
            <v>179.8</v>
          </cell>
          <cell r="F23">
            <v>167.94</v>
          </cell>
          <cell r="G23">
            <v>165.53</v>
          </cell>
          <cell r="H23">
            <v>151.63999999999999</v>
          </cell>
          <cell r="I23">
            <v>151.6</v>
          </cell>
          <cell r="J23">
            <v>151.97</v>
          </cell>
          <cell r="K23">
            <v>146.13</v>
          </cell>
          <cell r="L23">
            <v>154.04</v>
          </cell>
          <cell r="M23">
            <v>148.75</v>
          </cell>
          <cell r="N23">
            <v>145.43</v>
          </cell>
          <cell r="O23">
            <v>136.75</v>
          </cell>
          <cell r="P23">
            <v>141.46</v>
          </cell>
          <cell r="Q23">
            <v>143.57</v>
          </cell>
          <cell r="R23">
            <v>140.63999999999999</v>
          </cell>
          <cell r="S23">
            <v>174.49</v>
          </cell>
          <cell r="T23">
            <v>163.49</v>
          </cell>
        </row>
        <row r="24">
          <cell r="A24" t="str">
            <v>四川省</v>
          </cell>
          <cell r="B24">
            <v>211.64</v>
          </cell>
          <cell r="C24">
            <v>195.31</v>
          </cell>
          <cell r="D24">
            <v>194.03</v>
          </cell>
          <cell r="E24">
            <v>196.39</v>
          </cell>
          <cell r="F24">
            <v>208.24</v>
          </cell>
          <cell r="G24">
            <v>181.36</v>
          </cell>
          <cell r="H24">
            <v>202.05</v>
          </cell>
          <cell r="I24">
            <v>214.64</v>
          </cell>
          <cell r="J24">
            <v>204.13</v>
          </cell>
          <cell r="K24">
            <v>216</v>
          </cell>
          <cell r="L24">
            <v>193.47</v>
          </cell>
          <cell r="M24">
            <v>195.58</v>
          </cell>
          <cell r="N24">
            <v>191.71</v>
          </cell>
          <cell r="O24">
            <v>196.69</v>
          </cell>
          <cell r="P24">
            <v>196.01</v>
          </cell>
          <cell r="Q24">
            <v>197.28</v>
          </cell>
          <cell r="R24">
            <v>200.9</v>
          </cell>
          <cell r="S24">
            <v>205.56</v>
          </cell>
          <cell r="T24">
            <v>222.42</v>
          </cell>
        </row>
        <row r="25">
          <cell r="A25" t="str">
            <v>贵州省</v>
          </cell>
          <cell r="B25">
            <v>185.21</v>
          </cell>
          <cell r="C25">
            <v>175.8</v>
          </cell>
          <cell r="D25">
            <v>172.37</v>
          </cell>
          <cell r="E25">
            <v>169.78</v>
          </cell>
          <cell r="F25">
            <v>175.88</v>
          </cell>
          <cell r="G25">
            <v>185.86</v>
          </cell>
          <cell r="H25">
            <v>177.28</v>
          </cell>
          <cell r="I25">
            <v>171.98</v>
          </cell>
          <cell r="J25">
            <v>163.78</v>
          </cell>
          <cell r="K25">
            <v>159.65</v>
          </cell>
          <cell r="L25">
            <v>152.37</v>
          </cell>
          <cell r="M25">
            <v>144.88</v>
          </cell>
          <cell r="N25">
            <v>142.79</v>
          </cell>
          <cell r="O25">
            <v>130.47</v>
          </cell>
          <cell r="P25">
            <v>145.94999999999999</v>
          </cell>
          <cell r="Q25">
            <v>150.87</v>
          </cell>
          <cell r="R25">
            <v>172.52</v>
          </cell>
          <cell r="S25">
            <v>181.22</v>
          </cell>
          <cell r="T25">
            <v>169.48</v>
          </cell>
        </row>
        <row r="26">
          <cell r="A26" t="str">
            <v>云南省</v>
          </cell>
          <cell r="B26">
            <v>181.5</v>
          </cell>
          <cell r="C26">
            <v>186.59</v>
          </cell>
          <cell r="D26">
            <v>174.44</v>
          </cell>
          <cell r="E26">
            <v>155.13</v>
          </cell>
          <cell r="F26">
            <v>149.78</v>
          </cell>
          <cell r="G26">
            <v>138.96</v>
          </cell>
          <cell r="H26">
            <v>129.41</v>
          </cell>
          <cell r="I26">
            <v>131.99</v>
          </cell>
          <cell r="J26">
            <v>132.77000000000001</v>
          </cell>
          <cell r="K26">
            <v>129.06</v>
          </cell>
          <cell r="L26">
            <v>130.04</v>
          </cell>
          <cell r="M26">
            <v>118.29</v>
          </cell>
          <cell r="N26">
            <v>124.89</v>
          </cell>
          <cell r="O26">
            <v>146.24</v>
          </cell>
          <cell r="P26">
            <v>138.63</v>
          </cell>
          <cell r="Q26">
            <v>145.97999999999999</v>
          </cell>
          <cell r="R26">
            <v>142.19</v>
          </cell>
          <cell r="S26">
            <v>223.18</v>
          </cell>
          <cell r="T26">
            <v>219.17</v>
          </cell>
        </row>
        <row r="27">
          <cell r="A27" t="str">
            <v>西藏自治区</v>
          </cell>
          <cell r="B27">
            <v>285.83999999999997</v>
          </cell>
          <cell r="C27">
            <v>245.66</v>
          </cell>
          <cell r="D27">
            <v>256.12</v>
          </cell>
          <cell r="E27">
            <v>290.86</v>
          </cell>
          <cell r="F27">
            <v>303.14</v>
          </cell>
          <cell r="G27">
            <v>162.97</v>
          </cell>
          <cell r="H27">
            <v>265.70999999999998</v>
          </cell>
          <cell r="I27">
            <v>367.04</v>
          </cell>
          <cell r="J27">
            <v>403.62</v>
          </cell>
          <cell r="K27">
            <v>328.98</v>
          </cell>
          <cell r="L27">
            <v>330.03</v>
          </cell>
          <cell r="M27">
            <v>127.69</v>
          </cell>
          <cell r="N27">
            <v>228.1</v>
          </cell>
          <cell r="O27">
            <v>218.86</v>
          </cell>
          <cell r="P27">
            <v>213.5</v>
          </cell>
          <cell r="Q27">
            <v>253.62</v>
          </cell>
          <cell r="R27">
            <v>239.78</v>
          </cell>
          <cell r="S27">
            <v>834.8</v>
          </cell>
          <cell r="T27">
            <v>676.15</v>
          </cell>
        </row>
        <row r="28">
          <cell r="A28" t="str">
            <v>陕西省</v>
          </cell>
          <cell r="B28">
            <v>153.62</v>
          </cell>
          <cell r="C28">
            <v>162.5</v>
          </cell>
          <cell r="D28">
            <v>161.31</v>
          </cell>
          <cell r="E28">
            <v>155.71</v>
          </cell>
          <cell r="F28">
            <v>150.65</v>
          </cell>
          <cell r="G28">
            <v>163.38999999999999</v>
          </cell>
          <cell r="H28">
            <v>166.63</v>
          </cell>
          <cell r="I28">
            <v>159.27000000000001</v>
          </cell>
          <cell r="J28">
            <v>155.71</v>
          </cell>
          <cell r="K28">
            <v>154.05000000000001</v>
          </cell>
          <cell r="L28">
            <v>179.54</v>
          </cell>
          <cell r="M28">
            <v>174.72</v>
          </cell>
          <cell r="N28">
            <v>163.25</v>
          </cell>
          <cell r="O28">
            <v>165.7</v>
          </cell>
          <cell r="P28">
            <v>164.65</v>
          </cell>
          <cell r="Q28">
            <v>165.65</v>
          </cell>
          <cell r="R28">
            <v>154.44999999999999</v>
          </cell>
          <cell r="S28">
            <v>131.6</v>
          </cell>
          <cell r="T28">
            <v>145.13999999999999</v>
          </cell>
        </row>
        <row r="29">
          <cell r="A29" t="str">
            <v>甘肃省</v>
          </cell>
          <cell r="B29">
            <v>141.1</v>
          </cell>
          <cell r="C29">
            <v>138.88</v>
          </cell>
          <cell r="D29">
            <v>141.97999999999999</v>
          </cell>
          <cell r="E29">
            <v>139.97999999999999</v>
          </cell>
          <cell r="F29">
            <v>138.4</v>
          </cell>
          <cell r="G29">
            <v>137.16999999999999</v>
          </cell>
          <cell r="H29">
            <v>125.97</v>
          </cell>
          <cell r="I29">
            <v>125.28</v>
          </cell>
          <cell r="J29">
            <v>132</v>
          </cell>
          <cell r="K29">
            <v>146.25</v>
          </cell>
          <cell r="L29">
            <v>142.16999999999999</v>
          </cell>
          <cell r="M29">
            <v>144.02000000000001</v>
          </cell>
          <cell r="N29">
            <v>146.46</v>
          </cell>
          <cell r="O29">
            <v>155.12</v>
          </cell>
          <cell r="P29">
            <v>158.58000000000001</v>
          </cell>
          <cell r="Q29">
            <v>156.05000000000001</v>
          </cell>
          <cell r="R29">
            <v>144.91</v>
          </cell>
          <cell r="S29">
            <v>158.62</v>
          </cell>
          <cell r="T29">
            <v>157.30000000000001</v>
          </cell>
        </row>
        <row r="30">
          <cell r="A30" t="str">
            <v>青海省</v>
          </cell>
          <cell r="B30">
            <v>177.1</v>
          </cell>
          <cell r="C30">
            <v>174.9</v>
          </cell>
          <cell r="D30">
            <v>143.08000000000001</v>
          </cell>
          <cell r="E30">
            <v>138.19</v>
          </cell>
          <cell r="F30">
            <v>132.77000000000001</v>
          </cell>
          <cell r="G30">
            <v>178.51</v>
          </cell>
          <cell r="H30">
            <v>182.26</v>
          </cell>
          <cell r="I30">
            <v>170.3</v>
          </cell>
          <cell r="J30">
            <v>168.76</v>
          </cell>
          <cell r="K30">
            <v>176.52</v>
          </cell>
          <cell r="L30">
            <v>179.64</v>
          </cell>
          <cell r="M30">
            <v>194.19</v>
          </cell>
          <cell r="N30">
            <v>196.98</v>
          </cell>
          <cell r="O30">
            <v>179.03</v>
          </cell>
          <cell r="P30">
            <v>176.49</v>
          </cell>
          <cell r="Q30">
            <v>182.5</v>
          </cell>
          <cell r="R30">
            <v>176.46</v>
          </cell>
          <cell r="S30">
            <v>183.61</v>
          </cell>
          <cell r="T30">
            <v>242.95</v>
          </cell>
        </row>
        <row r="31">
          <cell r="A31" t="str">
            <v>宁夏回族自治区</v>
          </cell>
          <cell r="B31">
            <v>187.75</v>
          </cell>
          <cell r="C31">
            <v>165.8</v>
          </cell>
          <cell r="D31">
            <v>168.15</v>
          </cell>
          <cell r="E31">
            <v>162.57</v>
          </cell>
          <cell r="F31">
            <v>154.1</v>
          </cell>
          <cell r="G31">
            <v>147.28</v>
          </cell>
          <cell r="H31">
            <v>179.27</v>
          </cell>
          <cell r="I31">
            <v>187.77</v>
          </cell>
          <cell r="J31">
            <v>171.67</v>
          </cell>
          <cell r="K31">
            <v>148.6</v>
          </cell>
          <cell r="L31">
            <v>144.69</v>
          </cell>
          <cell r="M31">
            <v>156.51</v>
          </cell>
          <cell r="N31">
            <v>163.13999999999999</v>
          </cell>
          <cell r="O31">
            <v>177.55</v>
          </cell>
          <cell r="P31">
            <v>150.66</v>
          </cell>
          <cell r="Q31">
            <v>160.04</v>
          </cell>
          <cell r="R31">
            <v>157.13999999999999</v>
          </cell>
          <cell r="S31">
            <v>159.55000000000001</v>
          </cell>
          <cell r="T31">
            <v>170.28</v>
          </cell>
        </row>
        <row r="32">
          <cell r="A32" t="str">
            <v>新疆维吾尔自治区</v>
          </cell>
          <cell r="B32">
            <v>175.83</v>
          </cell>
          <cell r="C32">
            <v>164.39</v>
          </cell>
          <cell r="D32">
            <v>163.41999999999999</v>
          </cell>
          <cell r="E32">
            <v>163.87</v>
          </cell>
          <cell r="F32">
            <v>175.49</v>
          </cell>
          <cell r="G32">
            <v>191.41</v>
          </cell>
          <cell r="H32">
            <v>186.98</v>
          </cell>
          <cell r="I32">
            <v>167.2</v>
          </cell>
          <cell r="J32">
            <v>170.55</v>
          </cell>
          <cell r="K32">
            <v>171.82</v>
          </cell>
          <cell r="L32">
            <v>168.72</v>
          </cell>
          <cell r="M32">
            <v>171.02</v>
          </cell>
          <cell r="N32">
            <v>160.06</v>
          </cell>
          <cell r="O32">
            <v>150.79</v>
          </cell>
          <cell r="P32">
            <v>148.74</v>
          </cell>
          <cell r="Q32">
            <v>169.93</v>
          </cell>
          <cell r="R32">
            <v>165.78</v>
          </cell>
          <cell r="S32">
            <v>172.98</v>
          </cell>
          <cell r="T32">
            <v>163.22999999999999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29739</v>
          </cell>
          <cell r="C2">
            <v>30174</v>
          </cell>
          <cell r="D2">
            <v>28580</v>
          </cell>
          <cell r="E2">
            <v>28418</v>
          </cell>
          <cell r="F2">
            <v>27632</v>
          </cell>
          <cell r="G2">
            <v>19245</v>
          </cell>
          <cell r="H2">
            <v>19290</v>
          </cell>
          <cell r="I2">
            <v>19818</v>
          </cell>
          <cell r="J2">
            <v>20186</v>
          </cell>
          <cell r="K2">
            <v>20249</v>
          </cell>
          <cell r="L2">
            <v>19688</v>
          </cell>
          <cell r="M2">
            <v>19547</v>
          </cell>
          <cell r="N2">
            <v>19460</v>
          </cell>
          <cell r="O2">
            <v>18743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28889</v>
          </cell>
          <cell r="C3">
            <v>27865</v>
          </cell>
          <cell r="D3">
            <v>27713</v>
          </cell>
          <cell r="E3">
            <v>27143</v>
          </cell>
          <cell r="F3">
            <v>25526</v>
          </cell>
          <cell r="G3">
            <v>23920</v>
          </cell>
          <cell r="H3">
            <v>18883</v>
          </cell>
          <cell r="I3">
            <v>17757</v>
          </cell>
          <cell r="J3">
            <v>15866</v>
          </cell>
          <cell r="K3">
            <v>14881</v>
          </cell>
          <cell r="L3">
            <v>13460</v>
          </cell>
          <cell r="M3">
            <v>12732</v>
          </cell>
          <cell r="N3">
            <v>12606</v>
          </cell>
          <cell r="O3">
            <v>12240</v>
          </cell>
          <cell r="P3">
            <v>680</v>
          </cell>
          <cell r="Q3" t="str">
            <v/>
          </cell>
          <cell r="R3" t="str">
            <v/>
          </cell>
          <cell r="S3">
            <v>8578</v>
          </cell>
          <cell r="T3" t="str">
            <v/>
          </cell>
        </row>
        <row r="4">
          <cell r="A4" t="str">
            <v>河北省</v>
          </cell>
          <cell r="B4">
            <v>94909</v>
          </cell>
          <cell r="C4">
            <v>86512</v>
          </cell>
          <cell r="D4">
            <v>82017</v>
          </cell>
          <cell r="E4">
            <v>43252</v>
          </cell>
          <cell r="F4">
            <v>42389</v>
          </cell>
          <cell r="G4">
            <v>40819</v>
          </cell>
          <cell r="H4">
            <v>37362</v>
          </cell>
          <cell r="I4">
            <v>26077</v>
          </cell>
          <cell r="J4">
            <v>22940</v>
          </cell>
          <cell r="K4">
            <v>20305</v>
          </cell>
          <cell r="L4">
            <v>19647</v>
          </cell>
          <cell r="M4">
            <v>18812</v>
          </cell>
          <cell r="N4">
            <v>17512</v>
          </cell>
          <cell r="O4">
            <v>14869</v>
          </cell>
          <cell r="P4">
            <v>8410</v>
          </cell>
          <cell r="Q4">
            <v>6260</v>
          </cell>
          <cell r="R4">
            <v>5753</v>
          </cell>
          <cell r="S4">
            <v>5481</v>
          </cell>
          <cell r="T4" t="str">
            <v/>
          </cell>
        </row>
        <row r="5">
          <cell r="A5" t="str">
            <v>山西省</v>
          </cell>
          <cell r="B5">
            <v>54279</v>
          </cell>
          <cell r="C5">
            <v>50510</v>
          </cell>
          <cell r="D5">
            <v>48766</v>
          </cell>
          <cell r="E5">
            <v>20255</v>
          </cell>
          <cell r="F5">
            <v>22396</v>
          </cell>
          <cell r="G5">
            <v>19364</v>
          </cell>
          <cell r="H5">
            <v>14291</v>
          </cell>
          <cell r="I5">
            <v>13813</v>
          </cell>
          <cell r="J5">
            <v>13176</v>
          </cell>
          <cell r="K5">
            <v>13658</v>
          </cell>
          <cell r="L5">
            <v>14655</v>
          </cell>
          <cell r="M5">
            <v>13369</v>
          </cell>
          <cell r="N5">
            <v>12592</v>
          </cell>
          <cell r="O5">
            <v>12200</v>
          </cell>
          <cell r="P5">
            <v>8710</v>
          </cell>
          <cell r="Q5">
            <v>3828</v>
          </cell>
          <cell r="R5">
            <v>3831</v>
          </cell>
          <cell r="S5">
            <v>2959</v>
          </cell>
          <cell r="T5" t="str">
            <v/>
          </cell>
        </row>
        <row r="6">
          <cell r="A6" t="str">
            <v>内蒙古自治区</v>
          </cell>
          <cell r="B6">
            <v>49371</v>
          </cell>
          <cell r="C6">
            <v>47229</v>
          </cell>
          <cell r="D6">
            <v>47334</v>
          </cell>
          <cell r="E6">
            <v>20266</v>
          </cell>
          <cell r="F6">
            <v>19093</v>
          </cell>
          <cell r="G6">
            <v>16224</v>
          </cell>
          <cell r="H6">
            <v>11898</v>
          </cell>
          <cell r="I6">
            <v>16495</v>
          </cell>
          <cell r="J6">
            <v>10731</v>
          </cell>
          <cell r="K6">
            <v>11109</v>
          </cell>
          <cell r="L6">
            <v>11123</v>
          </cell>
          <cell r="M6">
            <v>10650</v>
          </cell>
          <cell r="N6">
            <v>9673</v>
          </cell>
          <cell r="O6">
            <v>9272</v>
          </cell>
          <cell r="P6">
            <v>2810</v>
          </cell>
          <cell r="Q6">
            <v>2791</v>
          </cell>
          <cell r="R6">
            <v>3175</v>
          </cell>
          <cell r="S6">
            <v>2386</v>
          </cell>
          <cell r="T6" t="str">
            <v/>
          </cell>
        </row>
        <row r="7">
          <cell r="A7" t="str">
            <v>辽宁省</v>
          </cell>
          <cell r="B7">
            <v>43836</v>
          </cell>
          <cell r="C7">
            <v>42584</v>
          </cell>
          <cell r="D7">
            <v>41253</v>
          </cell>
          <cell r="E7">
            <v>31195</v>
          </cell>
          <cell r="F7">
            <v>30295</v>
          </cell>
          <cell r="G7">
            <v>28122</v>
          </cell>
          <cell r="H7">
            <v>26842</v>
          </cell>
          <cell r="I7">
            <v>26001</v>
          </cell>
          <cell r="J7">
            <v>25123</v>
          </cell>
          <cell r="K7">
            <v>23462</v>
          </cell>
          <cell r="L7">
            <v>22074</v>
          </cell>
          <cell r="M7">
            <v>21384</v>
          </cell>
          <cell r="N7">
            <v>20136</v>
          </cell>
          <cell r="O7">
            <v>19104</v>
          </cell>
          <cell r="P7">
            <v>8362</v>
          </cell>
          <cell r="Q7">
            <v>6352</v>
          </cell>
          <cell r="R7">
            <v>6399</v>
          </cell>
          <cell r="S7">
            <v>6134</v>
          </cell>
          <cell r="T7" t="str">
            <v/>
          </cell>
        </row>
        <row r="8">
          <cell r="A8" t="str">
            <v>吉林省</v>
          </cell>
          <cell r="B8">
            <v>50297</v>
          </cell>
          <cell r="C8">
            <v>37132</v>
          </cell>
          <cell r="D8">
            <v>31657</v>
          </cell>
          <cell r="E8">
            <v>20508</v>
          </cell>
          <cell r="F8">
            <v>16983</v>
          </cell>
          <cell r="G8">
            <v>17188</v>
          </cell>
          <cell r="H8">
            <v>14506</v>
          </cell>
          <cell r="I8">
            <v>13203</v>
          </cell>
          <cell r="J8">
            <v>12248</v>
          </cell>
          <cell r="K8">
            <v>13074</v>
          </cell>
          <cell r="L8">
            <v>12855</v>
          </cell>
          <cell r="M8">
            <v>11200</v>
          </cell>
          <cell r="N8">
            <v>10327</v>
          </cell>
          <cell r="O8">
            <v>10136</v>
          </cell>
          <cell r="P8">
            <v>4690</v>
          </cell>
          <cell r="Q8">
            <v>4196</v>
          </cell>
          <cell r="R8">
            <v>3262</v>
          </cell>
          <cell r="S8">
            <v>3077</v>
          </cell>
          <cell r="T8" t="str">
            <v/>
          </cell>
        </row>
        <row r="9">
          <cell r="A9" t="str">
            <v>黑龙江省</v>
          </cell>
          <cell r="B9">
            <v>48838</v>
          </cell>
          <cell r="C9">
            <v>48757</v>
          </cell>
          <cell r="D9">
            <v>47324</v>
          </cell>
          <cell r="E9">
            <v>29406</v>
          </cell>
          <cell r="F9">
            <v>27012</v>
          </cell>
          <cell r="G9">
            <v>24198</v>
          </cell>
          <cell r="H9">
            <v>20699</v>
          </cell>
          <cell r="I9">
            <v>20239</v>
          </cell>
          <cell r="J9">
            <v>19373</v>
          </cell>
          <cell r="K9">
            <v>17913</v>
          </cell>
          <cell r="L9">
            <v>14982</v>
          </cell>
          <cell r="M9">
            <v>15087</v>
          </cell>
          <cell r="N9">
            <v>13661</v>
          </cell>
          <cell r="O9">
            <v>11956</v>
          </cell>
          <cell r="P9">
            <v>5698</v>
          </cell>
          <cell r="Q9">
            <v>5148</v>
          </cell>
          <cell r="R9">
            <v>4279</v>
          </cell>
          <cell r="S9">
            <v>4928</v>
          </cell>
          <cell r="T9" t="str">
            <v/>
          </cell>
        </row>
        <row r="10">
          <cell r="A10" t="str">
            <v>上海市</v>
          </cell>
          <cell r="B10">
            <v>24480</v>
          </cell>
          <cell r="C10">
            <v>24883</v>
          </cell>
          <cell r="D10">
            <v>25180</v>
          </cell>
          <cell r="E10">
            <v>24945</v>
          </cell>
          <cell r="F10">
            <v>24779</v>
          </cell>
          <cell r="G10">
            <v>24504</v>
          </cell>
          <cell r="H10">
            <v>24161</v>
          </cell>
          <cell r="I10">
            <v>24169</v>
          </cell>
          <cell r="J10">
            <v>24027</v>
          </cell>
          <cell r="K10">
            <v>23897</v>
          </cell>
          <cell r="L10">
            <v>23824</v>
          </cell>
          <cell r="M10">
            <v>23190</v>
          </cell>
          <cell r="N10">
            <v>22906</v>
          </cell>
          <cell r="O10">
            <v>23130</v>
          </cell>
          <cell r="P10">
            <v>6754</v>
          </cell>
          <cell r="Q10">
            <v>6754</v>
          </cell>
          <cell r="R10">
            <v>6754</v>
          </cell>
          <cell r="S10">
            <v>6274</v>
          </cell>
          <cell r="T10" t="str">
            <v/>
          </cell>
        </row>
        <row r="11">
          <cell r="A11" t="str">
            <v>江苏省</v>
          </cell>
          <cell r="B11">
            <v>125879</v>
          </cell>
          <cell r="C11">
            <v>119206</v>
          </cell>
          <cell r="D11">
            <v>113079</v>
          </cell>
          <cell r="E11">
            <v>83541</v>
          </cell>
          <cell r="F11">
            <v>80628</v>
          </cell>
          <cell r="G11">
            <v>79773</v>
          </cell>
          <cell r="H11">
            <v>69100</v>
          </cell>
          <cell r="I11">
            <v>62333</v>
          </cell>
          <cell r="J11">
            <v>58419</v>
          </cell>
          <cell r="K11">
            <v>54484</v>
          </cell>
          <cell r="L11">
            <v>50742</v>
          </cell>
          <cell r="M11">
            <v>49793</v>
          </cell>
          <cell r="N11">
            <v>47383</v>
          </cell>
          <cell r="O11">
            <v>41266</v>
          </cell>
          <cell r="P11">
            <v>16422</v>
          </cell>
          <cell r="Q11">
            <v>14657</v>
          </cell>
          <cell r="R11">
            <v>16111</v>
          </cell>
          <cell r="S11">
            <v>12444</v>
          </cell>
          <cell r="T11" t="str">
            <v/>
          </cell>
        </row>
        <row r="12">
          <cell r="A12" t="str">
            <v>浙江省</v>
          </cell>
          <cell r="B12">
            <v>175805</v>
          </cell>
          <cell r="C12">
            <v>162339</v>
          </cell>
          <cell r="D12">
            <v>149165</v>
          </cell>
          <cell r="E12">
            <v>107849</v>
          </cell>
          <cell r="F12">
            <v>88260</v>
          </cell>
          <cell r="G12">
            <v>82863</v>
          </cell>
          <cell r="H12">
            <v>75474</v>
          </cell>
          <cell r="I12">
            <v>69884</v>
          </cell>
          <cell r="J12">
            <v>59971</v>
          </cell>
          <cell r="K12">
            <v>50186</v>
          </cell>
          <cell r="L12">
            <v>43749</v>
          </cell>
          <cell r="M12">
            <v>40558</v>
          </cell>
          <cell r="N12">
            <v>39982</v>
          </cell>
          <cell r="O12">
            <v>39989</v>
          </cell>
          <cell r="P12">
            <v>20022</v>
          </cell>
          <cell r="Q12">
            <v>8947</v>
          </cell>
          <cell r="R12">
            <v>9150</v>
          </cell>
          <cell r="S12">
            <v>7773</v>
          </cell>
          <cell r="T12" t="str">
            <v/>
          </cell>
        </row>
        <row r="13">
          <cell r="A13" t="str">
            <v>安徽省</v>
          </cell>
          <cell r="B13">
            <v>90540</v>
          </cell>
          <cell r="C13">
            <v>81143</v>
          </cell>
          <cell r="D13">
            <v>73315</v>
          </cell>
          <cell r="E13">
            <v>27725</v>
          </cell>
          <cell r="F13">
            <v>22202</v>
          </cell>
          <cell r="G13">
            <v>18784</v>
          </cell>
          <cell r="H13">
            <v>15666</v>
          </cell>
          <cell r="I13">
            <v>14760</v>
          </cell>
          <cell r="J13">
            <v>13709</v>
          </cell>
          <cell r="K13">
            <v>12319</v>
          </cell>
          <cell r="L13">
            <v>11068</v>
          </cell>
          <cell r="M13">
            <v>10535</v>
          </cell>
          <cell r="N13">
            <v>9551</v>
          </cell>
          <cell r="O13">
            <v>8948</v>
          </cell>
          <cell r="P13">
            <v>5026</v>
          </cell>
          <cell r="Q13">
            <v>4022</v>
          </cell>
          <cell r="R13">
            <v>3772</v>
          </cell>
          <cell r="S13">
            <v>3008</v>
          </cell>
          <cell r="T13" t="str">
            <v/>
          </cell>
        </row>
        <row r="14">
          <cell r="A14" t="str">
            <v>福建省</v>
          </cell>
          <cell r="B14">
            <v>48317</v>
          </cell>
          <cell r="C14">
            <v>46228</v>
          </cell>
          <cell r="D14">
            <v>43403</v>
          </cell>
          <cell r="E14">
            <v>30924</v>
          </cell>
          <cell r="F14">
            <v>28505</v>
          </cell>
          <cell r="G14">
            <v>25985</v>
          </cell>
          <cell r="H14">
            <v>24596</v>
          </cell>
          <cell r="I14">
            <v>23554</v>
          </cell>
          <cell r="J14">
            <v>21757</v>
          </cell>
          <cell r="K14">
            <v>19675</v>
          </cell>
          <cell r="L14">
            <v>17030</v>
          </cell>
          <cell r="M14">
            <v>15627</v>
          </cell>
          <cell r="N14">
            <v>15209</v>
          </cell>
          <cell r="O14">
            <v>13555</v>
          </cell>
          <cell r="P14">
            <v>6685</v>
          </cell>
          <cell r="Q14">
            <v>3607</v>
          </cell>
          <cell r="R14">
            <v>3636</v>
          </cell>
          <cell r="S14">
            <v>3250</v>
          </cell>
          <cell r="T14" t="str">
            <v/>
          </cell>
        </row>
        <row r="15">
          <cell r="A15" t="str">
            <v>江西省</v>
          </cell>
          <cell r="B15">
            <v>56861</v>
          </cell>
          <cell r="C15">
            <v>57691</v>
          </cell>
          <cell r="D15">
            <v>51781</v>
          </cell>
          <cell r="E15">
            <v>25969</v>
          </cell>
          <cell r="F15">
            <v>22757</v>
          </cell>
          <cell r="G15">
            <v>20967</v>
          </cell>
          <cell r="H15">
            <v>19646</v>
          </cell>
          <cell r="I15">
            <v>14282</v>
          </cell>
          <cell r="J15">
            <v>13438</v>
          </cell>
          <cell r="K15">
            <v>11718</v>
          </cell>
          <cell r="L15">
            <v>11291</v>
          </cell>
          <cell r="M15">
            <v>11648</v>
          </cell>
          <cell r="N15">
            <v>10968</v>
          </cell>
          <cell r="O15">
            <v>9934</v>
          </cell>
          <cell r="P15">
            <v>4762</v>
          </cell>
          <cell r="Q15">
            <v>2701</v>
          </cell>
          <cell r="R15">
            <v>3189</v>
          </cell>
          <cell r="S15">
            <v>2943</v>
          </cell>
          <cell r="T15" t="str">
            <v/>
          </cell>
        </row>
        <row r="16">
          <cell r="A16" t="str">
            <v>山东省</v>
          </cell>
          <cell r="B16">
            <v>182717</v>
          </cell>
          <cell r="C16">
            <v>186163</v>
          </cell>
          <cell r="D16">
            <v>187331</v>
          </cell>
          <cell r="E16">
            <v>127200</v>
          </cell>
          <cell r="F16">
            <v>122395</v>
          </cell>
          <cell r="G16">
            <v>105166</v>
          </cell>
          <cell r="H16">
            <v>95642</v>
          </cell>
          <cell r="I16">
            <v>82116</v>
          </cell>
          <cell r="J16">
            <v>70911</v>
          </cell>
          <cell r="K16">
            <v>59238</v>
          </cell>
          <cell r="L16">
            <v>51412</v>
          </cell>
          <cell r="M16">
            <v>44682</v>
          </cell>
          <cell r="N16">
            <v>41492</v>
          </cell>
          <cell r="O16">
            <v>39470</v>
          </cell>
          <cell r="P16">
            <v>18296</v>
          </cell>
          <cell r="Q16">
            <v>18845</v>
          </cell>
          <cell r="R16">
            <v>14182</v>
          </cell>
          <cell r="S16">
            <v>12838</v>
          </cell>
          <cell r="T16" t="str">
            <v/>
          </cell>
        </row>
        <row r="17">
          <cell r="A17" t="str">
            <v>河南省</v>
          </cell>
          <cell r="B17">
            <v>55272</v>
          </cell>
          <cell r="C17">
            <v>56554</v>
          </cell>
          <cell r="D17">
            <v>57246</v>
          </cell>
          <cell r="E17">
            <v>30085</v>
          </cell>
          <cell r="F17">
            <v>26618</v>
          </cell>
          <cell r="G17">
            <v>23395</v>
          </cell>
          <cell r="H17">
            <v>21762</v>
          </cell>
          <cell r="I17">
            <v>20794</v>
          </cell>
          <cell r="J17">
            <v>19671</v>
          </cell>
          <cell r="K17">
            <v>20840</v>
          </cell>
          <cell r="L17">
            <v>18145</v>
          </cell>
          <cell r="M17">
            <v>18337</v>
          </cell>
          <cell r="N17">
            <v>17035</v>
          </cell>
          <cell r="O17">
            <v>16362</v>
          </cell>
          <cell r="P17">
            <v>9475</v>
          </cell>
          <cell r="Q17">
            <v>5647</v>
          </cell>
          <cell r="R17">
            <v>5481</v>
          </cell>
          <cell r="S17">
            <v>4735</v>
          </cell>
          <cell r="T17" t="str">
            <v/>
          </cell>
        </row>
        <row r="18">
          <cell r="A18" t="str">
            <v>湖北省</v>
          </cell>
          <cell r="B18">
            <v>49291</v>
          </cell>
          <cell r="C18">
            <v>43272</v>
          </cell>
          <cell r="D18">
            <v>38513</v>
          </cell>
          <cell r="E18">
            <v>27088</v>
          </cell>
          <cell r="F18">
            <v>23517</v>
          </cell>
          <cell r="G18">
            <v>22549</v>
          </cell>
          <cell r="H18">
            <v>22637</v>
          </cell>
          <cell r="I18">
            <v>18646</v>
          </cell>
          <cell r="J18">
            <v>20648</v>
          </cell>
          <cell r="K18">
            <v>18446</v>
          </cell>
          <cell r="L18">
            <v>16355</v>
          </cell>
          <cell r="M18">
            <v>17298</v>
          </cell>
          <cell r="N18">
            <v>16427</v>
          </cell>
          <cell r="O18">
            <v>16706</v>
          </cell>
          <cell r="P18">
            <v>12079</v>
          </cell>
          <cell r="Q18">
            <v>6497</v>
          </cell>
          <cell r="R18">
            <v>6248</v>
          </cell>
          <cell r="S18">
            <v>6048</v>
          </cell>
          <cell r="T18" t="str">
            <v/>
          </cell>
        </row>
        <row r="19">
          <cell r="A19" t="str">
            <v>湖南省</v>
          </cell>
          <cell r="B19">
            <v>66965</v>
          </cell>
          <cell r="C19">
            <v>59522</v>
          </cell>
          <cell r="D19">
            <v>52634</v>
          </cell>
          <cell r="E19">
            <v>28682</v>
          </cell>
          <cell r="F19">
            <v>25696</v>
          </cell>
          <cell r="G19">
            <v>21683</v>
          </cell>
          <cell r="H19">
            <v>19251</v>
          </cell>
          <cell r="I19">
            <v>17710</v>
          </cell>
          <cell r="J19">
            <v>15954</v>
          </cell>
          <cell r="K19">
            <v>14676</v>
          </cell>
          <cell r="L19">
            <v>13764</v>
          </cell>
          <cell r="M19">
            <v>14132</v>
          </cell>
          <cell r="N19">
            <v>15631</v>
          </cell>
          <cell r="O19">
            <v>14791</v>
          </cell>
          <cell r="P19">
            <v>5433</v>
          </cell>
          <cell r="Q19">
            <v>5095</v>
          </cell>
          <cell r="R19">
            <v>5020</v>
          </cell>
          <cell r="S19">
            <v>4303</v>
          </cell>
          <cell r="T19" t="str">
            <v/>
          </cell>
        </row>
        <row r="20">
          <cell r="A20" t="str">
            <v>广东省</v>
          </cell>
          <cell r="B20">
            <v>122074</v>
          </cell>
          <cell r="C20">
            <v>127333</v>
          </cell>
          <cell r="D20">
            <v>131583</v>
          </cell>
          <cell r="E20">
            <v>117919</v>
          </cell>
          <cell r="F20">
            <v>113595</v>
          </cell>
          <cell r="G20">
            <v>110606</v>
          </cell>
          <cell r="H20">
            <v>100219</v>
          </cell>
          <cell r="I20">
            <v>102075</v>
          </cell>
          <cell r="J20">
            <v>95773</v>
          </cell>
          <cell r="K20">
            <v>94131</v>
          </cell>
          <cell r="L20">
            <v>88696</v>
          </cell>
          <cell r="M20">
            <v>87384</v>
          </cell>
          <cell r="N20">
            <v>79085</v>
          </cell>
          <cell r="O20">
            <v>69485</v>
          </cell>
          <cell r="P20">
            <v>23858</v>
          </cell>
          <cell r="Q20">
            <v>17542</v>
          </cell>
          <cell r="R20">
            <v>16300</v>
          </cell>
          <cell r="S20">
            <v>5012</v>
          </cell>
          <cell r="T20" t="str">
            <v/>
          </cell>
        </row>
        <row r="21">
          <cell r="A21" t="str">
            <v>广西壮族自治区</v>
          </cell>
          <cell r="B21">
            <v>42567</v>
          </cell>
          <cell r="C21">
            <v>40487</v>
          </cell>
          <cell r="D21">
            <v>36351</v>
          </cell>
          <cell r="E21">
            <v>17897</v>
          </cell>
          <cell r="F21">
            <v>17554</v>
          </cell>
          <cell r="G21">
            <v>16555</v>
          </cell>
          <cell r="H21">
            <v>15452</v>
          </cell>
          <cell r="I21">
            <v>13111</v>
          </cell>
          <cell r="J21">
            <v>11465</v>
          </cell>
          <cell r="K21">
            <v>10699</v>
          </cell>
          <cell r="L21">
            <v>9733</v>
          </cell>
          <cell r="M21">
            <v>9323</v>
          </cell>
          <cell r="N21">
            <v>8360</v>
          </cell>
          <cell r="O21">
            <v>8099</v>
          </cell>
          <cell r="P21">
            <v>4960</v>
          </cell>
          <cell r="Q21">
            <v>3058</v>
          </cell>
          <cell r="R21">
            <v>3143</v>
          </cell>
          <cell r="S21">
            <v>3114</v>
          </cell>
          <cell r="T21" t="str">
            <v/>
          </cell>
        </row>
        <row r="22">
          <cell r="A22" t="str">
            <v>海南省</v>
          </cell>
          <cell r="B22">
            <v>13880</v>
          </cell>
          <cell r="C22">
            <v>13267</v>
          </cell>
          <cell r="D22">
            <v>12838</v>
          </cell>
          <cell r="E22">
            <v>9212</v>
          </cell>
          <cell r="F22">
            <v>8338</v>
          </cell>
          <cell r="G22">
            <v>7302</v>
          </cell>
          <cell r="H22">
            <v>6097</v>
          </cell>
          <cell r="I22">
            <v>5866</v>
          </cell>
          <cell r="J22">
            <v>5856</v>
          </cell>
          <cell r="K22">
            <v>4758</v>
          </cell>
          <cell r="L22">
            <v>4022</v>
          </cell>
          <cell r="M22">
            <v>5600</v>
          </cell>
          <cell r="N22">
            <v>4737</v>
          </cell>
          <cell r="O22">
            <v>3818</v>
          </cell>
          <cell r="P22">
            <v>1211</v>
          </cell>
          <cell r="Q22">
            <v>580</v>
          </cell>
          <cell r="R22">
            <v>486</v>
          </cell>
          <cell r="S22">
            <v>512</v>
          </cell>
          <cell r="T22" t="str">
            <v/>
          </cell>
        </row>
        <row r="23">
          <cell r="A23" t="str">
            <v>重庆市</v>
          </cell>
          <cell r="B23">
            <v>29687</v>
          </cell>
          <cell r="C23">
            <v>30161</v>
          </cell>
          <cell r="D23">
            <v>29159</v>
          </cell>
          <cell r="E23">
            <v>27219</v>
          </cell>
          <cell r="F23">
            <v>27105</v>
          </cell>
          <cell r="G23">
            <v>16394</v>
          </cell>
          <cell r="H23">
            <v>16164</v>
          </cell>
          <cell r="I23">
            <v>14352</v>
          </cell>
          <cell r="J23">
            <v>13342</v>
          </cell>
          <cell r="K23">
            <v>11989</v>
          </cell>
          <cell r="L23">
            <v>16972</v>
          </cell>
          <cell r="M23">
            <v>8828</v>
          </cell>
          <cell r="N23">
            <v>8880</v>
          </cell>
          <cell r="O23">
            <v>11183</v>
          </cell>
          <cell r="P23">
            <v>2705</v>
          </cell>
          <cell r="Q23">
            <v>3033</v>
          </cell>
          <cell r="R23">
            <v>2922</v>
          </cell>
          <cell r="S23">
            <v>2589</v>
          </cell>
          <cell r="T23" t="str">
            <v/>
          </cell>
        </row>
        <row r="24">
          <cell r="A24" t="str">
            <v>四川省</v>
          </cell>
          <cell r="B24">
            <v>61126</v>
          </cell>
          <cell r="C24">
            <v>65520</v>
          </cell>
          <cell r="D24">
            <v>57156</v>
          </cell>
          <cell r="E24">
            <v>42064</v>
          </cell>
          <cell r="F24">
            <v>38160</v>
          </cell>
          <cell r="G24">
            <v>34213</v>
          </cell>
          <cell r="H24">
            <v>31041</v>
          </cell>
          <cell r="I24">
            <v>24804</v>
          </cell>
          <cell r="J24">
            <v>22745</v>
          </cell>
          <cell r="K24">
            <v>20824</v>
          </cell>
          <cell r="L24">
            <v>19927</v>
          </cell>
          <cell r="M24">
            <v>19140</v>
          </cell>
          <cell r="N24">
            <v>16729</v>
          </cell>
          <cell r="O24">
            <v>15239</v>
          </cell>
          <cell r="P24">
            <v>8705</v>
          </cell>
          <cell r="Q24">
            <v>5090</v>
          </cell>
          <cell r="R24">
            <v>5980</v>
          </cell>
          <cell r="S24">
            <v>4602</v>
          </cell>
          <cell r="T24" t="str">
            <v/>
          </cell>
        </row>
        <row r="25">
          <cell r="A25" t="str">
            <v>贵州省</v>
          </cell>
          <cell r="B25">
            <v>26088</v>
          </cell>
          <cell r="C25">
            <v>27047</v>
          </cell>
          <cell r="D25">
            <v>27611</v>
          </cell>
          <cell r="E25">
            <v>14085</v>
          </cell>
          <cell r="F25">
            <v>12729</v>
          </cell>
          <cell r="G25">
            <v>11767</v>
          </cell>
          <cell r="H25">
            <v>10277</v>
          </cell>
          <cell r="I25">
            <v>8656</v>
          </cell>
          <cell r="J25">
            <v>6990</v>
          </cell>
          <cell r="K25">
            <v>6269</v>
          </cell>
          <cell r="L25">
            <v>5300</v>
          </cell>
          <cell r="M25">
            <v>5305</v>
          </cell>
          <cell r="N25">
            <v>5201</v>
          </cell>
          <cell r="O25">
            <v>5143</v>
          </cell>
          <cell r="P25">
            <v>2790</v>
          </cell>
          <cell r="Q25">
            <v>1135</v>
          </cell>
          <cell r="R25">
            <v>1107</v>
          </cell>
          <cell r="S25">
            <v>1225</v>
          </cell>
          <cell r="T25" t="str">
            <v/>
          </cell>
        </row>
        <row r="26">
          <cell r="A26" t="str">
            <v>云南省</v>
          </cell>
          <cell r="B26">
            <v>56884</v>
          </cell>
          <cell r="C26">
            <v>55335</v>
          </cell>
          <cell r="D26">
            <v>55040</v>
          </cell>
          <cell r="E26">
            <v>25619</v>
          </cell>
          <cell r="F26">
            <v>21885</v>
          </cell>
          <cell r="G26">
            <v>20532</v>
          </cell>
          <cell r="H26">
            <v>21373</v>
          </cell>
          <cell r="I26">
            <v>20775</v>
          </cell>
          <cell r="J26">
            <v>19824</v>
          </cell>
          <cell r="K26">
            <v>16620</v>
          </cell>
          <cell r="L26">
            <v>15086</v>
          </cell>
          <cell r="M26">
            <v>16329</v>
          </cell>
          <cell r="N26">
            <v>16240</v>
          </cell>
          <cell r="O26">
            <v>13218</v>
          </cell>
          <cell r="P26">
            <v>5928</v>
          </cell>
          <cell r="Q26">
            <v>2588</v>
          </cell>
          <cell r="R26">
            <v>2552</v>
          </cell>
          <cell r="S26">
            <v>4195</v>
          </cell>
          <cell r="T26" t="str">
            <v/>
          </cell>
        </row>
        <row r="27">
          <cell r="A27" t="str">
            <v>西藏自治区</v>
          </cell>
          <cell r="B27">
            <v>3364</v>
          </cell>
          <cell r="C27">
            <v>3242</v>
          </cell>
          <cell r="D27">
            <v>3253</v>
          </cell>
          <cell r="E27">
            <v>2716</v>
          </cell>
          <cell r="F27">
            <v>1853</v>
          </cell>
          <cell r="G27">
            <v>1848</v>
          </cell>
          <cell r="H27">
            <v>1538</v>
          </cell>
          <cell r="I27">
            <v>1035</v>
          </cell>
          <cell r="J27">
            <v>1035</v>
          </cell>
          <cell r="K27">
            <v>997</v>
          </cell>
          <cell r="L27">
            <v>963</v>
          </cell>
          <cell r="M27">
            <v>834</v>
          </cell>
          <cell r="N27">
            <v>790</v>
          </cell>
          <cell r="O27">
            <v>949</v>
          </cell>
          <cell r="P27">
            <v>748</v>
          </cell>
          <cell r="Q27">
            <v>262</v>
          </cell>
          <cell r="R27">
            <v>262</v>
          </cell>
          <cell r="S27">
            <v>208</v>
          </cell>
          <cell r="T27" t="str">
            <v/>
          </cell>
        </row>
        <row r="28">
          <cell r="A28" t="str">
            <v>陕西省</v>
          </cell>
          <cell r="B28">
            <v>31043</v>
          </cell>
          <cell r="C28">
            <v>28762</v>
          </cell>
          <cell r="D28">
            <v>27747</v>
          </cell>
          <cell r="E28">
            <v>16090</v>
          </cell>
          <cell r="F28">
            <v>14330</v>
          </cell>
          <cell r="G28">
            <v>12370</v>
          </cell>
          <cell r="H28">
            <v>11523</v>
          </cell>
          <cell r="I28">
            <v>10453</v>
          </cell>
          <cell r="J28">
            <v>9832</v>
          </cell>
          <cell r="K28">
            <v>9419</v>
          </cell>
          <cell r="L28">
            <v>8738</v>
          </cell>
          <cell r="M28">
            <v>9187</v>
          </cell>
          <cell r="N28">
            <v>8837</v>
          </cell>
          <cell r="O28">
            <v>8697</v>
          </cell>
          <cell r="P28">
            <v>2620</v>
          </cell>
          <cell r="Q28">
            <v>2028</v>
          </cell>
          <cell r="R28">
            <v>2057</v>
          </cell>
          <cell r="S28">
            <v>2244</v>
          </cell>
          <cell r="T28" t="str">
            <v/>
          </cell>
        </row>
        <row r="29">
          <cell r="A29" t="str">
            <v>甘肃省</v>
          </cell>
          <cell r="B29">
            <v>25333</v>
          </cell>
          <cell r="C29">
            <v>22838</v>
          </cell>
          <cell r="D29">
            <v>21828</v>
          </cell>
          <cell r="E29">
            <v>13590</v>
          </cell>
          <cell r="F29">
            <v>13210</v>
          </cell>
          <cell r="G29">
            <v>9914</v>
          </cell>
          <cell r="H29">
            <v>7392</v>
          </cell>
          <cell r="I29">
            <v>6429</v>
          </cell>
          <cell r="J29">
            <v>5935</v>
          </cell>
          <cell r="K29">
            <v>5872</v>
          </cell>
          <cell r="L29">
            <v>4969</v>
          </cell>
          <cell r="M29">
            <v>4907</v>
          </cell>
          <cell r="N29">
            <v>4513</v>
          </cell>
          <cell r="O29">
            <v>4173</v>
          </cell>
          <cell r="P29">
            <v>2405</v>
          </cell>
          <cell r="Q29">
            <v>2171</v>
          </cell>
          <cell r="R29">
            <v>1366</v>
          </cell>
          <cell r="S29">
            <v>1147</v>
          </cell>
          <cell r="T29" t="str">
            <v/>
          </cell>
        </row>
        <row r="30">
          <cell r="A30" t="str">
            <v>青海省</v>
          </cell>
          <cell r="B30">
            <v>12208</v>
          </cell>
          <cell r="C30">
            <v>12200</v>
          </cell>
          <cell r="D30">
            <v>15041</v>
          </cell>
          <cell r="E30">
            <v>3311</v>
          </cell>
          <cell r="F30">
            <v>2619</v>
          </cell>
          <cell r="G30">
            <v>3261</v>
          </cell>
          <cell r="H30">
            <v>3177</v>
          </cell>
          <cell r="I30">
            <v>3039</v>
          </cell>
          <cell r="J30">
            <v>2276</v>
          </cell>
          <cell r="K30">
            <v>1978</v>
          </cell>
          <cell r="L30">
            <v>1979</v>
          </cell>
          <cell r="M30">
            <v>1937</v>
          </cell>
          <cell r="N30">
            <v>1870</v>
          </cell>
          <cell r="O30">
            <v>1554</v>
          </cell>
          <cell r="P30">
            <v>1057</v>
          </cell>
          <cell r="Q30">
            <v>522</v>
          </cell>
          <cell r="R30">
            <v>515</v>
          </cell>
          <cell r="S30">
            <v>492</v>
          </cell>
          <cell r="T30" t="str">
            <v/>
          </cell>
        </row>
        <row r="31">
          <cell r="A31" t="str">
            <v>宁夏回族自治区</v>
          </cell>
          <cell r="B31">
            <v>11439</v>
          </cell>
          <cell r="C31">
            <v>10784</v>
          </cell>
          <cell r="D31">
            <v>10341</v>
          </cell>
          <cell r="E31">
            <v>6533</v>
          </cell>
          <cell r="F31">
            <v>6538</v>
          </cell>
          <cell r="G31">
            <v>5870</v>
          </cell>
          <cell r="H31">
            <v>6154</v>
          </cell>
          <cell r="I31">
            <v>5019</v>
          </cell>
          <cell r="J31">
            <v>5036</v>
          </cell>
          <cell r="K31">
            <v>5890</v>
          </cell>
          <cell r="L31">
            <v>5342</v>
          </cell>
          <cell r="M31">
            <v>4813</v>
          </cell>
          <cell r="N31">
            <v>4658</v>
          </cell>
          <cell r="O31">
            <v>4325</v>
          </cell>
          <cell r="P31">
            <v>2708</v>
          </cell>
          <cell r="Q31">
            <v>847</v>
          </cell>
          <cell r="R31">
            <v>696</v>
          </cell>
          <cell r="S31">
            <v>754</v>
          </cell>
          <cell r="T31" t="str">
            <v/>
          </cell>
        </row>
        <row r="32">
          <cell r="A32" t="str">
            <v>新疆维吾尔自治区</v>
          </cell>
          <cell r="B32">
            <v>21878</v>
          </cell>
          <cell r="C32">
            <v>19755</v>
          </cell>
          <cell r="D32">
            <v>19593</v>
          </cell>
          <cell r="E32">
            <v>11642</v>
          </cell>
          <cell r="F32">
            <v>10322</v>
          </cell>
          <cell r="G32">
            <v>11269</v>
          </cell>
          <cell r="H32">
            <v>9254</v>
          </cell>
          <cell r="I32">
            <v>8429</v>
          </cell>
          <cell r="J32">
            <v>8184</v>
          </cell>
          <cell r="K32">
            <v>7663</v>
          </cell>
          <cell r="L32">
            <v>7583</v>
          </cell>
          <cell r="M32">
            <v>7568</v>
          </cell>
          <cell r="N32">
            <v>7103</v>
          </cell>
          <cell r="O32">
            <v>10258</v>
          </cell>
          <cell r="P32">
            <v>4241</v>
          </cell>
          <cell r="Q32">
            <v>2311</v>
          </cell>
          <cell r="R32">
            <v>2410</v>
          </cell>
          <cell r="S32">
            <v>1983</v>
          </cell>
          <cell r="T32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</row>
        <row r="2">
          <cell r="A2" t="str">
            <v>北京市</v>
          </cell>
          <cell r="B2">
            <v>11487</v>
          </cell>
          <cell r="C2">
            <v>10897</v>
          </cell>
          <cell r="D2">
            <v>10699</v>
          </cell>
          <cell r="E2">
            <v>10599</v>
          </cell>
          <cell r="F2">
            <v>10336</v>
          </cell>
          <cell r="G2">
            <v>10058</v>
          </cell>
          <cell r="H2">
            <v>9976</v>
          </cell>
          <cell r="I2">
            <v>9773</v>
          </cell>
          <cell r="J2">
            <v>9771</v>
          </cell>
          <cell r="K2">
            <v>9638</v>
          </cell>
          <cell r="L2">
            <v>9683</v>
          </cell>
          <cell r="M2">
            <v>9632</v>
          </cell>
          <cell r="N2">
            <v>9495</v>
          </cell>
          <cell r="O2">
            <v>9411</v>
          </cell>
        </row>
        <row r="3">
          <cell r="A3" t="str">
            <v>天津市</v>
          </cell>
          <cell r="B3">
            <v>6799</v>
          </cell>
          <cell r="C3">
            <v>6282</v>
          </cell>
          <cell r="D3">
            <v>6076</v>
          </cell>
          <cell r="E3">
            <v>5838</v>
          </cell>
          <cell r="F3">
            <v>5962</v>
          </cell>
          <cell r="G3">
            <v>5686</v>
          </cell>
          <cell r="H3">
            <v>5539</v>
          </cell>
          <cell r="I3">
            <v>5443</v>
          </cell>
          <cell r="J3">
            <v>5223</v>
          </cell>
          <cell r="K3">
            <v>4990</v>
          </cell>
          <cell r="L3">
            <v>4689</v>
          </cell>
          <cell r="M3">
            <v>4551</v>
          </cell>
          <cell r="N3">
            <v>4428</v>
          </cell>
          <cell r="O3">
            <v>4542</v>
          </cell>
        </row>
        <row r="4">
          <cell r="A4" t="str">
            <v>河北省</v>
          </cell>
          <cell r="B4">
            <v>92825</v>
          </cell>
          <cell r="C4">
            <v>90194</v>
          </cell>
          <cell r="D4">
            <v>88162</v>
          </cell>
          <cell r="E4">
            <v>86939</v>
          </cell>
          <cell r="F4">
            <v>84651</v>
          </cell>
          <cell r="G4">
            <v>85088</v>
          </cell>
          <cell r="H4">
            <v>80912</v>
          </cell>
          <cell r="I4">
            <v>78795</v>
          </cell>
          <cell r="J4">
            <v>78594</v>
          </cell>
          <cell r="K4">
            <v>78895</v>
          </cell>
          <cell r="L4">
            <v>78485</v>
          </cell>
          <cell r="M4">
            <v>79119</v>
          </cell>
          <cell r="N4">
            <v>80185</v>
          </cell>
          <cell r="O4">
            <v>81403</v>
          </cell>
        </row>
        <row r="5">
          <cell r="A5" t="str">
            <v>山西省</v>
          </cell>
          <cell r="B5">
            <v>37849</v>
          </cell>
          <cell r="C5">
            <v>39661</v>
          </cell>
          <cell r="D5">
            <v>41007</v>
          </cell>
          <cell r="E5">
            <v>41140</v>
          </cell>
          <cell r="F5">
            <v>42162</v>
          </cell>
          <cell r="G5">
            <v>42079</v>
          </cell>
          <cell r="H5">
            <v>42490</v>
          </cell>
          <cell r="I5">
            <v>42204</v>
          </cell>
          <cell r="J5">
            <v>41002</v>
          </cell>
          <cell r="K5">
            <v>40777</v>
          </cell>
          <cell r="L5">
            <v>40281</v>
          </cell>
          <cell r="M5">
            <v>40192</v>
          </cell>
          <cell r="N5">
            <v>40339</v>
          </cell>
          <cell r="O5">
            <v>41098</v>
          </cell>
        </row>
        <row r="6">
          <cell r="A6" t="str">
            <v>内蒙古自治区</v>
          </cell>
          <cell r="B6">
            <v>25685</v>
          </cell>
          <cell r="C6">
            <v>25062</v>
          </cell>
          <cell r="D6">
            <v>24948</v>
          </cell>
          <cell r="E6">
            <v>24549</v>
          </cell>
          <cell r="F6">
            <v>24564</v>
          </cell>
          <cell r="G6">
            <v>24610</v>
          </cell>
          <cell r="H6">
            <v>24218</v>
          </cell>
          <cell r="I6">
            <v>24002</v>
          </cell>
          <cell r="J6">
            <v>23886</v>
          </cell>
          <cell r="K6">
            <v>23426</v>
          </cell>
          <cell r="L6">
            <v>23257</v>
          </cell>
          <cell r="M6">
            <v>23046</v>
          </cell>
          <cell r="N6">
            <v>22908</v>
          </cell>
          <cell r="O6">
            <v>22565</v>
          </cell>
        </row>
        <row r="7">
          <cell r="A7" t="str">
            <v>辽宁省</v>
          </cell>
          <cell r="B7">
            <v>34137</v>
          </cell>
          <cell r="C7">
            <v>32679</v>
          </cell>
          <cell r="D7">
            <v>33051</v>
          </cell>
          <cell r="E7">
            <v>34131</v>
          </cell>
          <cell r="F7">
            <v>34238</v>
          </cell>
          <cell r="G7">
            <v>36029</v>
          </cell>
          <cell r="H7">
            <v>35767</v>
          </cell>
          <cell r="I7">
            <v>36131</v>
          </cell>
          <cell r="J7">
            <v>35236</v>
          </cell>
          <cell r="K7">
            <v>35441</v>
          </cell>
          <cell r="L7">
            <v>35612</v>
          </cell>
          <cell r="M7">
            <v>35792</v>
          </cell>
          <cell r="N7">
            <v>35229</v>
          </cell>
          <cell r="O7">
            <v>34805</v>
          </cell>
        </row>
        <row r="8">
          <cell r="A8" t="str">
            <v>吉林省</v>
          </cell>
          <cell r="B8">
            <v>26161</v>
          </cell>
          <cell r="C8">
            <v>25031</v>
          </cell>
          <cell r="D8">
            <v>25344</v>
          </cell>
          <cell r="E8">
            <v>25616</v>
          </cell>
          <cell r="F8">
            <v>22198</v>
          </cell>
          <cell r="G8">
            <v>22691</v>
          </cell>
          <cell r="H8">
            <v>20828</v>
          </cell>
          <cell r="I8">
            <v>20829</v>
          </cell>
          <cell r="J8">
            <v>20612</v>
          </cell>
          <cell r="K8">
            <v>19891</v>
          </cell>
          <cell r="L8">
            <v>19913</v>
          </cell>
          <cell r="M8">
            <v>19734</v>
          </cell>
          <cell r="N8">
            <v>19785</v>
          </cell>
          <cell r="O8">
            <v>19385</v>
          </cell>
        </row>
        <row r="9">
          <cell r="A9" t="str">
            <v>黑龙江省</v>
          </cell>
          <cell r="B9">
            <v>21417</v>
          </cell>
          <cell r="C9">
            <v>20599</v>
          </cell>
          <cell r="D9">
            <v>20578</v>
          </cell>
          <cell r="E9">
            <v>20461</v>
          </cell>
          <cell r="F9">
            <v>20375</v>
          </cell>
          <cell r="G9">
            <v>20349</v>
          </cell>
          <cell r="H9">
            <v>20283</v>
          </cell>
          <cell r="I9">
            <v>20375</v>
          </cell>
          <cell r="J9">
            <v>20752</v>
          </cell>
          <cell r="K9">
            <v>21229</v>
          </cell>
          <cell r="L9">
            <v>21369</v>
          </cell>
          <cell r="M9">
            <v>21158</v>
          </cell>
          <cell r="N9">
            <v>21749</v>
          </cell>
          <cell r="O9">
            <v>22073</v>
          </cell>
        </row>
        <row r="10">
          <cell r="A10" t="str">
            <v>上海市</v>
          </cell>
          <cell r="B10">
            <v>6514</v>
          </cell>
          <cell r="C10">
            <v>6404</v>
          </cell>
          <cell r="D10">
            <v>6308</v>
          </cell>
          <cell r="E10">
            <v>5897</v>
          </cell>
          <cell r="F10">
            <v>5597</v>
          </cell>
          <cell r="G10">
            <v>5293</v>
          </cell>
          <cell r="H10">
            <v>5144</v>
          </cell>
          <cell r="I10">
            <v>5016</v>
          </cell>
          <cell r="J10">
            <v>5016</v>
          </cell>
          <cell r="K10">
            <v>4984</v>
          </cell>
          <cell r="L10">
            <v>4929</v>
          </cell>
          <cell r="M10">
            <v>4845</v>
          </cell>
          <cell r="N10">
            <v>4740</v>
          </cell>
          <cell r="O10">
            <v>4708</v>
          </cell>
        </row>
        <row r="11">
          <cell r="A11" t="str">
            <v>江苏省</v>
          </cell>
          <cell r="B11">
            <v>39536</v>
          </cell>
          <cell r="C11">
            <v>37001</v>
          </cell>
          <cell r="D11">
            <v>36448</v>
          </cell>
          <cell r="E11">
            <v>35747</v>
          </cell>
          <cell r="F11">
            <v>34796</v>
          </cell>
          <cell r="G11">
            <v>33254</v>
          </cell>
          <cell r="H11">
            <v>32037</v>
          </cell>
          <cell r="I11">
            <v>32117</v>
          </cell>
          <cell r="J11">
            <v>31925</v>
          </cell>
          <cell r="K11">
            <v>31995</v>
          </cell>
          <cell r="L11">
            <v>30998</v>
          </cell>
          <cell r="M11">
            <v>31050</v>
          </cell>
          <cell r="N11">
            <v>31680</v>
          </cell>
          <cell r="O11">
            <v>30956</v>
          </cell>
        </row>
        <row r="12">
          <cell r="A12" t="str">
            <v>浙江省</v>
          </cell>
          <cell r="B12">
            <v>37679</v>
          </cell>
          <cell r="C12">
            <v>35967</v>
          </cell>
          <cell r="D12">
            <v>35120</v>
          </cell>
          <cell r="E12">
            <v>34400</v>
          </cell>
          <cell r="F12">
            <v>34119</v>
          </cell>
          <cell r="G12">
            <v>32754</v>
          </cell>
          <cell r="H12">
            <v>31979</v>
          </cell>
          <cell r="I12">
            <v>31546</v>
          </cell>
          <cell r="J12">
            <v>31137</v>
          </cell>
          <cell r="K12">
            <v>30358</v>
          </cell>
          <cell r="L12">
            <v>30063</v>
          </cell>
          <cell r="M12">
            <v>30271</v>
          </cell>
          <cell r="N12">
            <v>30515</v>
          </cell>
          <cell r="O12">
            <v>29939</v>
          </cell>
        </row>
        <row r="13">
          <cell r="A13" t="str">
            <v>安徽省</v>
          </cell>
          <cell r="B13">
            <v>31361</v>
          </cell>
          <cell r="C13">
            <v>30176</v>
          </cell>
          <cell r="D13">
            <v>29554</v>
          </cell>
          <cell r="E13">
            <v>29391</v>
          </cell>
          <cell r="F13">
            <v>26435</v>
          </cell>
          <cell r="G13">
            <v>24925</v>
          </cell>
          <cell r="H13">
            <v>24491</v>
          </cell>
          <cell r="I13">
            <v>24385</v>
          </cell>
          <cell r="J13">
            <v>24853</v>
          </cell>
          <cell r="K13">
            <v>24824</v>
          </cell>
          <cell r="L13">
            <v>24645</v>
          </cell>
          <cell r="M13">
            <v>23275</v>
          </cell>
          <cell r="N13">
            <v>22884</v>
          </cell>
          <cell r="O13">
            <v>22997</v>
          </cell>
        </row>
        <row r="14">
          <cell r="A14" t="str">
            <v>福建省</v>
          </cell>
          <cell r="B14">
            <v>30023</v>
          </cell>
          <cell r="C14">
            <v>29116</v>
          </cell>
          <cell r="D14">
            <v>28693</v>
          </cell>
          <cell r="E14">
            <v>28105</v>
          </cell>
          <cell r="F14">
            <v>27788</v>
          </cell>
          <cell r="G14">
            <v>27590</v>
          </cell>
          <cell r="H14">
            <v>27217</v>
          </cell>
          <cell r="I14">
            <v>27656</v>
          </cell>
          <cell r="J14">
            <v>27921</v>
          </cell>
          <cell r="K14">
            <v>28030</v>
          </cell>
          <cell r="L14">
            <v>28175</v>
          </cell>
          <cell r="M14">
            <v>27276</v>
          </cell>
          <cell r="N14">
            <v>27147</v>
          </cell>
          <cell r="O14">
            <v>27017</v>
          </cell>
        </row>
        <row r="15">
          <cell r="A15" t="str">
            <v>江西省</v>
          </cell>
          <cell r="B15">
            <v>40129</v>
          </cell>
          <cell r="C15">
            <v>35683</v>
          </cell>
          <cell r="D15">
            <v>36764</v>
          </cell>
          <cell r="E15">
            <v>36716</v>
          </cell>
          <cell r="F15">
            <v>37029</v>
          </cell>
          <cell r="G15">
            <v>36545</v>
          </cell>
          <cell r="H15">
            <v>37791</v>
          </cell>
          <cell r="I15">
            <v>38272</v>
          </cell>
          <cell r="J15">
            <v>38557</v>
          </cell>
          <cell r="K15">
            <v>38873</v>
          </cell>
          <cell r="L15">
            <v>38902</v>
          </cell>
          <cell r="M15">
            <v>39509</v>
          </cell>
          <cell r="N15">
            <v>39154</v>
          </cell>
          <cell r="O15">
            <v>34068</v>
          </cell>
        </row>
        <row r="16">
          <cell r="A16" t="str">
            <v>山东省</v>
          </cell>
          <cell r="B16">
            <v>88186</v>
          </cell>
          <cell r="C16">
            <v>86026</v>
          </cell>
          <cell r="D16">
            <v>85715</v>
          </cell>
          <cell r="E16">
            <v>84872</v>
          </cell>
          <cell r="F16">
            <v>83616</v>
          </cell>
          <cell r="G16">
            <v>81470</v>
          </cell>
          <cell r="H16">
            <v>79050</v>
          </cell>
          <cell r="I16">
            <v>76997</v>
          </cell>
          <cell r="J16">
            <v>77259</v>
          </cell>
          <cell r="K16">
            <v>77012</v>
          </cell>
          <cell r="L16">
            <v>75426</v>
          </cell>
          <cell r="M16">
            <v>68840</v>
          </cell>
          <cell r="N16">
            <v>68275</v>
          </cell>
          <cell r="O16">
            <v>66967</v>
          </cell>
        </row>
        <row r="17">
          <cell r="A17" t="str">
            <v>河南省</v>
          </cell>
          <cell r="B17">
            <v>85044</v>
          </cell>
          <cell r="C17">
            <v>81694</v>
          </cell>
          <cell r="D17">
            <v>78536</v>
          </cell>
          <cell r="E17">
            <v>74644</v>
          </cell>
          <cell r="F17">
            <v>70734</v>
          </cell>
          <cell r="G17">
            <v>71351</v>
          </cell>
          <cell r="H17">
            <v>71089</v>
          </cell>
          <cell r="I17">
            <v>71271</v>
          </cell>
          <cell r="J17">
            <v>71394</v>
          </cell>
          <cell r="K17">
            <v>71154</v>
          </cell>
          <cell r="L17">
            <v>71464</v>
          </cell>
          <cell r="M17">
            <v>69258</v>
          </cell>
          <cell r="N17">
            <v>76128</v>
          </cell>
          <cell r="O17">
            <v>75741</v>
          </cell>
        </row>
        <row r="18">
          <cell r="A18" t="str">
            <v>湖北省</v>
          </cell>
          <cell r="B18">
            <v>38586</v>
          </cell>
          <cell r="C18">
            <v>36782</v>
          </cell>
          <cell r="D18">
            <v>36529</v>
          </cell>
          <cell r="E18">
            <v>35447</v>
          </cell>
          <cell r="F18">
            <v>35515</v>
          </cell>
          <cell r="G18">
            <v>36486</v>
          </cell>
          <cell r="H18">
            <v>36357</v>
          </cell>
          <cell r="I18">
            <v>36354</v>
          </cell>
          <cell r="J18">
            <v>36179</v>
          </cell>
          <cell r="K18">
            <v>36077</v>
          </cell>
          <cell r="L18">
            <v>35631</v>
          </cell>
          <cell r="M18">
            <v>35240</v>
          </cell>
          <cell r="N18">
            <v>35625</v>
          </cell>
          <cell r="O18">
            <v>34269</v>
          </cell>
        </row>
        <row r="19">
          <cell r="A19" t="str">
            <v>湖南省</v>
          </cell>
          <cell r="B19">
            <v>57503</v>
          </cell>
          <cell r="C19">
            <v>55338</v>
          </cell>
          <cell r="D19">
            <v>55677</v>
          </cell>
          <cell r="E19">
            <v>56042</v>
          </cell>
          <cell r="F19">
            <v>57230</v>
          </cell>
          <cell r="G19">
            <v>56239</v>
          </cell>
          <cell r="H19">
            <v>58624</v>
          </cell>
          <cell r="I19">
            <v>61055</v>
          </cell>
          <cell r="J19">
            <v>62646</v>
          </cell>
          <cell r="K19">
            <v>61571</v>
          </cell>
          <cell r="L19">
            <v>62210</v>
          </cell>
          <cell r="M19">
            <v>58612</v>
          </cell>
          <cell r="N19">
            <v>59634</v>
          </cell>
          <cell r="O19">
            <v>59359</v>
          </cell>
        </row>
        <row r="20">
          <cell r="A20" t="str">
            <v>广东省</v>
          </cell>
          <cell r="B20">
            <v>62819</v>
          </cell>
          <cell r="C20">
            <v>59531</v>
          </cell>
          <cell r="D20">
            <v>57964</v>
          </cell>
          <cell r="E20">
            <v>55900</v>
          </cell>
          <cell r="F20">
            <v>53900</v>
          </cell>
          <cell r="G20">
            <v>51451</v>
          </cell>
          <cell r="H20">
            <v>49874</v>
          </cell>
          <cell r="I20">
            <v>49079</v>
          </cell>
          <cell r="J20">
            <v>48320</v>
          </cell>
          <cell r="K20">
            <v>48085</v>
          </cell>
          <cell r="L20">
            <v>47835</v>
          </cell>
          <cell r="M20">
            <v>46534</v>
          </cell>
          <cell r="N20">
            <v>45930</v>
          </cell>
          <cell r="O20">
            <v>44880</v>
          </cell>
        </row>
        <row r="21">
          <cell r="A21" t="str">
            <v>广西壮族自治区</v>
          </cell>
          <cell r="B21">
            <v>34888</v>
          </cell>
          <cell r="C21">
            <v>34500</v>
          </cell>
          <cell r="D21">
            <v>34112</v>
          </cell>
          <cell r="E21">
            <v>33875</v>
          </cell>
          <cell r="F21">
            <v>33679</v>
          </cell>
          <cell r="G21">
            <v>33742</v>
          </cell>
          <cell r="H21">
            <v>34008</v>
          </cell>
          <cell r="I21">
            <v>34253</v>
          </cell>
          <cell r="J21">
            <v>34439</v>
          </cell>
          <cell r="K21">
            <v>34667</v>
          </cell>
          <cell r="L21">
            <v>33943</v>
          </cell>
          <cell r="M21">
            <v>34152</v>
          </cell>
          <cell r="N21">
            <v>34026</v>
          </cell>
          <cell r="O21">
            <v>32741</v>
          </cell>
        </row>
        <row r="22">
          <cell r="A22" t="str">
            <v>海南省</v>
          </cell>
          <cell r="B22">
            <v>6538</v>
          </cell>
          <cell r="C22">
            <v>6384</v>
          </cell>
          <cell r="D22">
            <v>6277</v>
          </cell>
          <cell r="E22">
            <v>6127</v>
          </cell>
          <cell r="F22">
            <v>5417</v>
          </cell>
          <cell r="G22">
            <v>5325</v>
          </cell>
          <cell r="H22">
            <v>5180</v>
          </cell>
          <cell r="I22">
            <v>5144</v>
          </cell>
          <cell r="J22">
            <v>5046</v>
          </cell>
          <cell r="K22">
            <v>5075</v>
          </cell>
          <cell r="L22">
            <v>5011</v>
          </cell>
          <cell r="M22">
            <v>5154</v>
          </cell>
          <cell r="N22">
            <v>4816</v>
          </cell>
          <cell r="O22">
            <v>4678</v>
          </cell>
        </row>
        <row r="23">
          <cell r="A23" t="str">
            <v>重庆市</v>
          </cell>
          <cell r="B23">
            <v>23389</v>
          </cell>
          <cell r="C23">
            <v>22259</v>
          </cell>
          <cell r="D23">
            <v>21361</v>
          </cell>
          <cell r="E23">
            <v>20922</v>
          </cell>
          <cell r="F23">
            <v>21057</v>
          </cell>
          <cell r="G23">
            <v>20524</v>
          </cell>
          <cell r="H23">
            <v>19682</v>
          </cell>
          <cell r="I23">
            <v>19933</v>
          </cell>
          <cell r="J23">
            <v>19806</v>
          </cell>
          <cell r="K23">
            <v>18767</v>
          </cell>
          <cell r="L23">
            <v>18926</v>
          </cell>
          <cell r="M23">
            <v>17961</v>
          </cell>
          <cell r="N23">
            <v>17650</v>
          </cell>
          <cell r="O23">
            <v>17495</v>
          </cell>
        </row>
        <row r="24">
          <cell r="A24" t="str">
            <v>四川省</v>
          </cell>
          <cell r="B24">
            <v>74975</v>
          </cell>
          <cell r="C24">
            <v>74041</v>
          </cell>
          <cell r="D24">
            <v>80249</v>
          </cell>
          <cell r="E24">
            <v>82793</v>
          </cell>
          <cell r="F24">
            <v>83756</v>
          </cell>
          <cell r="G24">
            <v>81537</v>
          </cell>
          <cell r="H24">
            <v>80481</v>
          </cell>
          <cell r="I24">
            <v>79513</v>
          </cell>
          <cell r="J24">
            <v>80109</v>
          </cell>
          <cell r="K24">
            <v>81070</v>
          </cell>
          <cell r="L24">
            <v>80037</v>
          </cell>
          <cell r="M24">
            <v>76557</v>
          </cell>
          <cell r="N24">
            <v>75815</v>
          </cell>
          <cell r="O24">
            <v>74283</v>
          </cell>
        </row>
        <row r="25">
          <cell r="A25" t="str">
            <v>贵州省</v>
          </cell>
          <cell r="B25">
            <v>30695</v>
          </cell>
          <cell r="C25">
            <v>29150</v>
          </cell>
          <cell r="D25">
            <v>29292</v>
          </cell>
          <cell r="E25">
            <v>28880</v>
          </cell>
          <cell r="F25">
            <v>28511</v>
          </cell>
          <cell r="G25">
            <v>28066</v>
          </cell>
          <cell r="H25">
            <v>28034</v>
          </cell>
          <cell r="I25">
            <v>28017</v>
          </cell>
          <cell r="J25">
            <v>28712</v>
          </cell>
          <cell r="K25">
            <v>28995</v>
          </cell>
          <cell r="L25">
            <v>29177</v>
          </cell>
          <cell r="M25">
            <v>27404</v>
          </cell>
          <cell r="N25">
            <v>25943</v>
          </cell>
          <cell r="O25">
            <v>25420</v>
          </cell>
        </row>
        <row r="26">
          <cell r="A26" t="str">
            <v>云南省</v>
          </cell>
          <cell r="B26">
            <v>28765</v>
          </cell>
          <cell r="C26">
            <v>27528</v>
          </cell>
          <cell r="D26">
            <v>26885</v>
          </cell>
          <cell r="E26">
            <v>26626</v>
          </cell>
          <cell r="F26">
            <v>25587</v>
          </cell>
          <cell r="G26">
            <v>24954</v>
          </cell>
          <cell r="H26">
            <v>24684</v>
          </cell>
          <cell r="I26">
            <v>24234</v>
          </cell>
          <cell r="J26">
            <v>24181</v>
          </cell>
          <cell r="K26">
            <v>24281</v>
          </cell>
          <cell r="L26">
            <v>24264</v>
          </cell>
          <cell r="M26">
            <v>23395</v>
          </cell>
          <cell r="N26">
            <v>23248</v>
          </cell>
          <cell r="O26">
            <v>22888</v>
          </cell>
        </row>
        <row r="27">
          <cell r="A27" t="str">
            <v>西藏自治区</v>
          </cell>
          <cell r="B27">
            <v>7058</v>
          </cell>
          <cell r="C27">
            <v>6906</v>
          </cell>
          <cell r="D27">
            <v>6907</v>
          </cell>
          <cell r="E27">
            <v>6939</v>
          </cell>
          <cell r="F27">
            <v>6940</v>
          </cell>
          <cell r="G27">
            <v>6844</v>
          </cell>
          <cell r="H27">
            <v>6826</v>
          </cell>
          <cell r="I27">
            <v>6835</v>
          </cell>
          <cell r="J27">
            <v>6814</v>
          </cell>
          <cell r="K27">
            <v>6795</v>
          </cell>
          <cell r="L27">
            <v>6725</v>
          </cell>
          <cell r="M27">
            <v>6660</v>
          </cell>
          <cell r="N27">
            <v>6602</v>
          </cell>
          <cell r="O27">
            <v>4960</v>
          </cell>
        </row>
        <row r="28">
          <cell r="A28" t="str">
            <v>陕西省</v>
          </cell>
          <cell r="B28">
            <v>35133</v>
          </cell>
          <cell r="C28">
            <v>34779</v>
          </cell>
          <cell r="D28">
            <v>34971</v>
          </cell>
          <cell r="E28">
            <v>34983</v>
          </cell>
          <cell r="F28">
            <v>35404</v>
          </cell>
          <cell r="G28">
            <v>35300</v>
          </cell>
          <cell r="H28">
            <v>35861</v>
          </cell>
          <cell r="I28">
            <v>36598</v>
          </cell>
          <cell r="J28">
            <v>37030</v>
          </cell>
          <cell r="K28">
            <v>37247</v>
          </cell>
          <cell r="L28">
            <v>37137</v>
          </cell>
          <cell r="M28">
            <v>36271</v>
          </cell>
          <cell r="N28">
            <v>36396</v>
          </cell>
          <cell r="O28">
            <v>35696</v>
          </cell>
        </row>
        <row r="29">
          <cell r="A29" t="str">
            <v>甘肃省</v>
          </cell>
          <cell r="B29">
            <v>25375</v>
          </cell>
          <cell r="C29">
            <v>25266</v>
          </cell>
          <cell r="D29">
            <v>25759</v>
          </cell>
          <cell r="E29">
            <v>26204</v>
          </cell>
          <cell r="F29">
            <v>26697</v>
          </cell>
          <cell r="G29">
            <v>27897</v>
          </cell>
          <cell r="H29">
            <v>28857</v>
          </cell>
          <cell r="I29">
            <v>28197</v>
          </cell>
          <cell r="J29">
            <v>27799</v>
          </cell>
          <cell r="K29">
            <v>27916</v>
          </cell>
          <cell r="L29">
            <v>26697</v>
          </cell>
          <cell r="M29">
            <v>26401</v>
          </cell>
          <cell r="N29">
            <v>26632</v>
          </cell>
          <cell r="O29">
            <v>26673</v>
          </cell>
        </row>
        <row r="30">
          <cell r="A30" t="str">
            <v>青海省</v>
          </cell>
          <cell r="B30">
            <v>6950</v>
          </cell>
          <cell r="C30">
            <v>6376</v>
          </cell>
          <cell r="D30">
            <v>6408</v>
          </cell>
          <cell r="E30">
            <v>6407</v>
          </cell>
          <cell r="F30">
            <v>6513</v>
          </cell>
          <cell r="G30">
            <v>6396</v>
          </cell>
          <cell r="H30">
            <v>6375</v>
          </cell>
          <cell r="I30">
            <v>6291</v>
          </cell>
          <cell r="J30">
            <v>6223</v>
          </cell>
          <cell r="K30">
            <v>6241</v>
          </cell>
          <cell r="L30">
            <v>6020</v>
          </cell>
          <cell r="M30">
            <v>5948</v>
          </cell>
          <cell r="N30">
            <v>5887</v>
          </cell>
          <cell r="O30">
            <v>5781</v>
          </cell>
        </row>
        <row r="31">
          <cell r="A31" t="str">
            <v>宁夏回族自治区</v>
          </cell>
          <cell r="B31">
            <v>4863</v>
          </cell>
          <cell r="C31">
            <v>4607</v>
          </cell>
          <cell r="D31">
            <v>4571</v>
          </cell>
          <cell r="E31">
            <v>4574</v>
          </cell>
          <cell r="F31">
            <v>4397</v>
          </cell>
          <cell r="G31">
            <v>4450</v>
          </cell>
          <cell r="H31">
            <v>4271</v>
          </cell>
          <cell r="I31">
            <v>4254</v>
          </cell>
          <cell r="J31">
            <v>4288</v>
          </cell>
          <cell r="K31">
            <v>4255</v>
          </cell>
          <cell r="L31">
            <v>4231</v>
          </cell>
          <cell r="M31">
            <v>4140</v>
          </cell>
          <cell r="N31">
            <v>4132</v>
          </cell>
          <cell r="O31">
            <v>4129</v>
          </cell>
        </row>
        <row r="32">
          <cell r="A32" t="str">
            <v>新疆维吾尔自治区</v>
          </cell>
          <cell r="B32">
            <v>18416</v>
          </cell>
          <cell r="C32">
            <v>16999</v>
          </cell>
          <cell r="D32">
            <v>16970</v>
          </cell>
          <cell r="E32">
            <v>18158</v>
          </cell>
          <cell r="F32">
            <v>18376</v>
          </cell>
          <cell r="G32">
            <v>18450</v>
          </cell>
          <cell r="H32">
            <v>18724</v>
          </cell>
          <cell r="I32">
            <v>18825</v>
          </cell>
          <cell r="J32">
            <v>18798</v>
          </cell>
          <cell r="K32">
            <v>18873</v>
          </cell>
          <cell r="L32">
            <v>18663</v>
          </cell>
          <cell r="M32">
            <v>18320</v>
          </cell>
          <cell r="N32">
            <v>17412</v>
          </cell>
          <cell r="O32">
            <v>16000</v>
          </cell>
        </row>
        <row r="33">
          <cell r="A33" t="str">
            <v>注：1.村卫生室数计入医疗卫生机构数中。</v>
          </cell>
        </row>
        <row r="34">
          <cell r="A34" t="str">
            <v>　　　2.2002年起，医疗卫生机构数不再包括高中等医学院校本部、药检机构、国境卫生检疫所和非卫生部门举办的计划生育指导站。</v>
          </cell>
        </row>
        <row r="35">
          <cell r="A35" t="str">
            <v>　　　3.2013年起，医疗卫生机构数包括原计生部门主管的计划生育技术服务机构。</v>
          </cell>
        </row>
        <row r="36">
          <cell r="A36" t="str">
            <v>数据来源：国家统计局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13.88</v>
          </cell>
          <cell r="C2">
            <v>13.39</v>
          </cell>
          <cell r="D2">
            <v>13.03</v>
          </cell>
          <cell r="E2">
            <v>12.7</v>
          </cell>
          <cell r="F2">
            <v>12.78</v>
          </cell>
          <cell r="G2">
            <v>12.36</v>
          </cell>
          <cell r="H2">
            <v>12.06</v>
          </cell>
          <cell r="I2">
            <v>11.7</v>
          </cell>
          <cell r="J2">
            <v>11.16</v>
          </cell>
          <cell r="K2">
            <v>10.98</v>
          </cell>
          <cell r="L2">
            <v>10.4</v>
          </cell>
          <cell r="M2">
            <v>10.02</v>
          </cell>
          <cell r="N2">
            <v>9.4700000000000006</v>
          </cell>
          <cell r="O2">
            <v>9.2799999999999994</v>
          </cell>
          <cell r="P2">
            <v>9.01</v>
          </cell>
          <cell r="Q2" t="str">
            <v/>
          </cell>
          <cell r="R2">
            <v>8.39</v>
          </cell>
          <cell r="S2">
            <v>8.14</v>
          </cell>
          <cell r="T2">
            <v>7.91</v>
          </cell>
        </row>
        <row r="3">
          <cell r="A3" t="str">
            <v>天津市</v>
          </cell>
          <cell r="B3">
            <v>7.25</v>
          </cell>
          <cell r="C3">
            <v>6.85</v>
          </cell>
          <cell r="D3">
            <v>6.87</v>
          </cell>
          <cell r="E3">
            <v>6.83</v>
          </cell>
          <cell r="F3">
            <v>6.83</v>
          </cell>
          <cell r="G3">
            <v>6.82</v>
          </cell>
          <cell r="H3">
            <v>6.84</v>
          </cell>
          <cell r="I3">
            <v>6.58</v>
          </cell>
          <cell r="J3">
            <v>6.37</v>
          </cell>
          <cell r="K3">
            <v>6.09</v>
          </cell>
          <cell r="L3">
            <v>5.77</v>
          </cell>
          <cell r="M3">
            <v>5.35</v>
          </cell>
          <cell r="N3">
            <v>4.9400000000000004</v>
          </cell>
          <cell r="O3">
            <v>4.88</v>
          </cell>
          <cell r="P3">
            <v>4.6399999999999997</v>
          </cell>
          <cell r="Q3" t="str">
            <v/>
          </cell>
          <cell r="R3">
            <v>4.43</v>
          </cell>
          <cell r="S3">
            <v>4.3600000000000003</v>
          </cell>
          <cell r="T3">
            <v>4.1500000000000004</v>
          </cell>
        </row>
        <row r="4">
          <cell r="A4" t="str">
            <v>河北省</v>
          </cell>
          <cell r="B4">
            <v>53.4</v>
          </cell>
          <cell r="C4">
            <v>48.57</v>
          </cell>
          <cell r="D4">
            <v>45.5</v>
          </cell>
          <cell r="E4">
            <v>44.2</v>
          </cell>
          <cell r="F4">
            <v>43.01</v>
          </cell>
          <cell r="G4">
            <v>42.19</v>
          </cell>
          <cell r="H4">
            <v>39.5</v>
          </cell>
          <cell r="I4">
            <v>36.049999999999997</v>
          </cell>
          <cell r="J4">
            <v>34.21</v>
          </cell>
          <cell r="K4">
            <v>32.29</v>
          </cell>
          <cell r="L4">
            <v>30.35</v>
          </cell>
          <cell r="M4">
            <v>28.44</v>
          </cell>
          <cell r="N4">
            <v>26.65</v>
          </cell>
          <cell r="O4">
            <v>24.97</v>
          </cell>
          <cell r="P4">
            <v>23.26</v>
          </cell>
          <cell r="Q4" t="str">
            <v/>
          </cell>
          <cell r="R4">
            <v>19.559999999999999</v>
          </cell>
          <cell r="S4">
            <v>17.3</v>
          </cell>
          <cell r="T4">
            <v>16.21</v>
          </cell>
        </row>
        <row r="5">
          <cell r="A5" t="str">
            <v>山西省</v>
          </cell>
          <cell r="B5">
            <v>23.23</v>
          </cell>
          <cell r="C5">
            <v>22.84</v>
          </cell>
          <cell r="D5">
            <v>22.89</v>
          </cell>
          <cell r="E5">
            <v>22.37</v>
          </cell>
          <cell r="F5">
            <v>21.84</v>
          </cell>
          <cell r="G5">
            <v>20.83</v>
          </cell>
          <cell r="H5">
            <v>19.75</v>
          </cell>
          <cell r="I5">
            <v>18.97</v>
          </cell>
          <cell r="J5">
            <v>18.32</v>
          </cell>
          <cell r="K5">
            <v>17.739999999999998</v>
          </cell>
          <cell r="L5">
            <v>17.260000000000002</v>
          </cell>
          <cell r="M5">
            <v>16.53</v>
          </cell>
          <cell r="N5">
            <v>15.71</v>
          </cell>
          <cell r="O5">
            <v>15.59</v>
          </cell>
          <cell r="P5">
            <v>14.45</v>
          </cell>
          <cell r="Q5" t="str">
            <v/>
          </cell>
          <cell r="R5">
            <v>10.87</v>
          </cell>
          <cell r="S5">
            <v>11.21</v>
          </cell>
          <cell r="T5">
            <v>10.8</v>
          </cell>
        </row>
        <row r="6">
          <cell r="A6" t="str">
            <v>内蒙古自治区</v>
          </cell>
          <cell r="B6">
            <v>17.309999999999999</v>
          </cell>
          <cell r="C6">
            <v>16.77</v>
          </cell>
          <cell r="D6">
            <v>16.66</v>
          </cell>
          <cell r="E6">
            <v>16.21</v>
          </cell>
          <cell r="F6">
            <v>16.11</v>
          </cell>
          <cell r="G6">
            <v>15.9</v>
          </cell>
          <cell r="H6">
            <v>15.03</v>
          </cell>
          <cell r="I6">
            <v>13.92</v>
          </cell>
          <cell r="J6">
            <v>13.39</v>
          </cell>
          <cell r="K6">
            <v>12.9</v>
          </cell>
          <cell r="L6">
            <v>12.01</v>
          </cell>
          <cell r="M6">
            <v>11.08</v>
          </cell>
          <cell r="N6">
            <v>10.06</v>
          </cell>
          <cell r="O6">
            <v>9.34</v>
          </cell>
          <cell r="P6">
            <v>8.74</v>
          </cell>
          <cell r="Q6" t="str">
            <v/>
          </cell>
          <cell r="R6">
            <v>7.39</v>
          </cell>
          <cell r="S6">
            <v>6.98</v>
          </cell>
          <cell r="T6">
            <v>6.9</v>
          </cell>
        </row>
        <row r="7">
          <cell r="A7" t="str">
            <v>辽宁省</v>
          </cell>
          <cell r="B7">
            <v>33.42</v>
          </cell>
          <cell r="C7">
            <v>32.619999999999997</v>
          </cell>
          <cell r="D7">
            <v>32.450000000000003</v>
          </cell>
          <cell r="E7">
            <v>31.45</v>
          </cell>
          <cell r="F7">
            <v>31.38</v>
          </cell>
          <cell r="G7">
            <v>31.44</v>
          </cell>
          <cell r="H7">
            <v>29.86</v>
          </cell>
          <cell r="I7">
            <v>28.44</v>
          </cell>
          <cell r="J7">
            <v>26.7</v>
          </cell>
          <cell r="K7">
            <v>25.55</v>
          </cell>
          <cell r="L7">
            <v>24.19</v>
          </cell>
          <cell r="M7">
            <v>23.1</v>
          </cell>
          <cell r="N7">
            <v>21.58</v>
          </cell>
          <cell r="O7">
            <v>20.420000000000002</v>
          </cell>
          <cell r="P7">
            <v>19.149999999999999</v>
          </cell>
          <cell r="Q7" t="str">
            <v/>
          </cell>
          <cell r="R7">
            <v>18</v>
          </cell>
          <cell r="S7">
            <v>17.940000000000001</v>
          </cell>
          <cell r="T7">
            <v>17.75</v>
          </cell>
        </row>
        <row r="8">
          <cell r="A8" t="str">
            <v>吉林省</v>
          </cell>
          <cell r="B8">
            <v>18.37</v>
          </cell>
          <cell r="C8">
            <v>17.72</v>
          </cell>
          <cell r="D8">
            <v>17.649999999999999</v>
          </cell>
          <cell r="E8">
            <v>17.309999999999999</v>
          </cell>
          <cell r="F8">
            <v>17.03</v>
          </cell>
          <cell r="G8">
            <v>16.7</v>
          </cell>
          <cell r="H8">
            <v>15.37</v>
          </cell>
          <cell r="I8">
            <v>15.12</v>
          </cell>
          <cell r="J8">
            <v>14.45</v>
          </cell>
          <cell r="K8">
            <v>14.1</v>
          </cell>
          <cell r="L8">
            <v>13.32</v>
          </cell>
          <cell r="M8">
            <v>12.78</v>
          </cell>
          <cell r="N8">
            <v>12.12</v>
          </cell>
          <cell r="O8">
            <v>11.51</v>
          </cell>
          <cell r="P8">
            <v>10.83</v>
          </cell>
          <cell r="Q8" t="str">
            <v/>
          </cell>
          <cell r="R8">
            <v>9.44</v>
          </cell>
          <cell r="S8">
            <v>9.0500000000000007</v>
          </cell>
          <cell r="T8">
            <v>8.73</v>
          </cell>
        </row>
        <row r="9">
          <cell r="A9" t="str">
            <v>黑龙江省</v>
          </cell>
          <cell r="B9">
            <v>27.33</v>
          </cell>
          <cell r="C9">
            <v>26.13</v>
          </cell>
          <cell r="D9">
            <v>26.05</v>
          </cell>
          <cell r="E9">
            <v>25.33</v>
          </cell>
          <cell r="F9">
            <v>26.26</v>
          </cell>
          <cell r="G9">
            <v>25.01</v>
          </cell>
          <cell r="H9">
            <v>24.17</v>
          </cell>
          <cell r="I9">
            <v>22.01</v>
          </cell>
          <cell r="J9">
            <v>21.26</v>
          </cell>
          <cell r="K9">
            <v>20.13</v>
          </cell>
          <cell r="L9">
            <v>18.920000000000002</v>
          </cell>
          <cell r="M9">
            <v>17.82</v>
          </cell>
          <cell r="N9">
            <v>16.53</v>
          </cell>
          <cell r="O9">
            <v>15.99</v>
          </cell>
          <cell r="P9">
            <v>14.66</v>
          </cell>
          <cell r="Q9" t="str">
            <v/>
          </cell>
          <cell r="R9">
            <v>12.61</v>
          </cell>
          <cell r="S9">
            <v>12.32</v>
          </cell>
          <cell r="T9">
            <v>11.97</v>
          </cell>
        </row>
        <row r="10">
          <cell r="A10" t="str">
            <v>上海市</v>
          </cell>
          <cell r="B10">
            <v>17.5</v>
          </cell>
          <cell r="C10">
            <v>16.53</v>
          </cell>
          <cell r="D10">
            <v>16.04</v>
          </cell>
          <cell r="E10">
            <v>15.22</v>
          </cell>
          <cell r="F10">
            <v>14.65</v>
          </cell>
          <cell r="G10">
            <v>13.9</v>
          </cell>
          <cell r="H10">
            <v>13.46</v>
          </cell>
          <cell r="I10">
            <v>12.92</v>
          </cell>
          <cell r="J10">
            <v>12.28</v>
          </cell>
          <cell r="K10">
            <v>11.75</v>
          </cell>
          <cell r="L10">
            <v>11.43</v>
          </cell>
          <cell r="M10">
            <v>10.98</v>
          </cell>
          <cell r="N10">
            <v>10.71</v>
          </cell>
          <cell r="O10">
            <v>10.51</v>
          </cell>
          <cell r="P10">
            <v>9.9700000000000006</v>
          </cell>
          <cell r="Q10" t="str">
            <v/>
          </cell>
          <cell r="R10">
            <v>9.6</v>
          </cell>
          <cell r="S10">
            <v>9.32</v>
          </cell>
          <cell r="T10">
            <v>8.98</v>
          </cell>
        </row>
        <row r="11">
          <cell r="A11" t="str">
            <v>江苏省</v>
          </cell>
          <cell r="B11">
            <v>57.88</v>
          </cell>
          <cell r="C11">
            <v>56.3</v>
          </cell>
          <cell r="D11">
            <v>54.86</v>
          </cell>
          <cell r="E11">
            <v>53.5</v>
          </cell>
          <cell r="F11">
            <v>51.6</v>
          </cell>
          <cell r="G11">
            <v>49.15</v>
          </cell>
          <cell r="H11">
            <v>46.92</v>
          </cell>
          <cell r="I11">
            <v>44.31</v>
          </cell>
          <cell r="J11">
            <v>41.36</v>
          </cell>
          <cell r="K11">
            <v>39.229999999999997</v>
          </cell>
          <cell r="L11">
            <v>36.83</v>
          </cell>
          <cell r="M11">
            <v>33.31</v>
          </cell>
          <cell r="N11">
            <v>29.64</v>
          </cell>
          <cell r="O11">
            <v>26.95</v>
          </cell>
          <cell r="P11">
            <v>25.08</v>
          </cell>
          <cell r="Q11" t="str">
            <v/>
          </cell>
          <cell r="R11">
            <v>22.04</v>
          </cell>
          <cell r="S11">
            <v>20.89</v>
          </cell>
          <cell r="T11">
            <v>19.75</v>
          </cell>
        </row>
        <row r="12">
          <cell r="A12" t="str">
            <v>浙江省</v>
          </cell>
          <cell r="B12">
            <v>40.61</v>
          </cell>
          <cell r="C12">
            <v>38.17</v>
          </cell>
          <cell r="D12">
            <v>36.99</v>
          </cell>
          <cell r="E12">
            <v>36.130000000000003</v>
          </cell>
          <cell r="F12">
            <v>35.020000000000003</v>
          </cell>
          <cell r="G12">
            <v>33.21</v>
          </cell>
          <cell r="H12">
            <v>31.35</v>
          </cell>
          <cell r="I12">
            <v>28.99</v>
          </cell>
          <cell r="J12">
            <v>27.25</v>
          </cell>
          <cell r="K12">
            <v>24.58</v>
          </cell>
          <cell r="L12">
            <v>23.01</v>
          </cell>
          <cell r="M12">
            <v>21.33</v>
          </cell>
          <cell r="N12">
            <v>19.48</v>
          </cell>
          <cell r="O12">
            <v>18.41</v>
          </cell>
          <cell r="P12">
            <v>17.02</v>
          </cell>
          <cell r="Q12" t="str">
            <v/>
          </cell>
          <cell r="R12">
            <v>15.47</v>
          </cell>
          <cell r="S12">
            <v>14.81</v>
          </cell>
          <cell r="T12">
            <v>14.07</v>
          </cell>
        </row>
        <row r="13">
          <cell r="A13" t="str">
            <v>安徽省</v>
          </cell>
          <cell r="B13">
            <v>45.35</v>
          </cell>
          <cell r="C13">
            <v>44.4</v>
          </cell>
          <cell r="D13">
            <v>41.1</v>
          </cell>
          <cell r="E13">
            <v>40.78</v>
          </cell>
          <cell r="F13">
            <v>34.74</v>
          </cell>
          <cell r="G13">
            <v>32.81</v>
          </cell>
          <cell r="H13">
            <v>30.57</v>
          </cell>
          <cell r="I13">
            <v>28.17</v>
          </cell>
          <cell r="J13">
            <v>26.74</v>
          </cell>
          <cell r="K13">
            <v>25.2</v>
          </cell>
          <cell r="L13">
            <v>23.6</v>
          </cell>
          <cell r="M13">
            <v>22.23</v>
          </cell>
          <cell r="N13">
            <v>20.420000000000002</v>
          </cell>
          <cell r="O13">
            <v>18.8</v>
          </cell>
          <cell r="P13">
            <v>17.45</v>
          </cell>
          <cell r="Q13" t="str">
            <v/>
          </cell>
          <cell r="R13">
            <v>13.96</v>
          </cell>
          <cell r="S13">
            <v>13.33</v>
          </cell>
          <cell r="T13">
            <v>12.66</v>
          </cell>
        </row>
        <row r="14">
          <cell r="A14" t="str">
            <v>福建省</v>
          </cell>
          <cell r="B14">
            <v>24.21</v>
          </cell>
          <cell r="C14">
            <v>23.24</v>
          </cell>
          <cell r="D14">
            <v>22.38</v>
          </cell>
          <cell r="E14">
            <v>21.68</v>
          </cell>
          <cell r="F14">
            <v>20.22</v>
          </cell>
          <cell r="G14">
            <v>19.25</v>
          </cell>
          <cell r="H14">
            <v>18.239999999999998</v>
          </cell>
          <cell r="I14">
            <v>17.48</v>
          </cell>
          <cell r="J14">
            <v>17.3</v>
          </cell>
          <cell r="K14">
            <v>16.48</v>
          </cell>
          <cell r="L14">
            <v>15.61</v>
          </cell>
          <cell r="M14">
            <v>13.93</v>
          </cell>
          <cell r="N14">
            <v>12.42</v>
          </cell>
          <cell r="O14">
            <v>11.3</v>
          </cell>
          <cell r="P14">
            <v>10.43</v>
          </cell>
          <cell r="Q14" t="str">
            <v/>
          </cell>
          <cell r="R14">
            <v>7.96</v>
          </cell>
          <cell r="S14">
            <v>8.4499999999999993</v>
          </cell>
          <cell r="T14">
            <v>8.16</v>
          </cell>
        </row>
        <row r="15">
          <cell r="A15" t="str">
            <v>江西省</v>
          </cell>
          <cell r="B15">
            <v>34.07</v>
          </cell>
          <cell r="C15">
            <v>31.45</v>
          </cell>
          <cell r="D15">
            <v>30.73</v>
          </cell>
          <cell r="E15">
            <v>28.58</v>
          </cell>
          <cell r="F15">
            <v>26.71</v>
          </cell>
          <cell r="G15">
            <v>24.95</v>
          </cell>
          <cell r="H15">
            <v>23.4</v>
          </cell>
          <cell r="I15">
            <v>20.91</v>
          </cell>
          <cell r="J15">
            <v>19.78</v>
          </cell>
          <cell r="K15">
            <v>18.670000000000002</v>
          </cell>
          <cell r="L15">
            <v>17.43</v>
          </cell>
          <cell r="M15">
            <v>16.37</v>
          </cell>
          <cell r="N15">
            <v>13.56</v>
          </cell>
          <cell r="O15">
            <v>12.46</v>
          </cell>
          <cell r="P15">
            <v>11.54</v>
          </cell>
          <cell r="Q15" t="str">
            <v/>
          </cell>
          <cell r="R15">
            <v>9.49</v>
          </cell>
          <cell r="S15">
            <v>8.81</v>
          </cell>
          <cell r="T15">
            <v>8.48</v>
          </cell>
        </row>
        <row r="16">
          <cell r="A16" t="str">
            <v>山东省</v>
          </cell>
          <cell r="B16">
            <v>73.86</v>
          </cell>
          <cell r="C16">
            <v>69.36</v>
          </cell>
          <cell r="D16">
            <v>67.39</v>
          </cell>
          <cell r="E16">
            <v>64.69</v>
          </cell>
          <cell r="F16">
            <v>62.97</v>
          </cell>
          <cell r="G16">
            <v>60.85</v>
          </cell>
          <cell r="H16">
            <v>58.48</v>
          </cell>
          <cell r="I16">
            <v>54.1</v>
          </cell>
          <cell r="J16">
            <v>51.94</v>
          </cell>
          <cell r="K16">
            <v>50.06</v>
          </cell>
          <cell r="L16">
            <v>48.97</v>
          </cell>
          <cell r="M16">
            <v>47.38</v>
          </cell>
          <cell r="N16">
            <v>41.61</v>
          </cell>
          <cell r="O16">
            <v>38.229999999999997</v>
          </cell>
          <cell r="P16">
            <v>34.71</v>
          </cell>
          <cell r="Q16" t="str">
            <v/>
          </cell>
          <cell r="R16">
            <v>27.88</v>
          </cell>
          <cell r="S16">
            <v>25.84</v>
          </cell>
          <cell r="T16">
            <v>24.76</v>
          </cell>
        </row>
        <row r="17">
          <cell r="A17" t="str">
            <v>河南省</v>
          </cell>
          <cell r="B17">
            <v>77.739999999999995</v>
          </cell>
          <cell r="C17">
            <v>75.22</v>
          </cell>
          <cell r="D17">
            <v>72.13</v>
          </cell>
          <cell r="E17">
            <v>66.72</v>
          </cell>
          <cell r="F17">
            <v>64.010000000000005</v>
          </cell>
          <cell r="G17">
            <v>60.85</v>
          </cell>
          <cell r="H17">
            <v>55.9</v>
          </cell>
          <cell r="I17">
            <v>52.15</v>
          </cell>
          <cell r="J17">
            <v>48.96</v>
          </cell>
          <cell r="K17">
            <v>45.93</v>
          </cell>
          <cell r="L17">
            <v>42.98</v>
          </cell>
          <cell r="M17">
            <v>39.4</v>
          </cell>
          <cell r="N17">
            <v>34.96</v>
          </cell>
          <cell r="O17">
            <v>32.76</v>
          </cell>
          <cell r="P17">
            <v>30.24</v>
          </cell>
          <cell r="Q17" t="str">
            <v/>
          </cell>
          <cell r="R17">
            <v>23.95</v>
          </cell>
          <cell r="S17">
            <v>22.38</v>
          </cell>
          <cell r="T17">
            <v>21.24</v>
          </cell>
        </row>
        <row r="18">
          <cell r="A18" t="str">
            <v>湖北省</v>
          </cell>
          <cell r="B18">
            <v>47.61</v>
          </cell>
          <cell r="C18">
            <v>45.03</v>
          </cell>
          <cell r="D18">
            <v>43.4</v>
          </cell>
          <cell r="E18">
            <v>41.14</v>
          </cell>
          <cell r="F18">
            <v>40.33</v>
          </cell>
          <cell r="G18">
            <v>39.35</v>
          </cell>
          <cell r="H18">
            <v>37.619999999999997</v>
          </cell>
          <cell r="I18">
            <v>36.06</v>
          </cell>
          <cell r="J18">
            <v>34.31</v>
          </cell>
          <cell r="K18">
            <v>31.75</v>
          </cell>
          <cell r="L18">
            <v>28.82</v>
          </cell>
          <cell r="M18">
            <v>25.3</v>
          </cell>
          <cell r="N18">
            <v>22.4</v>
          </cell>
          <cell r="O18">
            <v>20.04</v>
          </cell>
          <cell r="P18">
            <v>18.72</v>
          </cell>
          <cell r="Q18" t="str">
            <v/>
          </cell>
          <cell r="R18">
            <v>15.06</v>
          </cell>
          <cell r="S18">
            <v>14.22</v>
          </cell>
          <cell r="T18">
            <v>13.91</v>
          </cell>
        </row>
        <row r="19">
          <cell r="A19" t="str">
            <v>湖南省</v>
          </cell>
          <cell r="B19">
            <v>53.39</v>
          </cell>
          <cell r="C19">
            <v>54.45</v>
          </cell>
          <cell r="D19">
            <v>53.27</v>
          </cell>
          <cell r="E19">
            <v>51.99</v>
          </cell>
          <cell r="F19">
            <v>50.63</v>
          </cell>
          <cell r="G19">
            <v>48.24</v>
          </cell>
          <cell r="H19">
            <v>45.23</v>
          </cell>
          <cell r="I19">
            <v>42.58</v>
          </cell>
          <cell r="J19">
            <v>39.700000000000003</v>
          </cell>
          <cell r="K19">
            <v>35.549999999999997</v>
          </cell>
          <cell r="L19">
            <v>31.41</v>
          </cell>
          <cell r="M19">
            <v>28.7</v>
          </cell>
          <cell r="N19">
            <v>25.77</v>
          </cell>
          <cell r="O19">
            <v>23.35</v>
          </cell>
          <cell r="P19">
            <v>21.2</v>
          </cell>
          <cell r="Q19" t="str">
            <v/>
          </cell>
          <cell r="R19">
            <v>17.239999999999998</v>
          </cell>
          <cell r="S19">
            <v>15.94</v>
          </cell>
          <cell r="T19">
            <v>15.13</v>
          </cell>
        </row>
        <row r="20">
          <cell r="A20" t="str">
            <v>广东省</v>
          </cell>
          <cell r="B20">
            <v>62.86</v>
          </cell>
          <cell r="C20">
            <v>60.83</v>
          </cell>
          <cell r="D20">
            <v>58.9</v>
          </cell>
          <cell r="E20">
            <v>56.48</v>
          </cell>
          <cell r="F20">
            <v>54.52</v>
          </cell>
          <cell r="G20">
            <v>51.69</v>
          </cell>
          <cell r="H20">
            <v>49.21</v>
          </cell>
          <cell r="I20">
            <v>46.51</v>
          </cell>
          <cell r="J20">
            <v>43.57</v>
          </cell>
          <cell r="K20">
            <v>40.58</v>
          </cell>
          <cell r="L20">
            <v>37.840000000000003</v>
          </cell>
          <cell r="M20">
            <v>35.53</v>
          </cell>
          <cell r="N20">
            <v>32.5</v>
          </cell>
          <cell r="O20">
            <v>30.01</v>
          </cell>
          <cell r="P20">
            <v>27.2</v>
          </cell>
          <cell r="Q20" t="str">
            <v/>
          </cell>
          <cell r="R20">
            <v>23.42</v>
          </cell>
          <cell r="S20">
            <v>22.03</v>
          </cell>
          <cell r="T20">
            <v>20.89</v>
          </cell>
        </row>
        <row r="21">
          <cell r="A21" t="str">
            <v>广西壮族自治区</v>
          </cell>
          <cell r="B21">
            <v>36.200000000000003</v>
          </cell>
          <cell r="C21">
            <v>34.17</v>
          </cell>
          <cell r="D21">
            <v>31.9</v>
          </cell>
          <cell r="E21">
            <v>29.56</v>
          </cell>
          <cell r="F21">
            <v>27.74</v>
          </cell>
          <cell r="G21">
            <v>25.59</v>
          </cell>
          <cell r="H21">
            <v>24.11</v>
          </cell>
          <cell r="I21">
            <v>22.45</v>
          </cell>
          <cell r="J21">
            <v>21.45</v>
          </cell>
          <cell r="K21">
            <v>20.16</v>
          </cell>
          <cell r="L21">
            <v>18.72</v>
          </cell>
          <cell r="M21">
            <v>16.87</v>
          </cell>
          <cell r="N21">
            <v>15.2</v>
          </cell>
          <cell r="O21">
            <v>14.37</v>
          </cell>
          <cell r="P21">
            <v>13.16</v>
          </cell>
          <cell r="Q21" t="str">
            <v/>
          </cell>
          <cell r="R21">
            <v>10.52</v>
          </cell>
          <cell r="S21">
            <v>9.68</v>
          </cell>
          <cell r="T21">
            <v>9.35</v>
          </cell>
        </row>
        <row r="22">
          <cell r="A22" t="str">
            <v>海南省</v>
          </cell>
          <cell r="B22">
            <v>6.09</v>
          </cell>
          <cell r="C22">
            <v>6.12</v>
          </cell>
          <cell r="D22">
            <v>6.14</v>
          </cell>
          <cell r="E22">
            <v>5.85</v>
          </cell>
          <cell r="F22">
            <v>4.9800000000000004</v>
          </cell>
          <cell r="G22">
            <v>4.4800000000000004</v>
          </cell>
          <cell r="H22">
            <v>4.2</v>
          </cell>
          <cell r="I22">
            <v>4.03</v>
          </cell>
          <cell r="J22">
            <v>3.87</v>
          </cell>
          <cell r="K22">
            <v>3.45</v>
          </cell>
          <cell r="L22">
            <v>3.21</v>
          </cell>
          <cell r="M22">
            <v>3.03</v>
          </cell>
          <cell r="N22">
            <v>2.85</v>
          </cell>
          <cell r="O22">
            <v>2.6</v>
          </cell>
          <cell r="P22">
            <v>2.35</v>
          </cell>
          <cell r="Q22" t="str">
            <v/>
          </cell>
          <cell r="R22">
            <v>2.08</v>
          </cell>
          <cell r="S22">
            <v>1.99</v>
          </cell>
          <cell r="T22">
            <v>1.87</v>
          </cell>
        </row>
        <row r="23">
          <cell r="A23" t="str">
            <v>重庆市</v>
          </cell>
          <cell r="B23">
            <v>25.56</v>
          </cell>
          <cell r="C23">
            <v>25.08</v>
          </cell>
          <cell r="D23">
            <v>24.07</v>
          </cell>
          <cell r="E23">
            <v>23.55</v>
          </cell>
          <cell r="F23">
            <v>23.18</v>
          </cell>
          <cell r="G23">
            <v>22.01</v>
          </cell>
          <cell r="H23">
            <v>20.64</v>
          </cell>
          <cell r="I23">
            <v>19.09</v>
          </cell>
          <cell r="J23">
            <v>17.649999999999999</v>
          </cell>
          <cell r="K23">
            <v>16.059999999999999</v>
          </cell>
          <cell r="L23">
            <v>14.74</v>
          </cell>
          <cell r="M23">
            <v>13.08</v>
          </cell>
          <cell r="N23">
            <v>11.56</v>
          </cell>
          <cell r="O23">
            <v>10.36</v>
          </cell>
          <cell r="P23">
            <v>9.27</v>
          </cell>
          <cell r="Q23" t="str">
            <v/>
          </cell>
          <cell r="R23">
            <v>7.46</v>
          </cell>
          <cell r="S23">
            <v>6.83</v>
          </cell>
          <cell r="T23">
            <v>6.42</v>
          </cell>
        </row>
        <row r="24">
          <cell r="A24" t="str">
            <v>四川省</v>
          </cell>
          <cell r="B24">
            <v>70.86</v>
          </cell>
          <cell r="C24">
            <v>68.39</v>
          </cell>
          <cell r="D24">
            <v>66.2</v>
          </cell>
          <cell r="E24">
            <v>64.98</v>
          </cell>
          <cell r="F24">
            <v>63.18</v>
          </cell>
          <cell r="G24">
            <v>59.89</v>
          </cell>
          <cell r="H24">
            <v>56.35</v>
          </cell>
          <cell r="I24">
            <v>51.92</v>
          </cell>
          <cell r="J24">
            <v>48.88</v>
          </cell>
          <cell r="K24">
            <v>45.96</v>
          </cell>
          <cell r="L24">
            <v>42.66</v>
          </cell>
          <cell r="M24">
            <v>39.01</v>
          </cell>
          <cell r="N24">
            <v>33.47</v>
          </cell>
          <cell r="O24">
            <v>30.12</v>
          </cell>
          <cell r="P24">
            <v>27.51</v>
          </cell>
          <cell r="Q24" t="str">
            <v/>
          </cell>
          <cell r="R24">
            <v>21.45</v>
          </cell>
          <cell r="S24">
            <v>20.03</v>
          </cell>
          <cell r="T24">
            <v>19.32</v>
          </cell>
        </row>
        <row r="25">
          <cell r="A25" t="str">
            <v>贵州省</v>
          </cell>
          <cell r="B25">
            <v>31.54</v>
          </cell>
          <cell r="C25">
            <v>30.97</v>
          </cell>
          <cell r="D25">
            <v>29.69</v>
          </cell>
          <cell r="E25">
            <v>27.64</v>
          </cell>
          <cell r="F25">
            <v>26.5</v>
          </cell>
          <cell r="G25">
            <v>24.56</v>
          </cell>
          <cell r="H25">
            <v>23.3</v>
          </cell>
          <cell r="I25">
            <v>21.03</v>
          </cell>
          <cell r="J25">
            <v>19.64</v>
          </cell>
          <cell r="K25">
            <v>18.22</v>
          </cell>
          <cell r="L25">
            <v>16.670000000000002</v>
          </cell>
          <cell r="M25">
            <v>13.92</v>
          </cell>
          <cell r="N25">
            <v>11.75</v>
          </cell>
          <cell r="O25">
            <v>10.53</v>
          </cell>
          <cell r="P25">
            <v>9.75</v>
          </cell>
          <cell r="Q25" t="str">
            <v/>
          </cell>
          <cell r="R25">
            <v>7.92</v>
          </cell>
          <cell r="S25">
            <v>6.62</v>
          </cell>
          <cell r="T25">
            <v>6.16</v>
          </cell>
        </row>
        <row r="26">
          <cell r="A26" t="str">
            <v>云南省</v>
          </cell>
          <cell r="B26">
            <v>35.99</v>
          </cell>
          <cell r="C26">
            <v>34.119999999999997</v>
          </cell>
          <cell r="D26">
            <v>33.03</v>
          </cell>
          <cell r="E26">
            <v>32.520000000000003</v>
          </cell>
          <cell r="F26">
            <v>31.19</v>
          </cell>
          <cell r="G26">
            <v>29.12</v>
          </cell>
          <cell r="H26">
            <v>27.48</v>
          </cell>
          <cell r="I26">
            <v>25.36</v>
          </cell>
          <cell r="J26">
            <v>23.76</v>
          </cell>
          <cell r="K26">
            <v>22.49</v>
          </cell>
          <cell r="L26">
            <v>21.01</v>
          </cell>
          <cell r="M26">
            <v>19.47</v>
          </cell>
          <cell r="N26">
            <v>17.34</v>
          </cell>
          <cell r="O26">
            <v>15.71</v>
          </cell>
          <cell r="P26">
            <v>14.02</v>
          </cell>
          <cell r="Q26" t="str">
            <v/>
          </cell>
          <cell r="R26">
            <v>11.9</v>
          </cell>
          <cell r="S26">
            <v>10.99</v>
          </cell>
          <cell r="T26">
            <v>10.63</v>
          </cell>
        </row>
        <row r="27">
          <cell r="A27" t="str">
            <v>西藏自治区</v>
          </cell>
          <cell r="B27">
            <v>2.16</v>
          </cell>
          <cell r="C27">
            <v>2</v>
          </cell>
          <cell r="D27">
            <v>1.97</v>
          </cell>
          <cell r="E27">
            <v>1.86</v>
          </cell>
          <cell r="F27">
            <v>1.71</v>
          </cell>
          <cell r="G27">
            <v>1.68</v>
          </cell>
          <cell r="H27">
            <v>1.61</v>
          </cell>
          <cell r="I27">
            <v>1.45</v>
          </cell>
          <cell r="J27">
            <v>1.4</v>
          </cell>
          <cell r="K27">
            <v>1.19</v>
          </cell>
          <cell r="L27">
            <v>1.1000000000000001</v>
          </cell>
          <cell r="M27">
            <v>0.84</v>
          </cell>
          <cell r="N27">
            <v>0.96</v>
          </cell>
          <cell r="O27">
            <v>0.88</v>
          </cell>
          <cell r="P27">
            <v>0.85</v>
          </cell>
          <cell r="Q27" t="str">
            <v/>
          </cell>
          <cell r="R27">
            <v>0.68</v>
          </cell>
          <cell r="S27">
            <v>0.75</v>
          </cell>
          <cell r="T27">
            <v>0.68</v>
          </cell>
        </row>
        <row r="28">
          <cell r="A28" t="str">
            <v>陕西省</v>
          </cell>
          <cell r="B28">
            <v>30.62</v>
          </cell>
          <cell r="C28">
            <v>28.96</v>
          </cell>
          <cell r="D28">
            <v>28.45</v>
          </cell>
          <cell r="E28">
            <v>27.24</v>
          </cell>
          <cell r="F28">
            <v>26.58</v>
          </cell>
          <cell r="G28">
            <v>25.37</v>
          </cell>
          <cell r="H28">
            <v>24.13</v>
          </cell>
          <cell r="I28">
            <v>22.54</v>
          </cell>
          <cell r="J28">
            <v>21.19</v>
          </cell>
          <cell r="K28">
            <v>19.940000000000001</v>
          </cell>
          <cell r="L28">
            <v>18.510000000000002</v>
          </cell>
          <cell r="M28">
            <v>16.920000000000002</v>
          </cell>
          <cell r="N28">
            <v>15.38</v>
          </cell>
          <cell r="O28">
            <v>14.23</v>
          </cell>
          <cell r="P28">
            <v>13.44</v>
          </cell>
          <cell r="Q28" t="str">
            <v/>
          </cell>
          <cell r="R28">
            <v>11.79</v>
          </cell>
          <cell r="S28">
            <v>11.09</v>
          </cell>
          <cell r="T28">
            <v>10.64</v>
          </cell>
        </row>
        <row r="29">
          <cell r="A29" t="str">
            <v>甘肃省</v>
          </cell>
          <cell r="B29">
            <v>20.399999999999999</v>
          </cell>
          <cell r="C29">
            <v>18.89</v>
          </cell>
          <cell r="D29">
            <v>18.32</v>
          </cell>
          <cell r="E29">
            <v>17.190000000000001</v>
          </cell>
          <cell r="F29">
            <v>18.12</v>
          </cell>
          <cell r="G29">
            <v>16.27</v>
          </cell>
          <cell r="H29">
            <v>14.66</v>
          </cell>
          <cell r="I29">
            <v>13.43</v>
          </cell>
          <cell r="J29">
            <v>12.77</v>
          </cell>
          <cell r="K29">
            <v>12.24</v>
          </cell>
          <cell r="L29">
            <v>11.61</v>
          </cell>
          <cell r="M29">
            <v>11.23</v>
          </cell>
          <cell r="N29">
            <v>9.49</v>
          </cell>
          <cell r="O29">
            <v>9.0399999999999991</v>
          </cell>
          <cell r="P29">
            <v>8.15</v>
          </cell>
          <cell r="Q29" t="str">
            <v/>
          </cell>
          <cell r="R29">
            <v>7.03</v>
          </cell>
          <cell r="S29">
            <v>6.6</v>
          </cell>
          <cell r="T29">
            <v>6.33</v>
          </cell>
        </row>
        <row r="30">
          <cell r="A30" t="str">
            <v>青海省</v>
          </cell>
          <cell r="B30">
            <v>4.57</v>
          </cell>
          <cell r="C30">
            <v>4.29</v>
          </cell>
          <cell r="D30">
            <v>4.22</v>
          </cell>
          <cell r="E30">
            <v>4.13</v>
          </cell>
          <cell r="F30">
            <v>4.1399999999999997</v>
          </cell>
          <cell r="G30">
            <v>3.91</v>
          </cell>
          <cell r="H30">
            <v>3.83</v>
          </cell>
          <cell r="I30">
            <v>3.47</v>
          </cell>
          <cell r="J30">
            <v>3.45</v>
          </cell>
          <cell r="K30">
            <v>3.3</v>
          </cell>
          <cell r="L30">
            <v>2.95</v>
          </cell>
          <cell r="M30">
            <v>2.6</v>
          </cell>
          <cell r="N30">
            <v>2.31</v>
          </cell>
          <cell r="O30">
            <v>2.0499999999999998</v>
          </cell>
          <cell r="P30">
            <v>1.92</v>
          </cell>
          <cell r="Q30" t="str">
            <v/>
          </cell>
          <cell r="R30">
            <v>1.61</v>
          </cell>
          <cell r="S30">
            <v>1.55</v>
          </cell>
          <cell r="T30">
            <v>1.51</v>
          </cell>
        </row>
        <row r="31">
          <cell r="A31" t="str">
            <v>宁夏回族自治区</v>
          </cell>
          <cell r="B31">
            <v>4.3499999999999996</v>
          </cell>
          <cell r="C31">
            <v>4.18</v>
          </cell>
          <cell r="D31">
            <v>4.12</v>
          </cell>
          <cell r="E31">
            <v>4.13</v>
          </cell>
          <cell r="F31">
            <v>4.0999999999999996</v>
          </cell>
          <cell r="G31">
            <v>4.0999999999999996</v>
          </cell>
          <cell r="H31">
            <v>3.98</v>
          </cell>
          <cell r="I31">
            <v>3.63</v>
          </cell>
          <cell r="J31">
            <v>3.38</v>
          </cell>
          <cell r="K31">
            <v>3.25</v>
          </cell>
          <cell r="L31">
            <v>3.11</v>
          </cell>
          <cell r="M31">
            <v>2.78</v>
          </cell>
          <cell r="N31">
            <v>2.58</v>
          </cell>
          <cell r="O31">
            <v>2.37</v>
          </cell>
          <cell r="P31">
            <v>2.21</v>
          </cell>
          <cell r="Q31" t="str">
            <v/>
          </cell>
          <cell r="R31">
            <v>1.89</v>
          </cell>
          <cell r="S31">
            <v>1.83</v>
          </cell>
          <cell r="T31">
            <v>1.78</v>
          </cell>
        </row>
        <row r="32">
          <cell r="A32" t="str">
            <v>新疆维吾尔自治区</v>
          </cell>
          <cell r="B32">
            <v>19.75</v>
          </cell>
          <cell r="C32">
            <v>17.96</v>
          </cell>
          <cell r="D32">
            <v>18.61</v>
          </cell>
          <cell r="E32">
            <v>18.149999999999999</v>
          </cell>
          <cell r="F32">
            <v>18.64</v>
          </cell>
          <cell r="G32">
            <v>17.89</v>
          </cell>
          <cell r="H32">
            <v>16.760000000000002</v>
          </cell>
          <cell r="I32">
            <v>15.69</v>
          </cell>
          <cell r="J32">
            <v>15.03</v>
          </cell>
          <cell r="K32">
            <v>14.3</v>
          </cell>
          <cell r="L32">
            <v>13.73</v>
          </cell>
          <cell r="M32">
            <v>13.16</v>
          </cell>
          <cell r="N32">
            <v>12.54</v>
          </cell>
          <cell r="O32">
            <v>11.62</v>
          </cell>
          <cell r="P32">
            <v>10.72</v>
          </cell>
          <cell r="Q32" t="str">
            <v/>
          </cell>
          <cell r="R32">
            <v>9.0299999999999994</v>
          </cell>
          <cell r="S32">
            <v>8.33</v>
          </cell>
          <cell r="T32">
            <v>7.94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143</v>
          </cell>
          <cell r="C2">
            <v>135</v>
          </cell>
          <cell r="D2">
            <v>132</v>
          </cell>
          <cell r="E2">
            <v>126</v>
          </cell>
          <cell r="F2">
            <v>126</v>
          </cell>
          <cell r="G2">
            <v>119</v>
          </cell>
          <cell r="H2">
            <v>113</v>
          </cell>
          <cell r="I2">
            <v>108</v>
          </cell>
          <cell r="J2">
            <v>104</v>
          </cell>
          <cell r="K2">
            <v>99</v>
          </cell>
          <cell r="L2">
            <v>155</v>
          </cell>
          <cell r="M2">
            <v>95</v>
          </cell>
          <cell r="N2">
            <v>142</v>
          </cell>
          <cell r="O2">
            <v>136</v>
          </cell>
          <cell r="P2">
            <v>129</v>
          </cell>
          <cell r="Q2">
            <v>122</v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98</v>
          </cell>
          <cell r="C3">
            <v>91</v>
          </cell>
          <cell r="D3">
            <v>89</v>
          </cell>
          <cell r="E3">
            <v>82</v>
          </cell>
          <cell r="F3">
            <v>70</v>
          </cell>
          <cell r="G3">
            <v>67</v>
          </cell>
          <cell r="H3">
            <v>65</v>
          </cell>
          <cell r="I3">
            <v>61</v>
          </cell>
          <cell r="J3">
            <v>59</v>
          </cell>
          <cell r="K3">
            <v>56</v>
          </cell>
          <cell r="L3">
            <v>81</v>
          </cell>
          <cell r="M3">
            <v>55</v>
          </cell>
          <cell r="N3">
            <v>73</v>
          </cell>
          <cell r="O3">
            <v>71</v>
          </cell>
          <cell r="P3">
            <v>69</v>
          </cell>
          <cell r="Q3">
            <v>67</v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87</v>
          </cell>
          <cell r="C4">
            <v>79</v>
          </cell>
          <cell r="D4">
            <v>75</v>
          </cell>
          <cell r="E4">
            <v>70</v>
          </cell>
          <cell r="F4">
            <v>65</v>
          </cell>
          <cell r="G4">
            <v>61</v>
          </cell>
          <cell r="H4">
            <v>57</v>
          </cell>
          <cell r="I4">
            <v>53</v>
          </cell>
          <cell r="J4">
            <v>50</v>
          </cell>
          <cell r="K4">
            <v>48</v>
          </cell>
          <cell r="L4">
            <v>44</v>
          </cell>
          <cell r="M4">
            <v>43</v>
          </cell>
          <cell r="N4">
            <v>41</v>
          </cell>
          <cell r="O4">
            <v>40</v>
          </cell>
          <cell r="P4">
            <v>37</v>
          </cell>
          <cell r="Q4">
            <v>35</v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86</v>
          </cell>
          <cell r="C5">
            <v>82</v>
          </cell>
          <cell r="D5">
            <v>81</v>
          </cell>
          <cell r="E5">
            <v>77</v>
          </cell>
          <cell r="F5">
            <v>69</v>
          </cell>
          <cell r="G5">
            <v>66</v>
          </cell>
          <cell r="H5">
            <v>63</v>
          </cell>
          <cell r="I5">
            <v>61</v>
          </cell>
          <cell r="J5">
            <v>58</v>
          </cell>
          <cell r="K5">
            <v>57</v>
          </cell>
          <cell r="L5">
            <v>58</v>
          </cell>
          <cell r="M5">
            <v>55</v>
          </cell>
          <cell r="N5">
            <v>55</v>
          </cell>
          <cell r="O5">
            <v>56</v>
          </cell>
          <cell r="P5">
            <v>54</v>
          </cell>
          <cell r="Q5">
            <v>47</v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98</v>
          </cell>
          <cell r="C6">
            <v>90</v>
          </cell>
          <cell r="D6">
            <v>88</v>
          </cell>
          <cell r="E6">
            <v>84</v>
          </cell>
          <cell r="F6">
            <v>77</v>
          </cell>
          <cell r="G6">
            <v>74</v>
          </cell>
          <cell r="H6">
            <v>71</v>
          </cell>
          <cell r="I6">
            <v>68</v>
          </cell>
          <cell r="J6">
            <v>65</v>
          </cell>
          <cell r="K6">
            <v>62</v>
          </cell>
          <cell r="L6">
            <v>60</v>
          </cell>
          <cell r="M6">
            <v>56</v>
          </cell>
          <cell r="N6">
            <v>53</v>
          </cell>
          <cell r="O6">
            <v>51</v>
          </cell>
          <cell r="P6">
            <v>55</v>
          </cell>
          <cell r="Q6">
            <v>45</v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86</v>
          </cell>
          <cell r="C7">
            <v>81</v>
          </cell>
          <cell r="D7">
            <v>79</v>
          </cell>
          <cell r="E7">
            <v>74</v>
          </cell>
          <cell r="F7">
            <v>71</v>
          </cell>
          <cell r="G7">
            <v>70</v>
          </cell>
          <cell r="H7">
            <v>67</v>
          </cell>
          <cell r="I7">
            <v>63</v>
          </cell>
          <cell r="J7">
            <v>60</v>
          </cell>
          <cell r="K7">
            <v>58</v>
          </cell>
          <cell r="L7">
            <v>60</v>
          </cell>
          <cell r="M7">
            <v>56</v>
          </cell>
          <cell r="N7">
            <v>55</v>
          </cell>
          <cell r="O7">
            <v>55</v>
          </cell>
          <cell r="P7">
            <v>53</v>
          </cell>
          <cell r="Q7">
            <v>51</v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99</v>
          </cell>
          <cell r="C8">
            <v>93</v>
          </cell>
          <cell r="D8">
            <v>92</v>
          </cell>
          <cell r="E8">
            <v>88</v>
          </cell>
          <cell r="F8">
            <v>70</v>
          </cell>
          <cell r="G8">
            <v>68</v>
          </cell>
          <cell r="H8">
            <v>62</v>
          </cell>
          <cell r="I8">
            <v>61</v>
          </cell>
          <cell r="J8">
            <v>58</v>
          </cell>
          <cell r="K8">
            <v>55</v>
          </cell>
          <cell r="L8">
            <v>54</v>
          </cell>
          <cell r="M8">
            <v>52</v>
          </cell>
          <cell r="N8">
            <v>51</v>
          </cell>
          <cell r="O8">
            <v>51</v>
          </cell>
          <cell r="P8">
            <v>49</v>
          </cell>
          <cell r="Q8">
            <v>47</v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87</v>
          </cell>
          <cell r="C9">
            <v>82</v>
          </cell>
          <cell r="D9">
            <v>80</v>
          </cell>
          <cell r="E9">
            <v>76</v>
          </cell>
          <cell r="F9">
            <v>63</v>
          </cell>
          <cell r="G9">
            <v>61</v>
          </cell>
          <cell r="H9">
            <v>61</v>
          </cell>
          <cell r="I9">
            <v>58</v>
          </cell>
          <cell r="J9">
            <v>56</v>
          </cell>
          <cell r="K9">
            <v>55</v>
          </cell>
          <cell r="L9">
            <v>55</v>
          </cell>
          <cell r="M9">
            <v>52</v>
          </cell>
          <cell r="N9">
            <v>51</v>
          </cell>
          <cell r="O9">
            <v>50</v>
          </cell>
          <cell r="P9">
            <v>46</v>
          </cell>
          <cell r="Q9">
            <v>42</v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99</v>
          </cell>
          <cell r="C10">
            <v>95</v>
          </cell>
          <cell r="D10">
            <v>92</v>
          </cell>
          <cell r="E10">
            <v>86</v>
          </cell>
          <cell r="F10">
            <v>84</v>
          </cell>
          <cell r="G10">
            <v>81</v>
          </cell>
          <cell r="H10">
            <v>77</v>
          </cell>
          <cell r="I10">
            <v>74</v>
          </cell>
          <cell r="J10">
            <v>70</v>
          </cell>
          <cell r="K10">
            <v>68</v>
          </cell>
          <cell r="L10">
            <v>110</v>
          </cell>
          <cell r="M10">
            <v>62</v>
          </cell>
          <cell r="N10">
            <v>99</v>
          </cell>
          <cell r="O10">
            <v>97</v>
          </cell>
          <cell r="P10">
            <v>95</v>
          </cell>
          <cell r="Q10">
            <v>92</v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87</v>
          </cell>
          <cell r="C11">
            <v>84</v>
          </cell>
          <cell r="D11">
            <v>81</v>
          </cell>
          <cell r="E11">
            <v>79</v>
          </cell>
          <cell r="F11">
            <v>78</v>
          </cell>
          <cell r="G11">
            <v>73</v>
          </cell>
          <cell r="H11">
            <v>68</v>
          </cell>
          <cell r="I11">
            <v>65</v>
          </cell>
          <cell r="J11">
            <v>61</v>
          </cell>
          <cell r="K11">
            <v>58</v>
          </cell>
          <cell r="L11">
            <v>56</v>
          </cell>
          <cell r="M11">
            <v>50</v>
          </cell>
          <cell r="N11">
            <v>47</v>
          </cell>
          <cell r="O11">
            <v>44</v>
          </cell>
          <cell r="P11">
            <v>42</v>
          </cell>
          <cell r="Q11">
            <v>39</v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100</v>
          </cell>
          <cell r="C12">
            <v>93</v>
          </cell>
          <cell r="D12">
            <v>89</v>
          </cell>
          <cell r="E12">
            <v>85</v>
          </cell>
          <cell r="F12">
            <v>89</v>
          </cell>
          <cell r="G12">
            <v>85</v>
          </cell>
          <cell r="H12">
            <v>81</v>
          </cell>
          <cell r="I12">
            <v>77</v>
          </cell>
          <cell r="J12">
            <v>73</v>
          </cell>
          <cell r="K12">
            <v>68</v>
          </cell>
          <cell r="L12">
            <v>73</v>
          </cell>
          <cell r="M12">
            <v>60</v>
          </cell>
          <cell r="N12">
            <v>64</v>
          </cell>
          <cell r="O12">
            <v>61</v>
          </cell>
          <cell r="P12">
            <v>56</v>
          </cell>
          <cell r="Q12">
            <v>52</v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83</v>
          </cell>
          <cell r="C13">
            <v>77</v>
          </cell>
          <cell r="D13">
            <v>71</v>
          </cell>
          <cell r="E13">
            <v>68</v>
          </cell>
          <cell r="F13">
            <v>57</v>
          </cell>
          <cell r="G13">
            <v>53</v>
          </cell>
          <cell r="H13">
            <v>50</v>
          </cell>
          <cell r="I13">
            <v>47</v>
          </cell>
          <cell r="J13">
            <v>46</v>
          </cell>
          <cell r="K13">
            <v>44</v>
          </cell>
          <cell r="L13">
            <v>37</v>
          </cell>
          <cell r="M13">
            <v>39</v>
          </cell>
          <cell r="N13">
            <v>32</v>
          </cell>
          <cell r="O13">
            <v>31</v>
          </cell>
          <cell r="P13">
            <v>31</v>
          </cell>
          <cell r="Q13">
            <v>28</v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78</v>
          </cell>
          <cell r="C14">
            <v>74</v>
          </cell>
          <cell r="D14">
            <v>70</v>
          </cell>
          <cell r="E14">
            <v>67</v>
          </cell>
          <cell r="F14">
            <v>66</v>
          </cell>
          <cell r="G14">
            <v>63</v>
          </cell>
          <cell r="H14">
            <v>59</v>
          </cell>
          <cell r="I14">
            <v>57</v>
          </cell>
          <cell r="J14">
            <v>55</v>
          </cell>
          <cell r="K14">
            <v>54</v>
          </cell>
          <cell r="L14">
            <v>54</v>
          </cell>
          <cell r="M14">
            <v>47</v>
          </cell>
          <cell r="N14">
            <v>45</v>
          </cell>
          <cell r="O14">
            <v>41</v>
          </cell>
          <cell r="P14">
            <v>37</v>
          </cell>
          <cell r="Q14">
            <v>30</v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80</v>
          </cell>
          <cell r="C15">
            <v>69</v>
          </cell>
          <cell r="D15">
            <v>68</v>
          </cell>
          <cell r="E15">
            <v>63</v>
          </cell>
          <cell r="F15">
            <v>57</v>
          </cell>
          <cell r="G15">
            <v>53</v>
          </cell>
          <cell r="H15">
            <v>51</v>
          </cell>
          <cell r="I15">
            <v>48</v>
          </cell>
          <cell r="J15">
            <v>46</v>
          </cell>
          <cell r="K15">
            <v>44</v>
          </cell>
          <cell r="L15">
            <v>39</v>
          </cell>
          <cell r="M15">
            <v>40</v>
          </cell>
          <cell r="N15">
            <v>35</v>
          </cell>
          <cell r="O15">
            <v>34</v>
          </cell>
          <cell r="P15">
            <v>33</v>
          </cell>
          <cell r="Q15">
            <v>31</v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92</v>
          </cell>
          <cell r="C16">
            <v>86</v>
          </cell>
          <cell r="D16">
            <v>84</v>
          </cell>
          <cell r="E16">
            <v>80</v>
          </cell>
          <cell r="F16">
            <v>78</v>
          </cell>
          <cell r="G16">
            <v>74</v>
          </cell>
          <cell r="H16">
            <v>69</v>
          </cell>
          <cell r="I16">
            <v>65</v>
          </cell>
          <cell r="J16">
            <v>63</v>
          </cell>
          <cell r="K16">
            <v>62</v>
          </cell>
          <cell r="L16">
            <v>62</v>
          </cell>
          <cell r="M16">
            <v>55</v>
          </cell>
          <cell r="N16">
            <v>50</v>
          </cell>
          <cell r="O16">
            <v>47</v>
          </cell>
          <cell r="P16">
            <v>44</v>
          </cell>
          <cell r="Q16">
            <v>40</v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88</v>
          </cell>
          <cell r="C17">
            <v>82</v>
          </cell>
          <cell r="D17">
            <v>77</v>
          </cell>
          <cell r="E17">
            <v>71</v>
          </cell>
          <cell r="F17">
            <v>68</v>
          </cell>
          <cell r="G17">
            <v>65</v>
          </cell>
          <cell r="H17">
            <v>61</v>
          </cell>
          <cell r="I17">
            <v>57</v>
          </cell>
          <cell r="J17">
            <v>55</v>
          </cell>
          <cell r="K17">
            <v>52</v>
          </cell>
          <cell r="L17">
            <v>42</v>
          </cell>
          <cell r="M17">
            <v>46</v>
          </cell>
          <cell r="N17">
            <v>36</v>
          </cell>
          <cell r="O17">
            <v>35</v>
          </cell>
          <cell r="P17">
            <v>34</v>
          </cell>
          <cell r="Q17">
            <v>29</v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85</v>
          </cell>
          <cell r="C18">
            <v>80</v>
          </cell>
          <cell r="D18">
            <v>78</v>
          </cell>
          <cell r="E18">
            <v>74</v>
          </cell>
          <cell r="F18">
            <v>70</v>
          </cell>
          <cell r="G18">
            <v>69</v>
          </cell>
          <cell r="H18">
            <v>68</v>
          </cell>
          <cell r="I18">
            <v>65</v>
          </cell>
          <cell r="J18">
            <v>63</v>
          </cell>
          <cell r="K18">
            <v>58</v>
          </cell>
          <cell r="L18">
            <v>50</v>
          </cell>
          <cell r="M18">
            <v>50</v>
          </cell>
          <cell r="N18">
            <v>43</v>
          </cell>
          <cell r="O18">
            <v>42</v>
          </cell>
          <cell r="P18">
            <v>40</v>
          </cell>
          <cell r="Q18">
            <v>38</v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87</v>
          </cell>
          <cell r="C19">
            <v>79</v>
          </cell>
          <cell r="D19">
            <v>76</v>
          </cell>
          <cell r="E19">
            <v>75</v>
          </cell>
          <cell r="F19">
            <v>73</v>
          </cell>
          <cell r="G19">
            <v>63</v>
          </cell>
          <cell r="H19">
            <v>61</v>
          </cell>
          <cell r="I19">
            <v>58</v>
          </cell>
          <cell r="J19">
            <v>55</v>
          </cell>
          <cell r="K19">
            <v>51</v>
          </cell>
          <cell r="L19">
            <v>45</v>
          </cell>
          <cell r="M19">
            <v>45</v>
          </cell>
          <cell r="N19">
            <v>40</v>
          </cell>
          <cell r="O19">
            <v>38</v>
          </cell>
          <cell r="P19">
            <v>36</v>
          </cell>
          <cell r="Q19">
            <v>33</v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77</v>
          </cell>
          <cell r="C20">
            <v>72</v>
          </cell>
          <cell r="D20">
            <v>69</v>
          </cell>
          <cell r="E20">
            <v>66</v>
          </cell>
          <cell r="F20">
            <v>69</v>
          </cell>
          <cell r="G20">
            <v>67</v>
          </cell>
          <cell r="H20">
            <v>63</v>
          </cell>
          <cell r="I20">
            <v>60</v>
          </cell>
          <cell r="J20">
            <v>57</v>
          </cell>
          <cell r="K20">
            <v>54</v>
          </cell>
          <cell r="L20">
            <v>63</v>
          </cell>
          <cell r="M20">
            <v>49</v>
          </cell>
          <cell r="N20">
            <v>56</v>
          </cell>
          <cell r="O20">
            <v>53</v>
          </cell>
          <cell r="P20">
            <v>50</v>
          </cell>
          <cell r="Q20">
            <v>46</v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86</v>
          </cell>
          <cell r="C21">
            <v>82</v>
          </cell>
          <cell r="D21">
            <v>78</v>
          </cell>
          <cell r="E21">
            <v>74</v>
          </cell>
          <cell r="F21">
            <v>69</v>
          </cell>
          <cell r="G21">
            <v>65</v>
          </cell>
          <cell r="H21">
            <v>62</v>
          </cell>
          <cell r="I21">
            <v>60</v>
          </cell>
          <cell r="J21">
            <v>57</v>
          </cell>
          <cell r="K21">
            <v>54</v>
          </cell>
          <cell r="L21">
            <v>44</v>
          </cell>
          <cell r="M21">
            <v>47</v>
          </cell>
          <cell r="N21">
            <v>38</v>
          </cell>
          <cell r="O21">
            <v>36</v>
          </cell>
          <cell r="P21">
            <v>33</v>
          </cell>
          <cell r="Q21">
            <v>30</v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83</v>
          </cell>
          <cell r="C22">
            <v>81</v>
          </cell>
          <cell r="D22">
            <v>79</v>
          </cell>
          <cell r="E22">
            <v>74</v>
          </cell>
          <cell r="F22">
            <v>72</v>
          </cell>
          <cell r="G22">
            <v>68</v>
          </cell>
          <cell r="H22">
            <v>65</v>
          </cell>
          <cell r="I22">
            <v>63</v>
          </cell>
          <cell r="J22">
            <v>60</v>
          </cell>
          <cell r="K22">
            <v>56</v>
          </cell>
          <cell r="L22">
            <v>53</v>
          </cell>
          <cell r="M22">
            <v>51</v>
          </cell>
          <cell r="N22">
            <v>48</v>
          </cell>
          <cell r="O22">
            <v>44</v>
          </cell>
          <cell r="P22">
            <v>43</v>
          </cell>
          <cell r="Q22">
            <v>39</v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</v>
          </cell>
          <cell r="C23">
            <v>79</v>
          </cell>
          <cell r="D23">
            <v>77</v>
          </cell>
          <cell r="E23">
            <v>74</v>
          </cell>
          <cell r="F23">
            <v>72</v>
          </cell>
          <cell r="G23">
            <v>67</v>
          </cell>
          <cell r="H23">
            <v>62</v>
          </cell>
          <cell r="I23">
            <v>59</v>
          </cell>
          <cell r="J23">
            <v>55</v>
          </cell>
          <cell r="K23">
            <v>52</v>
          </cell>
          <cell r="L23">
            <v>42</v>
          </cell>
          <cell r="M23">
            <v>45</v>
          </cell>
          <cell r="N23">
            <v>36</v>
          </cell>
          <cell r="O23">
            <v>34</v>
          </cell>
          <cell r="P23">
            <v>31</v>
          </cell>
          <cell r="Q23">
            <v>27</v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89</v>
          </cell>
          <cell r="C24">
            <v>83</v>
          </cell>
          <cell r="D24">
            <v>80</v>
          </cell>
          <cell r="E24">
            <v>76</v>
          </cell>
          <cell r="F24">
            <v>72</v>
          </cell>
          <cell r="G24">
            <v>67</v>
          </cell>
          <cell r="H24">
            <v>64</v>
          </cell>
          <cell r="I24">
            <v>60</v>
          </cell>
          <cell r="J24">
            <v>58</v>
          </cell>
          <cell r="K24">
            <v>56</v>
          </cell>
          <cell r="L24">
            <v>47</v>
          </cell>
          <cell r="M24">
            <v>48</v>
          </cell>
          <cell r="N24">
            <v>39</v>
          </cell>
          <cell r="O24">
            <v>36</v>
          </cell>
          <cell r="P24">
            <v>34</v>
          </cell>
          <cell r="Q24">
            <v>30</v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92</v>
          </cell>
          <cell r="C25">
            <v>83</v>
          </cell>
          <cell r="D25">
            <v>80</v>
          </cell>
          <cell r="E25">
            <v>75</v>
          </cell>
          <cell r="F25">
            <v>74</v>
          </cell>
          <cell r="G25">
            <v>68</v>
          </cell>
          <cell r="H25">
            <v>63</v>
          </cell>
          <cell r="I25">
            <v>58</v>
          </cell>
          <cell r="J25">
            <v>53</v>
          </cell>
          <cell r="K25">
            <v>48</v>
          </cell>
          <cell r="L25">
            <v>36</v>
          </cell>
          <cell r="M25">
            <v>37</v>
          </cell>
          <cell r="N25">
            <v>27</v>
          </cell>
          <cell r="O25">
            <v>25</v>
          </cell>
          <cell r="P25">
            <v>24</v>
          </cell>
          <cell r="Q25">
            <v>22</v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91</v>
          </cell>
          <cell r="C26">
            <v>85</v>
          </cell>
          <cell r="D26">
            <v>81</v>
          </cell>
          <cell r="E26">
            <v>78</v>
          </cell>
          <cell r="F26">
            <v>70</v>
          </cell>
          <cell r="G26">
            <v>62</v>
          </cell>
          <cell r="H26">
            <v>59</v>
          </cell>
          <cell r="I26">
            <v>52</v>
          </cell>
          <cell r="J26">
            <v>48</v>
          </cell>
          <cell r="K26">
            <v>44</v>
          </cell>
          <cell r="L26">
            <v>42</v>
          </cell>
          <cell r="M26">
            <v>36</v>
          </cell>
          <cell r="N26">
            <v>33</v>
          </cell>
          <cell r="O26">
            <v>32</v>
          </cell>
          <cell r="P26">
            <v>30</v>
          </cell>
          <cell r="Q26">
            <v>29</v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81</v>
          </cell>
          <cell r="C27">
            <v>73</v>
          </cell>
          <cell r="D27">
            <v>70</v>
          </cell>
          <cell r="E27">
            <v>62</v>
          </cell>
          <cell r="F27">
            <v>60</v>
          </cell>
          <cell r="G27">
            <v>55</v>
          </cell>
          <cell r="H27">
            <v>49</v>
          </cell>
          <cell r="I27">
            <v>45</v>
          </cell>
          <cell r="J27">
            <v>44</v>
          </cell>
          <cell r="K27">
            <v>41</v>
          </cell>
          <cell r="L27">
            <v>37</v>
          </cell>
          <cell r="M27">
            <v>30</v>
          </cell>
          <cell r="N27">
            <v>36</v>
          </cell>
          <cell r="O27">
            <v>34</v>
          </cell>
          <cell r="P27">
            <v>35</v>
          </cell>
          <cell r="Q27">
            <v>34</v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99</v>
          </cell>
          <cell r="C28">
            <v>96</v>
          </cell>
          <cell r="D28">
            <v>93</v>
          </cell>
          <cell r="E28">
            <v>92</v>
          </cell>
          <cell r="F28">
            <v>91</v>
          </cell>
          <cell r="G28">
            <v>85</v>
          </cell>
          <cell r="H28">
            <v>81</v>
          </cell>
          <cell r="I28">
            <v>76</v>
          </cell>
          <cell r="J28">
            <v>70</v>
          </cell>
          <cell r="K28">
            <v>67</v>
          </cell>
          <cell r="L28">
            <v>60</v>
          </cell>
          <cell r="M28">
            <v>58</v>
          </cell>
          <cell r="N28">
            <v>50</v>
          </cell>
          <cell r="O28">
            <v>47</v>
          </cell>
          <cell r="P28">
            <v>45</v>
          </cell>
          <cell r="Q28">
            <v>39</v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90</v>
          </cell>
          <cell r="C29">
            <v>83</v>
          </cell>
          <cell r="D29">
            <v>81</v>
          </cell>
          <cell r="E29">
            <v>72</v>
          </cell>
          <cell r="F29">
            <v>68</v>
          </cell>
          <cell r="G29">
            <v>60</v>
          </cell>
          <cell r="H29">
            <v>56</v>
          </cell>
          <cell r="I29">
            <v>52</v>
          </cell>
          <cell r="J29">
            <v>50</v>
          </cell>
          <cell r="K29">
            <v>49</v>
          </cell>
          <cell r="L29">
            <v>43</v>
          </cell>
          <cell r="M29">
            <v>43</v>
          </cell>
          <cell r="N29">
            <v>39</v>
          </cell>
          <cell r="O29">
            <v>37</v>
          </cell>
          <cell r="P29">
            <v>34</v>
          </cell>
          <cell r="Q29">
            <v>33</v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98</v>
          </cell>
          <cell r="C30">
            <v>88</v>
          </cell>
          <cell r="D30">
            <v>87</v>
          </cell>
          <cell r="E30">
            <v>83</v>
          </cell>
          <cell r="F30">
            <v>78</v>
          </cell>
          <cell r="G30">
            <v>74</v>
          </cell>
          <cell r="H30">
            <v>70</v>
          </cell>
          <cell r="I30">
            <v>62</v>
          </cell>
          <cell r="J30">
            <v>60</v>
          </cell>
          <cell r="K30">
            <v>58</v>
          </cell>
          <cell r="L30">
            <v>57</v>
          </cell>
          <cell r="M30">
            <v>51</v>
          </cell>
          <cell r="N30">
            <v>49</v>
          </cell>
          <cell r="O30">
            <v>45</v>
          </cell>
          <cell r="P30">
            <v>44</v>
          </cell>
          <cell r="Q30">
            <v>41</v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90</v>
          </cell>
          <cell r="C31">
            <v>85</v>
          </cell>
          <cell r="D31">
            <v>84</v>
          </cell>
          <cell r="E31">
            <v>81</v>
          </cell>
          <cell r="F31">
            <v>80</v>
          </cell>
          <cell r="G31">
            <v>77</v>
          </cell>
          <cell r="H31">
            <v>73</v>
          </cell>
          <cell r="I31">
            <v>66</v>
          </cell>
          <cell r="J31">
            <v>62</v>
          </cell>
          <cell r="K31">
            <v>60</v>
          </cell>
          <cell r="L31">
            <v>56</v>
          </cell>
          <cell r="M31">
            <v>53</v>
          </cell>
          <cell r="N31">
            <v>49</v>
          </cell>
          <cell r="O31">
            <v>47</v>
          </cell>
          <cell r="P31">
            <v>45</v>
          </cell>
          <cell r="Q31">
            <v>42</v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91</v>
          </cell>
          <cell r="C32">
            <v>80</v>
          </cell>
          <cell r="D32">
            <v>77</v>
          </cell>
          <cell r="E32">
            <v>74</v>
          </cell>
          <cell r="F32">
            <v>74</v>
          </cell>
          <cell r="G32">
            <v>71</v>
          </cell>
          <cell r="H32">
            <v>71</v>
          </cell>
          <cell r="I32">
            <v>71</v>
          </cell>
          <cell r="J32">
            <v>69</v>
          </cell>
          <cell r="K32">
            <v>67</v>
          </cell>
          <cell r="L32">
            <v>64</v>
          </cell>
          <cell r="M32">
            <v>61</v>
          </cell>
          <cell r="N32">
            <v>59</v>
          </cell>
          <cell r="O32">
            <v>57</v>
          </cell>
          <cell r="P32">
            <v>55</v>
          </cell>
          <cell r="Q32">
            <v>51</v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注：分母系常住人口数。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8.6</v>
          </cell>
          <cell r="C2">
            <v>8.8000000000000007</v>
          </cell>
          <cell r="D2">
            <v>8.9</v>
          </cell>
          <cell r="E2">
            <v>9.9</v>
          </cell>
          <cell r="F2">
            <v>9</v>
          </cell>
          <cell r="G2">
            <v>10.1</v>
          </cell>
          <cell r="H2">
            <v>10.08</v>
          </cell>
          <cell r="I2">
            <v>10.49</v>
          </cell>
          <cell r="J2">
            <v>10.9</v>
          </cell>
          <cell r="K2">
            <v>10.99</v>
          </cell>
          <cell r="L2">
            <v>11.9</v>
          </cell>
          <cell r="M2">
            <v>12.83</v>
          </cell>
          <cell r="N2">
            <v>14.51</v>
          </cell>
          <cell r="O2">
            <v>16.18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7.7</v>
          </cell>
          <cell r="C3">
            <v>8</v>
          </cell>
          <cell r="D3">
            <v>8.4</v>
          </cell>
          <cell r="E3">
            <v>9.6</v>
          </cell>
          <cell r="F3">
            <v>9.4</v>
          </cell>
          <cell r="G3">
            <v>9.1999999999999993</v>
          </cell>
          <cell r="H3">
            <v>10.06</v>
          </cell>
          <cell r="I3">
            <v>10.28</v>
          </cell>
          <cell r="J3">
            <v>10.9</v>
          </cell>
          <cell r="K3">
            <v>10.87</v>
          </cell>
          <cell r="L3">
            <v>11.23</v>
          </cell>
          <cell r="M3">
            <v>11.02</v>
          </cell>
          <cell r="N3">
            <v>11.83</v>
          </cell>
          <cell r="O3">
            <v>12.56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8.6999999999999993</v>
          </cell>
          <cell r="C4">
            <v>9.1</v>
          </cell>
          <cell r="D4">
            <v>9.1999999999999993</v>
          </cell>
          <cell r="E4">
            <v>9.3000000000000007</v>
          </cell>
          <cell r="F4">
            <v>9</v>
          </cell>
          <cell r="G4">
            <v>9</v>
          </cell>
          <cell r="H4">
            <v>8.7899999999999991</v>
          </cell>
          <cell r="I4">
            <v>8.7899999999999991</v>
          </cell>
          <cell r="J4">
            <v>9.1</v>
          </cell>
          <cell r="K4">
            <v>9.0399999999999991</v>
          </cell>
          <cell r="L4">
            <v>9.25</v>
          </cell>
          <cell r="M4">
            <v>9.1</v>
          </cell>
          <cell r="N4">
            <v>9.2799999999999994</v>
          </cell>
          <cell r="O4">
            <v>9.36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9.6</v>
          </cell>
          <cell r="C5">
            <v>10.1</v>
          </cell>
          <cell r="D5">
            <v>10.3</v>
          </cell>
          <cell r="E5">
            <v>10.3</v>
          </cell>
          <cell r="F5">
            <v>10.3</v>
          </cell>
          <cell r="G5">
            <v>10.5</v>
          </cell>
          <cell r="H5">
            <v>10.44</v>
          </cell>
          <cell r="I5">
            <v>10.49</v>
          </cell>
          <cell r="J5">
            <v>10.8</v>
          </cell>
          <cell r="K5">
            <v>10.79</v>
          </cell>
          <cell r="L5">
            <v>11.08</v>
          </cell>
          <cell r="M5">
            <v>11.22</v>
          </cell>
          <cell r="N5">
            <v>11.77</v>
          </cell>
          <cell r="O5">
            <v>11.56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8.6999999999999993</v>
          </cell>
          <cell r="C6">
            <v>9.1</v>
          </cell>
          <cell r="D6">
            <v>9.4</v>
          </cell>
          <cell r="E6">
            <v>9.6</v>
          </cell>
          <cell r="F6">
            <v>9.3000000000000007</v>
          </cell>
          <cell r="G6">
            <v>9.6</v>
          </cell>
          <cell r="H6">
            <v>9.82</v>
          </cell>
          <cell r="I6">
            <v>9.8800000000000008</v>
          </cell>
          <cell r="J6">
            <v>10.1</v>
          </cell>
          <cell r="K6">
            <v>9.9</v>
          </cell>
          <cell r="L6">
            <v>10.16</v>
          </cell>
          <cell r="M6">
            <v>10.62</v>
          </cell>
          <cell r="N6">
            <v>10.9</v>
          </cell>
          <cell r="O6">
            <v>10.97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9.4</v>
          </cell>
          <cell r="C7">
            <v>9.6</v>
          </cell>
          <cell r="D7">
            <v>10.1</v>
          </cell>
          <cell r="E7">
            <v>10.4</v>
          </cell>
          <cell r="F7">
            <v>10</v>
          </cell>
          <cell r="G7">
            <v>10.3</v>
          </cell>
          <cell r="H7">
            <v>10.47</v>
          </cell>
          <cell r="I7">
            <v>10.83</v>
          </cell>
          <cell r="J7">
            <v>11.1</v>
          </cell>
          <cell r="K7">
            <v>11.21</v>
          </cell>
          <cell r="L7">
            <v>11.51</v>
          </cell>
          <cell r="M7">
            <v>11.68</v>
          </cell>
          <cell r="N7">
            <v>12.22</v>
          </cell>
          <cell r="O7">
            <v>12.2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9.3000000000000007</v>
          </cell>
          <cell r="C8">
            <v>9.8000000000000007</v>
          </cell>
          <cell r="D8">
            <v>9.9</v>
          </cell>
          <cell r="E8">
            <v>10</v>
          </cell>
          <cell r="F8">
            <v>9.3000000000000007</v>
          </cell>
          <cell r="G8">
            <v>9.3000000000000007</v>
          </cell>
          <cell r="H8">
            <v>9.3800000000000008</v>
          </cell>
          <cell r="I8">
            <v>9.59</v>
          </cell>
          <cell r="J8">
            <v>9.8000000000000007</v>
          </cell>
          <cell r="K8">
            <v>9.85</v>
          </cell>
          <cell r="L8">
            <v>10.09</v>
          </cell>
          <cell r="M8">
            <v>10.1</v>
          </cell>
          <cell r="N8">
            <v>10.220000000000001</v>
          </cell>
          <cell r="O8">
            <v>10.52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9</v>
          </cell>
          <cell r="C9">
            <v>9.6</v>
          </cell>
          <cell r="D9">
            <v>10.8</v>
          </cell>
          <cell r="E9">
            <v>10.7</v>
          </cell>
          <cell r="F9">
            <v>10.4</v>
          </cell>
          <cell r="G9">
            <v>10.199999999999999</v>
          </cell>
          <cell r="H9">
            <v>10.45</v>
          </cell>
          <cell r="I9">
            <v>10.75</v>
          </cell>
          <cell r="J9">
            <v>10.8</v>
          </cell>
          <cell r="K9">
            <v>11.07</v>
          </cell>
          <cell r="L9">
            <v>11.05</v>
          </cell>
          <cell r="M9">
            <v>11.32</v>
          </cell>
          <cell r="N9">
            <v>11.58</v>
          </cell>
          <cell r="O9">
            <v>11.77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11.5</v>
          </cell>
          <cell r="C10">
            <v>17.2</v>
          </cell>
          <cell r="D10">
            <v>10</v>
          </cell>
          <cell r="E10">
            <v>10.7</v>
          </cell>
          <cell r="F10">
            <v>10</v>
          </cell>
          <cell r="G10">
            <v>10.199999999999999</v>
          </cell>
          <cell r="H10">
            <v>10.130000000000001</v>
          </cell>
          <cell r="I10">
            <v>10.11</v>
          </cell>
          <cell r="J10">
            <v>10.6</v>
          </cell>
          <cell r="K10">
            <v>11.1</v>
          </cell>
          <cell r="L10">
            <v>11.13</v>
          </cell>
          <cell r="M10">
            <v>11.54</v>
          </cell>
          <cell r="N10">
            <v>12.14</v>
          </cell>
          <cell r="O10">
            <v>13.03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8.6999999999999993</v>
          </cell>
          <cell r="C11">
            <v>8.9</v>
          </cell>
          <cell r="D11">
            <v>9.5</v>
          </cell>
          <cell r="E11">
            <v>9.6999999999999993</v>
          </cell>
          <cell r="F11">
            <v>9.4</v>
          </cell>
          <cell r="G11">
            <v>9.6</v>
          </cell>
          <cell r="H11">
            <v>9.5</v>
          </cell>
          <cell r="I11">
            <v>9.64</v>
          </cell>
          <cell r="J11">
            <v>9.8000000000000007</v>
          </cell>
          <cell r="K11">
            <v>10.119999999999999</v>
          </cell>
          <cell r="L11">
            <v>10.34</v>
          </cell>
          <cell r="M11">
            <v>10.51</v>
          </cell>
          <cell r="N11">
            <v>10.84</v>
          </cell>
          <cell r="O11">
            <v>11.3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8.5</v>
          </cell>
          <cell r="C12">
            <v>8.5</v>
          </cell>
          <cell r="D12">
            <v>8.9</v>
          </cell>
          <cell r="E12">
            <v>9.5</v>
          </cell>
          <cell r="F12">
            <v>9.3000000000000007</v>
          </cell>
          <cell r="G12">
            <v>9.6</v>
          </cell>
          <cell r="H12">
            <v>9.8000000000000007</v>
          </cell>
          <cell r="I12">
            <v>9.92</v>
          </cell>
          <cell r="J12">
            <v>10.1</v>
          </cell>
          <cell r="K12">
            <v>10.029999999999999</v>
          </cell>
          <cell r="L12">
            <v>10.37</v>
          </cell>
          <cell r="M12">
            <v>11.17</v>
          </cell>
          <cell r="N12">
            <v>11.01</v>
          </cell>
          <cell r="O12">
            <v>11.29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8.6</v>
          </cell>
          <cell r="C13">
            <v>8.8000000000000007</v>
          </cell>
          <cell r="D13">
            <v>8.9</v>
          </cell>
          <cell r="E13">
            <v>9.6999999999999993</v>
          </cell>
          <cell r="F13">
            <v>8.6</v>
          </cell>
          <cell r="G13">
            <v>8.6999999999999993</v>
          </cell>
          <cell r="H13">
            <v>8.68</v>
          </cell>
          <cell r="I13">
            <v>8.84</v>
          </cell>
          <cell r="J13">
            <v>9.1</v>
          </cell>
          <cell r="K13">
            <v>9.17</v>
          </cell>
          <cell r="L13">
            <v>9.16</v>
          </cell>
          <cell r="M13">
            <v>9.2799999999999994</v>
          </cell>
          <cell r="N13">
            <v>9.52</v>
          </cell>
          <cell r="O13">
            <v>9.7200000000000006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8.6999999999999993</v>
          </cell>
          <cell r="C14">
            <v>8.6999999999999993</v>
          </cell>
          <cell r="D14">
            <v>8.6999999999999993</v>
          </cell>
          <cell r="E14">
            <v>8.6999999999999993</v>
          </cell>
          <cell r="F14">
            <v>8.6</v>
          </cell>
          <cell r="G14">
            <v>8.6</v>
          </cell>
          <cell r="H14">
            <v>8.6300000000000008</v>
          </cell>
          <cell r="I14">
            <v>8.7100000000000009</v>
          </cell>
          <cell r="J14">
            <v>8.6999999999999993</v>
          </cell>
          <cell r="K14">
            <v>8.65</v>
          </cell>
          <cell r="L14">
            <v>8.74</v>
          </cell>
          <cell r="M14">
            <v>8.75</v>
          </cell>
          <cell r="N14">
            <v>9.14</v>
          </cell>
          <cell r="O14">
            <v>9.43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8.9</v>
          </cell>
          <cell r="C15">
            <v>9</v>
          </cell>
          <cell r="D15">
            <v>9</v>
          </cell>
          <cell r="E15">
            <v>9</v>
          </cell>
          <cell r="F15">
            <v>8.9</v>
          </cell>
          <cell r="G15">
            <v>8.9</v>
          </cell>
          <cell r="H15">
            <v>8.86</v>
          </cell>
          <cell r="I15">
            <v>9.1199999999999992</v>
          </cell>
          <cell r="J15">
            <v>9.1</v>
          </cell>
          <cell r="K15">
            <v>9.19</v>
          </cell>
          <cell r="L15">
            <v>9.18</v>
          </cell>
          <cell r="M15">
            <v>9.09</v>
          </cell>
          <cell r="N15">
            <v>9.17</v>
          </cell>
          <cell r="O15">
            <v>9.24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8.1999999999999993</v>
          </cell>
          <cell r="C16">
            <v>8.4</v>
          </cell>
          <cell r="D16">
            <v>8.8000000000000007</v>
          </cell>
          <cell r="E16">
            <v>8.9</v>
          </cell>
          <cell r="F16">
            <v>8.6</v>
          </cell>
          <cell r="G16">
            <v>8.8000000000000007</v>
          </cell>
          <cell r="H16">
            <v>8.6300000000000008</v>
          </cell>
          <cell r="I16">
            <v>8.9499999999999993</v>
          </cell>
          <cell r="J16">
            <v>9.4</v>
          </cell>
          <cell r="K16">
            <v>9.48</v>
          </cell>
          <cell r="L16">
            <v>9.6</v>
          </cell>
          <cell r="M16">
            <v>9.4600000000000009</v>
          </cell>
          <cell r="N16">
            <v>9.6199999999999992</v>
          </cell>
          <cell r="O16">
            <v>9.42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8.9</v>
          </cell>
          <cell r="C17">
            <v>9.3000000000000007</v>
          </cell>
          <cell r="D17">
            <v>9.4</v>
          </cell>
          <cell r="E17">
            <v>9.5</v>
          </cell>
          <cell r="F17">
            <v>9.3000000000000007</v>
          </cell>
          <cell r="G17">
            <v>9.5</v>
          </cell>
          <cell r="H17">
            <v>9.64</v>
          </cell>
          <cell r="I17">
            <v>9.67</v>
          </cell>
          <cell r="J17">
            <v>9.9</v>
          </cell>
          <cell r="K17">
            <v>9.91</v>
          </cell>
          <cell r="L17">
            <v>10.02</v>
          </cell>
          <cell r="M17">
            <v>10.18</v>
          </cell>
          <cell r="N17">
            <v>10.43</v>
          </cell>
          <cell r="O17">
            <v>10.32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8.9</v>
          </cell>
          <cell r="C18">
            <v>9.1999999999999993</v>
          </cell>
          <cell r="D18">
            <v>9.4</v>
          </cell>
          <cell r="E18">
            <v>10.1</v>
          </cell>
          <cell r="F18">
            <v>9.3000000000000007</v>
          </cell>
          <cell r="G18">
            <v>9.4</v>
          </cell>
          <cell r="H18">
            <v>9.51</v>
          </cell>
          <cell r="I18">
            <v>9.68</v>
          </cell>
          <cell r="J18">
            <v>9.8000000000000007</v>
          </cell>
          <cell r="K18">
            <v>9.74</v>
          </cell>
          <cell r="L18">
            <v>10.01</v>
          </cell>
          <cell r="M18">
            <v>10.15</v>
          </cell>
          <cell r="N18">
            <v>10.36</v>
          </cell>
          <cell r="O18">
            <v>10.51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9.1999999999999993</v>
          </cell>
          <cell r="C19">
            <v>9.5</v>
          </cell>
          <cell r="D19">
            <v>9.4</v>
          </cell>
          <cell r="E19">
            <v>9.5</v>
          </cell>
          <cell r="F19">
            <v>9.1</v>
          </cell>
          <cell r="G19">
            <v>9.1999999999999993</v>
          </cell>
          <cell r="H19">
            <v>9.06</v>
          </cell>
          <cell r="I19">
            <v>9.51</v>
          </cell>
          <cell r="J19">
            <v>9.4</v>
          </cell>
          <cell r="K19">
            <v>9.4</v>
          </cell>
          <cell r="L19">
            <v>9.48</v>
          </cell>
          <cell r="M19">
            <v>9.61</v>
          </cell>
          <cell r="N19">
            <v>9.9600000000000009</v>
          </cell>
          <cell r="O19">
            <v>9.94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8.3000000000000007</v>
          </cell>
          <cell r="C20">
            <v>8.3000000000000007</v>
          </cell>
          <cell r="D20">
            <v>8.6999999999999993</v>
          </cell>
          <cell r="E20">
            <v>8.6999999999999993</v>
          </cell>
          <cell r="F20">
            <v>8.4</v>
          </cell>
          <cell r="G20">
            <v>8.9</v>
          </cell>
          <cell r="H20">
            <v>8.69</v>
          </cell>
          <cell r="I20">
            <v>8.7899999999999991</v>
          </cell>
          <cell r="J20">
            <v>8.8000000000000007</v>
          </cell>
          <cell r="K20">
            <v>8.7899999999999991</v>
          </cell>
          <cell r="L20">
            <v>8.8800000000000008</v>
          </cell>
          <cell r="M20">
            <v>8.6999999999999993</v>
          </cell>
          <cell r="N20">
            <v>9.09</v>
          </cell>
          <cell r="O20">
            <v>9.4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8.6</v>
          </cell>
          <cell r="C21">
            <v>8.8000000000000007</v>
          </cell>
          <cell r="D21">
            <v>8.6999999999999993</v>
          </cell>
          <cell r="E21">
            <v>9.1</v>
          </cell>
          <cell r="F21">
            <v>8.9</v>
          </cell>
          <cell r="G21">
            <v>8.6999999999999993</v>
          </cell>
          <cell r="H21">
            <v>8.6300000000000008</v>
          </cell>
          <cell r="I21">
            <v>8.65</v>
          </cell>
          <cell r="J21">
            <v>8.8000000000000007</v>
          </cell>
          <cell r="K21">
            <v>8.99</v>
          </cell>
          <cell r="L21">
            <v>9.23</v>
          </cell>
          <cell r="M21">
            <v>9.31</v>
          </cell>
          <cell r="N21">
            <v>9.5</v>
          </cell>
          <cell r="O21">
            <v>9.56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8.5</v>
          </cell>
          <cell r="C22">
            <v>9.3000000000000007</v>
          </cell>
          <cell r="D22">
            <v>9.1</v>
          </cell>
          <cell r="E22">
            <v>9.3000000000000007</v>
          </cell>
          <cell r="F22">
            <v>8.9</v>
          </cell>
          <cell r="G22">
            <v>8.9</v>
          </cell>
          <cell r="H22">
            <v>8.8800000000000008</v>
          </cell>
          <cell r="I22">
            <v>9.02</v>
          </cell>
          <cell r="J22">
            <v>9.3000000000000007</v>
          </cell>
          <cell r="K22">
            <v>9.4700000000000006</v>
          </cell>
          <cell r="L22">
            <v>9.73</v>
          </cell>
          <cell r="M22">
            <v>9.86</v>
          </cell>
          <cell r="N22">
            <v>10.01</v>
          </cell>
          <cell r="O22">
            <v>10.31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9.3000000000000007</v>
          </cell>
          <cell r="C23">
            <v>9.6</v>
          </cell>
          <cell r="D23">
            <v>9.6999999999999993</v>
          </cell>
          <cell r="E23">
            <v>10</v>
          </cell>
          <cell r="F23">
            <v>9.4</v>
          </cell>
          <cell r="G23">
            <v>9.4</v>
          </cell>
          <cell r="H23">
            <v>9.31</v>
          </cell>
          <cell r="I23">
            <v>9.17</v>
          </cell>
          <cell r="J23">
            <v>9.3000000000000007</v>
          </cell>
          <cell r="K23">
            <v>9.51</v>
          </cell>
          <cell r="L23">
            <v>9.89</v>
          </cell>
          <cell r="M23">
            <v>10.52</v>
          </cell>
          <cell r="N23">
            <v>10.71</v>
          </cell>
          <cell r="O23">
            <v>10.97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9.6999999999999993</v>
          </cell>
          <cell r="C24">
            <v>10.199999999999999</v>
          </cell>
          <cell r="D24">
            <v>10.4</v>
          </cell>
          <cell r="E24">
            <v>10.6</v>
          </cell>
          <cell r="F24">
            <v>10.3</v>
          </cell>
          <cell r="G24">
            <v>10.5</v>
          </cell>
          <cell r="H24">
            <v>10.45</v>
          </cell>
          <cell r="I24">
            <v>10.07</v>
          </cell>
          <cell r="J24">
            <v>10.1</v>
          </cell>
          <cell r="K24">
            <v>10.02</v>
          </cell>
          <cell r="L24">
            <v>10.27</v>
          </cell>
          <cell r="M24">
            <v>10.35</v>
          </cell>
          <cell r="N24">
            <v>10.61</v>
          </cell>
          <cell r="O24">
            <v>10.75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8.4</v>
          </cell>
          <cell r="C25">
            <v>8.5</v>
          </cell>
          <cell r="D25">
            <v>8.3000000000000007</v>
          </cell>
          <cell r="E25">
            <v>8.4</v>
          </cell>
          <cell r="F25">
            <v>8.1999999999999993</v>
          </cell>
          <cell r="G25">
            <v>8.1</v>
          </cell>
          <cell r="H25">
            <v>8.15</v>
          </cell>
          <cell r="I25">
            <v>8.5399999999999991</v>
          </cell>
          <cell r="J25">
            <v>8.3000000000000007</v>
          </cell>
          <cell r="K25">
            <v>8.4499999999999993</v>
          </cell>
          <cell r="L25">
            <v>8.5299999999999994</v>
          </cell>
          <cell r="M25">
            <v>8.8699999999999992</v>
          </cell>
          <cell r="N25">
            <v>9.24</v>
          </cell>
          <cell r="O25">
            <v>9.68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8.1999999999999993</v>
          </cell>
          <cell r="C26">
            <v>8.6</v>
          </cell>
          <cell r="D26">
            <v>8.6999999999999993</v>
          </cell>
          <cell r="E26">
            <v>8.6999999999999993</v>
          </cell>
          <cell r="F26">
            <v>8.5</v>
          </cell>
          <cell r="G26">
            <v>8.6</v>
          </cell>
          <cell r="H26">
            <v>8.51</v>
          </cell>
          <cell r="I26">
            <v>8.5500000000000007</v>
          </cell>
          <cell r="J26">
            <v>8.8000000000000007</v>
          </cell>
          <cell r="K26">
            <v>9.01</v>
          </cell>
          <cell r="L26">
            <v>9.34</v>
          </cell>
          <cell r="M26">
            <v>9.66</v>
          </cell>
          <cell r="N26">
            <v>9.92</v>
          </cell>
          <cell r="O26">
            <v>10.02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8.1999999999999993</v>
          </cell>
          <cell r="C27">
            <v>7.9</v>
          </cell>
          <cell r="D27">
            <v>8.1999999999999993</v>
          </cell>
          <cell r="E27">
            <v>7.7</v>
          </cell>
          <cell r="F27">
            <v>9.1999999999999993</v>
          </cell>
          <cell r="G27">
            <v>8.9</v>
          </cell>
          <cell r="H27">
            <v>8.7200000000000006</v>
          </cell>
          <cell r="I27">
            <v>9.18</v>
          </cell>
          <cell r="J27">
            <v>8.8000000000000007</v>
          </cell>
          <cell r="K27">
            <v>9.84</v>
          </cell>
          <cell r="L27">
            <v>10.5</v>
          </cell>
          <cell r="M27">
            <v>11.06</v>
          </cell>
          <cell r="N27">
            <v>10.71</v>
          </cell>
          <cell r="O27">
            <v>11.33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8.6999999999999993</v>
          </cell>
          <cell r="C28">
            <v>9.1</v>
          </cell>
          <cell r="D28">
            <v>9</v>
          </cell>
          <cell r="E28">
            <v>9.1</v>
          </cell>
          <cell r="F28">
            <v>8.6999999999999993</v>
          </cell>
          <cell r="G28">
            <v>8.9</v>
          </cell>
          <cell r="H28">
            <v>9.0500000000000007</v>
          </cell>
          <cell r="I28">
            <v>9.16</v>
          </cell>
          <cell r="J28">
            <v>9.4</v>
          </cell>
          <cell r="K28">
            <v>9.57</v>
          </cell>
          <cell r="L28">
            <v>9.8000000000000007</v>
          </cell>
          <cell r="M28">
            <v>10.15</v>
          </cell>
          <cell r="N28">
            <v>10.48</v>
          </cell>
          <cell r="O28">
            <v>10.51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8.4</v>
          </cell>
          <cell r="C29">
            <v>8.6</v>
          </cell>
          <cell r="D29">
            <v>8.5</v>
          </cell>
          <cell r="E29">
            <v>8.6999999999999993</v>
          </cell>
          <cell r="F29">
            <v>8.6</v>
          </cell>
          <cell r="G29">
            <v>8.4</v>
          </cell>
          <cell r="H29">
            <v>8.81</v>
          </cell>
          <cell r="I29">
            <v>9.08</v>
          </cell>
          <cell r="J29">
            <v>9.6999999999999993</v>
          </cell>
          <cell r="K29">
            <v>9.4700000000000006</v>
          </cell>
          <cell r="L29">
            <v>9.68</v>
          </cell>
          <cell r="M29">
            <v>10.1</v>
          </cell>
          <cell r="N29">
            <v>10.4</v>
          </cell>
          <cell r="O29">
            <v>10.5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9.6999999999999993</v>
          </cell>
          <cell r="C30">
            <v>8.8000000000000007</v>
          </cell>
          <cell r="D30">
            <v>9</v>
          </cell>
          <cell r="E30">
            <v>9</v>
          </cell>
          <cell r="F30">
            <v>9.1999999999999993</v>
          </cell>
          <cell r="G30">
            <v>9</v>
          </cell>
          <cell r="H30">
            <v>8.98</v>
          </cell>
          <cell r="I30">
            <v>9.27</v>
          </cell>
          <cell r="J30">
            <v>9.5</v>
          </cell>
          <cell r="K30">
            <v>9.57</v>
          </cell>
          <cell r="L30">
            <v>10.43</v>
          </cell>
          <cell r="M30">
            <v>10.81</v>
          </cell>
          <cell r="N30">
            <v>10.48</v>
          </cell>
          <cell r="O30">
            <v>10.29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8.1</v>
          </cell>
          <cell r="C31">
            <v>8.1999999999999993</v>
          </cell>
          <cell r="D31">
            <v>8.4</v>
          </cell>
          <cell r="E31">
            <v>8.6999999999999993</v>
          </cell>
          <cell r="F31">
            <v>8.6999999999999993</v>
          </cell>
          <cell r="G31">
            <v>8.9</v>
          </cell>
          <cell r="H31">
            <v>8.91</v>
          </cell>
          <cell r="I31">
            <v>9.31</v>
          </cell>
          <cell r="J31">
            <v>10.7</v>
          </cell>
          <cell r="K31">
            <v>9.8000000000000007</v>
          </cell>
          <cell r="L31">
            <v>10.220000000000001</v>
          </cell>
          <cell r="M31">
            <v>10.37</v>
          </cell>
          <cell r="N31">
            <v>10.59</v>
          </cell>
          <cell r="O31">
            <v>10.83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7.9</v>
          </cell>
          <cell r="C32">
            <v>8.3000000000000007</v>
          </cell>
          <cell r="D32">
            <v>8.3000000000000007</v>
          </cell>
          <cell r="E32">
            <v>8.8000000000000007</v>
          </cell>
          <cell r="F32">
            <v>8.4</v>
          </cell>
          <cell r="G32">
            <v>8.5</v>
          </cell>
          <cell r="H32">
            <v>8.4700000000000006</v>
          </cell>
          <cell r="I32">
            <v>8.66</v>
          </cell>
          <cell r="J32">
            <v>8.8000000000000007</v>
          </cell>
          <cell r="K32">
            <v>8.84</v>
          </cell>
          <cell r="L32">
            <v>9.07</v>
          </cell>
          <cell r="M32">
            <v>9.76</v>
          </cell>
          <cell r="N32">
            <v>9.9600000000000009</v>
          </cell>
          <cell r="O32">
            <v>10.26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704.86</v>
          </cell>
          <cell r="C2">
            <v>775.82</v>
          </cell>
          <cell r="D2">
            <v>632.66999999999996</v>
          </cell>
          <cell r="E2">
            <v>605.64</v>
          </cell>
          <cell r="F2">
            <v>534.41</v>
          </cell>
          <cell r="G2">
            <v>490.09</v>
          </cell>
          <cell r="H2">
            <v>427.87</v>
          </cell>
          <cell r="I2">
            <v>397.95</v>
          </cell>
          <cell r="J2">
            <v>370.52</v>
          </cell>
          <cell r="K2">
            <v>322.29000000000002</v>
          </cell>
          <cell r="L2">
            <v>276.13</v>
          </cell>
          <cell r="M2">
            <v>256.06</v>
          </cell>
          <cell r="N2">
            <v>225.49</v>
          </cell>
          <cell r="O2">
            <v>186.82</v>
          </cell>
          <cell r="P2">
            <v>166.63</v>
          </cell>
          <cell r="Q2">
            <v>145.05000000000001</v>
          </cell>
          <cell r="R2">
            <v>118.95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211.48</v>
          </cell>
          <cell r="C3">
            <v>176.61</v>
          </cell>
          <cell r="D3">
            <v>182.58</v>
          </cell>
          <cell r="E3">
            <v>175.49</v>
          </cell>
          <cell r="F3">
            <v>197.86</v>
          </cell>
          <cell r="G3">
            <v>192.76</v>
          </cell>
          <cell r="H3">
            <v>182.1</v>
          </cell>
          <cell r="I3">
            <v>203.23</v>
          </cell>
          <cell r="J3">
            <v>195.02</v>
          </cell>
          <cell r="K3">
            <v>161.33000000000001</v>
          </cell>
          <cell r="L3">
            <v>128.94</v>
          </cell>
          <cell r="M3">
            <v>105.91</v>
          </cell>
          <cell r="N3">
            <v>90.53</v>
          </cell>
          <cell r="O3">
            <v>70.069999999999993</v>
          </cell>
          <cell r="P3">
            <v>54.22</v>
          </cell>
          <cell r="Q3">
            <v>41.92</v>
          </cell>
          <cell r="R3">
            <v>33.1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929.84</v>
          </cell>
          <cell r="C4">
            <v>925.3</v>
          </cell>
          <cell r="D4">
            <v>853.49</v>
          </cell>
          <cell r="E4">
            <v>817.27</v>
          </cell>
          <cell r="F4">
            <v>695.07</v>
          </cell>
          <cell r="G4">
            <v>691.33</v>
          </cell>
          <cell r="H4">
            <v>605.1</v>
          </cell>
          <cell r="I4">
            <v>547.86</v>
          </cell>
          <cell r="J4">
            <v>535.09</v>
          </cell>
          <cell r="K4">
            <v>446.79</v>
          </cell>
          <cell r="L4">
            <v>380.75</v>
          </cell>
          <cell r="M4">
            <v>323.17</v>
          </cell>
          <cell r="N4">
            <v>302.75</v>
          </cell>
          <cell r="O4">
            <v>235.48</v>
          </cell>
          <cell r="P4">
            <v>174.68</v>
          </cell>
          <cell r="Q4">
            <v>120.24</v>
          </cell>
          <cell r="R4">
            <v>78.11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516.55999999999995</v>
          </cell>
          <cell r="C5">
            <v>495.05</v>
          </cell>
          <cell r="D5">
            <v>416.78</v>
          </cell>
          <cell r="E5">
            <v>433.55</v>
          </cell>
          <cell r="F5">
            <v>366.68</v>
          </cell>
          <cell r="G5">
            <v>358.99</v>
          </cell>
          <cell r="H5">
            <v>321.33999999999997</v>
          </cell>
          <cell r="I5">
            <v>300.86</v>
          </cell>
          <cell r="J5">
            <v>290.70999999999998</v>
          </cell>
          <cell r="K5">
            <v>243.94</v>
          </cell>
          <cell r="L5">
            <v>201.63</v>
          </cell>
          <cell r="M5">
            <v>180.34</v>
          </cell>
          <cell r="N5">
            <v>159.62</v>
          </cell>
          <cell r="O5">
            <v>113.86</v>
          </cell>
          <cell r="P5">
            <v>101.73</v>
          </cell>
          <cell r="Q5">
            <v>71.5</v>
          </cell>
          <cell r="R5">
            <v>52.1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473.25</v>
          </cell>
          <cell r="C6">
            <v>433.78</v>
          </cell>
          <cell r="D6">
            <v>362.73</v>
          </cell>
          <cell r="E6">
            <v>375.05</v>
          </cell>
          <cell r="F6">
            <v>322.18</v>
          </cell>
          <cell r="G6">
            <v>315.62</v>
          </cell>
          <cell r="H6">
            <v>323.48</v>
          </cell>
          <cell r="I6">
            <v>284.63</v>
          </cell>
          <cell r="J6">
            <v>257.14999999999998</v>
          </cell>
          <cell r="K6">
            <v>227.78</v>
          </cell>
          <cell r="L6">
            <v>196.03</v>
          </cell>
          <cell r="M6">
            <v>177.91</v>
          </cell>
          <cell r="N6">
            <v>164.59</v>
          </cell>
          <cell r="O6">
            <v>120.72</v>
          </cell>
          <cell r="P6">
            <v>102.94</v>
          </cell>
          <cell r="Q6">
            <v>59.82</v>
          </cell>
          <cell r="R6">
            <v>43.87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425.97</v>
          </cell>
          <cell r="C7">
            <v>466.59</v>
          </cell>
          <cell r="D7">
            <v>399.25</v>
          </cell>
          <cell r="E7">
            <v>413.52</v>
          </cell>
          <cell r="F7">
            <v>364.54</v>
          </cell>
          <cell r="G7">
            <v>350.62</v>
          </cell>
          <cell r="H7">
            <v>336.63</v>
          </cell>
          <cell r="I7">
            <v>307.31</v>
          </cell>
          <cell r="J7">
            <v>281.95999999999998</v>
          </cell>
          <cell r="K7">
            <v>273.61</v>
          </cell>
          <cell r="L7">
            <v>229.5</v>
          </cell>
          <cell r="M7">
            <v>200.19</v>
          </cell>
          <cell r="N7">
            <v>182.07</v>
          </cell>
          <cell r="O7">
            <v>151.36000000000001</v>
          </cell>
          <cell r="P7">
            <v>163.32</v>
          </cell>
          <cell r="Q7">
            <v>83.9</v>
          </cell>
          <cell r="R7">
            <v>66.599999999999994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361.89</v>
          </cell>
          <cell r="C8">
            <v>381.65</v>
          </cell>
          <cell r="D8">
            <v>279.72000000000003</v>
          </cell>
          <cell r="E8">
            <v>300.2</v>
          </cell>
          <cell r="F8">
            <v>281.69</v>
          </cell>
          <cell r="G8">
            <v>281.22000000000003</v>
          </cell>
          <cell r="H8">
            <v>279.22000000000003</v>
          </cell>
          <cell r="I8">
            <v>273.62</v>
          </cell>
          <cell r="J8">
            <v>245.81</v>
          </cell>
          <cell r="K8">
            <v>206.44</v>
          </cell>
          <cell r="L8">
            <v>181.51</v>
          </cell>
          <cell r="M8">
            <v>160.36000000000001</v>
          </cell>
          <cell r="N8">
            <v>143.87</v>
          </cell>
          <cell r="O8">
            <v>110.91</v>
          </cell>
          <cell r="P8">
            <v>107.34</v>
          </cell>
          <cell r="Q8">
            <v>59.52</v>
          </cell>
          <cell r="R8">
            <v>42.31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442.26</v>
          </cell>
          <cell r="C9">
            <v>436.55</v>
          </cell>
          <cell r="D9">
            <v>392.28</v>
          </cell>
          <cell r="E9">
            <v>401.19</v>
          </cell>
          <cell r="F9">
            <v>314.42</v>
          </cell>
          <cell r="G9">
            <v>301</v>
          </cell>
          <cell r="H9">
            <v>297.17</v>
          </cell>
          <cell r="I9">
            <v>280.56</v>
          </cell>
          <cell r="J9">
            <v>273.95999999999998</v>
          </cell>
          <cell r="K9">
            <v>235.31</v>
          </cell>
          <cell r="L9">
            <v>190.5</v>
          </cell>
          <cell r="M9">
            <v>173.33</v>
          </cell>
          <cell r="N9">
            <v>170.78</v>
          </cell>
          <cell r="O9">
            <v>135.18</v>
          </cell>
          <cell r="P9">
            <v>135.5</v>
          </cell>
          <cell r="Q9">
            <v>71.7</v>
          </cell>
          <cell r="R9">
            <v>57.54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881.74</v>
          </cell>
          <cell r="C10">
            <v>1308.26</v>
          </cell>
          <cell r="D10">
            <v>633.12</v>
          </cell>
          <cell r="E10">
            <v>545.05999999999995</v>
          </cell>
          <cell r="F10">
            <v>493.44</v>
          </cell>
          <cell r="G10">
            <v>470.12</v>
          </cell>
          <cell r="H10">
            <v>412.18</v>
          </cell>
          <cell r="I10">
            <v>383.1</v>
          </cell>
          <cell r="J10">
            <v>303.45999999999998</v>
          </cell>
          <cell r="K10">
            <v>264.75</v>
          </cell>
          <cell r="L10">
            <v>214.92</v>
          </cell>
          <cell r="M10">
            <v>197.34</v>
          </cell>
          <cell r="N10">
            <v>190.03</v>
          </cell>
          <cell r="O10">
            <v>160.07</v>
          </cell>
          <cell r="P10">
            <v>132.85</v>
          </cell>
          <cell r="Q10">
            <v>122.28</v>
          </cell>
          <cell r="R10">
            <v>88.83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1384.06</v>
          </cell>
          <cell r="C11">
            <v>1442.51</v>
          </cell>
          <cell r="D11">
            <v>1183.71</v>
          </cell>
          <cell r="E11">
            <v>1007.47</v>
          </cell>
          <cell r="F11">
            <v>906.01</v>
          </cell>
          <cell r="G11">
            <v>845.32</v>
          </cell>
          <cell r="H11">
            <v>789.52</v>
          </cell>
          <cell r="I11">
            <v>712.77</v>
          </cell>
          <cell r="J11">
            <v>649.30999999999995</v>
          </cell>
          <cell r="K11">
            <v>560.92999999999995</v>
          </cell>
          <cell r="L11">
            <v>475.86</v>
          </cell>
          <cell r="M11">
            <v>418.14</v>
          </cell>
          <cell r="N11">
            <v>349.86</v>
          </cell>
          <cell r="O11">
            <v>249.69</v>
          </cell>
          <cell r="P11">
            <v>198.21</v>
          </cell>
          <cell r="Q11">
            <v>148.61000000000001</v>
          </cell>
          <cell r="R11">
            <v>115.29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1148.02</v>
          </cell>
          <cell r="C12">
            <v>1236.08</v>
          </cell>
          <cell r="D12">
            <v>908.04</v>
          </cell>
          <cell r="E12">
            <v>838.85</v>
          </cell>
          <cell r="F12">
            <v>735.61</v>
          </cell>
          <cell r="G12">
            <v>626.20000000000005</v>
          </cell>
          <cell r="H12">
            <v>584.16999999999996</v>
          </cell>
          <cell r="I12">
            <v>542.44000000000005</v>
          </cell>
          <cell r="J12">
            <v>485.5</v>
          </cell>
          <cell r="K12">
            <v>433.8</v>
          </cell>
          <cell r="L12">
            <v>350.73</v>
          </cell>
          <cell r="M12">
            <v>305.91000000000003</v>
          </cell>
          <cell r="N12">
            <v>278.98</v>
          </cell>
          <cell r="O12">
            <v>224.53</v>
          </cell>
          <cell r="P12">
            <v>177.05</v>
          </cell>
          <cell r="Q12">
            <v>142.87</v>
          </cell>
          <cell r="R12">
            <v>112.28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813.92</v>
          </cell>
          <cell r="C13">
            <v>808.08</v>
          </cell>
          <cell r="D13">
            <v>732</v>
          </cell>
          <cell r="E13">
            <v>761.62</v>
          </cell>
          <cell r="F13">
            <v>687.36</v>
          </cell>
          <cell r="G13">
            <v>627.1</v>
          </cell>
          <cell r="H13">
            <v>597.74</v>
          </cell>
          <cell r="I13">
            <v>480.12</v>
          </cell>
          <cell r="J13">
            <v>485.6</v>
          </cell>
          <cell r="K13">
            <v>425</v>
          </cell>
          <cell r="L13">
            <v>361.8</v>
          </cell>
          <cell r="M13">
            <v>319.39</v>
          </cell>
          <cell r="N13">
            <v>277.23</v>
          </cell>
          <cell r="O13">
            <v>184.22</v>
          </cell>
          <cell r="P13">
            <v>165.74</v>
          </cell>
          <cell r="Q13">
            <v>103.84</v>
          </cell>
          <cell r="R13">
            <v>65.41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620.4</v>
          </cell>
          <cell r="C14">
            <v>606.35</v>
          </cell>
          <cell r="D14">
            <v>533.63</v>
          </cell>
          <cell r="E14">
            <v>521.96</v>
          </cell>
          <cell r="F14">
            <v>467.76</v>
          </cell>
          <cell r="G14">
            <v>441.7</v>
          </cell>
          <cell r="H14">
            <v>420.44</v>
          </cell>
          <cell r="I14">
            <v>377.58</v>
          </cell>
          <cell r="J14">
            <v>351.19</v>
          </cell>
          <cell r="K14">
            <v>292.14</v>
          </cell>
          <cell r="L14">
            <v>224.23</v>
          </cell>
          <cell r="M14">
            <v>185.99</v>
          </cell>
          <cell r="N14">
            <v>159.30000000000001</v>
          </cell>
          <cell r="O14">
            <v>117.58</v>
          </cell>
          <cell r="P14">
            <v>93.39</v>
          </cell>
          <cell r="Q14">
            <v>74.27</v>
          </cell>
          <cell r="R14">
            <v>51.99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718.51</v>
          </cell>
          <cell r="C15">
            <v>707.78</v>
          </cell>
          <cell r="D15">
            <v>643.27</v>
          </cell>
          <cell r="E15">
            <v>642.36</v>
          </cell>
          <cell r="F15">
            <v>630.99</v>
          </cell>
          <cell r="G15">
            <v>585.47</v>
          </cell>
          <cell r="H15">
            <v>492.59</v>
          </cell>
          <cell r="I15">
            <v>438.72</v>
          </cell>
          <cell r="J15">
            <v>398.79</v>
          </cell>
          <cell r="K15">
            <v>338.45</v>
          </cell>
          <cell r="L15">
            <v>262.14</v>
          </cell>
          <cell r="M15">
            <v>219.15</v>
          </cell>
          <cell r="N15">
            <v>196.32</v>
          </cell>
          <cell r="O15">
            <v>150.02000000000001</v>
          </cell>
          <cell r="P15">
            <v>120.55</v>
          </cell>
          <cell r="Q15">
            <v>76.92</v>
          </cell>
          <cell r="R15">
            <v>58.07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1253.98</v>
          </cell>
          <cell r="C16">
            <v>1234.0999999999999</v>
          </cell>
          <cell r="D16">
            <v>1092.72</v>
          </cell>
          <cell r="E16">
            <v>1045.5</v>
          </cell>
          <cell r="F16">
            <v>912.07</v>
          </cell>
          <cell r="G16">
            <v>885.15</v>
          </cell>
          <cell r="H16">
            <v>829.27</v>
          </cell>
          <cell r="I16">
            <v>790.19</v>
          </cell>
          <cell r="J16">
            <v>701.43</v>
          </cell>
          <cell r="K16">
            <v>605.66999999999996</v>
          </cell>
          <cell r="L16">
            <v>485.86</v>
          </cell>
          <cell r="M16">
            <v>422.91</v>
          </cell>
          <cell r="N16">
            <v>360.36</v>
          </cell>
          <cell r="O16">
            <v>250.77</v>
          </cell>
          <cell r="P16">
            <v>189.24</v>
          </cell>
          <cell r="Q16">
            <v>140.41999999999999</v>
          </cell>
          <cell r="R16">
            <v>99.65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1140.93</v>
          </cell>
          <cell r="C17">
            <v>1161.28</v>
          </cell>
          <cell r="D17">
            <v>1018.59</v>
          </cell>
          <cell r="E17">
            <v>1085.3900000000001</v>
          </cell>
          <cell r="F17">
            <v>986.78</v>
          </cell>
          <cell r="G17">
            <v>928.95</v>
          </cell>
          <cell r="H17">
            <v>836.66</v>
          </cell>
          <cell r="I17">
            <v>778.01</v>
          </cell>
          <cell r="J17">
            <v>717.74</v>
          </cell>
          <cell r="K17">
            <v>602.95000000000005</v>
          </cell>
          <cell r="L17">
            <v>492.48</v>
          </cell>
          <cell r="M17">
            <v>425.99</v>
          </cell>
          <cell r="N17">
            <v>361.48</v>
          </cell>
          <cell r="O17">
            <v>270.20999999999998</v>
          </cell>
          <cell r="P17">
            <v>223.15</v>
          </cell>
          <cell r="Q17">
            <v>145.47</v>
          </cell>
          <cell r="R17">
            <v>98.78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827.24</v>
          </cell>
          <cell r="C18">
            <v>799.47</v>
          </cell>
          <cell r="D18">
            <v>706.33</v>
          </cell>
          <cell r="E18">
            <v>1019.71</v>
          </cell>
          <cell r="F18">
            <v>601.82000000000005</v>
          </cell>
          <cell r="G18">
            <v>575.74</v>
          </cell>
          <cell r="H18">
            <v>614.69000000000005</v>
          </cell>
          <cell r="I18">
            <v>588.9</v>
          </cell>
          <cell r="J18">
            <v>515.25</v>
          </cell>
          <cell r="K18">
            <v>401.32</v>
          </cell>
          <cell r="L18">
            <v>322.08</v>
          </cell>
          <cell r="M18">
            <v>267.99</v>
          </cell>
          <cell r="N18">
            <v>247.3</v>
          </cell>
          <cell r="O18">
            <v>179.13</v>
          </cell>
          <cell r="P18">
            <v>139.24</v>
          </cell>
          <cell r="Q18">
            <v>95.08</v>
          </cell>
          <cell r="R18">
            <v>66.11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869.1</v>
          </cell>
          <cell r="C19">
            <v>820.61</v>
          </cell>
          <cell r="D19">
            <v>739.92</v>
          </cell>
          <cell r="E19">
            <v>737.62</v>
          </cell>
          <cell r="F19">
            <v>661.58</v>
          </cell>
          <cell r="G19">
            <v>627.1</v>
          </cell>
          <cell r="H19">
            <v>585.98</v>
          </cell>
          <cell r="I19">
            <v>546.27</v>
          </cell>
          <cell r="J19">
            <v>493.74</v>
          </cell>
          <cell r="K19">
            <v>422.4</v>
          </cell>
          <cell r="L19">
            <v>342.47</v>
          </cell>
          <cell r="M19">
            <v>294.17</v>
          </cell>
          <cell r="N19">
            <v>256.76</v>
          </cell>
          <cell r="O19">
            <v>180.44</v>
          </cell>
          <cell r="P19">
            <v>159.19999999999999</v>
          </cell>
          <cell r="Q19">
            <v>87.6</v>
          </cell>
          <cell r="R19">
            <v>59.2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2021.59</v>
          </cell>
          <cell r="C20">
            <v>2081.25</v>
          </cell>
          <cell r="D20">
            <v>1857.1</v>
          </cell>
          <cell r="E20">
            <v>1772.99</v>
          </cell>
          <cell r="F20">
            <v>1579.6</v>
          </cell>
          <cell r="G20">
            <v>1407.51</v>
          </cell>
          <cell r="H20">
            <v>1307.56</v>
          </cell>
          <cell r="I20">
            <v>1121.83</v>
          </cell>
          <cell r="J20">
            <v>918.36</v>
          </cell>
          <cell r="K20">
            <v>777.55</v>
          </cell>
          <cell r="L20">
            <v>569.32000000000005</v>
          </cell>
          <cell r="M20">
            <v>505.14</v>
          </cell>
          <cell r="N20">
            <v>433.75</v>
          </cell>
          <cell r="O20">
            <v>304.04000000000002</v>
          </cell>
          <cell r="P20">
            <v>252.85</v>
          </cell>
          <cell r="Q20">
            <v>201.15</v>
          </cell>
          <cell r="R20">
            <v>140.77000000000001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714.99</v>
          </cell>
          <cell r="C21">
            <v>635.61</v>
          </cell>
          <cell r="D21">
            <v>613.75</v>
          </cell>
          <cell r="E21">
            <v>624.84</v>
          </cell>
          <cell r="F21">
            <v>565.29</v>
          </cell>
          <cell r="G21">
            <v>546.52</v>
          </cell>
          <cell r="H21">
            <v>512.30999999999995</v>
          </cell>
          <cell r="I21">
            <v>468.18</v>
          </cell>
          <cell r="J21">
            <v>413.87</v>
          </cell>
          <cell r="K21">
            <v>355.33</v>
          </cell>
          <cell r="L21">
            <v>285.61</v>
          </cell>
          <cell r="M21">
            <v>253.17</v>
          </cell>
          <cell r="N21">
            <v>232.88</v>
          </cell>
          <cell r="O21">
            <v>165.49</v>
          </cell>
          <cell r="P21">
            <v>116.15</v>
          </cell>
          <cell r="Q21">
            <v>78.77</v>
          </cell>
          <cell r="R21">
            <v>50.75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247.92</v>
          </cell>
          <cell r="C22">
            <v>251.52</v>
          </cell>
          <cell r="D22">
            <v>194.17</v>
          </cell>
          <cell r="E22">
            <v>220.09</v>
          </cell>
          <cell r="F22">
            <v>169.8</v>
          </cell>
          <cell r="G22">
            <v>144.46</v>
          </cell>
          <cell r="H22">
            <v>127.37</v>
          </cell>
          <cell r="I22">
            <v>114.17</v>
          </cell>
          <cell r="J22">
            <v>100.54</v>
          </cell>
          <cell r="K22">
            <v>88.46</v>
          </cell>
          <cell r="L22">
            <v>69.59</v>
          </cell>
          <cell r="M22">
            <v>59.86</v>
          </cell>
          <cell r="N22">
            <v>50.3</v>
          </cell>
          <cell r="O22">
            <v>34.82</v>
          </cell>
          <cell r="P22">
            <v>30.13</v>
          </cell>
          <cell r="Q22">
            <v>18.64</v>
          </cell>
          <cell r="R22">
            <v>12.46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493.44</v>
          </cell>
          <cell r="C23">
            <v>484.87</v>
          </cell>
          <cell r="D23">
            <v>427.72</v>
          </cell>
          <cell r="E23">
            <v>434.45</v>
          </cell>
          <cell r="F23">
            <v>383.26</v>
          </cell>
          <cell r="G23">
            <v>372.79</v>
          </cell>
          <cell r="H23">
            <v>353.79</v>
          </cell>
          <cell r="I23">
            <v>331.18</v>
          </cell>
          <cell r="J23">
            <v>313.98</v>
          </cell>
          <cell r="K23">
            <v>246.34</v>
          </cell>
          <cell r="L23">
            <v>198.05</v>
          </cell>
          <cell r="M23">
            <v>167.43</v>
          </cell>
          <cell r="N23">
            <v>143.69999999999999</v>
          </cell>
          <cell r="O23">
            <v>94.87</v>
          </cell>
          <cell r="P23">
            <v>76.73</v>
          </cell>
          <cell r="Q23">
            <v>51.64</v>
          </cell>
          <cell r="R23">
            <v>33.97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1231.9000000000001</v>
          </cell>
          <cell r="C24">
            <v>1170.92</v>
          </cell>
          <cell r="D24">
            <v>1044.1400000000001</v>
          </cell>
          <cell r="E24">
            <v>1030.52</v>
          </cell>
          <cell r="F24">
            <v>943.27</v>
          </cell>
          <cell r="G24">
            <v>880.89</v>
          </cell>
          <cell r="H24">
            <v>831.46</v>
          </cell>
          <cell r="I24">
            <v>772.24</v>
          </cell>
          <cell r="J24">
            <v>686.42</v>
          </cell>
          <cell r="K24">
            <v>584.1</v>
          </cell>
          <cell r="L24">
            <v>487.2</v>
          </cell>
          <cell r="M24">
            <v>424.26</v>
          </cell>
          <cell r="N24">
            <v>372.96</v>
          </cell>
          <cell r="O24">
            <v>263.33999999999997</v>
          </cell>
          <cell r="P24">
            <v>219.1</v>
          </cell>
          <cell r="Q24">
            <v>143.56</v>
          </cell>
          <cell r="R24">
            <v>98.87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632.26</v>
          </cell>
          <cell r="C25">
            <v>583.59</v>
          </cell>
          <cell r="D25">
            <v>542.07000000000005</v>
          </cell>
          <cell r="E25">
            <v>565.66</v>
          </cell>
          <cell r="F25">
            <v>534.78</v>
          </cell>
          <cell r="G25">
            <v>481.8</v>
          </cell>
          <cell r="H25">
            <v>436.21</v>
          </cell>
          <cell r="I25">
            <v>392.51</v>
          </cell>
          <cell r="J25">
            <v>360.8</v>
          </cell>
          <cell r="K25">
            <v>303.25</v>
          </cell>
          <cell r="L25">
            <v>228.71</v>
          </cell>
          <cell r="M25">
            <v>201.05</v>
          </cell>
          <cell r="N25">
            <v>173.26</v>
          </cell>
          <cell r="O25">
            <v>127.68</v>
          </cell>
          <cell r="P25">
            <v>102.84</v>
          </cell>
          <cell r="Q25">
            <v>67.44</v>
          </cell>
          <cell r="R25">
            <v>48.79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772.45</v>
          </cell>
          <cell r="C26">
            <v>725.88</v>
          </cell>
          <cell r="D26">
            <v>725.99</v>
          </cell>
          <cell r="E26">
            <v>711.34</v>
          </cell>
          <cell r="F26">
            <v>608.5</v>
          </cell>
          <cell r="G26">
            <v>575.41999999999996</v>
          </cell>
          <cell r="H26">
            <v>546.99</v>
          </cell>
          <cell r="I26">
            <v>466.98</v>
          </cell>
          <cell r="J26">
            <v>422.66</v>
          </cell>
          <cell r="K26">
            <v>352.41</v>
          </cell>
          <cell r="L26">
            <v>300.57</v>
          </cell>
          <cell r="M26">
            <v>266.94</v>
          </cell>
          <cell r="N26">
            <v>236.98</v>
          </cell>
          <cell r="O26">
            <v>183.7</v>
          </cell>
          <cell r="P26">
            <v>151.29</v>
          </cell>
          <cell r="Q26">
            <v>104.59</v>
          </cell>
          <cell r="R26">
            <v>77.11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188.68</v>
          </cell>
          <cell r="C27">
            <v>189.88</v>
          </cell>
          <cell r="D27">
            <v>115.26</v>
          </cell>
          <cell r="E27">
            <v>144.37</v>
          </cell>
          <cell r="F27">
            <v>123.05</v>
          </cell>
          <cell r="G27">
            <v>106.93</v>
          </cell>
          <cell r="H27">
            <v>93.8</v>
          </cell>
          <cell r="I27">
            <v>69.97</v>
          </cell>
          <cell r="J27">
            <v>62.8</v>
          </cell>
          <cell r="K27">
            <v>48.86</v>
          </cell>
          <cell r="L27">
            <v>40.29</v>
          </cell>
          <cell r="M27">
            <v>36.119999999999997</v>
          </cell>
          <cell r="N27">
            <v>35.299999999999997</v>
          </cell>
          <cell r="O27">
            <v>32.04</v>
          </cell>
          <cell r="P27">
            <v>22.09</v>
          </cell>
          <cell r="Q27">
            <v>16.350000000000001</v>
          </cell>
          <cell r="R27">
            <v>17.16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679.03</v>
          </cell>
          <cell r="C28">
            <v>664.04</v>
          </cell>
          <cell r="D28">
            <v>565.72</v>
          </cell>
          <cell r="E28">
            <v>509.17</v>
          </cell>
          <cell r="F28">
            <v>466.29</v>
          </cell>
          <cell r="G28">
            <v>455.31</v>
          </cell>
          <cell r="H28">
            <v>418.27</v>
          </cell>
          <cell r="I28">
            <v>381.66</v>
          </cell>
          <cell r="J28">
            <v>369.38</v>
          </cell>
          <cell r="K28">
            <v>313.45</v>
          </cell>
          <cell r="L28">
            <v>257.14</v>
          </cell>
          <cell r="M28">
            <v>222.3</v>
          </cell>
          <cell r="N28">
            <v>197.61</v>
          </cell>
          <cell r="O28">
            <v>156.66</v>
          </cell>
          <cell r="P28">
            <v>125.83</v>
          </cell>
          <cell r="Q28">
            <v>78.39</v>
          </cell>
          <cell r="R28">
            <v>49.91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443.28</v>
          </cell>
          <cell r="C29">
            <v>402.29</v>
          </cell>
          <cell r="D29">
            <v>390.38</v>
          </cell>
          <cell r="E29">
            <v>370.24</v>
          </cell>
          <cell r="F29">
            <v>326.41000000000003</v>
          </cell>
          <cell r="G29">
            <v>313.52999999999997</v>
          </cell>
          <cell r="H29">
            <v>289.24</v>
          </cell>
          <cell r="I29">
            <v>273.25</v>
          </cell>
          <cell r="J29">
            <v>250.1</v>
          </cell>
          <cell r="K29">
            <v>204.19</v>
          </cell>
          <cell r="L29">
            <v>165.86</v>
          </cell>
          <cell r="M29">
            <v>148.21</v>
          </cell>
          <cell r="N29">
            <v>143.18</v>
          </cell>
          <cell r="O29">
            <v>100.4</v>
          </cell>
          <cell r="P29">
            <v>88.37</v>
          </cell>
          <cell r="Q29">
            <v>58.32</v>
          </cell>
          <cell r="R29">
            <v>41.03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197.72</v>
          </cell>
          <cell r="C30">
            <v>177.44</v>
          </cell>
          <cell r="D30">
            <v>176.33</v>
          </cell>
          <cell r="E30">
            <v>172.09</v>
          </cell>
          <cell r="F30">
            <v>148.22999999999999</v>
          </cell>
          <cell r="G30">
            <v>141.6</v>
          </cell>
          <cell r="H30">
            <v>125.21</v>
          </cell>
          <cell r="I30">
            <v>103.06</v>
          </cell>
          <cell r="J30">
            <v>99.43</v>
          </cell>
          <cell r="K30">
            <v>80.13</v>
          </cell>
          <cell r="L30">
            <v>68.64</v>
          </cell>
          <cell r="M30">
            <v>60.11</v>
          </cell>
          <cell r="N30">
            <v>47.44</v>
          </cell>
          <cell r="O30">
            <v>38.94</v>
          </cell>
          <cell r="P30">
            <v>32.479999999999997</v>
          </cell>
          <cell r="Q30">
            <v>24.66</v>
          </cell>
          <cell r="R30">
            <v>19.5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146.46</v>
          </cell>
          <cell r="C31">
            <v>137.44</v>
          </cell>
          <cell r="D31">
            <v>110.72</v>
          </cell>
          <cell r="E31">
            <v>118.57</v>
          </cell>
          <cell r="F31">
            <v>106.49</v>
          </cell>
          <cell r="G31">
            <v>105.55</v>
          </cell>
          <cell r="H31">
            <v>97.98</v>
          </cell>
          <cell r="I31">
            <v>82.03</v>
          </cell>
          <cell r="J31">
            <v>74.11</v>
          </cell>
          <cell r="K31">
            <v>65.27</v>
          </cell>
          <cell r="L31">
            <v>53.77</v>
          </cell>
          <cell r="M31">
            <v>46.09</v>
          </cell>
          <cell r="N31">
            <v>41.09</v>
          </cell>
          <cell r="O31">
            <v>34.020000000000003</v>
          </cell>
          <cell r="P31">
            <v>22.92</v>
          </cell>
          <cell r="Q31">
            <v>17.11</v>
          </cell>
          <cell r="R31">
            <v>11.42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605.57000000000005</v>
          </cell>
          <cell r="C32">
            <v>595.55999999999995</v>
          </cell>
          <cell r="D32">
            <v>445.02</v>
          </cell>
          <cell r="E32">
            <v>471.66</v>
          </cell>
          <cell r="F32">
            <v>302.36</v>
          </cell>
          <cell r="G32">
            <v>286.14</v>
          </cell>
          <cell r="H32">
            <v>266.70999999999998</v>
          </cell>
          <cell r="I32">
            <v>256.43</v>
          </cell>
          <cell r="J32">
            <v>244.01</v>
          </cell>
          <cell r="K32">
            <v>202.32</v>
          </cell>
          <cell r="L32">
            <v>160.91</v>
          </cell>
          <cell r="M32">
            <v>145.88</v>
          </cell>
          <cell r="N32">
            <v>132.43</v>
          </cell>
          <cell r="O32">
            <v>103.56</v>
          </cell>
          <cell r="P32">
            <v>84.94</v>
          </cell>
          <cell r="Q32">
            <v>58.64</v>
          </cell>
          <cell r="R32">
            <v>45.82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8"/>
  <sheetViews>
    <sheetView tabSelected="1" zoomScale="150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7" sqref="K17"/>
    </sheetView>
  </sheetViews>
  <sheetFormatPr baseColWidth="10" defaultColWidth="8.83203125" defaultRowHeight="15"/>
  <cols>
    <col min="1" max="1" width="9.1640625" bestFit="1" customWidth="1"/>
    <col min="2" max="2" width="17.1640625" bestFit="1" customWidth="1"/>
    <col min="3" max="3" width="7" bestFit="1" customWidth="1"/>
    <col min="4" max="4" width="7.1640625" bestFit="1" customWidth="1"/>
    <col min="5" max="5" width="12.33203125" bestFit="1" customWidth="1"/>
    <col min="6" max="6" width="14.33203125" style="3" customWidth="1"/>
    <col min="7" max="8" width="13.83203125" style="2" bestFit="1" customWidth="1"/>
    <col min="9" max="11" width="9.6640625" customWidth="1"/>
    <col min="12" max="12" width="9.33203125" customWidth="1"/>
    <col min="13" max="13" width="10.6640625" customWidth="1"/>
    <col min="14" max="14" width="12.33203125" bestFit="1" customWidth="1"/>
    <col min="15" max="15" width="14.6640625" customWidth="1"/>
    <col min="16" max="16" width="13.5" bestFit="1" customWidth="1"/>
    <col min="17" max="17" width="11" customWidth="1"/>
    <col min="18" max="18" width="13.1640625" customWidth="1"/>
    <col min="19" max="19" width="13" bestFit="1" customWidth="1"/>
    <col min="20" max="21" width="11" bestFit="1" customWidth="1"/>
    <col min="22" max="22" width="8.6640625" customWidth="1"/>
    <col min="23" max="25" width="13" bestFit="1" customWidth="1"/>
    <col min="26" max="26" width="13" customWidth="1"/>
    <col min="27" max="27" width="11.83203125" bestFit="1" customWidth="1"/>
    <col min="28" max="28" width="15.5" bestFit="1" customWidth="1"/>
    <col min="33" max="33" width="11.83203125" bestFit="1" customWidth="1"/>
    <col min="34" max="34" width="11" bestFit="1" customWidth="1"/>
    <col min="35" max="35" width="11.83203125" bestFit="1" customWidth="1"/>
  </cols>
  <sheetData>
    <row r="1" spans="1:40" s="2" customFormat="1" ht="80">
      <c r="A1" s="2" t="s">
        <v>0</v>
      </c>
      <c r="B1" s="2" t="s">
        <v>38</v>
      </c>
      <c r="C1" s="2" t="s">
        <v>40</v>
      </c>
      <c r="D1" s="2" t="s">
        <v>39</v>
      </c>
      <c r="E1" s="16" t="s">
        <v>72</v>
      </c>
      <c r="F1" s="5" t="s">
        <v>73</v>
      </c>
      <c r="G1" s="1" t="s">
        <v>113</v>
      </c>
      <c r="H1" s="1" t="s">
        <v>114</v>
      </c>
      <c r="I1" s="15" t="s">
        <v>70</v>
      </c>
      <c r="J1" s="15" t="s">
        <v>71</v>
      </c>
      <c r="K1" s="15" t="s">
        <v>47</v>
      </c>
      <c r="L1" s="15" t="s">
        <v>45</v>
      </c>
      <c r="M1" s="15" t="s">
        <v>46</v>
      </c>
      <c r="N1" s="17" t="s">
        <v>74</v>
      </c>
      <c r="O1" s="17" t="s">
        <v>42</v>
      </c>
      <c r="P1" s="2" t="s">
        <v>41</v>
      </c>
      <c r="Q1" s="18" t="s">
        <v>52</v>
      </c>
      <c r="R1" s="19" t="s">
        <v>120</v>
      </c>
      <c r="S1" s="20" t="s">
        <v>44</v>
      </c>
      <c r="T1" s="19" t="s">
        <v>118</v>
      </c>
      <c r="U1" s="12" t="s">
        <v>50</v>
      </c>
      <c r="V1" s="19" t="s">
        <v>119</v>
      </c>
      <c r="W1" s="14" t="s">
        <v>51</v>
      </c>
      <c r="X1" s="14" t="s">
        <v>49</v>
      </c>
      <c r="Y1" s="14" t="s">
        <v>48</v>
      </c>
      <c r="Z1" s="21" t="s">
        <v>122</v>
      </c>
      <c r="AA1" s="14" t="s">
        <v>117</v>
      </c>
      <c r="AB1" s="21" t="s">
        <v>121</v>
      </c>
      <c r="AC1" s="13" t="s">
        <v>66</v>
      </c>
      <c r="AD1" s="13" t="s">
        <v>67</v>
      </c>
      <c r="AE1" s="22" t="s">
        <v>68</v>
      </c>
      <c r="AF1" s="22" t="s">
        <v>69</v>
      </c>
      <c r="AG1" s="16" t="s">
        <v>116</v>
      </c>
      <c r="AH1" s="8" t="s">
        <v>43</v>
      </c>
      <c r="AI1" s="7" t="s">
        <v>115</v>
      </c>
      <c r="AJ1" s="23" t="s">
        <v>110</v>
      </c>
      <c r="AK1" s="23" t="s">
        <v>108</v>
      </c>
      <c r="AL1" s="23" t="s">
        <v>111</v>
      </c>
      <c r="AM1" s="23" t="s">
        <v>109</v>
      </c>
      <c r="AN1" s="23" t="s">
        <v>112</v>
      </c>
    </row>
    <row r="2" spans="1:40">
      <c r="A2">
        <v>11</v>
      </c>
      <c r="B2" t="s">
        <v>1</v>
      </c>
      <c r="C2">
        <v>2010</v>
      </c>
      <c r="D2" t="s">
        <v>32</v>
      </c>
      <c r="E2">
        <f>VLOOKUP(B2,[1]分省年度数据!$A$1:$IV$65536,15,FALSE)</f>
        <v>1962</v>
      </c>
      <c r="F2" s="4">
        <v>29228</v>
      </c>
      <c r="G2" s="2">
        <f>VLOOKUP(B2,[2]分省年度数据!$A$1:$IV$65536,15,FALSE)</f>
        <v>11.5</v>
      </c>
      <c r="H2" s="2">
        <f t="shared" ref="H2:H33" si="0">G2/E2</f>
        <v>5.861365953109072E-3</v>
      </c>
      <c r="N2">
        <v>17021.599999999999</v>
      </c>
      <c r="O2">
        <f>N2/F2</f>
        <v>0.58237306692212942</v>
      </c>
      <c r="Q2" t="s">
        <v>63</v>
      </c>
      <c r="R2">
        <f>VLOOKUP(B2,[5]分省年度数据!$A$1:$O$65536,15,FALSE)</f>
        <v>9411</v>
      </c>
      <c r="S2">
        <f>VLOOKUP($B2,[6]分省年度数据!$A$1:$IV$65536,15,FALSE)</f>
        <v>9.2799999999999994</v>
      </c>
      <c r="T2">
        <f>VLOOKUP($B2,[7]分省年度数据!$A$1:$IV$65536,15,FALSE)</f>
        <v>136</v>
      </c>
      <c r="U2">
        <f>VLOOKUP($B2,[8]分省年度数据!$A$1:$IV$65536,15,FALSE)</f>
        <v>16.18</v>
      </c>
      <c r="V2">
        <f>VLOOKUP($B2,[9]分省年度数据!$A$1:$IV$65536,15,FALSE)</f>
        <v>186.82</v>
      </c>
      <c r="W2">
        <f>VLOOKUP($B2,[10]分省年度数据!$A$1:$IV$65536,15,FALSE)</f>
        <v>10.11</v>
      </c>
      <c r="X2">
        <f>VLOOKUP($B2,[11]分省年度数据!$A$1:$IV$65536,15,FALSE)</f>
        <v>10.24</v>
      </c>
      <c r="Y2">
        <f>VLOOKUP($B2,[12]分省年度数据!$A$1:$IV$65536,15,FALSE)</f>
        <v>13.2</v>
      </c>
      <c r="AA2">
        <f>VLOOKUP($B2,[13]分省年度数据!$A$1:$IV$65536,15,FALSE)</f>
        <v>6134448</v>
      </c>
      <c r="AB2">
        <f>VLOOKUP($B2,[14]分省年度数据!$A$1:$IV$65536,15,FALSE)</f>
        <v>450.22</v>
      </c>
      <c r="AC2">
        <f>VLOOKUP($B2,[16]分省年度数据!$A$1:$IT$65532,15,FALSE)</f>
        <v>2316</v>
      </c>
      <c r="AD2">
        <f>VLOOKUP($B2,[17]分省年度数据!$A$1:$IS$65525,15,FALSE)</f>
        <v>6340.3</v>
      </c>
      <c r="AE2">
        <f>IFERROR(AC2/E2,0)</f>
        <v>1.180428134556575</v>
      </c>
      <c r="AF2">
        <f>IFERROR(AD2/E2,0)</f>
        <v>3.2315494393476047</v>
      </c>
      <c r="AG2">
        <f>VLOOKUP($B2,[15]分省年度数据!$A$1:$IV$65536,15,FALSE)</f>
        <v>4279</v>
      </c>
      <c r="AH2">
        <f>VLOOKUP(B2,[4]分省年度数据!$A$1:$IV$65536,15,FALSE)</f>
        <v>18743</v>
      </c>
      <c r="AI2">
        <f>VLOOKUP(B2,[3]分省年度数据!$A$1:$IV$65536,15,FALSE)</f>
        <v>174.92</v>
      </c>
      <c r="AJ2">
        <f>VLOOKUP($B2,[18]分省年度数据!$A$1:$IS$65529,15,FALSE)</f>
        <v>100</v>
      </c>
      <c r="AK2">
        <f>VLOOKUP($B2,[19]分省年度数据!$A$1:$IS$65529,15,FALSE)</f>
        <v>100</v>
      </c>
      <c r="AL2">
        <f>VLOOKUP($B2,[20]分省年度数据!$A$1:$IS$65528,15,FALSE)</f>
        <v>14.24</v>
      </c>
      <c r="AM2">
        <f>VLOOKUP($B2,[21]分省年度数据!$A$1:$IS$65528,15,FALSE)</f>
        <v>3.54</v>
      </c>
      <c r="AN2">
        <f>VLOOKUP($B2,[22]分省年度数据!$A$1:$IS$65529,15,FALSE)</f>
        <v>11.28</v>
      </c>
    </row>
    <row r="3" spans="1:40">
      <c r="A3">
        <v>12</v>
      </c>
      <c r="B3" t="s">
        <v>2</v>
      </c>
      <c r="C3">
        <v>2010</v>
      </c>
      <c r="D3" t="s">
        <v>32</v>
      </c>
      <c r="E3">
        <f>VLOOKUP(B3,[1]分省年度数据!$A$1:$IV$65536,15,FALSE)</f>
        <v>1299</v>
      </c>
      <c r="F3" s="4">
        <v>19266</v>
      </c>
      <c r="G3" s="2">
        <f>VLOOKUP(B3,[2]分省年度数据!$A$1:$IV$65536,15,FALSE)</f>
        <v>0.6</v>
      </c>
      <c r="H3" s="2">
        <f t="shared" si="0"/>
        <v>4.6189376443418013E-4</v>
      </c>
      <c r="N3">
        <v>8217.69</v>
      </c>
      <c r="O3">
        <f>N3/F3</f>
        <v>0.42653846153846159</v>
      </c>
      <c r="Q3" t="s">
        <v>65</v>
      </c>
      <c r="R3">
        <f>VLOOKUP(B3,[5]分省年度数据!$A$1:$O$65536,15,FALSE)</f>
        <v>4542</v>
      </c>
      <c r="S3">
        <f>VLOOKUP($B3,[6]分省年度数据!$A$1:$IV$65536,15,FALSE)</f>
        <v>4.88</v>
      </c>
      <c r="T3">
        <f>VLOOKUP($B3,[7]分省年度数据!$A$1:$IV$65536,15,FALSE)</f>
        <v>71</v>
      </c>
      <c r="U3">
        <f>VLOOKUP($B3,[8]分省年度数据!$A$1:$IV$65536,15,FALSE)</f>
        <v>12.56</v>
      </c>
      <c r="V3">
        <f>VLOOKUP($B3,[9]分省年度数据!$A$1:$IV$65536,15,FALSE)</f>
        <v>70.069999999999993</v>
      </c>
      <c r="W3">
        <f>VLOOKUP($B3,[10]分省年度数据!$A$1:$IV$65536,15,FALSE)</f>
        <v>12.49</v>
      </c>
      <c r="X3">
        <f>VLOOKUP($B3,[11]分省年度数据!$A$1:$IV$65536,15,FALSE)</f>
        <v>10.56</v>
      </c>
      <c r="Y3">
        <f>VLOOKUP($B3,[12]分省年度数据!$A$1:$IV$65536,15,FALSE)</f>
        <v>13.56</v>
      </c>
      <c r="AA3">
        <f>VLOOKUP($B3,[13]分省年度数据!$A$1:$IV$65536,15,FALSE)</f>
        <v>2920970</v>
      </c>
      <c r="AB3">
        <f>VLOOKUP($B3,[14]分省年度数据!$A$1:$IV$65536,15,FALSE)</f>
        <v>229.56</v>
      </c>
      <c r="AC3">
        <f>VLOOKUP($B3,[16]分省年度数据!$A$1:$IT$65532,15,FALSE)</f>
        <v>307</v>
      </c>
      <c r="AD3">
        <f>VLOOKUP($B3,[17]分省年度数据!$A$1:$IS$65525,15,FALSE)</f>
        <v>2860.2</v>
      </c>
      <c r="AE3">
        <f>IFERROR(AC3/E3,0)</f>
        <v>0.23633564280215549</v>
      </c>
      <c r="AF3">
        <f>IFERROR(AD3/E3,0)</f>
        <v>2.2018475750577364</v>
      </c>
      <c r="AG3">
        <f>VLOOKUP($B3,[15]分省年度数据!$A$1:$IV$65536,15,FALSE)</f>
        <v>3165</v>
      </c>
      <c r="AH3">
        <f>VLOOKUP(B3,[4]分省年度数据!$A$1:$IV$65536,15,FALSE)</f>
        <v>12240</v>
      </c>
      <c r="AI3">
        <f>VLOOKUP(B3,[3]分省年度数据!$A$1:$IV$65536,15,FALSE)</f>
        <v>132.04</v>
      </c>
      <c r="AJ3">
        <f>VLOOKUP($B3,[18]分省年度数据!$A$1:$IS$65529,15,FALSE)</f>
        <v>100</v>
      </c>
      <c r="AK3">
        <f>VLOOKUP($B3,[19]分省年度数据!$A$1:$IS$65529,15,FALSE)</f>
        <v>100</v>
      </c>
      <c r="AL3">
        <f>VLOOKUP($B3,[20]分省年度数据!$A$1:$IS$65528,15,FALSE)</f>
        <v>12.05</v>
      </c>
      <c r="AM3">
        <f>VLOOKUP($B3,[21]分省年度数据!$A$1:$IS$65528,15,FALSE)</f>
        <v>2.0099999999999998</v>
      </c>
      <c r="AN3">
        <f>VLOOKUP($B3,[22]分省年度数据!$A$1:$IS$65529,15,FALSE)</f>
        <v>8.56</v>
      </c>
    </row>
    <row r="4" spans="1:40">
      <c r="A4">
        <v>13</v>
      </c>
      <c r="B4" t="s">
        <v>3</v>
      </c>
      <c r="C4">
        <v>2010</v>
      </c>
      <c r="D4" t="s">
        <v>32</v>
      </c>
      <c r="E4">
        <f>VLOOKUP(B4,[1]分省年度数据!$A$1:$IV$65536,15,FALSE)</f>
        <v>7194</v>
      </c>
      <c r="F4" s="4">
        <v>10428</v>
      </c>
      <c r="G4" s="2">
        <f>VLOOKUP(B4,[2]分省年度数据!$A$1:$IV$65536,15,FALSE)</f>
        <v>2280.5</v>
      </c>
      <c r="H4" s="2">
        <f t="shared" si="0"/>
        <v>0.3170002780094523</v>
      </c>
      <c r="N4">
        <v>4125.1527272727271</v>
      </c>
      <c r="O4">
        <f>N4/F4</f>
        <v>0.39558426613662517</v>
      </c>
      <c r="Q4" t="s">
        <v>65</v>
      </c>
      <c r="R4">
        <f>VLOOKUP(B4,[5]分省年度数据!$A$1:$O$65536,15,FALSE)</f>
        <v>81403</v>
      </c>
      <c r="S4">
        <f>VLOOKUP($B4,[6]分省年度数据!$A$1:$IV$65536,15,FALSE)</f>
        <v>24.97</v>
      </c>
      <c r="T4">
        <f>VLOOKUP($B4,[7]分省年度数据!$A$1:$IV$65536,15,FALSE)</f>
        <v>40</v>
      </c>
      <c r="U4">
        <f>VLOOKUP($B4,[8]分省年度数据!$A$1:$IV$65536,15,FALSE)</f>
        <v>9.36</v>
      </c>
      <c r="V4">
        <f>VLOOKUP($B4,[9]分省年度数据!$A$1:$IV$65536,15,FALSE)</f>
        <v>235.48</v>
      </c>
      <c r="W4">
        <f>VLOOKUP($B4,[10]分省年度数据!$A$1:$IV$65536,15,FALSE)</f>
        <v>15.37</v>
      </c>
      <c r="X4">
        <f>VLOOKUP($B4,[11]分省年度数据!$A$1:$IV$65536,15,FALSE)</f>
        <v>12.45</v>
      </c>
      <c r="Y4">
        <f>VLOOKUP($B4,[12]分省年度数据!$A$1:$IV$65536,15,FALSE)</f>
        <v>16.04</v>
      </c>
      <c r="AA4">
        <f>VLOOKUP($B4,[13]分省年度数据!$A$1:$IV$65536,15,FALSE)</f>
        <v>7192734</v>
      </c>
      <c r="AB4">
        <f>VLOOKUP($B4,[14]分省年度数据!$A$1:$IV$65536,15,FALSE)</f>
        <v>514.29999999999995</v>
      </c>
      <c r="AC4">
        <f>VLOOKUP($B4,[16]分省年度数据!$A$1:$IT$65532,15,FALSE)</f>
        <v>7</v>
      </c>
      <c r="AD4">
        <f>VLOOKUP($B4,[17]分省年度数据!$A$1:$IS$65525,15,FALSE)</f>
        <v>6821.8</v>
      </c>
      <c r="AE4">
        <f>IFERROR(AC4/E4,0)</f>
        <v>9.7303308312482624E-4</v>
      </c>
      <c r="AF4">
        <f>IFERROR(AD4/E4,0)</f>
        <v>0.94826244092299139</v>
      </c>
      <c r="AG4">
        <f>VLOOKUP($B4,[15]分省年度数据!$A$1:$IV$65536,15,FALSE)</f>
        <v>5959</v>
      </c>
      <c r="AH4">
        <f>VLOOKUP(B4,[4]分省年度数据!$A$1:$IV$65536,15,FALSE)</f>
        <v>14869</v>
      </c>
      <c r="AI4">
        <f>VLOOKUP(B4,[3]分省年度数据!$A$1:$IV$65536,15,FALSE)</f>
        <v>122.96</v>
      </c>
      <c r="AJ4">
        <f>VLOOKUP($B4,[18]分省年度数据!$A$1:$IS$65529,15,FALSE)</f>
        <v>99.97</v>
      </c>
      <c r="AK4">
        <f>VLOOKUP($B4,[19]分省年度数据!$A$1:$IS$65529,15,FALSE)</f>
        <v>99.07</v>
      </c>
      <c r="AL4">
        <f>VLOOKUP($B4,[20]分省年度数据!$A$1:$IS$65528,15,FALSE)</f>
        <v>9.5299999999999994</v>
      </c>
      <c r="AM4">
        <f>VLOOKUP($B4,[21]分省年度数据!$A$1:$IS$65528,15,FALSE)</f>
        <v>4.22</v>
      </c>
      <c r="AN4">
        <f>VLOOKUP($B4,[22]分省年度数据!$A$1:$IS$65529,15,FALSE)</f>
        <v>14.23</v>
      </c>
    </row>
    <row r="5" spans="1:40">
      <c r="A5">
        <v>14</v>
      </c>
      <c r="B5" t="s">
        <v>4</v>
      </c>
      <c r="C5">
        <v>2010</v>
      </c>
      <c r="D5" t="s">
        <v>32</v>
      </c>
      <c r="E5">
        <f>VLOOKUP(B5,[1]分省年度数据!$A$1:$IV$65536,15,FALSE)</f>
        <v>3574</v>
      </c>
      <c r="F5" s="4">
        <v>10149</v>
      </c>
      <c r="G5" s="2">
        <f>VLOOKUP(B5,[2]分省年度数据!$A$1:$IV$65536,15,FALSE)</f>
        <v>1330.1</v>
      </c>
      <c r="H5" s="2">
        <f t="shared" si="0"/>
        <v>0.37216004476776721</v>
      </c>
      <c r="N5">
        <v>3426.9854545454541</v>
      </c>
      <c r="O5">
        <f>N5/F5</f>
        <v>0.33766730264513295</v>
      </c>
      <c r="Q5" t="s">
        <v>59</v>
      </c>
      <c r="R5">
        <f>VLOOKUP(B5,[5]分省年度数据!$A$1:$O$65536,15,FALSE)</f>
        <v>41098</v>
      </c>
      <c r="S5">
        <f>VLOOKUP($B5,[6]分省年度数据!$A$1:$IV$65536,15,FALSE)</f>
        <v>15.59</v>
      </c>
      <c r="T5">
        <f>VLOOKUP($B5,[7]分省年度数据!$A$1:$IV$65536,15,FALSE)</f>
        <v>56</v>
      </c>
      <c r="U5">
        <f>VLOOKUP($B5,[8]分省年度数据!$A$1:$IV$65536,15,FALSE)</f>
        <v>11.56</v>
      </c>
      <c r="V5">
        <f>VLOOKUP($B5,[9]分省年度数据!$A$1:$IV$65536,15,FALSE)</f>
        <v>113.86</v>
      </c>
      <c r="W5">
        <f>VLOOKUP($B5,[10]分省年度数据!$A$1:$IV$65536,15,FALSE)</f>
        <v>15.36</v>
      </c>
      <c r="X5">
        <f>VLOOKUP($B5,[11]分省年度数据!$A$1:$IV$65536,15,FALSE)</f>
        <v>14.37</v>
      </c>
      <c r="Y5">
        <f>VLOOKUP($B5,[12]分省年度数据!$A$1:$IV$65536,15,FALSE)</f>
        <v>15.28</v>
      </c>
      <c r="AA5">
        <f>VLOOKUP($B5,[13]分省年度数据!$A$1:$IV$65536,15,FALSE)</f>
        <v>4508195</v>
      </c>
      <c r="AB5">
        <f>VLOOKUP($B5,[14]分省年度数据!$A$1:$IV$65536,15,FALSE)</f>
        <v>328.58</v>
      </c>
      <c r="AC5">
        <f>VLOOKUP($B5,[16]分省年度数据!$A$1:$IT$65532,15,FALSE)</f>
        <v>93</v>
      </c>
      <c r="AD5">
        <f>VLOOKUP($B5,[17]分省年度数据!$A$1:$IS$65525,15,FALSE)</f>
        <v>3318.2</v>
      </c>
      <c r="AE5">
        <f>IFERROR(AC5/E5,0)</f>
        <v>2.6021264689423614E-2</v>
      </c>
      <c r="AF5">
        <f>IFERROR(AD5/E5,0)</f>
        <v>0.9284275321768326</v>
      </c>
      <c r="AG5">
        <f>VLOOKUP($B5,[15]分省年度数据!$A$1:$IV$65536,15,FALSE)</f>
        <v>6962</v>
      </c>
      <c r="AH5">
        <f>VLOOKUP(B5,[4]分省年度数据!$A$1:$IV$65536,15,FALSE)</f>
        <v>12200</v>
      </c>
      <c r="AI5">
        <f>VLOOKUP(B5,[3]分省年度数据!$A$1:$IV$65536,15,FALSE)</f>
        <v>106.39</v>
      </c>
      <c r="AJ5">
        <f>VLOOKUP($B5,[18]分省年度数据!$A$1:$IS$65529,15,FALSE)</f>
        <v>97.26</v>
      </c>
      <c r="AK5">
        <f>VLOOKUP($B5,[19]分省年度数据!$A$1:$IS$65529,15,FALSE)</f>
        <v>89.94</v>
      </c>
      <c r="AL5">
        <f>VLOOKUP($B5,[20]分省年度数据!$A$1:$IS$65528,15,FALSE)</f>
        <v>6.83</v>
      </c>
      <c r="AM5">
        <f>VLOOKUP($B5,[21]分省年度数据!$A$1:$IS$65528,15,FALSE)</f>
        <v>3.32</v>
      </c>
      <c r="AN5">
        <f>VLOOKUP($B5,[22]分省年度数据!$A$1:$IS$65529,15,FALSE)</f>
        <v>9.36</v>
      </c>
    </row>
    <row r="6" spans="1:40">
      <c r="A6">
        <v>15</v>
      </c>
      <c r="B6" t="s">
        <v>5</v>
      </c>
      <c r="C6">
        <v>2010</v>
      </c>
      <c r="D6" t="s">
        <v>32</v>
      </c>
      <c r="E6">
        <f>VLOOKUP(B6,[1]分省年度数据!$A$1:$IV$65536,15,FALSE)</f>
        <v>2472</v>
      </c>
      <c r="F6" s="4">
        <v>12538</v>
      </c>
      <c r="G6" s="2">
        <f>VLOOKUP(B6,[2]分省年度数据!$A$1:$IV$65536,15,FALSE)</f>
        <v>889.4</v>
      </c>
      <c r="H6" s="2">
        <f t="shared" si="0"/>
        <v>0.359789644012945</v>
      </c>
      <c r="N6">
        <v>3893.103333333333</v>
      </c>
      <c r="O6">
        <f>N6/F6</f>
        <v>0.31050433349284839</v>
      </c>
      <c r="Q6" t="s">
        <v>59</v>
      </c>
      <c r="R6">
        <f>VLOOKUP(B6,[5]分省年度数据!$A$1:$O$65536,15,FALSE)</f>
        <v>22565</v>
      </c>
      <c r="S6">
        <f>VLOOKUP($B6,[6]分省年度数据!$A$1:$IV$65536,15,FALSE)</f>
        <v>9.34</v>
      </c>
      <c r="T6">
        <f>VLOOKUP($B6,[7]分省年度数据!$A$1:$IV$65536,15,FALSE)</f>
        <v>51</v>
      </c>
      <c r="U6">
        <f>VLOOKUP($B6,[8]分省年度数据!$A$1:$IV$65536,15,FALSE)</f>
        <v>10.97</v>
      </c>
      <c r="V6">
        <f>VLOOKUP($B6,[9]分省年度数据!$A$1:$IV$65536,15,FALSE)</f>
        <v>120.72</v>
      </c>
      <c r="W6">
        <f>VLOOKUP($B6,[10]分省年度数据!$A$1:$IV$65536,15,FALSE)</f>
        <v>15.81</v>
      </c>
      <c r="X6">
        <f>VLOOKUP($B6,[11]分省年度数据!$A$1:$IV$65536,15,FALSE)</f>
        <v>12.73</v>
      </c>
      <c r="Y6">
        <f>VLOOKUP($B6,[12]分省年度数据!$A$1:$IV$65536,15,FALSE)</f>
        <v>12.6</v>
      </c>
      <c r="AA6">
        <f>VLOOKUP($B6,[13]分省年度数据!$A$1:$IV$65536,15,FALSE)</f>
        <v>4143731</v>
      </c>
      <c r="AB6">
        <f>VLOOKUP($B6,[14]分省年度数据!$A$1:$IV$65536,15,FALSE)</f>
        <v>322.11</v>
      </c>
      <c r="AC6">
        <f>VLOOKUP($B6,[16]分省年度数据!$A$1:$IT$65532,15,FALSE)</f>
        <v>1153</v>
      </c>
      <c r="AD6">
        <f>VLOOKUP($B6,[17]分省年度数据!$A$1:$IS$65525,15,FALSE)</f>
        <v>3384</v>
      </c>
      <c r="AE6">
        <f>IFERROR(AC6/E6,0)</f>
        <v>0.46642394822006472</v>
      </c>
      <c r="AF6">
        <f>IFERROR(AD6/E6,0)</f>
        <v>1.3689320388349515</v>
      </c>
      <c r="AG6">
        <f>VLOOKUP($B6,[15]分省年度数据!$A$1:$IV$65536,15,FALSE)</f>
        <v>4780</v>
      </c>
      <c r="AH6">
        <f>VLOOKUP(B6,[4]分省年度数据!$A$1:$IV$65536,15,FALSE)</f>
        <v>9272</v>
      </c>
      <c r="AI6">
        <f>VLOOKUP(B6,[3]分省年度数据!$A$1:$IV$65536,15,FALSE)</f>
        <v>88.49</v>
      </c>
      <c r="AJ6">
        <f>VLOOKUP($B6,[18]分省年度数据!$A$1:$IS$65529,15,FALSE)</f>
        <v>87.97</v>
      </c>
      <c r="AK6">
        <f>VLOOKUP($B6,[19]分省年度数据!$A$1:$IS$65529,15,FALSE)</f>
        <v>79.260000000000005</v>
      </c>
      <c r="AL6">
        <f>VLOOKUP($B6,[20]分省年度数据!$A$1:$IS$65528,15,FALSE)</f>
        <v>6.89</v>
      </c>
      <c r="AM6">
        <f>VLOOKUP($B6,[21]分省年度数据!$A$1:$IS$65528,15,FALSE)</f>
        <v>4.7300000000000004</v>
      </c>
      <c r="AN6">
        <f>VLOOKUP($B6,[22]分省年度数据!$A$1:$IS$65529,15,FALSE)</f>
        <v>12.36</v>
      </c>
    </row>
    <row r="7" spans="1:40">
      <c r="A7">
        <v>21</v>
      </c>
      <c r="B7" t="s">
        <v>6</v>
      </c>
      <c r="C7">
        <v>2010</v>
      </c>
      <c r="D7" t="s">
        <v>33</v>
      </c>
      <c r="E7">
        <f>VLOOKUP(B7,[1]分省年度数据!$A$1:$IV$65536,15,FALSE)</f>
        <v>4375</v>
      </c>
      <c r="F7" s="4">
        <v>13953</v>
      </c>
      <c r="G7" s="2">
        <f>VLOOKUP(B7,[2]分省年度数据!$A$1:$IV$65536,15,FALSE)</f>
        <v>631.29999999999995</v>
      </c>
      <c r="H7" s="2">
        <f t="shared" si="0"/>
        <v>0.14429714285714285</v>
      </c>
      <c r="N7">
        <v>4187.5442857142862</v>
      </c>
      <c r="O7">
        <f>N7/F7</f>
        <v>0.30011784460075153</v>
      </c>
      <c r="Q7" t="s">
        <v>64</v>
      </c>
      <c r="R7">
        <f>VLOOKUP(B7,[5]分省年度数据!$A$1:$O$65536,15,FALSE)</f>
        <v>34805</v>
      </c>
      <c r="S7">
        <f>VLOOKUP($B7,[6]分省年度数据!$A$1:$IV$65536,15,FALSE)</f>
        <v>20.420000000000002</v>
      </c>
      <c r="T7">
        <f>VLOOKUP($B7,[7]分省年度数据!$A$1:$IV$65536,15,FALSE)</f>
        <v>55</v>
      </c>
      <c r="U7">
        <f>VLOOKUP($B7,[8]分省年度数据!$A$1:$IV$65536,15,FALSE)</f>
        <v>12.2</v>
      </c>
      <c r="V7">
        <f>VLOOKUP($B7,[9]分省年度数据!$A$1:$IV$65536,15,FALSE)</f>
        <v>151.36000000000001</v>
      </c>
      <c r="W7">
        <f>VLOOKUP($B7,[10]分省年度数据!$A$1:$IV$65536,15,FALSE)</f>
        <v>16.010000000000002</v>
      </c>
      <c r="X7">
        <f>VLOOKUP($B7,[11]分省年度数据!$A$1:$IV$65536,15,FALSE)</f>
        <v>12.64</v>
      </c>
      <c r="Y7">
        <f>VLOOKUP($B7,[12]分省年度数据!$A$1:$IV$65536,15,FALSE)</f>
        <v>14.85</v>
      </c>
      <c r="AA7">
        <f>VLOOKUP($B7,[13]分省年度数据!$A$1:$IV$65536,15,FALSE)</f>
        <v>6242615</v>
      </c>
      <c r="AB7">
        <f>VLOOKUP($B7,[14]分省年度数据!$A$1:$IV$65536,15,FALSE)</f>
        <v>405.39</v>
      </c>
      <c r="AC7">
        <f>VLOOKUP($B7,[16]分省年度数据!$A$1:$IT$65532,15,FALSE)</f>
        <v>394</v>
      </c>
      <c r="AD7">
        <f>VLOOKUP($B7,[17]分省年度数据!$A$1:$IS$65525,15,FALSE)</f>
        <v>6887.6</v>
      </c>
      <c r="AE7">
        <f>IFERROR(AC7/E7,0)</f>
        <v>9.0057142857142863E-2</v>
      </c>
      <c r="AF7">
        <f>IFERROR(AD7/E7,0)</f>
        <v>1.5743085714285716</v>
      </c>
      <c r="AG7">
        <f>VLOOKUP($B7,[15]分省年度数据!$A$1:$IV$65536,15,FALSE)</f>
        <v>6781</v>
      </c>
      <c r="AH7">
        <f>VLOOKUP(B7,[4]分省年度数据!$A$1:$IV$65536,15,FALSE)</f>
        <v>19104</v>
      </c>
      <c r="AI7">
        <f>VLOOKUP(B7,[3]分省年度数据!$A$1:$IV$65536,15,FALSE)</f>
        <v>120.96</v>
      </c>
      <c r="AJ7">
        <f>VLOOKUP($B7,[18]分省年度数据!$A$1:$IS$65529,15,FALSE)</f>
        <v>97.44</v>
      </c>
      <c r="AK7">
        <f>VLOOKUP($B7,[19]分省年度数据!$A$1:$IS$65529,15,FALSE)</f>
        <v>94.19</v>
      </c>
      <c r="AL7">
        <f>VLOOKUP($B7,[20]分省年度数据!$A$1:$IS$65528,15,FALSE)</f>
        <v>9.35</v>
      </c>
      <c r="AM7">
        <f>VLOOKUP($B7,[21]分省年度数据!$A$1:$IS$65528,15,FALSE)</f>
        <v>2.99</v>
      </c>
      <c r="AN7">
        <f>VLOOKUP($B7,[22]分省年度数据!$A$1:$IS$65529,15,FALSE)</f>
        <v>10.210000000000001</v>
      </c>
    </row>
    <row r="8" spans="1:40">
      <c r="A8">
        <v>22</v>
      </c>
      <c r="B8" t="s">
        <v>7</v>
      </c>
      <c r="C8">
        <v>2010</v>
      </c>
      <c r="D8" t="s">
        <v>33</v>
      </c>
      <c r="E8">
        <f>VLOOKUP(B8,[1]分省年度数据!$A$1:$IV$65536,15,FALSE)</f>
        <v>2747</v>
      </c>
      <c r="F8" s="4">
        <v>10798</v>
      </c>
      <c r="G8" s="2">
        <f>VLOOKUP(B8,[2]分省年度数据!$A$1:$IV$65536,15,FALSE)</f>
        <v>779.6</v>
      </c>
      <c r="H8" s="2">
        <f t="shared" si="0"/>
        <v>0.28380050964688752</v>
      </c>
      <c r="N8">
        <v>3250.1087499999999</v>
      </c>
      <c r="O8">
        <f>N8/F8</f>
        <v>0.30099173458047784</v>
      </c>
      <c r="Q8" t="s">
        <v>64</v>
      </c>
      <c r="R8">
        <f>VLOOKUP(B8,[5]分省年度数据!$A$1:$O$65536,15,FALSE)</f>
        <v>19385</v>
      </c>
      <c r="S8">
        <f>VLOOKUP($B8,[6]分省年度数据!$A$1:$IV$65536,15,FALSE)</f>
        <v>11.51</v>
      </c>
      <c r="T8">
        <f>VLOOKUP($B8,[7]分省年度数据!$A$1:$IV$65536,15,FALSE)</f>
        <v>51</v>
      </c>
      <c r="U8">
        <f>VLOOKUP($B8,[8]分省年度数据!$A$1:$IV$65536,15,FALSE)</f>
        <v>10.52</v>
      </c>
      <c r="V8">
        <f>VLOOKUP($B8,[9]分省年度数据!$A$1:$IV$65536,15,FALSE)</f>
        <v>110.91</v>
      </c>
      <c r="W8">
        <f>VLOOKUP($B8,[10]分省年度数据!$A$1:$IV$65536,15,FALSE)</f>
        <v>17.05</v>
      </c>
      <c r="X8">
        <f>VLOOKUP($B8,[11]分省年度数据!$A$1:$IV$65536,15,FALSE)</f>
        <v>12.19</v>
      </c>
      <c r="Y8">
        <f>VLOOKUP($B8,[12]分省年度数据!$A$1:$IV$65536,15,FALSE)</f>
        <v>11.6</v>
      </c>
      <c r="AA8">
        <f>VLOOKUP($B8,[13]分省年度数据!$A$1:$IV$65536,15,FALSE)</f>
        <v>3445611</v>
      </c>
      <c r="AB8">
        <f>VLOOKUP($B8,[14]分省年度数据!$A$1:$IV$65536,15,FALSE)</f>
        <v>250.2</v>
      </c>
      <c r="AC8">
        <f>VLOOKUP($B8,[16]分省年度数据!$A$1:$IT$65532,15,FALSE)</f>
        <v>14</v>
      </c>
      <c r="AD8">
        <f>VLOOKUP($B8,[17]分省年度数据!$A$1:$IS$65525,15,FALSE)</f>
        <v>3504.9</v>
      </c>
      <c r="AE8">
        <f>IFERROR(AC8/E8,0)</f>
        <v>5.0964688751365126E-3</v>
      </c>
      <c r="AF8">
        <f>IFERROR(AD8/E8,0)</f>
        <v>1.275900982890426</v>
      </c>
      <c r="AG8">
        <f>VLOOKUP($B8,[15]分省年度数据!$A$1:$IV$65536,15,FALSE)</f>
        <v>4438</v>
      </c>
      <c r="AH8">
        <f>VLOOKUP(B8,[4]分省年度数据!$A$1:$IV$65536,15,FALSE)</f>
        <v>10136</v>
      </c>
      <c r="AI8">
        <f>VLOOKUP(B8,[3]分省年度数据!$A$1:$IV$65536,15,FALSE)</f>
        <v>121.03</v>
      </c>
      <c r="AJ8">
        <f>VLOOKUP($B8,[18]分省年度数据!$A$1:$IS$65529,15,FALSE)</f>
        <v>89.6</v>
      </c>
      <c r="AK8">
        <f>VLOOKUP($B8,[19]分省年度数据!$A$1:$IS$65529,15,FALSE)</f>
        <v>85.64</v>
      </c>
      <c r="AL8">
        <f>VLOOKUP($B8,[20]分省年度数据!$A$1:$IS$65528,15,FALSE)</f>
        <v>9.75</v>
      </c>
      <c r="AM8">
        <f>VLOOKUP($B8,[21]分省年度数据!$A$1:$IS$65528,15,FALSE)</f>
        <v>4.53</v>
      </c>
      <c r="AN8">
        <f>VLOOKUP($B8,[22]分省年度数据!$A$1:$IS$65529,15,FALSE)</f>
        <v>10.27</v>
      </c>
    </row>
    <row r="9" spans="1:40">
      <c r="A9">
        <v>23</v>
      </c>
      <c r="B9" t="s">
        <v>8</v>
      </c>
      <c r="C9">
        <v>2010</v>
      </c>
      <c r="D9" t="s">
        <v>33</v>
      </c>
      <c r="E9">
        <f>VLOOKUP(B9,[1]分省年度数据!$A$1:$IV$65536,15,FALSE)</f>
        <v>3833</v>
      </c>
      <c r="F9" s="4">
        <v>10846</v>
      </c>
      <c r="G9" s="2">
        <f>VLOOKUP(B9,[2]分省年度数据!$A$1:$IV$65536,15,FALSE)</f>
        <v>698.7</v>
      </c>
      <c r="H9" s="2">
        <f t="shared" si="0"/>
        <v>0.18228541612314114</v>
      </c>
      <c r="N9">
        <v>3454.8525</v>
      </c>
      <c r="O9">
        <f>N9/F9</f>
        <v>0.31853701825557806</v>
      </c>
      <c r="Q9" t="s">
        <v>64</v>
      </c>
      <c r="R9">
        <f>VLOOKUP(B9,[5]分省年度数据!$A$1:$O$65536,15,FALSE)</f>
        <v>22073</v>
      </c>
      <c r="S9">
        <f>VLOOKUP($B9,[6]分省年度数据!$A$1:$IV$65536,15,FALSE)</f>
        <v>15.99</v>
      </c>
      <c r="T9">
        <f>VLOOKUP($B9,[7]分省年度数据!$A$1:$IV$65536,15,FALSE)</f>
        <v>50</v>
      </c>
      <c r="U9">
        <f>VLOOKUP($B9,[8]分省年度数据!$A$1:$IV$65536,15,FALSE)</f>
        <v>11.77</v>
      </c>
      <c r="V9">
        <f>VLOOKUP($B9,[9]分省年度数据!$A$1:$IV$65536,15,FALSE)</f>
        <v>135.18</v>
      </c>
      <c r="W9">
        <f>VLOOKUP($B9,[10]分省年度数据!$A$1:$IV$65536,15,FALSE)</f>
        <v>15.15</v>
      </c>
      <c r="X9">
        <f>VLOOKUP($B9,[11]分省年度数据!$A$1:$IV$65536,15,FALSE)</f>
        <v>12.73</v>
      </c>
      <c r="Y9">
        <f>VLOOKUP($B9,[12]分省年度数据!$A$1:$IV$65536,15,FALSE)</f>
        <v>12.42</v>
      </c>
      <c r="AA9">
        <f>VLOOKUP($B9,[13]分省年度数据!$A$1:$IV$65536,15,FALSE)</f>
        <v>4048565</v>
      </c>
      <c r="AB9">
        <f>VLOOKUP($B9,[14]分省年度数据!$A$1:$IV$65536,15,FALSE)</f>
        <v>299.14</v>
      </c>
      <c r="AC9">
        <f>VLOOKUP($B9,[16]分省年度数据!$A$1:$IT$65532,15,FALSE)</f>
        <v>69</v>
      </c>
      <c r="AD9">
        <f>VLOOKUP($B9,[17]分省年度数据!$A$1:$IS$65525,15,FALSE)</f>
        <v>4039.2</v>
      </c>
      <c r="AE9">
        <f>IFERROR(AC9/E9,0)</f>
        <v>1.8001565353509E-2</v>
      </c>
      <c r="AF9">
        <f>IFERROR(AD9/E9,0)</f>
        <v>1.0537959822593268</v>
      </c>
      <c r="AG9">
        <f>VLOOKUP($B9,[15]分省年度数据!$A$1:$IV$65536,15,FALSE)</f>
        <v>3466</v>
      </c>
      <c r="AH9">
        <f>VLOOKUP(B9,[4]分省年度数据!$A$1:$IV$65536,15,FALSE)</f>
        <v>11956</v>
      </c>
      <c r="AI9">
        <f>VLOOKUP(B9,[3]分省年度数据!$A$1:$IV$65536,15,FALSE)</f>
        <v>123.87</v>
      </c>
      <c r="AJ9">
        <f>VLOOKUP($B9,[18]分省年度数据!$A$1:$IS$65529,15,FALSE)</f>
        <v>88.43</v>
      </c>
      <c r="AK9">
        <f>VLOOKUP($B9,[19]分省年度数据!$A$1:$IS$65529,15,FALSE)</f>
        <v>84.67</v>
      </c>
      <c r="AL9">
        <f>VLOOKUP($B9,[20]分省年度数据!$A$1:$IS$65528,15,FALSE)</f>
        <v>10</v>
      </c>
      <c r="AM9">
        <f>VLOOKUP($B9,[21]分省年度数据!$A$1:$IS$65528,15,FALSE)</f>
        <v>6.56</v>
      </c>
      <c r="AN9">
        <f>VLOOKUP($B9,[22]分省年度数据!$A$1:$IS$65529,15,FALSE)</f>
        <v>11.27</v>
      </c>
    </row>
    <row r="10" spans="1:40">
      <c r="A10">
        <v>31</v>
      </c>
      <c r="B10" t="s">
        <v>9</v>
      </c>
      <c r="C10">
        <v>2010</v>
      </c>
      <c r="D10" t="s">
        <v>34</v>
      </c>
      <c r="E10">
        <f>VLOOKUP(B10,[1]分省年度数据!$A$1:$IV$65536,15,FALSE)</f>
        <v>2303</v>
      </c>
      <c r="F10" s="4">
        <v>30436</v>
      </c>
      <c r="G10" s="2">
        <f>VLOOKUP(B10,[2]分省年度数据!$A$1:$IV$65536,15,FALSE)</f>
        <v>0.1</v>
      </c>
      <c r="H10" s="2">
        <f t="shared" si="0"/>
        <v>4.3421623968736431E-5</v>
      </c>
      <c r="N10">
        <v>14061.3</v>
      </c>
      <c r="O10">
        <f>N10/F10</f>
        <v>0.46199566303062162</v>
      </c>
      <c r="Q10" t="s">
        <v>56</v>
      </c>
      <c r="R10">
        <f>VLOOKUP(B10,[5]分省年度数据!$A$1:$O$65536,15,FALSE)</f>
        <v>4708</v>
      </c>
      <c r="S10">
        <f>VLOOKUP($B10,[6]分省年度数据!$A$1:$IV$65536,15,FALSE)</f>
        <v>10.51</v>
      </c>
      <c r="T10">
        <f>VLOOKUP($B10,[7]分省年度数据!$A$1:$IV$65536,15,FALSE)</f>
        <v>97</v>
      </c>
      <c r="U10">
        <f>VLOOKUP($B10,[8]分省年度数据!$A$1:$IV$65536,15,FALSE)</f>
        <v>13.03</v>
      </c>
      <c r="V10">
        <f>VLOOKUP($B10,[9]分省年度数据!$A$1:$IV$65536,15,FALSE)</f>
        <v>160.07</v>
      </c>
      <c r="W10">
        <f>VLOOKUP($B10,[10]分省年度数据!$A$1:$IV$65536,15,FALSE)</f>
        <v>10.1</v>
      </c>
      <c r="X10">
        <f>VLOOKUP($B10,[11]分省年度数据!$A$1:$IV$65536,15,FALSE)</f>
        <v>12.51</v>
      </c>
      <c r="Y10">
        <f>VLOOKUP($B10,[12]分省年度数据!$A$1:$IV$65536,15,FALSE)</f>
        <v>15.51</v>
      </c>
      <c r="AA10">
        <f>VLOOKUP($B10,[13]分省年度数据!$A$1:$IV$65536,15,FALSE)</f>
        <v>5582736</v>
      </c>
      <c r="AB10">
        <f>VLOOKUP($B10,[14]分省年度数据!$A$1:$IV$65536,15,FALSE)</f>
        <v>417.28</v>
      </c>
      <c r="AC10">
        <f>VLOOKUP($B10,[16]分省年度数据!$A$1:$IT$65532,15,FALSE)</f>
        <v>1773</v>
      </c>
      <c r="AD10">
        <f>VLOOKUP($B10,[17]分省年度数据!$A$1:$IS$65525,15,FALSE)</f>
        <v>6186.6</v>
      </c>
      <c r="AE10">
        <f>IFERROR(AC10/E10,0)</f>
        <v>0.76986539296569689</v>
      </c>
      <c r="AF10">
        <f>IFERROR(AD10/E10,0)</f>
        <v>2.6863221884498483</v>
      </c>
      <c r="AG10">
        <f>VLOOKUP($B10,[15]分省年度数据!$A$1:$IV$65536,15,FALSE)</f>
        <v>2176</v>
      </c>
      <c r="AH10">
        <f>VLOOKUP(B10,[4]分省年度数据!$A$1:$IV$65536,15,FALSE)</f>
        <v>23130</v>
      </c>
      <c r="AI10">
        <f>VLOOKUP(B10,[3]分省年度数据!$A$1:$IV$65536,15,FALSE)</f>
        <v>174.83</v>
      </c>
      <c r="AJ10">
        <f>VLOOKUP($B10,[18]分省年度数据!$A$1:$IS$65529,15,FALSE)</f>
        <v>100</v>
      </c>
      <c r="AK10">
        <f>VLOOKUP($B10,[19]分省年度数据!$A$1:$IS$65529,15,FALSE)</f>
        <v>100</v>
      </c>
      <c r="AL10">
        <f>VLOOKUP($B10,[20]分省年度数据!$A$1:$IS$65528,15,FALSE)</f>
        <v>8.82</v>
      </c>
      <c r="AM10">
        <f>VLOOKUP($B10,[21]分省年度数据!$A$1:$IS$65528,15,FALSE)</f>
        <v>2.62</v>
      </c>
      <c r="AN10">
        <f>VLOOKUP($B10,[22]分省年度数据!$A$1:$IS$65529,15,FALSE)</f>
        <v>6.97</v>
      </c>
    </row>
    <row r="11" spans="1:40">
      <c r="A11">
        <v>32</v>
      </c>
      <c r="B11" t="s">
        <v>10</v>
      </c>
      <c r="C11">
        <v>2010</v>
      </c>
      <c r="D11" t="s">
        <v>34</v>
      </c>
      <c r="E11">
        <f>VLOOKUP(B11,[1]分省年度数据!$A$1:$IV$65536,15,FALSE)</f>
        <v>7869</v>
      </c>
      <c r="F11" s="4">
        <v>17006</v>
      </c>
      <c r="G11" s="2">
        <f>VLOOKUP(B11,[2]分省年度数据!$A$1:$IV$65536,15,FALSE)</f>
        <v>743.7</v>
      </c>
      <c r="H11" s="2">
        <f t="shared" si="0"/>
        <v>9.4510102935569967E-2</v>
      </c>
      <c r="N11">
        <v>6147.5107692307693</v>
      </c>
      <c r="O11">
        <f>N11/F11</f>
        <v>0.36149069559160113</v>
      </c>
      <c r="Q11" t="s">
        <v>79</v>
      </c>
      <c r="R11">
        <f>VLOOKUP(B11,[5]分省年度数据!$A$1:$O$65536,15,FALSE)</f>
        <v>30956</v>
      </c>
      <c r="S11">
        <f>VLOOKUP($B11,[6]分省年度数据!$A$1:$IV$65536,15,FALSE)</f>
        <v>26.95</v>
      </c>
      <c r="T11">
        <f>VLOOKUP($B11,[7]分省年度数据!$A$1:$IV$65536,15,FALSE)</f>
        <v>44</v>
      </c>
      <c r="U11">
        <f>VLOOKUP($B11,[8]分省年度数据!$A$1:$IV$65536,15,FALSE)</f>
        <v>11.3</v>
      </c>
      <c r="V11">
        <f>VLOOKUP($B11,[9]分省年度数据!$A$1:$IV$65536,15,FALSE)</f>
        <v>249.69</v>
      </c>
      <c r="W11">
        <f>VLOOKUP($B11,[10]分省年度数据!$A$1:$IV$65536,15,FALSE)</f>
        <v>13.81</v>
      </c>
      <c r="X11">
        <f>VLOOKUP($B11,[11]分省年度数据!$A$1:$IV$65536,15,FALSE)</f>
        <v>12.5</v>
      </c>
      <c r="Y11">
        <f>VLOOKUP($B11,[12]分省年度数据!$A$1:$IV$65536,15,FALSE)</f>
        <v>15.98</v>
      </c>
      <c r="AA11">
        <f>VLOOKUP($B11,[13]分省年度数据!$A$1:$IV$65536,15,FALSE)</f>
        <v>13146233</v>
      </c>
      <c r="AB11">
        <f>VLOOKUP($B11,[14]分省年度数据!$A$1:$IV$65536,15,FALSE)</f>
        <v>865.36</v>
      </c>
      <c r="AC11">
        <f>VLOOKUP($B11,[16]分省年度数据!$A$1:$IT$65532,15,FALSE)</f>
        <v>1065</v>
      </c>
      <c r="AD11">
        <f>VLOOKUP($B11,[17]分省年度数据!$A$1:$IS$65525,15,FALSE)</f>
        <v>13606.3</v>
      </c>
      <c r="AE11">
        <f>IFERROR(AC11/E11,0)</f>
        <v>0.1353412123522684</v>
      </c>
      <c r="AF11">
        <f>IFERROR(AD11/E11,0)</f>
        <v>1.7291015376795018</v>
      </c>
      <c r="AG11">
        <f>VLOOKUP($B11,[15]分省年度数据!$A$1:$IV$65536,15,FALSE)</f>
        <v>13793</v>
      </c>
      <c r="AH11">
        <f>VLOOKUP(B11,[4]分省年度数据!$A$1:$IV$65536,15,FALSE)</f>
        <v>41266</v>
      </c>
      <c r="AI11">
        <f>VLOOKUP(B11,[3]分省年度数据!$A$1:$IV$65536,15,FALSE)</f>
        <v>220.37</v>
      </c>
      <c r="AJ11">
        <f>VLOOKUP($B11,[18]分省年度数据!$A$1:$IS$65529,15,FALSE)</f>
        <v>99.56</v>
      </c>
      <c r="AK11">
        <f>VLOOKUP($B11,[19]分省年度数据!$A$1:$IS$65529,15,FALSE)</f>
        <v>99.12</v>
      </c>
      <c r="AL11">
        <f>VLOOKUP($B11,[20]分省年度数据!$A$1:$IS$65528,15,FALSE)</f>
        <v>10.91</v>
      </c>
      <c r="AM11">
        <f>VLOOKUP($B11,[21]分省年度数据!$A$1:$IS$65528,15,FALSE)</f>
        <v>3.75</v>
      </c>
      <c r="AN11">
        <f>VLOOKUP($B11,[22]分省年度数据!$A$1:$IS$65529,15,FALSE)</f>
        <v>13.29</v>
      </c>
    </row>
    <row r="12" spans="1:40">
      <c r="A12">
        <v>33</v>
      </c>
      <c r="B12" t="s">
        <v>11</v>
      </c>
      <c r="C12">
        <v>2010</v>
      </c>
      <c r="D12" t="s">
        <v>34</v>
      </c>
      <c r="E12">
        <f>VLOOKUP(B12,[1]分省年度数据!$A$1:$IV$65536,15,FALSE)</f>
        <v>5447</v>
      </c>
      <c r="F12" s="4">
        <v>21159</v>
      </c>
      <c r="G12" s="2">
        <f>VLOOKUP(B12,[2]分省年度数据!$A$1:$IV$65536,15,FALSE)</f>
        <v>611.6</v>
      </c>
      <c r="H12" s="2">
        <f t="shared" si="0"/>
        <v>0.11228199008628603</v>
      </c>
      <c r="N12">
        <v>10006.02090909091</v>
      </c>
      <c r="O12">
        <f>N12/F12</f>
        <v>0.47289668269251428</v>
      </c>
      <c r="Q12" t="s">
        <v>56</v>
      </c>
      <c r="R12">
        <f>VLOOKUP(B12,[5]分省年度数据!$A$1:$O$65536,15,FALSE)</f>
        <v>29939</v>
      </c>
      <c r="S12">
        <f>VLOOKUP($B12,[6]分省年度数据!$A$1:$IV$65536,15,FALSE)</f>
        <v>18.41</v>
      </c>
      <c r="T12">
        <f>VLOOKUP($B12,[7]分省年度数据!$A$1:$IV$65536,15,FALSE)</f>
        <v>61</v>
      </c>
      <c r="U12">
        <f>VLOOKUP($B12,[8]分省年度数据!$A$1:$IV$65536,15,FALSE)</f>
        <v>11.29</v>
      </c>
      <c r="V12">
        <f>VLOOKUP($B12,[9]分省年度数据!$A$1:$IV$65536,15,FALSE)</f>
        <v>224.53</v>
      </c>
      <c r="W12">
        <f>VLOOKUP($B12,[10]分省年度数据!$A$1:$IV$65536,15,FALSE)</f>
        <v>14.12</v>
      </c>
      <c r="X12">
        <f>VLOOKUP($B12,[11]分省年度数据!$A$1:$IV$65536,15,FALSE)</f>
        <v>13.87</v>
      </c>
      <c r="Y12">
        <f>VLOOKUP($B12,[12]分省年度数据!$A$1:$IV$65536,15,FALSE)</f>
        <v>19.39</v>
      </c>
      <c r="AA12">
        <f>VLOOKUP($B12,[13]分省年度数据!$A$1:$IV$65536,15,FALSE)</f>
        <v>10625688</v>
      </c>
      <c r="AB12">
        <f>VLOOKUP($B12,[14]分省年度数据!$A$1:$IV$65536,15,FALSE)</f>
        <v>606.54</v>
      </c>
      <c r="AC12">
        <f>VLOOKUP($B12,[16]分省年度数据!$A$1:$IT$65532,15,FALSE)</f>
        <v>1289</v>
      </c>
      <c r="AD12">
        <f>VLOOKUP($B12,[17]分省年度数据!$A$1:$IS$65525,15,FALSE)</f>
        <v>10387</v>
      </c>
      <c r="AE12">
        <f>IFERROR(AC12/E12,0)</f>
        <v>0.23664402423352304</v>
      </c>
      <c r="AF12">
        <f>IFERROR(AD12/E12,0)</f>
        <v>1.9069212410501193</v>
      </c>
      <c r="AG12">
        <f>VLOOKUP($B12,[15]分省年度数据!$A$1:$IV$65536,15,FALSE)</f>
        <v>21698</v>
      </c>
      <c r="AH12">
        <f>VLOOKUP(B12,[4]分省年度数据!$A$1:$IV$65536,15,FALSE)</f>
        <v>39989</v>
      </c>
      <c r="AI12">
        <f>VLOOKUP(B12,[3]分省年度数据!$A$1:$IV$65536,15,FALSE)</f>
        <v>185.43</v>
      </c>
      <c r="AJ12">
        <f>VLOOKUP($B12,[18]分省年度数据!$A$1:$IS$65529,15,FALSE)</f>
        <v>99.79</v>
      </c>
      <c r="AK12">
        <f>VLOOKUP($B12,[19]分省年度数据!$A$1:$IS$65529,15,FALSE)</f>
        <v>99.07</v>
      </c>
      <c r="AL12">
        <f>VLOOKUP($B12,[20]分省年度数据!$A$1:$IS$65528,15,FALSE)</f>
        <v>11.87</v>
      </c>
      <c r="AM12">
        <f>VLOOKUP($B12,[21]分省年度数据!$A$1:$IS$65528,15,FALSE)</f>
        <v>4.01</v>
      </c>
      <c r="AN12">
        <f>VLOOKUP($B12,[22]分省年度数据!$A$1:$IS$65529,15,FALSE)</f>
        <v>11.05</v>
      </c>
    </row>
    <row r="13" spans="1:40">
      <c r="A13">
        <v>34</v>
      </c>
      <c r="B13" t="s">
        <v>12</v>
      </c>
      <c r="C13">
        <v>2010</v>
      </c>
      <c r="D13" t="s">
        <v>34</v>
      </c>
      <c r="E13">
        <f>VLOOKUP(B13,[1]分省年度数据!$A$1:$IV$65536,15,FALSE)</f>
        <v>5957</v>
      </c>
      <c r="F13" s="4">
        <v>9955</v>
      </c>
      <c r="G13" s="2">
        <f>VLOOKUP(B13,[2]分省年度数据!$A$1:$IV$65536,15,FALSE)</f>
        <v>1640</v>
      </c>
      <c r="H13" s="2">
        <f t="shared" si="0"/>
        <v>0.27530636226288402</v>
      </c>
      <c r="N13">
        <v>4438.9137499999997</v>
      </c>
      <c r="O13">
        <f>N13/F13</f>
        <v>0.4458979156202913</v>
      </c>
      <c r="Q13" t="s">
        <v>79</v>
      </c>
      <c r="R13">
        <f>VLOOKUP(B13,[5]分省年度数据!$A$1:$O$65536,15,FALSE)</f>
        <v>22997</v>
      </c>
      <c r="S13">
        <f>VLOOKUP($B13,[6]分省年度数据!$A$1:$IV$65536,15,FALSE)</f>
        <v>18.8</v>
      </c>
      <c r="T13">
        <f>VLOOKUP($B13,[7]分省年度数据!$A$1:$IV$65536,15,FALSE)</f>
        <v>31</v>
      </c>
      <c r="U13">
        <f>VLOOKUP($B13,[8]分省年度数据!$A$1:$IV$65536,15,FALSE)</f>
        <v>9.7200000000000006</v>
      </c>
      <c r="V13">
        <f>VLOOKUP($B13,[9]分省年度数据!$A$1:$IV$65536,15,FALSE)</f>
        <v>184.22</v>
      </c>
      <c r="W13">
        <f>VLOOKUP($B13,[10]分省年度数据!$A$1:$IV$65536,15,FALSE)</f>
        <v>19.079999999999998</v>
      </c>
      <c r="X13">
        <f>VLOOKUP($B13,[11]分省年度数据!$A$1:$IV$65536,15,FALSE)</f>
        <v>17.100000000000001</v>
      </c>
      <c r="Y13">
        <f>VLOOKUP($B13,[12]分省年度数据!$A$1:$IV$65536,15,FALSE)</f>
        <v>18.739999999999998</v>
      </c>
      <c r="AA13">
        <f>VLOOKUP($B13,[13]分省年度数据!$A$1:$IV$65536,15,FALSE)</f>
        <v>5990868</v>
      </c>
      <c r="AB13">
        <f>VLOOKUP($B13,[14]分省年度数据!$A$1:$IV$65536,15,FALSE)</f>
        <v>386.31</v>
      </c>
      <c r="AC13">
        <f>VLOOKUP($B13,[16]分省年度数据!$A$1:$IT$65532,15,FALSE)</f>
        <v>186</v>
      </c>
      <c r="AD13">
        <f>VLOOKUP($B13,[17]分省年度数据!$A$1:$IS$65525,15,FALSE)</f>
        <v>4300.5</v>
      </c>
      <c r="AE13">
        <f>IFERROR(AC13/E13,0)</f>
        <v>3.1223770354205135E-2</v>
      </c>
      <c r="AF13">
        <f>IFERROR(AD13/E13,0)</f>
        <v>0.72192378714117844</v>
      </c>
      <c r="AG13">
        <f>VLOOKUP($B13,[15]分省年度数据!$A$1:$IV$65536,15,FALSE)</f>
        <v>7901</v>
      </c>
      <c r="AH13">
        <f>VLOOKUP(B13,[4]分省年度数据!$A$1:$IV$65536,15,FALSE)</f>
        <v>8948</v>
      </c>
      <c r="AI13">
        <f>VLOOKUP(B13,[3]分省年度数据!$A$1:$IV$65536,15,FALSE)</f>
        <v>160.83000000000001</v>
      </c>
      <c r="AJ13">
        <f>VLOOKUP($B13,[18]分省年度数据!$A$1:$IS$65529,15,FALSE)</f>
        <v>96.06</v>
      </c>
      <c r="AK13">
        <f>VLOOKUP($B13,[19]分省年度数据!$A$1:$IS$65529,15,FALSE)</f>
        <v>90.52</v>
      </c>
      <c r="AL13">
        <f>VLOOKUP($B13,[20]分省年度数据!$A$1:$IS$65528,15,FALSE)</f>
        <v>7.73</v>
      </c>
      <c r="AM13">
        <f>VLOOKUP($B13,[21]分省年度数据!$A$1:$IS$65528,15,FALSE)</f>
        <v>2.5499999999999998</v>
      </c>
      <c r="AN13">
        <f>VLOOKUP($B13,[22]分省年度数据!$A$1:$IS$65529,15,FALSE)</f>
        <v>10.95</v>
      </c>
    </row>
    <row r="14" spans="1:40">
      <c r="A14">
        <v>35</v>
      </c>
      <c r="B14" t="s">
        <v>13</v>
      </c>
      <c r="C14">
        <v>2010</v>
      </c>
      <c r="D14" t="s">
        <v>34</v>
      </c>
      <c r="E14">
        <f>VLOOKUP(B14,[1]分省年度数据!$A$1:$IV$65536,15,FALSE)</f>
        <v>3693</v>
      </c>
      <c r="F14" s="4">
        <v>14566</v>
      </c>
      <c r="G14" s="2">
        <f>VLOOKUP(B14,[2]分省年度数据!$A$1:$IV$65536,15,FALSE)</f>
        <v>809.2</v>
      </c>
      <c r="H14" s="2">
        <f t="shared" si="0"/>
        <v>0.21911724884917413</v>
      </c>
      <c r="N14">
        <v>7435.48</v>
      </c>
      <c r="O14">
        <f>N14/F14</f>
        <v>0.51046821364822181</v>
      </c>
      <c r="Q14" t="s">
        <v>57</v>
      </c>
      <c r="R14">
        <f>VLOOKUP(B14,[5]分省年度数据!$A$1:$O$65536,15,FALSE)</f>
        <v>27017</v>
      </c>
      <c r="S14">
        <f>VLOOKUP($B14,[6]分省年度数据!$A$1:$IV$65536,15,FALSE)</f>
        <v>11.3</v>
      </c>
      <c r="T14">
        <f>VLOOKUP($B14,[7]分省年度数据!$A$1:$IV$65536,15,FALSE)</f>
        <v>41</v>
      </c>
      <c r="U14">
        <f>VLOOKUP($B14,[8]分省年度数据!$A$1:$IV$65536,15,FALSE)</f>
        <v>9.43</v>
      </c>
      <c r="V14">
        <f>VLOOKUP($B14,[9]分省年度数据!$A$1:$IV$65536,15,FALSE)</f>
        <v>117.58</v>
      </c>
      <c r="W14">
        <f>VLOOKUP($B14,[10]分省年度数据!$A$1:$IV$65536,15,FALSE)</f>
        <v>13.55</v>
      </c>
      <c r="X14">
        <f>VLOOKUP($B14,[11]分省年度数据!$A$1:$IV$65536,15,FALSE)</f>
        <v>12.84</v>
      </c>
      <c r="Y14">
        <f>VLOOKUP($B14,[12]分省年度数据!$A$1:$IV$65536,15,FALSE)</f>
        <v>15.25</v>
      </c>
      <c r="AA14">
        <f>VLOOKUP($B14,[13]分省年度数据!$A$1:$IV$65536,15,FALSE)</f>
        <v>5341118</v>
      </c>
      <c r="AB14">
        <f>VLOOKUP($B14,[14]分省年度数据!$A$1:$IV$65536,15,FALSE)</f>
        <v>327.77</v>
      </c>
      <c r="AC14">
        <f>VLOOKUP($B14,[16]分省年度数据!$A$1:$IT$65532,15,FALSE)</f>
        <v>764</v>
      </c>
      <c r="AD14">
        <f>VLOOKUP($B14,[17]分省年度数据!$A$1:$IS$65525,15,FALSE)</f>
        <v>5310</v>
      </c>
      <c r="AE14">
        <f>IFERROR(AC14/E14,0)</f>
        <v>0.20687787706471703</v>
      </c>
      <c r="AF14">
        <f>IFERROR(AD14/E14,0)</f>
        <v>1.4378554021121039</v>
      </c>
      <c r="AG14">
        <f>VLOOKUP($B14,[15]分省年度数据!$A$1:$IV$65536,15,FALSE)</f>
        <v>12714</v>
      </c>
      <c r="AH14">
        <f>VLOOKUP(B14,[4]分省年度数据!$A$1:$IV$65536,15,FALSE)</f>
        <v>13555</v>
      </c>
      <c r="AI14">
        <f>VLOOKUP(B14,[3]分省年度数据!$A$1:$IV$65536,15,FALSE)</f>
        <v>186.62</v>
      </c>
      <c r="AJ14">
        <f>VLOOKUP($B14,[18]分省年度数据!$A$1:$IS$65529,15,FALSE)</f>
        <v>99.5</v>
      </c>
      <c r="AK14">
        <f>VLOOKUP($B14,[19]分省年度数据!$A$1:$IS$65529,15,FALSE)</f>
        <v>98.92</v>
      </c>
      <c r="AL14">
        <f>VLOOKUP($B14,[20]分省年度数据!$A$1:$IS$65528,15,FALSE)</f>
        <v>10.32</v>
      </c>
      <c r="AM14">
        <f>VLOOKUP($B14,[21]分省年度数据!$A$1:$IS$65528,15,FALSE)</f>
        <v>2.64</v>
      </c>
      <c r="AN14">
        <f>VLOOKUP($B14,[22]分省年度数据!$A$1:$IS$65529,15,FALSE)</f>
        <v>10.99</v>
      </c>
    </row>
    <row r="15" spans="1:40">
      <c r="A15">
        <v>36</v>
      </c>
      <c r="B15" t="s">
        <v>14</v>
      </c>
      <c r="C15">
        <v>2010</v>
      </c>
      <c r="D15" t="s">
        <v>34</v>
      </c>
      <c r="E15">
        <f>VLOOKUP(B15,[1]分省年度数据!$A$1:$IV$65536,15,FALSE)</f>
        <v>4462</v>
      </c>
      <c r="F15" s="4">
        <v>10217</v>
      </c>
      <c r="G15" s="2">
        <f>VLOOKUP(B15,[2]分省年度数据!$A$1:$IV$65536,15,FALSE)</f>
        <v>2184.6</v>
      </c>
      <c r="H15" s="2">
        <f t="shared" si="0"/>
        <v>0.48960107575078438</v>
      </c>
      <c r="N15">
        <v>4116.3118181818181</v>
      </c>
      <c r="O15">
        <f>N15/F15</f>
        <v>0.40288850133912285</v>
      </c>
      <c r="Q15" t="s">
        <v>58</v>
      </c>
      <c r="R15">
        <f>VLOOKUP(B15,[5]分省年度数据!$A$1:$O$65536,15,FALSE)</f>
        <v>34068</v>
      </c>
      <c r="S15">
        <f>VLOOKUP($B15,[6]分省年度数据!$A$1:$IV$65536,15,FALSE)</f>
        <v>12.46</v>
      </c>
      <c r="T15">
        <f>VLOOKUP($B15,[7]分省年度数据!$A$1:$IV$65536,15,FALSE)</f>
        <v>34</v>
      </c>
      <c r="U15">
        <f>VLOOKUP($B15,[8]分省年度数据!$A$1:$IV$65536,15,FALSE)</f>
        <v>9.24</v>
      </c>
      <c r="V15">
        <f>VLOOKUP($B15,[9]分省年度数据!$A$1:$IV$65536,15,FALSE)</f>
        <v>150.02000000000001</v>
      </c>
      <c r="W15">
        <f>VLOOKUP($B15,[10]分省年度数据!$A$1:$IV$65536,15,FALSE)</f>
        <v>15.78</v>
      </c>
      <c r="X15">
        <f>VLOOKUP($B15,[11]分省年度数据!$A$1:$IV$65536,15,FALSE)</f>
        <v>16.61</v>
      </c>
      <c r="Y15">
        <f>VLOOKUP($B15,[12]分省年度数据!$A$1:$IV$65536,15,FALSE)</f>
        <v>21</v>
      </c>
      <c r="AA15">
        <f>VLOOKUP($B15,[13]分省年度数据!$A$1:$IV$65536,15,FALSE)</f>
        <v>4494597</v>
      </c>
      <c r="AB15">
        <f>VLOOKUP($B15,[14]分省年度数据!$A$1:$IV$65536,15,FALSE)</f>
        <v>297.5</v>
      </c>
      <c r="AC15">
        <f>VLOOKUP($B15,[16]分省年度数据!$A$1:$IT$65532,15,FALSE)</f>
        <v>69</v>
      </c>
      <c r="AD15">
        <f>VLOOKUP($B15,[17]分省年度数据!$A$1:$IS$65525,15,FALSE)</f>
        <v>2971</v>
      </c>
      <c r="AE15">
        <f>IFERROR(AC15/E15,0)</f>
        <v>1.5463917525773196E-2</v>
      </c>
      <c r="AF15">
        <f>IFERROR(AD15/E15,0)</f>
        <v>0.66584491259524881</v>
      </c>
      <c r="AG15">
        <f>VLOOKUP($B15,[15]分省年度数据!$A$1:$IV$65536,15,FALSE)</f>
        <v>4126</v>
      </c>
      <c r="AH15">
        <f>VLOOKUP(B15,[4]分省年度数据!$A$1:$IV$65536,15,FALSE)</f>
        <v>9934</v>
      </c>
      <c r="AI15">
        <f>VLOOKUP(B15,[3]分省年度数据!$A$1:$IV$65536,15,FALSE)</f>
        <v>184.35</v>
      </c>
      <c r="AJ15">
        <f>VLOOKUP($B15,[18]分省年度数据!$A$1:$IS$65529,15,FALSE)</f>
        <v>97.43</v>
      </c>
      <c r="AK15">
        <f>VLOOKUP($B15,[19]分省年度数据!$A$1:$IS$65529,15,FALSE)</f>
        <v>92.36</v>
      </c>
      <c r="AL15">
        <f>VLOOKUP($B15,[20]分省年度数据!$A$1:$IS$65528,15,FALSE)</f>
        <v>7.61</v>
      </c>
      <c r="AM15">
        <f>VLOOKUP($B15,[21]分省年度数据!$A$1:$IS$65528,15,FALSE)</f>
        <v>2.17</v>
      </c>
      <c r="AN15">
        <f>VLOOKUP($B15,[22]分省年度数据!$A$1:$IS$65529,15,FALSE)</f>
        <v>13.04</v>
      </c>
    </row>
    <row r="16" spans="1:40">
      <c r="A16">
        <v>37</v>
      </c>
      <c r="B16" t="s">
        <v>15</v>
      </c>
      <c r="C16">
        <v>2010</v>
      </c>
      <c r="D16" t="s">
        <v>34</v>
      </c>
      <c r="E16">
        <f>VLOOKUP(B16,[1]分省年度数据!$A$1:$IV$65536,15,FALSE)</f>
        <v>9588</v>
      </c>
      <c r="F16" s="4">
        <v>12922</v>
      </c>
      <c r="G16" s="2">
        <f>VLOOKUP(B16,[2]分省年度数据!$A$1:$IV$65536,15,FALSE)</f>
        <v>2226.3000000000002</v>
      </c>
      <c r="H16" s="2">
        <f t="shared" si="0"/>
        <v>0.23219649561952443</v>
      </c>
      <c r="N16">
        <v>4401.3100000000004</v>
      </c>
      <c r="O16">
        <f>N16/F16</f>
        <v>0.34060594335242228</v>
      </c>
      <c r="Q16" t="s">
        <v>65</v>
      </c>
      <c r="R16">
        <f>VLOOKUP(B16,[5]分省年度数据!$A$1:$O$65536,15,FALSE)</f>
        <v>66967</v>
      </c>
      <c r="S16">
        <f>VLOOKUP($B16,[6]分省年度数据!$A$1:$IV$65536,15,FALSE)</f>
        <v>38.229999999999997</v>
      </c>
      <c r="T16">
        <f>VLOOKUP($B16,[7]分省年度数据!$A$1:$IV$65536,15,FALSE)</f>
        <v>47</v>
      </c>
      <c r="U16">
        <f>VLOOKUP($B16,[8]分省年度数据!$A$1:$IV$65536,15,FALSE)</f>
        <v>9.42</v>
      </c>
      <c r="V16">
        <f>VLOOKUP($B16,[9]分省年度数据!$A$1:$IV$65536,15,FALSE)</f>
        <v>250.77</v>
      </c>
      <c r="W16">
        <f>VLOOKUP($B16,[10]分省年度数据!$A$1:$IV$65536,15,FALSE)</f>
        <v>13.69</v>
      </c>
      <c r="X16">
        <f>VLOOKUP($B16,[11]分省年度数据!$A$1:$IV$65536,15,FALSE)</f>
        <v>13.37</v>
      </c>
      <c r="Y16">
        <f>VLOOKUP($B16,[12]分省年度数据!$A$1:$IV$65536,15,FALSE)</f>
        <v>16.239999999999998</v>
      </c>
      <c r="AA16">
        <f>VLOOKUP($B16,[13]分省年度数据!$A$1:$IV$65536,15,FALSE)</f>
        <v>10395900</v>
      </c>
      <c r="AB16">
        <f>VLOOKUP($B16,[14]分省年度数据!$A$1:$IV$65536,15,FALSE)</f>
        <v>770.45</v>
      </c>
      <c r="AC16">
        <f>VLOOKUP($B16,[16]分省年度数据!$A$1:$IT$65532,15,FALSE)</f>
        <v>290</v>
      </c>
      <c r="AD16">
        <f>VLOOKUP($B16,[17]分省年度数据!$A$1:$IS$65525,15,FALSE)</f>
        <v>14620.3</v>
      </c>
      <c r="AE16">
        <f>IFERROR(AC16/E16,0)</f>
        <v>3.0246141009595329E-2</v>
      </c>
      <c r="AF16">
        <f>IFERROR(AD16/E16,0)</f>
        <v>1.5248539841468502</v>
      </c>
      <c r="AG16">
        <f>VLOOKUP($B16,[15]分省年度数据!$A$1:$IV$65536,15,FALSE)</f>
        <v>14560</v>
      </c>
      <c r="AH16">
        <f>VLOOKUP(B16,[4]分省年度数据!$A$1:$IV$65536,15,FALSE)</f>
        <v>39470</v>
      </c>
      <c r="AI16">
        <f>VLOOKUP(B16,[3]分省年度数据!$A$1:$IV$65536,15,FALSE)</f>
        <v>129.52000000000001</v>
      </c>
      <c r="AJ16">
        <f>VLOOKUP($B16,[18]分省年度数据!$A$1:$IS$65529,15,FALSE)</f>
        <v>99.57</v>
      </c>
      <c r="AK16">
        <f>VLOOKUP($B16,[19]分省年度数据!$A$1:$IS$65529,15,FALSE)</f>
        <v>99.3</v>
      </c>
      <c r="AL16">
        <f>VLOOKUP($B16,[20]分省年度数据!$A$1:$IS$65528,15,FALSE)</f>
        <v>10.18</v>
      </c>
      <c r="AM16">
        <f>VLOOKUP($B16,[21]分省年度数据!$A$1:$IS$65528,15,FALSE)</f>
        <v>2.0499999999999998</v>
      </c>
      <c r="AN16">
        <f>VLOOKUP($B16,[22]分省年度数据!$A$1:$IS$65529,15,FALSE)</f>
        <v>15.84</v>
      </c>
    </row>
    <row r="17" spans="1:40">
      <c r="A17">
        <v>41</v>
      </c>
      <c r="B17" t="s">
        <v>16</v>
      </c>
      <c r="C17">
        <v>2010</v>
      </c>
      <c r="D17" t="s">
        <v>35</v>
      </c>
      <c r="E17">
        <f>VLOOKUP(B17,[1]分省年度数据!$A$1:$IV$65536,15,FALSE)</f>
        <v>9405</v>
      </c>
      <c r="F17" s="4">
        <v>9520</v>
      </c>
      <c r="G17" s="2">
        <f>VLOOKUP(B17,[2]分省年度数据!$A$1:$IV$65536,15,FALSE)</f>
        <v>1843.8</v>
      </c>
      <c r="H17" s="2">
        <f t="shared" si="0"/>
        <v>0.19604465709728866</v>
      </c>
      <c r="N17">
        <v>3252.292352941176</v>
      </c>
      <c r="O17">
        <f>N17/F17</f>
        <v>0.34162734799802269</v>
      </c>
      <c r="Q17" t="s">
        <v>62</v>
      </c>
      <c r="R17">
        <f>VLOOKUP(B17,[5]分省年度数据!$A$1:$O$65536,15,FALSE)</f>
        <v>75741</v>
      </c>
      <c r="S17">
        <f>VLOOKUP($B17,[6]分省年度数据!$A$1:$IV$65536,15,FALSE)</f>
        <v>32.76</v>
      </c>
      <c r="T17">
        <f>VLOOKUP($B17,[7]分省年度数据!$A$1:$IV$65536,15,FALSE)</f>
        <v>35</v>
      </c>
      <c r="U17">
        <f>VLOOKUP($B17,[8]分省年度数据!$A$1:$IV$65536,15,FALSE)</f>
        <v>10.32</v>
      </c>
      <c r="V17">
        <f>VLOOKUP($B17,[9]分省年度数据!$A$1:$IV$65536,15,FALSE)</f>
        <v>270.20999999999998</v>
      </c>
      <c r="W17">
        <f>VLOOKUP($B17,[10]分省年度数据!$A$1:$IV$65536,15,FALSE)</f>
        <v>18.420000000000002</v>
      </c>
      <c r="X17">
        <f>VLOOKUP($B17,[11]分省年度数据!$A$1:$IV$65536,15,FALSE)</f>
        <v>16.97</v>
      </c>
      <c r="Y17">
        <f>VLOOKUP($B17,[12]分省年度数据!$A$1:$IV$65536,15,FALSE)</f>
        <v>21.83</v>
      </c>
      <c r="AA17">
        <f>VLOOKUP($B17,[13]分省年度数据!$A$1:$IV$65536,15,FALSE)</f>
        <v>9111164</v>
      </c>
      <c r="AB17">
        <f>VLOOKUP($B17,[14]分省年度数据!$A$1:$IV$65536,15,FALSE)</f>
        <v>609.37</v>
      </c>
      <c r="AC17">
        <f>VLOOKUP($B17,[16]分省年度数据!$A$1:$IT$65532,15,FALSE)</f>
        <v>183</v>
      </c>
      <c r="AD17">
        <f>VLOOKUP($B17,[17]分省年度数据!$A$1:$IS$65525,15,FALSE)</f>
        <v>8004.2</v>
      </c>
      <c r="AE17">
        <f>IFERROR(AC17/E17,0)</f>
        <v>1.9457735247208931E-2</v>
      </c>
      <c r="AF17">
        <f>IFERROR(AD17/E17,0)</f>
        <v>0.85105794790005318</v>
      </c>
      <c r="AG17">
        <f>VLOOKUP($B17,[15]分省年度数据!$A$1:$IV$65536,15,FALSE)</f>
        <v>7890</v>
      </c>
      <c r="AH17">
        <f>VLOOKUP(B17,[4]分省年度数据!$A$1:$IV$65536,15,FALSE)</f>
        <v>16362</v>
      </c>
      <c r="AI17">
        <f>VLOOKUP(B17,[3]分省年度数据!$A$1:$IV$65536,15,FALSE)</f>
        <v>109.1</v>
      </c>
      <c r="AJ17">
        <f>VLOOKUP($B17,[18]分省年度数据!$A$1:$IS$65529,15,FALSE)</f>
        <v>91.03</v>
      </c>
      <c r="AK17">
        <f>VLOOKUP($B17,[19]分省年度数据!$A$1:$IS$65529,15,FALSE)</f>
        <v>73.430000000000007</v>
      </c>
      <c r="AL17">
        <f>VLOOKUP($B17,[20]分省年度数据!$A$1:$IS$65528,15,FALSE)</f>
        <v>7.58</v>
      </c>
      <c r="AM17">
        <f>VLOOKUP($B17,[21]分省年度数据!$A$1:$IS$65528,15,FALSE)</f>
        <v>3.32</v>
      </c>
      <c r="AN17">
        <f>VLOOKUP($B17,[22]分省年度数据!$A$1:$IS$65529,15,FALSE)</f>
        <v>8.65</v>
      </c>
    </row>
    <row r="18" spans="1:40">
      <c r="A18">
        <v>42</v>
      </c>
      <c r="B18" t="s">
        <v>17</v>
      </c>
      <c r="C18">
        <v>2010</v>
      </c>
      <c r="D18" t="s">
        <v>35</v>
      </c>
      <c r="E18">
        <f>VLOOKUP(B18,[1]分省年度数据!$A$1:$IV$65536,15,FALSE)</f>
        <v>5728</v>
      </c>
      <c r="F18" s="4">
        <v>11069</v>
      </c>
      <c r="G18" s="2">
        <f>VLOOKUP(B18,[2]分省年度数据!$A$1:$IV$65536,15,FALSE)</f>
        <v>2362.5</v>
      </c>
      <c r="H18" s="2">
        <f t="shared" si="0"/>
        <v>0.41244762569832405</v>
      </c>
      <c r="N18">
        <v>3864.1941666666671</v>
      </c>
      <c r="O18">
        <f>N18/F18</f>
        <v>0.34910056614569224</v>
      </c>
      <c r="Q18" t="s">
        <v>55</v>
      </c>
      <c r="R18">
        <f>VLOOKUP(B18,[5]分省年度数据!$A$1:$O$65536,15,FALSE)</f>
        <v>34269</v>
      </c>
      <c r="S18">
        <f>VLOOKUP($B18,[6]分省年度数据!$A$1:$IV$65536,15,FALSE)</f>
        <v>20.04</v>
      </c>
      <c r="T18">
        <f>VLOOKUP($B18,[7]分省年度数据!$A$1:$IV$65536,15,FALSE)</f>
        <v>42</v>
      </c>
      <c r="U18">
        <f>VLOOKUP($B18,[8]分省年度数据!$A$1:$IV$65536,15,FALSE)</f>
        <v>10.51</v>
      </c>
      <c r="V18">
        <f>VLOOKUP($B18,[9]分省年度数据!$A$1:$IV$65536,15,FALSE)</f>
        <v>179.13</v>
      </c>
      <c r="W18">
        <f>VLOOKUP($B18,[10]分省年度数据!$A$1:$IV$65536,15,FALSE)</f>
        <v>17.399999999999999</v>
      </c>
      <c r="X18">
        <f>VLOOKUP($B18,[11]分省年度数据!$A$1:$IV$65536,15,FALSE)</f>
        <v>13.91</v>
      </c>
      <c r="Y18">
        <f>VLOOKUP($B18,[12]分省年度数据!$A$1:$IV$65536,15,FALSE)</f>
        <v>18.64</v>
      </c>
      <c r="AA18">
        <f>VLOOKUP($B18,[13]分省年度数据!$A$1:$IV$65536,15,FALSE)</f>
        <v>5869164</v>
      </c>
      <c r="AB18">
        <f>VLOOKUP($B18,[14]分省年度数据!$A$1:$IV$65536,15,FALSE)</f>
        <v>366.57</v>
      </c>
      <c r="AC18">
        <f>VLOOKUP($B18,[16]分省年度数据!$A$1:$IT$65532,15,FALSE)</f>
        <v>310</v>
      </c>
      <c r="AD18">
        <f>VLOOKUP($B18,[17]分省年度数据!$A$1:$IS$65525,15,FALSE)</f>
        <v>7014.4</v>
      </c>
      <c r="AE18">
        <f>IFERROR(AC18/E18,0)</f>
        <v>5.4120111731843577E-2</v>
      </c>
      <c r="AF18">
        <f>IFERROR(AD18/E18,0)</f>
        <v>1.2245810055865922</v>
      </c>
      <c r="AG18">
        <f>VLOOKUP($B18,[15]分省年度数据!$A$1:$IV$65536,15,FALSE)</f>
        <v>6543</v>
      </c>
      <c r="AH18">
        <f>VLOOKUP(B18,[4]分省年度数据!$A$1:$IV$65536,15,FALSE)</f>
        <v>16706</v>
      </c>
      <c r="AI18">
        <f>VLOOKUP(B18,[3]分省年度数据!$A$1:$IV$65536,15,FALSE)</f>
        <v>211.54</v>
      </c>
      <c r="AJ18">
        <f>VLOOKUP($B18,[18]分省年度数据!$A$1:$IS$65529,15,FALSE)</f>
        <v>97.59</v>
      </c>
      <c r="AK18">
        <f>VLOOKUP($B18,[19]分省年度数据!$A$1:$IS$65529,15,FALSE)</f>
        <v>91.75</v>
      </c>
      <c r="AL18">
        <f>VLOOKUP($B18,[20]分省年度数据!$A$1:$IS$65528,15,FALSE)</f>
        <v>9.4700000000000006</v>
      </c>
      <c r="AM18">
        <f>VLOOKUP($B18,[21]分省年度数据!$A$1:$IS$65528,15,FALSE)</f>
        <v>2.91</v>
      </c>
      <c r="AN18">
        <f>VLOOKUP($B18,[22]分省年度数据!$A$1:$IS$65529,15,FALSE)</f>
        <v>9.6199999999999992</v>
      </c>
    </row>
    <row r="19" spans="1:40">
      <c r="A19">
        <v>43</v>
      </c>
      <c r="B19" t="s">
        <v>18</v>
      </c>
      <c r="C19">
        <v>2010</v>
      </c>
      <c r="D19" t="s">
        <v>35</v>
      </c>
      <c r="E19">
        <f>VLOOKUP(B19,[1]分省年度数据!$A$1:$IV$65536,15,FALSE)</f>
        <v>6570</v>
      </c>
      <c r="F19" s="4">
        <v>10861</v>
      </c>
      <c r="G19" s="2">
        <f>VLOOKUP(B19,[2]分省年度数据!$A$1:$IV$65536,15,FALSE)</f>
        <v>2283.9</v>
      </c>
      <c r="H19" s="2">
        <f t="shared" si="0"/>
        <v>0.34762557077625572</v>
      </c>
      <c r="N19">
        <v>3375.34</v>
      </c>
      <c r="O19">
        <f>N19/F19</f>
        <v>0.31077617162323912</v>
      </c>
      <c r="Q19" t="s">
        <v>53</v>
      </c>
      <c r="R19">
        <f>VLOOKUP(B19,[5]分省年度数据!$A$1:$O$65536,15,FALSE)</f>
        <v>59359</v>
      </c>
      <c r="S19">
        <f>VLOOKUP($B19,[6]分省年度数据!$A$1:$IV$65536,15,FALSE)</f>
        <v>23.35</v>
      </c>
      <c r="T19">
        <f>VLOOKUP($B19,[7]分省年度数据!$A$1:$IV$65536,15,FALSE)</f>
        <v>38</v>
      </c>
      <c r="U19">
        <f>VLOOKUP($B19,[8]分省年度数据!$A$1:$IV$65536,15,FALSE)</f>
        <v>9.94</v>
      </c>
      <c r="V19">
        <f>VLOOKUP($B19,[9]分省年度数据!$A$1:$IV$65536,15,FALSE)</f>
        <v>180.44</v>
      </c>
      <c r="W19">
        <f>VLOOKUP($B19,[10]分省年度数据!$A$1:$IV$65536,15,FALSE)</f>
        <v>15.02</v>
      </c>
      <c r="X19">
        <f>VLOOKUP($B19,[11]分省年度数据!$A$1:$IV$65536,15,FALSE)</f>
        <v>12.45</v>
      </c>
      <c r="Y19">
        <f>VLOOKUP($B19,[12]分省年度数据!$A$1:$IV$65536,15,FALSE)</f>
        <v>19.16</v>
      </c>
      <c r="AA19">
        <f>VLOOKUP($B19,[13]分省年度数据!$A$1:$IV$65536,15,FALSE)</f>
        <v>6497608</v>
      </c>
      <c r="AB19">
        <f>VLOOKUP($B19,[14]分省年度数据!$A$1:$IV$65536,15,FALSE)</f>
        <v>403.1</v>
      </c>
      <c r="AC19">
        <f>VLOOKUP($B19,[16]分省年度数据!$A$1:$IT$65532,15,FALSE)</f>
        <v>160</v>
      </c>
      <c r="AD19">
        <f>VLOOKUP($B19,[17]分省年度数据!$A$1:$IS$65525,15,FALSE)</f>
        <v>5952.6</v>
      </c>
      <c r="AE19">
        <f>IFERROR(AC19/E19,0)</f>
        <v>2.4353120243531201E-2</v>
      </c>
      <c r="AF19">
        <f>IFERROR(AD19/E19,0)</f>
        <v>0.90602739726027404</v>
      </c>
      <c r="AG19">
        <f>VLOOKUP($B19,[15]分省年度数据!$A$1:$IV$65536,15,FALSE)</f>
        <v>8413</v>
      </c>
      <c r="AH19">
        <f>VLOOKUP(B19,[4]分省年度数据!$A$1:$IV$65536,15,FALSE)</f>
        <v>14791</v>
      </c>
      <c r="AI19">
        <f>VLOOKUP(B19,[3]分省年度数据!$A$1:$IV$65536,15,FALSE)</f>
        <v>220.38</v>
      </c>
      <c r="AJ19">
        <f>VLOOKUP($B19,[18]分省年度数据!$A$1:$IS$65529,15,FALSE)</f>
        <v>95.17</v>
      </c>
      <c r="AK19">
        <f>VLOOKUP($B19,[19]分省年度数据!$A$1:$IS$65529,15,FALSE)</f>
        <v>86.5</v>
      </c>
      <c r="AL19">
        <f>VLOOKUP($B19,[20]分省年度数据!$A$1:$IS$65528,15,FALSE)</f>
        <v>10.01</v>
      </c>
      <c r="AM19">
        <f>VLOOKUP($B19,[21]分省年度数据!$A$1:$IS$65528,15,FALSE)</f>
        <v>2.35</v>
      </c>
      <c r="AN19">
        <f>VLOOKUP($B19,[22]分省年度数据!$A$1:$IS$65529,15,FALSE)</f>
        <v>8.89</v>
      </c>
    </row>
    <row r="20" spans="1:40">
      <c r="A20">
        <v>44</v>
      </c>
      <c r="B20" t="s">
        <v>19</v>
      </c>
      <c r="C20">
        <v>2010</v>
      </c>
      <c r="D20" t="s">
        <v>35</v>
      </c>
      <c r="E20">
        <f>VLOOKUP(B20,[1]分省年度数据!$A$1:$IV$65536,15,FALSE)</f>
        <v>10441</v>
      </c>
      <c r="F20" s="4">
        <v>16579</v>
      </c>
      <c r="G20" s="2">
        <f>VLOOKUP(B20,[2]分省年度数据!$A$1:$IV$65536,15,FALSE)</f>
        <v>1087.5999999999999</v>
      </c>
      <c r="H20" s="2">
        <f t="shared" si="0"/>
        <v>0.10416626759888899</v>
      </c>
      <c r="N20">
        <v>6371.3652380952371</v>
      </c>
      <c r="O20">
        <f>N20/F20</f>
        <v>0.38430334990622095</v>
      </c>
      <c r="Q20" t="s">
        <v>54</v>
      </c>
      <c r="R20">
        <f>VLOOKUP(B20,[5]分省年度数据!$A$1:$O$65536,15,FALSE)</f>
        <v>44880</v>
      </c>
      <c r="S20">
        <f>VLOOKUP($B20,[6]分省年度数据!$A$1:$IV$65536,15,FALSE)</f>
        <v>30.01</v>
      </c>
      <c r="T20">
        <f>VLOOKUP($B20,[7]分省年度数据!$A$1:$IV$65536,15,FALSE)</f>
        <v>53</v>
      </c>
      <c r="U20">
        <f>VLOOKUP($B20,[8]分省年度数据!$A$1:$IV$65536,15,FALSE)</f>
        <v>9.4</v>
      </c>
      <c r="V20">
        <f>VLOOKUP($B20,[9]分省年度数据!$A$1:$IV$65536,15,FALSE)</f>
        <v>304.04000000000002</v>
      </c>
      <c r="W20">
        <f>VLOOKUP($B20,[10]分省年度数据!$A$1:$IV$65536,15,FALSE)</f>
        <v>16.71</v>
      </c>
      <c r="X20">
        <f>VLOOKUP($B20,[11]分省年度数据!$A$1:$IV$65536,15,FALSE)</f>
        <v>18.77</v>
      </c>
      <c r="Y20">
        <f>VLOOKUP($B20,[12]分省年度数据!$A$1:$IV$65536,15,FALSE)</f>
        <v>19.7</v>
      </c>
      <c r="AA20">
        <f>VLOOKUP($B20,[13]分省年度数据!$A$1:$IV$65536,15,FALSE)</f>
        <v>15327348</v>
      </c>
      <c r="AB20">
        <f>VLOOKUP($B20,[14]分省年度数据!$A$1:$IV$65536,15,FALSE)</f>
        <v>921.48</v>
      </c>
      <c r="AC20">
        <f>VLOOKUP($B20,[16]分省年度数据!$A$1:$IT$65532,15,FALSE)</f>
        <v>1990</v>
      </c>
      <c r="AD20">
        <f>VLOOKUP($B20,[17]分省年度数据!$A$1:$IS$65525,15,FALSE)</f>
        <v>17458.400000000001</v>
      </c>
      <c r="AE20">
        <f>IFERROR(AC20/E20,0)</f>
        <v>0.1905947706158414</v>
      </c>
      <c r="AF20">
        <f>IFERROR(AD20/E20,0)</f>
        <v>1.67210037352744</v>
      </c>
      <c r="AG20">
        <f>VLOOKUP($B20,[15]分省年度数据!$A$1:$IV$65536,15,FALSE)</f>
        <v>30370</v>
      </c>
      <c r="AH20">
        <f>VLOOKUP(B20,[4]分省年度数据!$A$1:$IV$65536,15,FALSE)</f>
        <v>69485</v>
      </c>
      <c r="AI20">
        <f>VLOOKUP(B20,[3]分省年度数据!$A$1:$IV$65536,15,FALSE)</f>
        <v>249.96</v>
      </c>
      <c r="AJ20">
        <f>VLOOKUP($B20,[18]分省年度数据!$A$1:$IS$65529,15,FALSE)</f>
        <v>98.37</v>
      </c>
      <c r="AK20">
        <f>VLOOKUP($B20,[19]分省年度数据!$A$1:$IS$65529,15,FALSE)</f>
        <v>95.75</v>
      </c>
      <c r="AL20">
        <f>VLOOKUP($B20,[20]分省年度数据!$A$1:$IS$65528,15,FALSE)</f>
        <v>9.5299999999999994</v>
      </c>
      <c r="AM20">
        <f>VLOOKUP($B20,[21]分省年度数据!$A$1:$IS$65528,15,FALSE)</f>
        <v>2.06</v>
      </c>
      <c r="AN20">
        <f>VLOOKUP($B20,[22]分省年度数据!$A$1:$IS$65529,15,FALSE)</f>
        <v>13.29</v>
      </c>
    </row>
    <row r="21" spans="1:40">
      <c r="A21">
        <v>45</v>
      </c>
      <c r="B21" t="s">
        <v>20</v>
      </c>
      <c r="C21">
        <v>2010</v>
      </c>
      <c r="D21" t="s">
        <v>35</v>
      </c>
      <c r="E21">
        <f>VLOOKUP(B21,[1]分省年度数据!$A$1:$IV$65536,15,FALSE)</f>
        <v>4610</v>
      </c>
      <c r="F21" s="4">
        <v>9739</v>
      </c>
      <c r="G21" s="2">
        <f>VLOOKUP(B21,[2]分省年度数据!$A$1:$IV$65536,15,FALSE)</f>
        <v>2560.6999999999998</v>
      </c>
      <c r="H21" s="2">
        <f t="shared" si="0"/>
        <v>0.55546637744034699</v>
      </c>
      <c r="N21">
        <v>3598.1728571428571</v>
      </c>
      <c r="O21">
        <f>N21/F21</f>
        <v>0.36946019685212622</v>
      </c>
      <c r="Q21" t="s">
        <v>55</v>
      </c>
      <c r="R21">
        <f>VLOOKUP(B21,[5]分省年度数据!$A$1:$O$65536,15,FALSE)</f>
        <v>32741</v>
      </c>
      <c r="S21">
        <f>VLOOKUP($B21,[6]分省年度数据!$A$1:$IV$65536,15,FALSE)</f>
        <v>14.37</v>
      </c>
      <c r="T21">
        <f>VLOOKUP($B21,[7]分省年度数据!$A$1:$IV$65536,15,FALSE)</f>
        <v>36</v>
      </c>
      <c r="U21">
        <f>VLOOKUP($B21,[8]分省年度数据!$A$1:$IV$65536,15,FALSE)</f>
        <v>9.56</v>
      </c>
      <c r="V21">
        <f>VLOOKUP($B21,[9]分省年度数据!$A$1:$IV$65536,15,FALSE)</f>
        <v>165.49</v>
      </c>
      <c r="W21">
        <f>VLOOKUP($B21,[10]分省年度数据!$A$1:$IV$65536,15,FALSE)</f>
        <v>17.899999999999999</v>
      </c>
      <c r="X21">
        <f>VLOOKUP($B21,[11]分省年度数据!$A$1:$IV$65536,15,FALSE)</f>
        <v>16.88</v>
      </c>
      <c r="Y21">
        <f>VLOOKUP($B21,[12]分省年度数据!$A$1:$IV$65536,15,FALSE)</f>
        <v>19.53</v>
      </c>
      <c r="AA21">
        <f>VLOOKUP($B21,[13]分省年度数据!$A$1:$IV$65536,15,FALSE)</f>
        <v>4941416</v>
      </c>
      <c r="AB21">
        <f>VLOOKUP($B21,[14]分省年度数据!$A$1:$IV$65536,15,FALSE)</f>
        <v>366.84</v>
      </c>
      <c r="AC21">
        <f>VLOOKUP($B21,[16]分省年度数据!$A$1:$IT$65532,15,FALSE)</f>
        <v>63</v>
      </c>
      <c r="AD21">
        <f>VLOOKUP($B21,[17]分省年度数据!$A$1:$IS$65525,15,FALSE)</f>
        <v>3312</v>
      </c>
      <c r="AE21">
        <f>IFERROR(AC21/E21,0)</f>
        <v>1.3665943600867678E-2</v>
      </c>
      <c r="AF21">
        <f>IFERROR(AD21/E21,0)</f>
        <v>0.71843817787418651</v>
      </c>
      <c r="AG21">
        <f>VLOOKUP($B21,[15]分省年度数据!$A$1:$IV$65536,15,FALSE)</f>
        <v>4351</v>
      </c>
      <c r="AH21">
        <f>VLOOKUP(B21,[4]分省年度数据!$A$1:$IV$65536,15,FALSE)</f>
        <v>8099</v>
      </c>
      <c r="AI21">
        <f>VLOOKUP(B21,[3]分省年度数据!$A$1:$IV$65536,15,FALSE)</f>
        <v>249.7</v>
      </c>
      <c r="AJ21">
        <f>VLOOKUP($B21,[18]分省年度数据!$A$1:$IS$65529,15,FALSE)</f>
        <v>94.65</v>
      </c>
      <c r="AK21">
        <f>VLOOKUP($B21,[19]分省年度数据!$A$1:$IS$65529,15,FALSE)</f>
        <v>92.35</v>
      </c>
      <c r="AL21">
        <f>VLOOKUP($B21,[20]分省年度数据!$A$1:$IS$65528,15,FALSE)</f>
        <v>8.07</v>
      </c>
      <c r="AM21">
        <f>VLOOKUP($B21,[21]分省年度数据!$A$1:$IS$65528,15,FALSE)</f>
        <v>1.76</v>
      </c>
      <c r="AN21">
        <f>VLOOKUP($B21,[22]分省年度数据!$A$1:$IS$65529,15,FALSE)</f>
        <v>9.83</v>
      </c>
    </row>
    <row r="22" spans="1:40">
      <c r="A22">
        <v>46</v>
      </c>
      <c r="B22" t="s">
        <v>21</v>
      </c>
      <c r="C22">
        <v>2010</v>
      </c>
      <c r="D22" t="s">
        <v>35</v>
      </c>
      <c r="E22">
        <f>VLOOKUP(B22,[1]分省年度数据!$A$1:$IV$65536,15,FALSE)</f>
        <v>869</v>
      </c>
      <c r="F22" s="4">
        <v>10342</v>
      </c>
      <c r="G22" s="2">
        <f>VLOOKUP(B22,[2]分省年度数据!$A$1:$IV$65536,15,FALSE)</f>
        <v>437.7</v>
      </c>
      <c r="H22" s="2">
        <f t="shared" si="0"/>
        <v>0.50368239355581124</v>
      </c>
      <c r="N22">
        <v>9224.3950000000004</v>
      </c>
      <c r="O22">
        <f>N22/F22</f>
        <v>0.89193531231870049</v>
      </c>
      <c r="Q22" t="s">
        <v>57</v>
      </c>
      <c r="R22">
        <f>VLOOKUP(B22,[5]分省年度数据!$A$1:$O$65536,15,FALSE)</f>
        <v>4678</v>
      </c>
      <c r="S22">
        <f>VLOOKUP($B22,[6]分省年度数据!$A$1:$IV$65536,15,FALSE)</f>
        <v>2.6</v>
      </c>
      <c r="T22">
        <f>VLOOKUP($B22,[7]分省年度数据!$A$1:$IV$65536,15,FALSE)</f>
        <v>44</v>
      </c>
      <c r="U22">
        <f>VLOOKUP($B22,[8]分省年度数据!$A$1:$IV$65536,15,FALSE)</f>
        <v>10.31</v>
      </c>
      <c r="V22">
        <f>VLOOKUP($B22,[9]分省年度数据!$A$1:$IV$65536,15,FALSE)</f>
        <v>34.82</v>
      </c>
      <c r="W22">
        <f>VLOOKUP($B22,[10]分省年度数据!$A$1:$IV$65536,15,FALSE)</f>
        <v>16.89</v>
      </c>
      <c r="X22">
        <f>VLOOKUP($B22,[11]分省年度数据!$A$1:$IV$65536,15,FALSE)</f>
        <v>16.82</v>
      </c>
      <c r="Y22">
        <f>VLOOKUP($B22,[12]分省年度数据!$A$1:$IV$65536,15,FALSE)</f>
        <v>14.99</v>
      </c>
      <c r="AA22">
        <f>VLOOKUP($B22,[13]分省年度数据!$A$1:$IV$65536,15,FALSE)</f>
        <v>1422673</v>
      </c>
      <c r="AB22">
        <f>VLOOKUP($B22,[14]分省年度数据!$A$1:$IV$65536,15,FALSE)</f>
        <v>98.33</v>
      </c>
      <c r="AC22" t="str">
        <f>VLOOKUP($B22,[16]分省年度数据!$A$1:$IT$65532,15,FALSE)</f>
        <v/>
      </c>
      <c r="AD22">
        <f>VLOOKUP($B22,[17]分省年度数据!$A$1:$IS$65525,15,FALSE)</f>
        <v>663.8</v>
      </c>
      <c r="AE22">
        <f>IFERROR(AC22/E22,0)</f>
        <v>0</v>
      </c>
      <c r="AF22">
        <f>IFERROR(AD22/E22,0)</f>
        <v>0.76386651323360177</v>
      </c>
      <c r="AG22">
        <f>VLOOKUP($B22,[15]分省年度数据!$A$1:$IV$65536,15,FALSE)</f>
        <v>1488</v>
      </c>
      <c r="AH22">
        <f>VLOOKUP(B22,[4]分省年度数据!$A$1:$IV$65536,15,FALSE)</f>
        <v>3818</v>
      </c>
      <c r="AI22">
        <f>VLOOKUP(B22,[3]分省年度数据!$A$1:$IV$65536,15,FALSE)</f>
        <v>264.5</v>
      </c>
      <c r="AJ22">
        <f>VLOOKUP($B22,[18]分省年度数据!$A$1:$IS$65529,15,FALSE)</f>
        <v>89.43</v>
      </c>
      <c r="AK22">
        <f>VLOOKUP($B22,[19]分省年度数据!$A$1:$IS$65529,15,FALSE)</f>
        <v>82.44</v>
      </c>
      <c r="AL22">
        <f>VLOOKUP($B22,[20]分省年度数据!$A$1:$IS$65528,15,FALSE)</f>
        <v>8.61</v>
      </c>
      <c r="AM22">
        <f>VLOOKUP($B22,[21]分省年度数据!$A$1:$IS$65528,15,FALSE)</f>
        <v>1.73</v>
      </c>
      <c r="AN22">
        <f>VLOOKUP($B22,[22]分省年度数据!$A$1:$IS$65529,15,FALSE)</f>
        <v>11.22</v>
      </c>
    </row>
    <row r="23" spans="1:40">
      <c r="A23">
        <v>50</v>
      </c>
      <c r="B23" t="s">
        <v>22</v>
      </c>
      <c r="C23">
        <v>2010</v>
      </c>
      <c r="D23" t="s">
        <v>36</v>
      </c>
      <c r="E23">
        <f>VLOOKUP(B23,[1]分省年度数据!$A$1:$IV$65536,15,FALSE)</f>
        <v>2885</v>
      </c>
      <c r="F23" s="4">
        <v>10984</v>
      </c>
      <c r="G23" s="2">
        <f>VLOOKUP(B23,[2]分省年度数据!$A$1:$IV$65536,15,FALSE)</f>
        <v>1182.7</v>
      </c>
      <c r="H23" s="2">
        <f t="shared" si="0"/>
        <v>0.40994800693240901</v>
      </c>
      <c r="N23">
        <v>5079.93</v>
      </c>
      <c r="O23">
        <f>N23/F23</f>
        <v>0.46248452294246178</v>
      </c>
      <c r="Q23" t="s">
        <v>55</v>
      </c>
      <c r="R23">
        <f>VLOOKUP(B23,[5]分省年度数据!$A$1:$O$65536,15,FALSE)</f>
        <v>17495</v>
      </c>
      <c r="S23">
        <f>VLOOKUP($B23,[6]分省年度数据!$A$1:$IV$65536,15,FALSE)</f>
        <v>10.36</v>
      </c>
      <c r="T23">
        <f>VLOOKUP($B23,[7]分省年度数据!$A$1:$IV$65536,15,FALSE)</f>
        <v>34</v>
      </c>
      <c r="U23">
        <f>VLOOKUP($B23,[8]分省年度数据!$A$1:$IV$65536,15,FALSE)</f>
        <v>10.97</v>
      </c>
      <c r="V23">
        <f>VLOOKUP($B23,[9]分省年度数据!$A$1:$IV$65536,15,FALSE)</f>
        <v>94.87</v>
      </c>
      <c r="W23">
        <f>VLOOKUP($B23,[10]分省年度数据!$A$1:$IV$65536,15,FALSE)</f>
        <v>19.45</v>
      </c>
      <c r="X23">
        <f>VLOOKUP($B23,[11]分省年度数据!$A$1:$IV$65536,15,FALSE)</f>
        <v>16.63</v>
      </c>
      <c r="Y23">
        <f>VLOOKUP($B23,[12]分省年度数据!$A$1:$IV$65536,15,FALSE)</f>
        <v>17.23</v>
      </c>
      <c r="AA23">
        <f>VLOOKUP($B23,[13]分省年度数据!$A$1:$IV$65536,15,FALSE)</f>
        <v>4068437</v>
      </c>
      <c r="AB23">
        <f>VLOOKUP($B23,[14]分省年度数据!$A$1:$IV$65536,15,FALSE)</f>
        <v>240.46</v>
      </c>
      <c r="AC23">
        <f>VLOOKUP($B23,[16]分省年度数据!$A$1:$IT$65532,15,FALSE)</f>
        <v>2038</v>
      </c>
      <c r="AD23">
        <f>VLOOKUP($B23,[17]分省年度数据!$A$1:$IS$65525,15,FALSE)</f>
        <v>3051.1</v>
      </c>
      <c r="AE23">
        <f>IFERROR(AC23/E23,0)</f>
        <v>0.70641247833622178</v>
      </c>
      <c r="AF23">
        <f>IFERROR(AD23/E23,0)</f>
        <v>1.0575736568457539</v>
      </c>
      <c r="AG23">
        <f>VLOOKUP($B23,[15]分省年度数据!$A$1:$IV$65536,15,FALSE)</f>
        <v>5908</v>
      </c>
      <c r="AH23">
        <f>VLOOKUP(B23,[4]分省年度数据!$A$1:$IV$65536,15,FALSE)</f>
        <v>11183</v>
      </c>
      <c r="AI23">
        <f>VLOOKUP(B23,[3]分省年度数据!$A$1:$IV$65536,15,FALSE)</f>
        <v>136.75</v>
      </c>
      <c r="AJ23">
        <f>VLOOKUP($B23,[18]分省年度数据!$A$1:$IS$65529,15,FALSE)</f>
        <v>94.05</v>
      </c>
      <c r="AK23">
        <f>VLOOKUP($B23,[19]分省年度数据!$A$1:$IS$65529,15,FALSE)</f>
        <v>92.02</v>
      </c>
      <c r="AL23">
        <f>VLOOKUP($B23,[20]分省年度数据!$A$1:$IS$65528,15,FALSE)</f>
        <v>7.23</v>
      </c>
      <c r="AM23">
        <f>VLOOKUP($B23,[21]分省年度数据!$A$1:$IS$65528,15,FALSE)</f>
        <v>1.55</v>
      </c>
      <c r="AN23">
        <f>VLOOKUP($B23,[22]分省年度数据!$A$1:$IS$65529,15,FALSE)</f>
        <v>13.24</v>
      </c>
    </row>
    <row r="24" spans="1:40">
      <c r="A24">
        <v>51</v>
      </c>
      <c r="B24" t="s">
        <v>23</v>
      </c>
      <c r="C24">
        <v>2010</v>
      </c>
      <c r="D24" t="s">
        <v>36</v>
      </c>
      <c r="E24">
        <f>VLOOKUP(B24,[1]分省年度数据!$A$1:$IV$65536,15,FALSE)</f>
        <v>8045</v>
      </c>
      <c r="F24" s="4">
        <v>9373</v>
      </c>
      <c r="G24" s="2">
        <f>VLOOKUP(B24,[2]分省年度数据!$A$1:$IV$65536,15,FALSE)</f>
        <v>4326.3999999999996</v>
      </c>
      <c r="H24" s="2">
        <f t="shared" si="0"/>
        <v>0.53777501553760099</v>
      </c>
      <c r="N24">
        <v>4207.0555555555557</v>
      </c>
      <c r="O24">
        <f>N24/F24</f>
        <v>0.44884834690659936</v>
      </c>
      <c r="Q24" t="s">
        <v>55</v>
      </c>
      <c r="R24">
        <f>VLOOKUP(B24,[5]分省年度数据!$A$1:$O$65536,15,FALSE)</f>
        <v>74283</v>
      </c>
      <c r="S24">
        <f>VLOOKUP($B24,[6]分省年度数据!$A$1:$IV$65536,15,FALSE)</f>
        <v>30.12</v>
      </c>
      <c r="T24">
        <f>VLOOKUP($B24,[7]分省年度数据!$A$1:$IV$65536,15,FALSE)</f>
        <v>36</v>
      </c>
      <c r="U24">
        <f>VLOOKUP($B24,[8]分省年度数据!$A$1:$IV$65536,15,FALSE)</f>
        <v>10.75</v>
      </c>
      <c r="V24">
        <f>VLOOKUP($B24,[9]分省年度数据!$A$1:$IV$65536,15,FALSE)</f>
        <v>263.33999999999997</v>
      </c>
      <c r="W24">
        <f>VLOOKUP($B24,[10]分省年度数据!$A$1:$IV$65536,15,FALSE)</f>
        <v>18.21</v>
      </c>
      <c r="X24">
        <f>VLOOKUP($B24,[11]分省年度数据!$A$1:$IV$65536,15,FALSE)</f>
        <v>16.82</v>
      </c>
      <c r="Y24">
        <f>VLOOKUP($B24,[12]分省年度数据!$A$1:$IV$65536,15,FALSE)</f>
        <v>19.37</v>
      </c>
      <c r="AA24">
        <f>VLOOKUP($B24,[13]分省年度数据!$A$1:$IV$65536,15,FALSE)</f>
        <v>8951781</v>
      </c>
      <c r="AB24">
        <f>VLOOKUP($B24,[14]分省年度数据!$A$1:$IV$65536,15,FALSE)</f>
        <v>540.65</v>
      </c>
      <c r="AC24">
        <f>VLOOKUP($B24,[16]分省年度数据!$A$1:$IT$65532,15,FALSE)</f>
        <v>369</v>
      </c>
      <c r="AD24">
        <f>VLOOKUP($B24,[17]分省年度数据!$A$1:$IS$65525,15,FALSE)</f>
        <v>6884.8</v>
      </c>
      <c r="AE24">
        <f>IFERROR(AC24/E24,0)</f>
        <v>4.5866998135487884E-2</v>
      </c>
      <c r="AF24">
        <f>IFERROR(AD24/E24,0)</f>
        <v>0.85578620261031701</v>
      </c>
      <c r="AG24">
        <f>VLOOKUP($B24,[15]分省年度数据!$A$1:$IV$65536,15,FALSE)</f>
        <v>13072</v>
      </c>
      <c r="AH24">
        <f>VLOOKUP(B24,[4]分省年度数据!$A$1:$IV$65536,15,FALSE)</f>
        <v>15239</v>
      </c>
      <c r="AI24">
        <f>VLOOKUP(B24,[3]分省年度数据!$A$1:$IV$65536,15,FALSE)</f>
        <v>196.69</v>
      </c>
      <c r="AJ24">
        <f>VLOOKUP($B24,[18]分省年度数据!$A$1:$IS$65529,15,FALSE)</f>
        <v>90.8</v>
      </c>
      <c r="AK24">
        <f>VLOOKUP($B24,[19]分省年度数据!$A$1:$IS$65529,15,FALSE)</f>
        <v>84.39</v>
      </c>
      <c r="AL24">
        <f>VLOOKUP($B24,[20]分省年度数据!$A$1:$IS$65528,15,FALSE)</f>
        <v>9.65</v>
      </c>
      <c r="AM24">
        <f>VLOOKUP($B24,[21]分省年度数据!$A$1:$IS$65528,15,FALSE)</f>
        <v>2.93</v>
      </c>
      <c r="AN24">
        <f>VLOOKUP($B24,[22]分省年度数据!$A$1:$IS$65529,15,FALSE)</f>
        <v>10.19</v>
      </c>
    </row>
    <row r="25" spans="1:40">
      <c r="A25">
        <v>52</v>
      </c>
      <c r="B25" t="s">
        <v>24</v>
      </c>
      <c r="C25">
        <v>2010</v>
      </c>
      <c r="D25" t="s">
        <v>36</v>
      </c>
      <c r="E25">
        <f>VLOOKUP(B25,[1]分省年度数据!$A$1:$IV$65536,15,FALSE)</f>
        <v>3479</v>
      </c>
      <c r="F25" s="4">
        <v>7226</v>
      </c>
      <c r="G25" s="2">
        <f>VLOOKUP(B25,[2]分省年度数据!$A$1:$IV$65536,15,FALSE)</f>
        <v>3082.1</v>
      </c>
      <c r="H25" s="2">
        <f t="shared" si="0"/>
        <v>0.88591549295774641</v>
      </c>
      <c r="N25">
        <v>3865.1824999999999</v>
      </c>
      <c r="O25">
        <f>N25/F25</f>
        <v>0.53489932189316358</v>
      </c>
      <c r="Q25" t="s">
        <v>55</v>
      </c>
      <c r="R25">
        <f>VLOOKUP(B25,[5]分省年度数据!$A$1:$O$65536,15,FALSE)</f>
        <v>25420</v>
      </c>
      <c r="S25">
        <f>VLOOKUP($B25,[6]分省年度数据!$A$1:$IV$65536,15,FALSE)</f>
        <v>10.53</v>
      </c>
      <c r="T25">
        <f>VLOOKUP($B25,[7]分省年度数据!$A$1:$IV$65536,15,FALSE)</f>
        <v>25</v>
      </c>
      <c r="U25">
        <f>VLOOKUP($B25,[8]分省年度数据!$A$1:$IV$65536,15,FALSE)</f>
        <v>9.68</v>
      </c>
      <c r="V25">
        <f>VLOOKUP($B25,[9]分省年度数据!$A$1:$IV$65536,15,FALSE)</f>
        <v>127.68</v>
      </c>
      <c r="W25">
        <f>VLOOKUP($B25,[10]分省年度数据!$A$1:$IV$65536,15,FALSE)</f>
        <v>18.75</v>
      </c>
      <c r="X25">
        <f>VLOOKUP($B25,[11]分省年度数据!$A$1:$IV$65536,15,FALSE)</f>
        <v>19.510000000000002</v>
      </c>
      <c r="Y25">
        <f>VLOOKUP($B25,[12]分省年度数据!$A$1:$IV$65536,15,FALSE)</f>
        <v>21.9</v>
      </c>
      <c r="AA25">
        <f>VLOOKUP($B25,[13]分省年度数据!$A$1:$IV$65536,15,FALSE)</f>
        <v>3669550</v>
      </c>
      <c r="AB25">
        <f>VLOOKUP($B25,[14]分省年度数据!$A$1:$IV$65536,15,FALSE)</f>
        <v>292.06</v>
      </c>
      <c r="AC25">
        <f>VLOOKUP($B25,[16]分省年度数据!$A$1:$IT$65532,15,FALSE)</f>
        <v>10</v>
      </c>
      <c r="AD25">
        <f>VLOOKUP($B25,[17]分省年度数据!$A$1:$IS$65525,15,FALSE)</f>
        <v>1531.6</v>
      </c>
      <c r="AE25">
        <f>IFERROR(AC25/E25,0)</f>
        <v>2.8743891922966371E-3</v>
      </c>
      <c r="AF25">
        <f>IFERROR(AD25/E25,0)</f>
        <v>0.44024144869215287</v>
      </c>
      <c r="AG25">
        <f>VLOOKUP($B25,[15]分省年度数据!$A$1:$IV$65536,15,FALSE)</f>
        <v>1764</v>
      </c>
      <c r="AH25">
        <f>VLOOKUP(B25,[4]分省年度数据!$A$1:$IV$65536,15,FALSE)</f>
        <v>5143</v>
      </c>
      <c r="AI25">
        <f>VLOOKUP(B25,[3]分省年度数据!$A$1:$IV$65536,15,FALSE)</f>
        <v>130.47</v>
      </c>
      <c r="AJ25">
        <f>VLOOKUP($B25,[18]分省年度数据!$A$1:$IS$65529,15,FALSE)</f>
        <v>94.1</v>
      </c>
      <c r="AK25">
        <f>VLOOKUP($B25,[19]分省年度数据!$A$1:$IS$65529,15,FALSE)</f>
        <v>69.72</v>
      </c>
      <c r="AL25">
        <f>VLOOKUP($B25,[20]分省年度数据!$A$1:$IS$65528,15,FALSE)</f>
        <v>8.4600000000000009</v>
      </c>
      <c r="AM25">
        <f>VLOOKUP($B25,[21]分省年度数据!$A$1:$IS$65528,15,FALSE)</f>
        <v>2.21</v>
      </c>
      <c r="AN25">
        <f>VLOOKUP($B25,[22]分省年度数据!$A$1:$IS$65529,15,FALSE)</f>
        <v>7.33</v>
      </c>
    </row>
    <row r="26" spans="1:40">
      <c r="A26">
        <v>53</v>
      </c>
      <c r="B26" t="s">
        <v>25</v>
      </c>
      <c r="C26">
        <v>2010</v>
      </c>
      <c r="D26" t="s">
        <v>36</v>
      </c>
      <c r="E26">
        <f>VLOOKUP(B26,[1]分省年度数据!$A$1:$IV$65536,15,FALSE)</f>
        <v>4602</v>
      </c>
      <c r="F26" s="4">
        <v>8184</v>
      </c>
      <c r="G26" s="2">
        <f>VLOOKUP(B26,[2]分省年度数据!$A$1:$IV$65536,15,FALSE)</f>
        <v>3119.6</v>
      </c>
      <c r="H26" s="2">
        <f t="shared" si="0"/>
        <v>0.67787918296392868</v>
      </c>
      <c r="N26">
        <v>3863.6025</v>
      </c>
      <c r="O26">
        <f>N26/F26</f>
        <v>0.47209219208211145</v>
      </c>
      <c r="Q26" t="s">
        <v>55</v>
      </c>
      <c r="R26">
        <f>VLOOKUP(B26,[5]分省年度数据!$A$1:$O$65536,15,FALSE)</f>
        <v>22888</v>
      </c>
      <c r="S26">
        <f>VLOOKUP($B26,[6]分省年度数据!$A$1:$IV$65536,15,FALSE)</f>
        <v>15.71</v>
      </c>
      <c r="T26">
        <f>VLOOKUP($B26,[7]分省年度数据!$A$1:$IV$65536,15,FALSE)</f>
        <v>32</v>
      </c>
      <c r="U26">
        <f>VLOOKUP($B26,[8]分省年度数据!$A$1:$IV$65536,15,FALSE)</f>
        <v>10.02</v>
      </c>
      <c r="V26">
        <f>VLOOKUP($B26,[9]分省年度数据!$A$1:$IV$65536,15,FALSE)</f>
        <v>183.7</v>
      </c>
      <c r="W26">
        <f>VLOOKUP($B26,[10]分省年度数据!$A$1:$IV$65536,15,FALSE)</f>
        <v>15.37</v>
      </c>
      <c r="X26">
        <f>VLOOKUP($B26,[11]分省年度数据!$A$1:$IV$65536,15,FALSE)</f>
        <v>17.32</v>
      </c>
      <c r="Y26">
        <f>VLOOKUP($B26,[12]分省年度数据!$A$1:$IV$65536,15,FALSE)</f>
        <v>18.32</v>
      </c>
      <c r="AA26">
        <f>VLOOKUP($B26,[13]分省年度数据!$A$1:$IV$65536,15,FALSE)</f>
        <v>5336317</v>
      </c>
      <c r="AB26">
        <f>VLOOKUP($B26,[14]分省年度数据!$A$1:$IV$65536,15,FALSE)</f>
        <v>374.79</v>
      </c>
      <c r="AC26">
        <f>VLOOKUP($B26,[16]分省年度数据!$A$1:$IT$65532,15,FALSE)</f>
        <v>213</v>
      </c>
      <c r="AD26">
        <f>VLOOKUP($B26,[17]分省年度数据!$A$1:$IS$65525,15,FALSE)</f>
        <v>2555.8000000000002</v>
      </c>
      <c r="AE26">
        <f>IFERROR(AC26/E26,0)</f>
        <v>4.6284224250325946E-2</v>
      </c>
      <c r="AF26">
        <f>IFERROR(AD26/E26,0)</f>
        <v>0.55536723163841817</v>
      </c>
      <c r="AG26">
        <f>VLOOKUP($B26,[15]分省年度数据!$A$1:$IV$65536,15,FALSE)</f>
        <v>4739</v>
      </c>
      <c r="AH26">
        <f>VLOOKUP(B26,[4]分省年度数据!$A$1:$IV$65536,15,FALSE)</f>
        <v>13218</v>
      </c>
      <c r="AI26">
        <f>VLOOKUP(B26,[3]分省年度数据!$A$1:$IV$65536,15,FALSE)</f>
        <v>146.24</v>
      </c>
      <c r="AJ26">
        <f>VLOOKUP($B26,[18]分省年度数据!$A$1:$IS$65529,15,FALSE)</f>
        <v>96.5</v>
      </c>
      <c r="AK26">
        <f>VLOOKUP($B26,[19]分省年度数据!$A$1:$IS$65529,15,FALSE)</f>
        <v>76.400000000000006</v>
      </c>
      <c r="AL26">
        <f>VLOOKUP($B26,[20]分省年度数据!$A$1:$IS$65528,15,FALSE)</f>
        <v>9.74</v>
      </c>
      <c r="AM26">
        <f>VLOOKUP($B26,[21]分省年度数据!$A$1:$IS$65528,15,FALSE)</f>
        <v>2.2599999999999998</v>
      </c>
      <c r="AN26">
        <f>VLOOKUP($B26,[22]分省年度数据!$A$1:$IS$65529,15,FALSE)</f>
        <v>9.3000000000000007</v>
      </c>
    </row>
    <row r="27" spans="1:40">
      <c r="A27">
        <v>54</v>
      </c>
      <c r="B27" t="s">
        <v>26</v>
      </c>
      <c r="C27">
        <v>2010</v>
      </c>
      <c r="D27" t="s">
        <v>36</v>
      </c>
      <c r="E27">
        <f>VLOOKUP(B27,[1]分省年度数据!$A$1:$IV$65536,15,FALSE)</f>
        <v>300</v>
      </c>
      <c r="F27" s="4">
        <v>6628</v>
      </c>
      <c r="G27" s="2">
        <f>VLOOKUP(B27,[2]分省年度数据!$A$1:$IV$65536,15,FALSE)</f>
        <v>63</v>
      </c>
      <c r="H27" s="2">
        <f t="shared" si="0"/>
        <v>0.21</v>
      </c>
      <c r="N27">
        <v>3311.88</v>
      </c>
      <c r="O27">
        <f>N27/F27</f>
        <v>0.49968014484007245</v>
      </c>
      <c r="Q27" t="s">
        <v>75</v>
      </c>
      <c r="R27">
        <f>VLOOKUP(B27,[5]分省年度数据!$A$1:$O$65536,15,FALSE)</f>
        <v>4960</v>
      </c>
      <c r="S27">
        <f>VLOOKUP($B27,[6]分省年度数据!$A$1:$IV$65536,15,FALSE)</f>
        <v>0.88</v>
      </c>
      <c r="T27">
        <f>VLOOKUP($B27,[7]分省年度数据!$A$1:$IV$65536,15,FALSE)</f>
        <v>34</v>
      </c>
      <c r="U27">
        <f>VLOOKUP($B27,[8]分省年度数据!$A$1:$IV$65536,15,FALSE)</f>
        <v>11.33</v>
      </c>
      <c r="V27">
        <f>VLOOKUP($B27,[9]分省年度数据!$A$1:$IV$65536,15,FALSE)</f>
        <v>32.04</v>
      </c>
      <c r="W27">
        <f>VLOOKUP($B27,[10]分省年度数据!$A$1:$IV$65536,15,FALSE)</f>
        <v>12.84</v>
      </c>
      <c r="X27">
        <f>VLOOKUP($B27,[11]分省年度数据!$A$1:$IV$65536,15,FALSE)</f>
        <v>15.66</v>
      </c>
      <c r="Y27">
        <f>VLOOKUP($B27,[12]分省年度数据!$A$1:$IV$65536,15,FALSE)</f>
        <v>15.84</v>
      </c>
      <c r="AA27">
        <f>VLOOKUP($B27,[13]分省年度数据!$A$1:$IV$65536,15,FALSE)</f>
        <v>662293</v>
      </c>
      <c r="AB27">
        <f>VLOOKUP($B27,[14]分省年度数据!$A$1:$IV$65536,15,FALSE)</f>
        <v>60.8</v>
      </c>
      <c r="AC27">
        <f>VLOOKUP($B27,[16]分省年度数据!$A$1:$IT$65532,15,FALSE)</f>
        <v>3</v>
      </c>
      <c r="AD27">
        <f>VLOOKUP($B27,[17]分省年度数据!$A$1:$IS$65525,15,FALSE)</f>
        <v>192.4</v>
      </c>
      <c r="AE27">
        <f>IFERROR(AC27/E27,0)</f>
        <v>0.01</v>
      </c>
      <c r="AF27">
        <f>IFERROR(AD27/E27,0)</f>
        <v>0.64133333333333331</v>
      </c>
      <c r="AG27">
        <f>VLOOKUP($B27,[15]分省年度数据!$A$1:$IV$65536,15,FALSE)</f>
        <v>781</v>
      </c>
      <c r="AH27">
        <f>VLOOKUP(B27,[4]分省年度数据!$A$1:$IV$65536,15,FALSE)</f>
        <v>949</v>
      </c>
      <c r="AI27">
        <f>VLOOKUP(B27,[3]分省年度数据!$A$1:$IV$65536,15,FALSE)</f>
        <v>218.86</v>
      </c>
      <c r="AJ27">
        <f>VLOOKUP($B27,[18]分省年度数据!$A$1:$IS$65529,15,FALSE)</f>
        <v>97.42</v>
      </c>
      <c r="AK27">
        <f>VLOOKUP($B27,[19]分省年度数据!$A$1:$IS$65529,15,FALSE)</f>
        <v>79.83</v>
      </c>
      <c r="AL27">
        <f>VLOOKUP($B27,[20]分省年度数据!$A$1:$IS$65528,15,FALSE)</f>
        <v>20.91</v>
      </c>
      <c r="AM27">
        <f>VLOOKUP($B27,[21]分省年度数据!$A$1:$IS$65528,15,FALSE)</f>
        <v>4.16</v>
      </c>
      <c r="AN27">
        <f>VLOOKUP($B27,[22]分省年度数据!$A$1:$IS$65529,15,FALSE)</f>
        <v>5.78</v>
      </c>
    </row>
    <row r="28" spans="1:40">
      <c r="A28">
        <v>61</v>
      </c>
      <c r="B28" t="s">
        <v>27</v>
      </c>
      <c r="C28">
        <v>2010</v>
      </c>
      <c r="D28" t="s">
        <v>37</v>
      </c>
      <c r="E28">
        <f>VLOOKUP(B28,[1]分省年度数据!$A$1:$IV$65536,15,FALSE)</f>
        <v>3735</v>
      </c>
      <c r="F28" s="4">
        <v>9412</v>
      </c>
      <c r="G28" s="2">
        <f>VLOOKUP(B28,[2]分省年度数据!$A$1:$IV$65536,15,FALSE)</f>
        <v>1572.5</v>
      </c>
      <c r="H28" s="2">
        <f t="shared" si="0"/>
        <v>0.42101740294511381</v>
      </c>
      <c r="N28">
        <v>3655.3760000000002</v>
      </c>
      <c r="O28">
        <f>N28/F28</f>
        <v>0.38837399065023376</v>
      </c>
      <c r="Q28" t="s">
        <v>62</v>
      </c>
      <c r="R28">
        <f>VLOOKUP(B28,[5]分省年度数据!$A$1:$O$65536,15,FALSE)</f>
        <v>35696</v>
      </c>
      <c r="S28">
        <f>VLOOKUP($B28,[6]分省年度数据!$A$1:$IV$65536,15,FALSE)</f>
        <v>14.23</v>
      </c>
      <c r="T28">
        <f>VLOOKUP($B28,[7]分省年度数据!$A$1:$IV$65536,15,FALSE)</f>
        <v>47</v>
      </c>
      <c r="U28">
        <f>VLOOKUP($B28,[8]分省年度数据!$A$1:$IV$65536,15,FALSE)</f>
        <v>10.51</v>
      </c>
      <c r="V28">
        <f>VLOOKUP($B28,[9]分省年度数据!$A$1:$IV$65536,15,FALSE)</f>
        <v>156.66</v>
      </c>
      <c r="W28">
        <f>VLOOKUP($B28,[10]分省年度数据!$A$1:$IV$65536,15,FALSE)</f>
        <v>17.72</v>
      </c>
      <c r="X28">
        <f>VLOOKUP($B28,[11]分省年度数据!$A$1:$IV$65536,15,FALSE)</f>
        <v>14.1</v>
      </c>
      <c r="Y28">
        <f>VLOOKUP($B28,[12]分省年度数据!$A$1:$IV$65536,15,FALSE)</f>
        <v>14.9</v>
      </c>
      <c r="AA28">
        <f>VLOOKUP($B28,[13]分省年度数据!$A$1:$IV$65536,15,FALSE)</f>
        <v>5143635</v>
      </c>
      <c r="AB28">
        <f>VLOOKUP($B28,[14]分省年度数据!$A$1:$IV$65536,15,FALSE)</f>
        <v>377.79</v>
      </c>
      <c r="AC28">
        <f>VLOOKUP($B28,[16]分省年度数据!$A$1:$IT$65532,15,FALSE)</f>
        <v>77</v>
      </c>
      <c r="AD28">
        <f>VLOOKUP($B28,[17]分省年度数据!$A$1:$IS$65525,15,FALSE)</f>
        <v>3257.5</v>
      </c>
      <c r="AE28">
        <f>IFERROR(AC28/E28,0)</f>
        <v>2.0615796519410978E-2</v>
      </c>
      <c r="AF28">
        <f>IFERROR(AD28/E28,0)</f>
        <v>0.87215528781793838</v>
      </c>
      <c r="AG28">
        <f>VLOOKUP($B28,[15]分省年度数据!$A$1:$IV$65536,15,FALSE)</f>
        <v>6004</v>
      </c>
      <c r="AH28">
        <f>VLOOKUP(B28,[4]分省年度数据!$A$1:$IV$65536,15,FALSE)</f>
        <v>8697</v>
      </c>
      <c r="AI28">
        <f>VLOOKUP(B28,[3]分省年度数据!$A$1:$IV$65536,15,FALSE)</f>
        <v>165.7</v>
      </c>
      <c r="AJ28">
        <f>VLOOKUP($B28,[18]分省年度数据!$A$1:$IS$65529,15,FALSE)</f>
        <v>99.39</v>
      </c>
      <c r="AK28">
        <f>VLOOKUP($B28,[19]分省年度数据!$A$1:$IS$65529,15,FALSE)</f>
        <v>90.39</v>
      </c>
      <c r="AL28">
        <f>VLOOKUP($B28,[20]分省年度数据!$A$1:$IS$65528,15,FALSE)</f>
        <v>12.64</v>
      </c>
      <c r="AM28">
        <f>VLOOKUP($B28,[21]分省年度数据!$A$1:$IS$65528,15,FALSE)</f>
        <v>3.13</v>
      </c>
      <c r="AN28">
        <f>VLOOKUP($B28,[22]分省年度数据!$A$1:$IS$65529,15,FALSE)</f>
        <v>10.67</v>
      </c>
    </row>
    <row r="29" spans="1:40">
      <c r="A29">
        <v>62</v>
      </c>
      <c r="B29" t="s">
        <v>28</v>
      </c>
      <c r="C29">
        <v>2010</v>
      </c>
      <c r="D29" t="s">
        <v>37</v>
      </c>
      <c r="E29">
        <f>VLOOKUP(B29,[1]分省年度数据!$A$1:$IV$65536,15,FALSE)</f>
        <v>2560</v>
      </c>
      <c r="F29" s="4">
        <v>7358</v>
      </c>
      <c r="G29" s="2">
        <f>VLOOKUP(B29,[2]分省年度数据!$A$1:$IV$65536,15,FALSE)</f>
        <v>2741.7</v>
      </c>
      <c r="H29" s="2">
        <f t="shared" si="0"/>
        <v>1.0709765624999998</v>
      </c>
      <c r="N29">
        <v>3289.038333333333</v>
      </c>
      <c r="O29">
        <f>N29/F29</f>
        <v>0.44700167618012138</v>
      </c>
      <c r="Q29" t="s">
        <v>61</v>
      </c>
      <c r="R29">
        <f>VLOOKUP(B29,[5]分省年度数据!$A$1:$O$65536,15,FALSE)</f>
        <v>26673</v>
      </c>
      <c r="S29">
        <f>VLOOKUP($B29,[6]分省年度数据!$A$1:$IV$65536,15,FALSE)</f>
        <v>9.0399999999999991</v>
      </c>
      <c r="T29">
        <f>VLOOKUP($B29,[7]分省年度数据!$A$1:$IV$65536,15,FALSE)</f>
        <v>37</v>
      </c>
      <c r="U29">
        <f>VLOOKUP($B29,[8]分省年度数据!$A$1:$IV$65536,15,FALSE)</f>
        <v>10.5</v>
      </c>
      <c r="V29">
        <f>VLOOKUP($B29,[9]分省年度数据!$A$1:$IV$65536,15,FALSE)</f>
        <v>100.4</v>
      </c>
      <c r="W29">
        <f>VLOOKUP($B29,[10]分省年度数据!$A$1:$IV$65536,15,FALSE)</f>
        <v>17.239999999999998</v>
      </c>
      <c r="X29">
        <f>VLOOKUP($B29,[11]分省年度数据!$A$1:$IV$65536,15,FALSE)</f>
        <v>16.64</v>
      </c>
      <c r="Y29">
        <f>VLOOKUP($B29,[12]分省年度数据!$A$1:$IV$65536,15,FALSE)</f>
        <v>16.89</v>
      </c>
      <c r="AA29">
        <f>VLOOKUP($B29,[13]分省年度数据!$A$1:$IV$65536,15,FALSE)</f>
        <v>3106736</v>
      </c>
      <c r="AB29">
        <f>VLOOKUP($B29,[14]分省年度数据!$A$1:$IV$65536,15,FALSE)</f>
        <v>228.23</v>
      </c>
      <c r="AC29">
        <f>VLOOKUP($B29,[16]分省年度数据!$A$1:$IT$65532,15,FALSE)</f>
        <v>4</v>
      </c>
      <c r="AD29">
        <f>VLOOKUP($B29,[17]分省年度数据!$A$1:$IS$65525,15,FALSE)</f>
        <v>1435.5</v>
      </c>
      <c r="AE29">
        <f>IFERROR(AC29/E29,0)</f>
        <v>1.5625000000000001E-3</v>
      </c>
      <c r="AF29">
        <f>IFERROR(AD29/E29,0)</f>
        <v>0.56074218750000004</v>
      </c>
      <c r="AG29">
        <f>VLOOKUP($B29,[15]分省年度数据!$A$1:$IV$65536,15,FALSE)</f>
        <v>3090</v>
      </c>
      <c r="AH29">
        <f>VLOOKUP(B29,[4]分省年度数据!$A$1:$IV$65536,15,FALSE)</f>
        <v>4173</v>
      </c>
      <c r="AI29">
        <f>VLOOKUP(B29,[3]分省年度数据!$A$1:$IV$65536,15,FALSE)</f>
        <v>155.12</v>
      </c>
      <c r="AJ29">
        <f>VLOOKUP($B29,[18]分省年度数据!$A$1:$IS$65529,15,FALSE)</f>
        <v>91.57</v>
      </c>
      <c r="AK29">
        <f>VLOOKUP($B29,[19]分省年度数据!$A$1:$IS$65529,15,FALSE)</f>
        <v>74.290000000000006</v>
      </c>
      <c r="AL29">
        <f>VLOOKUP($B29,[20]分省年度数据!$A$1:$IS$65528,15,FALSE)</f>
        <v>8.1</v>
      </c>
      <c r="AM29">
        <f>VLOOKUP($B29,[21]分省年度数据!$A$1:$IS$65528,15,FALSE)</f>
        <v>2.17</v>
      </c>
      <c r="AN29">
        <f>VLOOKUP($B29,[22]分省年度数据!$A$1:$IS$65529,15,FALSE)</f>
        <v>8.1199999999999992</v>
      </c>
    </row>
    <row r="30" spans="1:40">
      <c r="A30">
        <v>63</v>
      </c>
      <c r="B30" t="s">
        <v>29</v>
      </c>
      <c r="C30">
        <v>2010</v>
      </c>
      <c r="D30" t="s">
        <v>37</v>
      </c>
      <c r="E30">
        <f>VLOOKUP(B30,[1]分省年度数据!$A$1:$IV$65536,15,FALSE)</f>
        <v>563</v>
      </c>
      <c r="F30" s="4">
        <v>8659</v>
      </c>
      <c r="G30" s="2">
        <f>VLOOKUP(B30,[2]分省年度数据!$A$1:$IV$65536,15,FALSE)</f>
        <v>261.3</v>
      </c>
      <c r="H30" s="2">
        <f t="shared" si="0"/>
        <v>0.46412078152753111</v>
      </c>
      <c r="N30">
        <v>4694.99</v>
      </c>
      <c r="O30">
        <f>N30/F30</f>
        <v>0.54220926203949649</v>
      </c>
      <c r="Q30" t="s">
        <v>62</v>
      </c>
      <c r="R30">
        <f>VLOOKUP(B30,[5]分省年度数据!$A$1:$O$65536,15,FALSE)</f>
        <v>5781</v>
      </c>
      <c r="S30">
        <f>VLOOKUP($B30,[6]分省年度数据!$A$1:$IV$65536,15,FALSE)</f>
        <v>2.0499999999999998</v>
      </c>
      <c r="T30">
        <f>VLOOKUP($B30,[7]分省年度数据!$A$1:$IV$65536,15,FALSE)</f>
        <v>45</v>
      </c>
      <c r="U30">
        <f>VLOOKUP($B30,[8]分省年度数据!$A$1:$IV$65536,15,FALSE)</f>
        <v>10.29</v>
      </c>
      <c r="V30">
        <f>VLOOKUP($B30,[9]分省年度数据!$A$1:$IV$65536,15,FALSE)</f>
        <v>38.94</v>
      </c>
      <c r="W30">
        <f>VLOOKUP($B30,[10]分省年度数据!$A$1:$IV$65536,15,FALSE)</f>
        <v>14.27</v>
      </c>
      <c r="X30">
        <f>VLOOKUP($B30,[11]分省年度数据!$A$1:$IV$65536,15,FALSE)</f>
        <v>15.32</v>
      </c>
      <c r="Y30">
        <f>VLOOKUP($B30,[12]分省年度数据!$A$1:$IV$65536,15,FALSE)</f>
        <v>19.52</v>
      </c>
      <c r="AA30">
        <f>VLOOKUP($B30,[13]分省年度数据!$A$1:$IV$65536,15,FALSE)</f>
        <v>1062206</v>
      </c>
      <c r="AB30">
        <f>VLOOKUP($B30,[14]分省年度数据!$A$1:$IV$65536,15,FALSE)</f>
        <v>82.47</v>
      </c>
      <c r="AC30">
        <f>VLOOKUP($B30,[16]分省年度数据!$A$1:$IT$65532,15,FALSE)</f>
        <v>12</v>
      </c>
      <c r="AD30">
        <f>VLOOKUP($B30,[17]分省年度数据!$A$1:$IS$65525,15,FALSE)</f>
        <v>351</v>
      </c>
      <c r="AE30">
        <f>IFERROR(AC30/E30,0)</f>
        <v>2.1314387211367674E-2</v>
      </c>
      <c r="AF30">
        <f>IFERROR(AD30/E30,0)</f>
        <v>0.62344582593250442</v>
      </c>
      <c r="AG30">
        <f>VLOOKUP($B30,[15]分省年度数据!$A$1:$IV$65536,15,FALSE)</f>
        <v>1206</v>
      </c>
      <c r="AH30">
        <f>VLOOKUP(B30,[4]分省年度数据!$A$1:$IV$65536,15,FALSE)</f>
        <v>1554</v>
      </c>
      <c r="AI30">
        <f>VLOOKUP(B30,[3]分省年度数据!$A$1:$IV$65536,15,FALSE)</f>
        <v>179.03</v>
      </c>
      <c r="AJ30">
        <f>VLOOKUP($B30,[18]分省年度数据!$A$1:$IS$65529,15,FALSE)</f>
        <v>99.87</v>
      </c>
      <c r="AK30">
        <f>VLOOKUP($B30,[19]分省年度数据!$A$1:$IS$65529,15,FALSE)</f>
        <v>90.79</v>
      </c>
      <c r="AL30">
        <f>VLOOKUP($B30,[20]分省年度数据!$A$1:$IS$65528,15,FALSE)</f>
        <v>18.3</v>
      </c>
      <c r="AM30">
        <f>VLOOKUP($B30,[21]分省年度数据!$A$1:$IS$65528,15,FALSE)</f>
        <v>4.6500000000000004</v>
      </c>
      <c r="AN30">
        <f>VLOOKUP($B30,[22]分省年度数据!$A$1:$IS$65529,15,FALSE)</f>
        <v>8.5299999999999994</v>
      </c>
    </row>
    <row r="31" spans="1:40">
      <c r="A31">
        <v>64</v>
      </c>
      <c r="B31" t="s">
        <v>30</v>
      </c>
      <c r="C31">
        <v>2010</v>
      </c>
      <c r="D31" t="s">
        <v>37</v>
      </c>
      <c r="E31">
        <f>VLOOKUP(B31,[1]分省年度数据!$A$1:$IV$65536,15,FALSE)</f>
        <v>633</v>
      </c>
      <c r="F31" s="4">
        <v>9864</v>
      </c>
      <c r="G31" s="2">
        <f>VLOOKUP(B31,[2]分省年度数据!$A$1:$IV$65536,15,FALSE)</f>
        <v>182.3</v>
      </c>
      <c r="H31" s="2">
        <f t="shared" si="0"/>
        <v>0.28799368088467614</v>
      </c>
      <c r="N31">
        <v>3428.7420000000002</v>
      </c>
      <c r="O31">
        <f>N31/F31</f>
        <v>0.34760158150851583</v>
      </c>
      <c r="Q31" t="s">
        <v>61</v>
      </c>
      <c r="R31">
        <f>VLOOKUP(B31,[5]分省年度数据!$A$1:$O$65536,15,FALSE)</f>
        <v>4129</v>
      </c>
      <c r="S31">
        <f>VLOOKUP($B31,[6]分省年度数据!$A$1:$IV$65536,15,FALSE)</f>
        <v>2.37</v>
      </c>
      <c r="T31">
        <f>VLOOKUP($B31,[7]分省年度数据!$A$1:$IV$65536,15,FALSE)</f>
        <v>47</v>
      </c>
      <c r="U31">
        <f>VLOOKUP($B31,[8]分省年度数据!$A$1:$IV$65536,15,FALSE)</f>
        <v>10.83</v>
      </c>
      <c r="V31">
        <f>VLOOKUP($B31,[9]分省年度数据!$A$1:$IV$65536,15,FALSE)</f>
        <v>34.020000000000003</v>
      </c>
      <c r="W31">
        <f>VLOOKUP($B31,[10]分省年度数据!$A$1:$IV$65536,15,FALSE)</f>
        <v>16.07</v>
      </c>
      <c r="X31">
        <f>VLOOKUP($B31,[11]分省年度数据!$A$1:$IV$65536,15,FALSE)</f>
        <v>16.5</v>
      </c>
      <c r="Y31">
        <f>VLOOKUP($B31,[12]分省年度数据!$A$1:$IV$65536,15,FALSE)</f>
        <v>19.68</v>
      </c>
      <c r="AA31">
        <f>VLOOKUP($B31,[13]分省年度数据!$A$1:$IV$65536,15,FALSE)</f>
        <v>994671</v>
      </c>
      <c r="AB31">
        <f>VLOOKUP($B31,[14]分省年度数据!$A$1:$IV$65536,15,FALSE)</f>
        <v>81.59</v>
      </c>
      <c r="AC31">
        <f>VLOOKUP($B31,[16]分省年度数据!$A$1:$IT$65532,15,FALSE)</f>
        <v>6</v>
      </c>
      <c r="AD31">
        <f>VLOOKUP($B31,[17]分省年度数据!$A$1:$IS$65525,15,FALSE)</f>
        <v>418.5</v>
      </c>
      <c r="AE31">
        <f>IFERROR(AC31/E31,0)</f>
        <v>9.4786729857819912E-3</v>
      </c>
      <c r="AF31">
        <f>IFERROR(AD31/E31,0)</f>
        <v>0.66113744075829384</v>
      </c>
      <c r="AG31">
        <f>VLOOKUP($B31,[15]分省年度数据!$A$1:$IV$65536,15,FALSE)</f>
        <v>1806</v>
      </c>
      <c r="AH31">
        <f>VLOOKUP(B31,[4]分省年度数据!$A$1:$IV$65536,15,FALSE)</f>
        <v>4325</v>
      </c>
      <c r="AI31">
        <f>VLOOKUP(B31,[3]分省年度数据!$A$1:$IV$65536,15,FALSE)</f>
        <v>177.55</v>
      </c>
      <c r="AJ31">
        <f>VLOOKUP($B31,[18]分省年度数据!$A$1:$IS$65529,15,FALSE)</f>
        <v>98.23</v>
      </c>
      <c r="AK31">
        <f>VLOOKUP($B31,[19]分省年度数据!$A$1:$IS$65529,15,FALSE)</f>
        <v>88.01</v>
      </c>
      <c r="AL31">
        <f>VLOOKUP($B31,[20]分省年度数据!$A$1:$IS$65528,15,FALSE)</f>
        <v>10.63</v>
      </c>
      <c r="AM31">
        <f>VLOOKUP($B31,[21]分省年度数据!$A$1:$IS$65528,15,FALSE)</f>
        <v>4.18</v>
      </c>
      <c r="AN31">
        <f>VLOOKUP($B31,[22]分省年度数据!$A$1:$IS$65529,15,FALSE)</f>
        <v>16.18</v>
      </c>
    </row>
    <row r="32" spans="1:40">
      <c r="A32">
        <v>65</v>
      </c>
      <c r="B32" t="s">
        <v>31</v>
      </c>
      <c r="C32">
        <v>2010</v>
      </c>
      <c r="D32" t="s">
        <v>37</v>
      </c>
      <c r="E32">
        <f>VLOOKUP(B32,[1]分省年度数据!$A$1:$IV$65536,15,FALSE)</f>
        <v>2185</v>
      </c>
      <c r="F32" s="4">
        <v>9042</v>
      </c>
      <c r="G32" s="2">
        <f>VLOOKUP(B32,[2]分省年度数据!$A$1:$IV$65536,15,FALSE)</f>
        <v>573.29999999999995</v>
      </c>
      <c r="H32" s="2">
        <f t="shared" si="0"/>
        <v>0.26237986270022884</v>
      </c>
      <c r="N32">
        <v>4160.25</v>
      </c>
      <c r="O32">
        <f>N32/F32</f>
        <v>0.46010285335102852</v>
      </c>
      <c r="Q32" t="s">
        <v>75</v>
      </c>
      <c r="R32">
        <f>VLOOKUP(B32,[5]分省年度数据!$A$1:$O$65536,15,FALSE)</f>
        <v>16000</v>
      </c>
      <c r="S32">
        <f>VLOOKUP($B32,[6]分省年度数据!$A$1:$IV$65536,15,FALSE)</f>
        <v>11.62</v>
      </c>
      <c r="T32">
        <f>VLOOKUP($B32,[7]分省年度数据!$A$1:$IV$65536,15,FALSE)</f>
        <v>57</v>
      </c>
      <c r="U32">
        <f>VLOOKUP($B32,[8]分省年度数据!$A$1:$IV$65536,15,FALSE)</f>
        <v>10.26</v>
      </c>
      <c r="V32">
        <f>VLOOKUP($B32,[9]分省年度数据!$A$1:$IV$65536,15,FALSE)</f>
        <v>103.56</v>
      </c>
      <c r="W32">
        <f>VLOOKUP($B32,[10]分省年度数据!$A$1:$IV$65536,15,FALSE)</f>
        <v>13.86</v>
      </c>
      <c r="X32">
        <f>VLOOKUP($B32,[11]分省年度数据!$A$1:$IV$65536,15,FALSE)</f>
        <v>11.98</v>
      </c>
      <c r="Y32">
        <f>VLOOKUP($B32,[12]分省年度数据!$A$1:$IV$65536,15,FALSE)</f>
        <v>14.45</v>
      </c>
      <c r="AA32">
        <f>VLOOKUP($B32,[13]分省年度数据!$A$1:$IV$65536,15,FALSE)</f>
        <v>3655998</v>
      </c>
      <c r="AB32">
        <f>VLOOKUP($B32,[14]分省年度数据!$A$1:$IV$65536,15,FALSE)</f>
        <v>313.83999999999997</v>
      </c>
      <c r="AC32">
        <f>VLOOKUP($B32,[16]分省年度数据!$A$1:$IT$65532,15,FALSE)</f>
        <v>106</v>
      </c>
      <c r="AD32">
        <f>VLOOKUP($B32,[17]分省年度数据!$A$1:$IS$65525,15,FALSE)</f>
        <v>1386.1</v>
      </c>
      <c r="AE32">
        <f>IFERROR(AC32/E32,0)</f>
        <v>4.8512585812356977E-2</v>
      </c>
      <c r="AF32">
        <f>IFERROR(AD32/E32,0)</f>
        <v>0.63437070938215101</v>
      </c>
      <c r="AG32">
        <f>VLOOKUP($B32,[15]分省年度数据!$A$1:$IV$65536,15,FALSE)</f>
        <v>5298</v>
      </c>
      <c r="AH32">
        <f>VLOOKUP(B32,[4]分省年度数据!$A$1:$IV$65536,15,FALSE)</f>
        <v>10258</v>
      </c>
      <c r="AI32">
        <f>VLOOKUP(B32,[3]分省年度数据!$A$1:$IV$65536,15,FALSE)</f>
        <v>150.79</v>
      </c>
      <c r="AJ32">
        <f>VLOOKUP($B32,[18]分省年度数据!$A$1:$IS$65529,15,FALSE)</f>
        <v>99.17</v>
      </c>
      <c r="AK32">
        <f>VLOOKUP($B32,[19]分省年度数据!$A$1:$IS$65529,15,FALSE)</f>
        <v>95.8</v>
      </c>
      <c r="AL32">
        <f>VLOOKUP($B32,[20]分省年度数据!$A$1:$IS$65528,15,FALSE)</f>
        <v>11.66</v>
      </c>
      <c r="AM32">
        <f>VLOOKUP($B32,[21]分省年度数据!$A$1:$IS$65528,15,FALSE)</f>
        <v>3.23</v>
      </c>
      <c r="AN32">
        <f>VLOOKUP($B32,[22]分省年度数据!$A$1:$IS$65529,15,FALSE)</f>
        <v>8.61</v>
      </c>
    </row>
    <row r="33" spans="1:40">
      <c r="A33">
        <v>11</v>
      </c>
      <c r="B33" t="s">
        <v>1</v>
      </c>
      <c r="C33">
        <v>2012</v>
      </c>
      <c r="D33" t="s">
        <v>32</v>
      </c>
      <c r="E33">
        <f>VLOOKUP(B33,[1]分省年度数据!$A$1:$IV$65536,13,FALSE)</f>
        <v>2078</v>
      </c>
      <c r="F33" s="4">
        <v>36817</v>
      </c>
      <c r="G33" s="2">
        <f>VLOOKUP(B33,[2]分省年度数据!$A$1:$IV$65536,13,FALSE)</f>
        <v>95.2</v>
      </c>
      <c r="H33" s="2">
        <f t="shared" si="0"/>
        <v>4.5813282001924929E-2</v>
      </c>
      <c r="N33">
        <v>18833</v>
      </c>
      <c r="O33">
        <f>N33/F33</f>
        <v>0.51152999972838631</v>
      </c>
      <c r="Q33" t="s">
        <v>63</v>
      </c>
      <c r="R33">
        <f>VLOOKUP(B33,[5]分省年度数据!$A$1:$O$65536,13,FALSE)</f>
        <v>9632</v>
      </c>
      <c r="S33">
        <f>VLOOKUP($B33,[6]分省年度数据!$A$1:$IV$65536,13,FALSE)</f>
        <v>10.02</v>
      </c>
      <c r="T33">
        <f>VLOOKUP($B33,[7]分省年度数据!$A$1:$IV$65536,13,FALSE)</f>
        <v>95</v>
      </c>
      <c r="U33">
        <f>VLOOKUP($B33,[8]分省年度数据!$A$1:$IV$65536,13,FALSE)</f>
        <v>12.83</v>
      </c>
      <c r="V33">
        <f>VLOOKUP($B33,[9]分省年度数据!$A$1:$IV$65536,13,FALSE)</f>
        <v>256.06</v>
      </c>
      <c r="W33">
        <f>VLOOKUP($B33,[10]分省年度数据!$A$1:$IV$65536,13,FALSE)</f>
        <v>9.3800000000000008</v>
      </c>
      <c r="X33">
        <f>VLOOKUP($B33,[11]分省年度数据!$A$1:$IV$65536,13,FALSE)</f>
        <v>9.83</v>
      </c>
      <c r="Y33">
        <f>VLOOKUP($B33,[12]分省年度数据!$A$1:$IV$65536,13,FALSE)</f>
        <v>13.7</v>
      </c>
      <c r="AA33" t="str">
        <f>VLOOKUP($B33,[13]分省年度数据!$A$1:$IV$65536,13,FALSE)</f>
        <v/>
      </c>
      <c r="AB33">
        <f>VLOOKUP($B33,[14]分省年度数据!$A$1:$IV$65536,13,FALSE)</f>
        <v>628.65</v>
      </c>
      <c r="AC33">
        <f>VLOOKUP($B33,[16]分省年度数据!$A$1:$IT$65532,13,FALSE)</f>
        <v>3079</v>
      </c>
      <c r="AD33">
        <f>VLOOKUP($B33,[17]分省年度数据!$A$1:$IS$65525,13,FALSE)</f>
        <v>8123.5</v>
      </c>
      <c r="AE33">
        <f>IFERROR(AC33/E33,0)</f>
        <v>1.4817131857555341</v>
      </c>
      <c r="AF33">
        <f>IFERROR(AD33/E33,0)</f>
        <v>3.9092877767083736</v>
      </c>
      <c r="AG33">
        <f>VLOOKUP($B33,[15]分省年度数据!$A$1:$IV$65536,13,FALSE)</f>
        <v>3196</v>
      </c>
      <c r="AH33">
        <f>VLOOKUP(B33,[4]分省年度数据!$A$1:$IV$65536,13,FALSE)</f>
        <v>19547</v>
      </c>
      <c r="AI33">
        <f>VLOOKUP(B33,[3]分省年度数据!$A$1:$IV$65536,13,FALSE)</f>
        <v>171.79</v>
      </c>
      <c r="AJ33">
        <f>VLOOKUP($B33,[18]分省年度数据!$A$1:$IS$65529,13,FALSE)</f>
        <v>100</v>
      </c>
      <c r="AK33">
        <f>VLOOKUP($B33,[19]分省年度数据!$A$1:$IS$65529,13,FALSE)</f>
        <v>100</v>
      </c>
      <c r="AL33">
        <f>VLOOKUP($B33,[20]分省年度数据!$A$1:$IS$65528,13,FALSE)</f>
        <v>23.43</v>
      </c>
      <c r="AM33">
        <f>VLOOKUP($B33,[21]分省年度数据!$A$1:$IS$65528,13,FALSE)</f>
        <v>3.24</v>
      </c>
      <c r="AN33">
        <f>VLOOKUP($B33,[22]分省年度数据!$A$1:$IS$65529,13,FALSE)</f>
        <v>11.87</v>
      </c>
    </row>
    <row r="34" spans="1:40">
      <c r="A34">
        <v>12</v>
      </c>
      <c r="B34" t="s">
        <v>2</v>
      </c>
      <c r="C34">
        <v>2012</v>
      </c>
      <c r="D34" t="s">
        <v>32</v>
      </c>
      <c r="E34">
        <f>VLOOKUP(B34,[1]分省年度数据!$A$1:$IV$65536,13,FALSE)</f>
        <v>1378</v>
      </c>
      <c r="F34" s="4">
        <v>24030</v>
      </c>
      <c r="G34" s="2">
        <f>VLOOKUP(B34,[2]分省年度数据!$A$1:$IV$65536,13,FALSE)</f>
        <v>88.4</v>
      </c>
      <c r="H34" s="2">
        <f t="shared" ref="H34:H65" si="1">G34/E34</f>
        <v>6.4150943396226415E-2</v>
      </c>
      <c r="N34">
        <v>9218.59</v>
      </c>
      <c r="O34">
        <f>N34/F34</f>
        <v>0.38362838119017895</v>
      </c>
      <c r="Q34" t="s">
        <v>65</v>
      </c>
      <c r="R34">
        <f>VLOOKUP(B34,[5]分省年度数据!$A$1:$O$65536,13,FALSE)</f>
        <v>4551</v>
      </c>
      <c r="S34">
        <f>VLOOKUP($B34,[6]分省年度数据!$A$1:$IV$65536,13,FALSE)</f>
        <v>5.35</v>
      </c>
      <c r="T34">
        <f>VLOOKUP($B34,[7]分省年度数据!$A$1:$IV$65536,13,FALSE)</f>
        <v>55</v>
      </c>
      <c r="U34">
        <f>VLOOKUP($B34,[8]分省年度数据!$A$1:$IV$65536,13,FALSE)</f>
        <v>11.02</v>
      </c>
      <c r="V34">
        <f>VLOOKUP($B34,[9]分省年度数据!$A$1:$IV$65536,13,FALSE)</f>
        <v>105.91</v>
      </c>
      <c r="W34">
        <f>VLOOKUP($B34,[10]分省年度数据!$A$1:$IV$65536,13,FALSE)</f>
        <v>11.74</v>
      </c>
      <c r="X34">
        <f>VLOOKUP($B34,[11]分省年度数据!$A$1:$IV$65536,13,FALSE)</f>
        <v>9.85</v>
      </c>
      <c r="Y34">
        <f>VLOOKUP($B34,[12]分省年度数据!$A$1:$IV$65536,13,FALSE)</f>
        <v>14.09</v>
      </c>
      <c r="AA34" t="str">
        <f>VLOOKUP($B34,[13]分省年度数据!$A$1:$IV$65536,13,FALSE)</f>
        <v/>
      </c>
      <c r="AB34">
        <f>VLOOKUP($B34,[14]分省年度数据!$A$1:$IV$65536,13,FALSE)</f>
        <v>378.75</v>
      </c>
      <c r="AC34">
        <f>VLOOKUP($B34,[16]分省年度数据!$A$1:$IT$65532,13,FALSE)</f>
        <v>458</v>
      </c>
      <c r="AD34">
        <f>VLOOKUP($B34,[17]分省年度数据!$A$1:$IS$65525,13,FALSE)</f>
        <v>3921.4</v>
      </c>
      <c r="AE34">
        <f>IFERROR(AC34/E34,0)</f>
        <v>0.33236574746008707</v>
      </c>
      <c r="AF34">
        <f>IFERROR(AD34/E34,0)</f>
        <v>2.8457184325108855</v>
      </c>
      <c r="AG34">
        <f>VLOOKUP($B34,[15]分省年度数据!$A$1:$IV$65536,13,FALSE)</f>
        <v>3101</v>
      </c>
      <c r="AH34">
        <f>VLOOKUP(B34,[4]分省年度数据!$A$1:$IV$65536,13,FALSE)</f>
        <v>12732</v>
      </c>
      <c r="AI34">
        <f>VLOOKUP(B34,[3]分省年度数据!$A$1:$IV$65536,13,FALSE)</f>
        <v>134.12</v>
      </c>
      <c r="AJ34">
        <f>VLOOKUP($B34,[18]分省年度数据!$A$1:$IS$65529,13,FALSE)</f>
        <v>100</v>
      </c>
      <c r="AK34">
        <f>VLOOKUP($B34,[19]分省年度数据!$A$1:$IS$65529,13,FALSE)</f>
        <v>100</v>
      </c>
      <c r="AL34">
        <f>VLOOKUP($B34,[20]分省年度数据!$A$1:$IS$65528,13,FALSE)</f>
        <v>17.34</v>
      </c>
      <c r="AM34">
        <f>VLOOKUP($B34,[21]分省年度数据!$A$1:$IS$65528,13,FALSE)</f>
        <v>1.84</v>
      </c>
      <c r="AN34">
        <f>VLOOKUP($B34,[22]分省年度数据!$A$1:$IS$65529,13,FALSE)</f>
        <v>10.54</v>
      </c>
    </row>
    <row r="35" spans="1:40">
      <c r="A35">
        <v>13</v>
      </c>
      <c r="B35" t="s">
        <v>3</v>
      </c>
      <c r="C35">
        <v>2012</v>
      </c>
      <c r="D35" t="s">
        <v>32</v>
      </c>
      <c r="E35">
        <f>VLOOKUP(B35,[1]分省年度数据!$A$1:$IV$65536,13,FALSE)</f>
        <v>7262</v>
      </c>
      <c r="F35" s="4">
        <v>13647</v>
      </c>
      <c r="G35" s="2">
        <f>VLOOKUP(B35,[2]分省年度数据!$A$1:$IV$65536,13,FALSE)</f>
        <v>2112.1</v>
      </c>
      <c r="H35" s="2">
        <f t="shared" si="1"/>
        <v>0.29084274304599284</v>
      </c>
      <c r="N35">
        <v>4763.545454545455</v>
      </c>
      <c r="O35">
        <f>N35/F35</f>
        <v>0.34905440423136624</v>
      </c>
      <c r="Q35" t="s">
        <v>65</v>
      </c>
      <c r="R35">
        <f>VLOOKUP(B35,[5]分省年度数据!$A$1:$O$65536,13,FALSE)</f>
        <v>79119</v>
      </c>
      <c r="S35">
        <f>VLOOKUP($B35,[6]分省年度数据!$A$1:$IV$65536,13,FALSE)</f>
        <v>28.44</v>
      </c>
      <c r="T35">
        <f>VLOOKUP($B35,[7]分省年度数据!$A$1:$IV$65536,13,FALSE)</f>
        <v>43</v>
      </c>
      <c r="U35">
        <f>VLOOKUP($B35,[8]分省年度数据!$A$1:$IV$65536,13,FALSE)</f>
        <v>9.1</v>
      </c>
      <c r="V35">
        <f>VLOOKUP($B35,[9]分省年度数据!$A$1:$IV$65536,13,FALSE)</f>
        <v>323.17</v>
      </c>
      <c r="W35">
        <f>VLOOKUP($B35,[10]分省年度数据!$A$1:$IV$65536,13,FALSE)</f>
        <v>14.19</v>
      </c>
      <c r="X35">
        <f>VLOOKUP($B35,[11]分省年度数据!$A$1:$IV$65536,13,FALSE)</f>
        <v>12.95</v>
      </c>
      <c r="Y35">
        <f>VLOOKUP($B35,[12]分省年度数据!$A$1:$IV$65536,13,FALSE)</f>
        <v>17.739999999999998</v>
      </c>
      <c r="AA35" t="str">
        <f>VLOOKUP($B35,[13]分省年度数据!$A$1:$IV$65536,13,FALSE)</f>
        <v/>
      </c>
      <c r="AB35">
        <f>VLOOKUP($B35,[14]分省年度数据!$A$1:$IV$65536,13,FALSE)</f>
        <v>865.54</v>
      </c>
      <c r="AC35">
        <f>VLOOKUP($B35,[16]分省年度数据!$A$1:$IT$65532,13,FALSE)</f>
        <v>7</v>
      </c>
      <c r="AD35">
        <f>VLOOKUP($B35,[17]分省年度数据!$A$1:$IS$65525,13,FALSE)</f>
        <v>9254</v>
      </c>
      <c r="AE35">
        <f>IFERROR(AC35/E35,0)</f>
        <v>9.639217846323327E-4</v>
      </c>
      <c r="AF35">
        <f>IFERROR(AD35/E35,0)</f>
        <v>1.2743045992839439</v>
      </c>
      <c r="AG35">
        <f>VLOOKUP($B35,[15]分省年度数据!$A$1:$IV$65536,13,FALSE)</f>
        <v>5285</v>
      </c>
      <c r="AH35">
        <f>VLOOKUP(B35,[4]分省年度数据!$A$1:$IV$65536,13,FALSE)</f>
        <v>18812</v>
      </c>
      <c r="AI35">
        <f>VLOOKUP(B35,[3]分省年度数据!$A$1:$IV$65536,13,FALSE)</f>
        <v>126.23</v>
      </c>
      <c r="AJ35">
        <f>VLOOKUP($B35,[18]分省年度数据!$A$1:$IS$65529,13,FALSE)</f>
        <v>99.96</v>
      </c>
      <c r="AK35">
        <f>VLOOKUP($B35,[19]分省年度数据!$A$1:$IS$65529,13,FALSE)</f>
        <v>99.79</v>
      </c>
      <c r="AL35">
        <f>VLOOKUP($B35,[20]分省年度数据!$A$1:$IS$65528,13,FALSE)</f>
        <v>11.29</v>
      </c>
      <c r="AM35">
        <f>VLOOKUP($B35,[21]分省年度数据!$A$1:$IS$65528,13,FALSE)</f>
        <v>4.18</v>
      </c>
      <c r="AN35">
        <f>VLOOKUP($B35,[22]分省年度数据!$A$1:$IS$65529,13,FALSE)</f>
        <v>14</v>
      </c>
    </row>
    <row r="36" spans="1:40">
      <c r="A36">
        <v>14</v>
      </c>
      <c r="B36" t="s">
        <v>4</v>
      </c>
      <c r="C36">
        <v>2012</v>
      </c>
      <c r="D36" t="s">
        <v>32</v>
      </c>
      <c r="E36">
        <f>VLOOKUP(B36,[1]分省年度数据!$A$1:$IV$65536,13,FALSE)</f>
        <v>3548</v>
      </c>
      <c r="F36" s="4">
        <v>13592</v>
      </c>
      <c r="G36" s="2">
        <f>VLOOKUP(B36,[2]分省年度数据!$A$1:$IV$65536,13,FALSE)</f>
        <v>546.70000000000005</v>
      </c>
      <c r="H36" s="2">
        <f t="shared" si="1"/>
        <v>0.15408680947012401</v>
      </c>
      <c r="N36">
        <v>4047.4845454545462</v>
      </c>
      <c r="O36">
        <f>N36/F36</f>
        <v>0.29778432500401308</v>
      </c>
      <c r="Q36" t="s">
        <v>59</v>
      </c>
      <c r="R36">
        <f>VLOOKUP(B36,[5]分省年度数据!$A$1:$O$65536,13,FALSE)</f>
        <v>40192</v>
      </c>
      <c r="S36">
        <f>VLOOKUP($B36,[6]分省年度数据!$A$1:$IV$65536,13,FALSE)</f>
        <v>16.53</v>
      </c>
      <c r="T36">
        <f>VLOOKUP($B36,[7]分省年度数据!$A$1:$IV$65536,13,FALSE)</f>
        <v>55</v>
      </c>
      <c r="U36">
        <f>VLOOKUP($B36,[8]分省年度数据!$A$1:$IV$65536,13,FALSE)</f>
        <v>11.22</v>
      </c>
      <c r="V36">
        <f>VLOOKUP($B36,[9]分省年度数据!$A$1:$IV$65536,13,FALSE)</f>
        <v>180.34</v>
      </c>
      <c r="W36">
        <f>VLOOKUP($B36,[10]分省年度数据!$A$1:$IV$65536,13,FALSE)</f>
        <v>14.72</v>
      </c>
      <c r="X36">
        <f>VLOOKUP($B36,[11]分省年度数据!$A$1:$IV$65536,13,FALSE)</f>
        <v>12.71</v>
      </c>
      <c r="Y36">
        <f>VLOOKUP($B36,[12]分省年度数据!$A$1:$IV$65536,13,FALSE)</f>
        <v>14.2</v>
      </c>
      <c r="AA36" t="str">
        <f>VLOOKUP($B36,[13]分省年度数据!$A$1:$IV$65536,13,FALSE)</f>
        <v/>
      </c>
      <c r="AB36">
        <f>VLOOKUP($B36,[14]分省年度数据!$A$1:$IV$65536,13,FALSE)</f>
        <v>558.03</v>
      </c>
      <c r="AC36">
        <f>VLOOKUP($B36,[16]分省年度数据!$A$1:$IT$65532,13,FALSE)</f>
        <v>106</v>
      </c>
      <c r="AD36">
        <f>VLOOKUP($B36,[17]分省年度数据!$A$1:$IS$65525,13,FALSE)</f>
        <v>4506.8</v>
      </c>
      <c r="AE36">
        <f>IFERROR(AC36/E36,0)</f>
        <v>2.987598647125141E-2</v>
      </c>
      <c r="AF36">
        <f>IFERROR(AD36/E36,0)</f>
        <v>1.2702367531003382</v>
      </c>
      <c r="AG36">
        <f>VLOOKUP($B36,[15]分省年度数据!$A$1:$IV$65536,13,FALSE)</f>
        <v>5587</v>
      </c>
      <c r="AH36">
        <f>VLOOKUP(B36,[4]分省年度数据!$A$1:$IV$65536,13,FALSE)</f>
        <v>13369</v>
      </c>
      <c r="AI36">
        <f>VLOOKUP(B36,[3]分省年度数据!$A$1:$IV$65536,13,FALSE)</f>
        <v>110.93</v>
      </c>
      <c r="AJ36">
        <f>VLOOKUP($B36,[18]分省年度数据!$A$1:$IS$65529,13,FALSE)</f>
        <v>97.64</v>
      </c>
      <c r="AK36">
        <f>VLOOKUP($B36,[19]分省年度数据!$A$1:$IS$65529,13,FALSE)</f>
        <v>95.18</v>
      </c>
      <c r="AL36">
        <f>VLOOKUP($B36,[20]分省年度数据!$A$1:$IS$65528,13,FALSE)</f>
        <v>8.4700000000000006</v>
      </c>
      <c r="AM36">
        <f>VLOOKUP($B36,[21]分省年度数据!$A$1:$IS$65528,13,FALSE)</f>
        <v>3.09</v>
      </c>
      <c r="AN36">
        <f>VLOOKUP($B36,[22]分省年度数据!$A$1:$IS$65529,13,FALSE)</f>
        <v>10.82</v>
      </c>
    </row>
    <row r="37" spans="1:40">
      <c r="A37">
        <v>15</v>
      </c>
      <c r="B37" t="s">
        <v>5</v>
      </c>
      <c r="C37">
        <v>2012</v>
      </c>
      <c r="D37" t="s">
        <v>32</v>
      </c>
      <c r="E37">
        <f>VLOOKUP(B37,[1]分省年度数据!$A$1:$IV$65536,13,FALSE)</f>
        <v>2464</v>
      </c>
      <c r="F37" s="4">
        <v>16800</v>
      </c>
      <c r="G37" s="2">
        <f>VLOOKUP(B37,[2]分省年度数据!$A$1:$IV$65536,13,FALSE)</f>
        <v>668.9</v>
      </c>
      <c r="H37" s="2">
        <f t="shared" si="1"/>
        <v>0.27146915584415582</v>
      </c>
      <c r="N37">
        <v>4298.7022222222222</v>
      </c>
      <c r="O37">
        <f>N37/F37</f>
        <v>0.25587513227513226</v>
      </c>
      <c r="Q37" t="s">
        <v>59</v>
      </c>
      <c r="R37">
        <f>VLOOKUP(B37,[5]分省年度数据!$A$1:$O$65536,13,FALSE)</f>
        <v>23046</v>
      </c>
      <c r="S37">
        <f>VLOOKUP($B37,[6]分省年度数据!$A$1:$IV$65536,13,FALSE)</f>
        <v>11.08</v>
      </c>
      <c r="T37">
        <f>VLOOKUP($B37,[7]分省年度数据!$A$1:$IV$65536,13,FALSE)</f>
        <v>56</v>
      </c>
      <c r="U37">
        <f>VLOOKUP($B37,[8]分省年度数据!$A$1:$IV$65536,13,FALSE)</f>
        <v>10.62</v>
      </c>
      <c r="V37">
        <f>VLOOKUP($B37,[9]分省年度数据!$A$1:$IV$65536,13,FALSE)</f>
        <v>177.91</v>
      </c>
      <c r="W37">
        <f>VLOOKUP($B37,[10]分省年度数据!$A$1:$IV$65536,13,FALSE)</f>
        <v>15.52</v>
      </c>
      <c r="X37">
        <f>VLOOKUP($B37,[11]分省年度数据!$A$1:$IV$65536,13,FALSE)</f>
        <v>12.01</v>
      </c>
      <c r="Y37">
        <f>VLOOKUP($B37,[12]分省年度数据!$A$1:$IV$65536,13,FALSE)</f>
        <v>12.09</v>
      </c>
      <c r="AA37" t="str">
        <f>VLOOKUP($B37,[13]分省年度数据!$A$1:$IV$65536,13,FALSE)</f>
        <v/>
      </c>
      <c r="AB37">
        <f>VLOOKUP($B37,[14]分省年度数据!$A$1:$IV$65536,13,FALSE)</f>
        <v>439.97</v>
      </c>
      <c r="AC37">
        <f>VLOOKUP($B37,[16]分省年度数据!$A$1:$IT$65532,13,FALSE)</f>
        <v>314</v>
      </c>
      <c r="AD37">
        <f>VLOOKUP($B37,[17]分省年度数据!$A$1:$IS$65525,13,FALSE)</f>
        <v>4572.5</v>
      </c>
      <c r="AE37">
        <f>IFERROR(AC37/E37,0)</f>
        <v>0.12743506493506493</v>
      </c>
      <c r="AF37">
        <f>IFERROR(AD37/E37,0)</f>
        <v>1.8557224025974026</v>
      </c>
      <c r="AG37">
        <f>VLOOKUP($B37,[15]分省年度数据!$A$1:$IV$65536,13,FALSE)</f>
        <v>3957</v>
      </c>
      <c r="AH37">
        <f>VLOOKUP(B37,[4]分省年度数据!$A$1:$IV$65536,13,FALSE)</f>
        <v>10650</v>
      </c>
      <c r="AI37">
        <f>VLOOKUP(B37,[3]分省年度数据!$A$1:$IV$65536,13,FALSE)</f>
        <v>91.12</v>
      </c>
      <c r="AJ37">
        <f>VLOOKUP($B37,[18]分省年度数据!$A$1:$IS$65529,13,FALSE)</f>
        <v>94.43</v>
      </c>
      <c r="AK37">
        <f>VLOOKUP($B37,[19]分省年度数据!$A$1:$IS$65529,13,FALSE)</f>
        <v>84.39</v>
      </c>
      <c r="AL37">
        <f>VLOOKUP($B37,[20]分省年度数据!$A$1:$IS$65528,13,FALSE)</f>
        <v>7.05</v>
      </c>
      <c r="AM37">
        <f>VLOOKUP($B37,[21]分省年度数据!$A$1:$IS$65528,13,FALSE)</f>
        <v>5.08</v>
      </c>
      <c r="AN37">
        <f>VLOOKUP($B37,[22]分省年度数据!$A$1:$IS$65529,13,FALSE)</f>
        <v>15.52</v>
      </c>
    </row>
    <row r="38" spans="1:40">
      <c r="A38">
        <v>21</v>
      </c>
      <c r="B38" t="s">
        <v>6</v>
      </c>
      <c r="C38">
        <v>2012</v>
      </c>
      <c r="D38" t="s">
        <v>33</v>
      </c>
      <c r="E38">
        <f>VLOOKUP(B38,[1]分省年度数据!$A$1:$IV$65536,13,FALSE)</f>
        <v>4375</v>
      </c>
      <c r="F38" s="4">
        <v>18761</v>
      </c>
      <c r="G38" s="2">
        <f>VLOOKUP(B38,[2]分省年度数据!$A$1:$IV$65536,13,FALSE)</f>
        <v>569.1</v>
      </c>
      <c r="H38" s="2">
        <f t="shared" si="1"/>
        <v>0.13008</v>
      </c>
      <c r="N38">
        <v>4742.6171428571424</v>
      </c>
      <c r="O38">
        <f>N38/F38</f>
        <v>0.25279127673669538</v>
      </c>
      <c r="Q38" t="s">
        <v>64</v>
      </c>
      <c r="R38">
        <f>VLOOKUP(B38,[5]分省年度数据!$A$1:$O$65536,13,FALSE)</f>
        <v>35792</v>
      </c>
      <c r="S38">
        <f>VLOOKUP($B38,[6]分省年度数据!$A$1:$IV$65536,13,FALSE)</f>
        <v>23.1</v>
      </c>
      <c r="T38">
        <f>VLOOKUP($B38,[7]分省年度数据!$A$1:$IV$65536,13,FALSE)</f>
        <v>56</v>
      </c>
      <c r="U38">
        <f>VLOOKUP($B38,[8]分省年度数据!$A$1:$IV$65536,13,FALSE)</f>
        <v>11.68</v>
      </c>
      <c r="V38">
        <f>VLOOKUP($B38,[9]分省年度数据!$A$1:$IV$65536,13,FALSE)</f>
        <v>200.19</v>
      </c>
      <c r="W38">
        <f>VLOOKUP($B38,[10]分省年度数据!$A$1:$IV$65536,13,FALSE)</f>
        <v>14.72</v>
      </c>
      <c r="X38">
        <f>VLOOKUP($B38,[11]分省年度数据!$A$1:$IV$65536,13,FALSE)</f>
        <v>11.22</v>
      </c>
      <c r="Y38">
        <f>VLOOKUP($B38,[12]分省年度数据!$A$1:$IV$65536,13,FALSE)</f>
        <v>14.72</v>
      </c>
      <c r="AA38" t="str">
        <f>VLOOKUP($B38,[13]分省年度数据!$A$1:$IV$65536,13,FALSE)</f>
        <v/>
      </c>
      <c r="AB38">
        <f>VLOOKUP($B38,[14]分省年度数据!$A$1:$IV$65536,13,FALSE)</f>
        <v>728.79</v>
      </c>
      <c r="AC38">
        <f>VLOOKUP($B38,[16]分省年度数据!$A$1:$IT$65532,13,FALSE)</f>
        <v>459</v>
      </c>
      <c r="AD38">
        <f>VLOOKUP($B38,[17]分省年度数据!$A$1:$IS$65525,13,FALSE)</f>
        <v>9304.2000000000007</v>
      </c>
      <c r="AE38">
        <f>IFERROR(AC38/E38,0)</f>
        <v>0.10491428571428571</v>
      </c>
      <c r="AF38">
        <f>IFERROR(AD38/E38,0)</f>
        <v>2.126674285714286</v>
      </c>
      <c r="AG38">
        <f>VLOOKUP($B38,[15]分省年度数据!$A$1:$IV$65536,13,FALSE)</f>
        <v>5984</v>
      </c>
      <c r="AH38">
        <f>VLOOKUP(B38,[4]分省年度数据!$A$1:$IV$65536,13,FALSE)</f>
        <v>21384</v>
      </c>
      <c r="AI38">
        <f>VLOOKUP(B38,[3]分省年度数据!$A$1:$IV$65536,13,FALSE)</f>
        <v>128.05000000000001</v>
      </c>
      <c r="AJ38">
        <f>VLOOKUP($B38,[18]分省年度数据!$A$1:$IS$65529,13,FALSE)</f>
        <v>98.45</v>
      </c>
      <c r="AK38">
        <f>VLOOKUP($B38,[19]分省年度数据!$A$1:$IS$65529,13,FALSE)</f>
        <v>96.02</v>
      </c>
      <c r="AL38">
        <f>VLOOKUP($B38,[20]分省年度数据!$A$1:$IS$65528,13,FALSE)</f>
        <v>11.11</v>
      </c>
      <c r="AM38">
        <f>VLOOKUP($B38,[21]分省年度数据!$A$1:$IS$65528,13,FALSE)</f>
        <v>2.46</v>
      </c>
      <c r="AN38">
        <f>VLOOKUP($B38,[22]分省年度数据!$A$1:$IS$65529,13,FALSE)</f>
        <v>10.89</v>
      </c>
    </row>
    <row r="39" spans="1:40">
      <c r="A39">
        <v>22</v>
      </c>
      <c r="B39" t="s">
        <v>7</v>
      </c>
      <c r="C39">
        <v>2012</v>
      </c>
      <c r="D39" t="s">
        <v>33</v>
      </c>
      <c r="E39">
        <f>VLOOKUP(B39,[1]分省年度数据!$A$1:$IV$65536,13,FALSE)</f>
        <v>2698</v>
      </c>
      <c r="F39" s="4">
        <v>14395</v>
      </c>
      <c r="G39" s="2">
        <f>VLOOKUP(B39,[2]分省年度数据!$A$1:$IV$65536,13,FALSE)</f>
        <v>712.4</v>
      </c>
      <c r="H39" s="2">
        <f t="shared" si="1"/>
        <v>0.26404744255003704</v>
      </c>
      <c r="N39">
        <v>4127.97</v>
      </c>
      <c r="O39">
        <f>N39/F39</f>
        <v>0.28676415422021539</v>
      </c>
      <c r="Q39" t="s">
        <v>64</v>
      </c>
      <c r="R39">
        <f>VLOOKUP(B39,[5]分省年度数据!$A$1:$O$65536,13,FALSE)</f>
        <v>19734</v>
      </c>
      <c r="S39">
        <f>VLOOKUP($B39,[6]分省年度数据!$A$1:$IV$65536,13,FALSE)</f>
        <v>12.78</v>
      </c>
      <c r="T39">
        <f>VLOOKUP($B39,[7]分省年度数据!$A$1:$IV$65536,13,FALSE)</f>
        <v>52</v>
      </c>
      <c r="U39">
        <f>VLOOKUP($B39,[8]分省年度数据!$A$1:$IV$65536,13,FALSE)</f>
        <v>10.1</v>
      </c>
      <c r="V39">
        <f>VLOOKUP($B39,[9]分省年度数据!$A$1:$IV$65536,13,FALSE)</f>
        <v>160.36000000000001</v>
      </c>
      <c r="W39">
        <f>VLOOKUP($B39,[10]分省年度数据!$A$1:$IV$65536,13,FALSE)</f>
        <v>17.13</v>
      </c>
      <c r="X39">
        <f>VLOOKUP($B39,[11]分省年度数据!$A$1:$IV$65536,13,FALSE)</f>
        <v>10.41</v>
      </c>
      <c r="Y39">
        <f>VLOOKUP($B39,[12]分省年度数据!$A$1:$IV$65536,13,FALSE)</f>
        <v>11.94</v>
      </c>
      <c r="AA39" t="str">
        <f>VLOOKUP($B39,[13]分省年度数据!$A$1:$IV$65536,13,FALSE)</f>
        <v/>
      </c>
      <c r="AB39">
        <f>VLOOKUP($B39,[14]分省年度数据!$A$1:$IV$65536,13,FALSE)</f>
        <v>451.05</v>
      </c>
      <c r="AC39">
        <f>VLOOKUP($B39,[16]分省年度数据!$A$1:$IT$65532,13,FALSE)</f>
        <v>19</v>
      </c>
      <c r="AD39">
        <f>VLOOKUP($B39,[17]分省年度数据!$A$1:$IS$65525,13,FALSE)</f>
        <v>4772.8999999999996</v>
      </c>
      <c r="AE39">
        <f>IFERROR(AC39/E39,0)</f>
        <v>7.0422535211267607E-3</v>
      </c>
      <c r="AF39">
        <f>IFERROR(AD39/E39,0)</f>
        <v>1.7690511489992586</v>
      </c>
      <c r="AG39">
        <f>VLOOKUP($B39,[15]分省年度数据!$A$1:$IV$65536,13,FALSE)</f>
        <v>2820</v>
      </c>
      <c r="AH39">
        <f>VLOOKUP(B39,[4]分省年度数据!$A$1:$IV$65536,13,FALSE)</f>
        <v>11200</v>
      </c>
      <c r="AI39">
        <f>VLOOKUP(B39,[3]分省年度数据!$A$1:$IV$65536,13,FALSE)</f>
        <v>111.6</v>
      </c>
      <c r="AJ39">
        <f>VLOOKUP($B39,[18]分省年度数据!$A$1:$IS$65529,13,FALSE)</f>
        <v>92.38</v>
      </c>
      <c r="AK39">
        <f>VLOOKUP($B39,[19]分省年度数据!$A$1:$IS$65529,13,FALSE)</f>
        <v>89.46</v>
      </c>
      <c r="AL39">
        <f>VLOOKUP($B39,[20]分省年度数据!$A$1:$IS$65528,13,FALSE)</f>
        <v>9.75</v>
      </c>
      <c r="AM39">
        <f>VLOOKUP($B39,[21]分省年度数据!$A$1:$IS$65528,13,FALSE)</f>
        <v>3.67</v>
      </c>
      <c r="AN39">
        <f>VLOOKUP($B39,[22]分省年度数据!$A$1:$IS$65529,13,FALSE)</f>
        <v>10.96</v>
      </c>
    </row>
    <row r="40" spans="1:40">
      <c r="A40">
        <v>23</v>
      </c>
      <c r="B40" t="s">
        <v>8</v>
      </c>
      <c r="C40">
        <v>2012</v>
      </c>
      <c r="D40" t="s">
        <v>33</v>
      </c>
      <c r="E40">
        <f>VLOOKUP(B40,[1]分省年度数据!$A$1:$IV$65536,13,FALSE)</f>
        <v>3724</v>
      </c>
      <c r="F40" s="4">
        <v>14302</v>
      </c>
      <c r="G40" s="2">
        <f>VLOOKUP(B40,[2]分省年度数据!$A$1:$IV$65536,13,FALSE)</f>
        <v>796.2</v>
      </c>
      <c r="H40" s="2">
        <f t="shared" si="1"/>
        <v>0.21380236305048336</v>
      </c>
      <c r="N40">
        <v>3772.416666666667</v>
      </c>
      <c r="O40">
        <f>N40/F40</f>
        <v>0.26376847061017111</v>
      </c>
      <c r="Q40" t="s">
        <v>64</v>
      </c>
      <c r="R40">
        <f>VLOOKUP(B40,[5]分省年度数据!$A$1:$O$65536,13,FALSE)</f>
        <v>21158</v>
      </c>
      <c r="S40">
        <f>VLOOKUP($B40,[6]分省年度数据!$A$1:$IV$65536,13,FALSE)</f>
        <v>17.82</v>
      </c>
      <c r="T40">
        <f>VLOOKUP($B40,[7]分省年度数据!$A$1:$IV$65536,13,FALSE)</f>
        <v>52</v>
      </c>
      <c r="U40">
        <f>VLOOKUP($B40,[8]分省年度数据!$A$1:$IV$65536,13,FALSE)</f>
        <v>11.32</v>
      </c>
      <c r="V40">
        <f>VLOOKUP($B40,[9]分省年度数据!$A$1:$IV$65536,13,FALSE)</f>
        <v>173.33</v>
      </c>
      <c r="W40">
        <f>VLOOKUP($B40,[10]分省年度数据!$A$1:$IV$65536,13,FALSE)</f>
        <v>14.38</v>
      </c>
      <c r="X40">
        <f>VLOOKUP($B40,[11]分省年度数据!$A$1:$IV$65536,13,FALSE)</f>
        <v>12.04</v>
      </c>
      <c r="Y40">
        <f>VLOOKUP($B40,[12]分省年度数据!$A$1:$IV$65536,13,FALSE)</f>
        <v>12.95</v>
      </c>
      <c r="AA40" t="str">
        <f>VLOOKUP($B40,[13]分省年度数据!$A$1:$IV$65536,13,FALSE)</f>
        <v/>
      </c>
      <c r="AB40">
        <f>VLOOKUP($B40,[14]分省年度数据!$A$1:$IV$65536,13,FALSE)</f>
        <v>544.79</v>
      </c>
      <c r="AC40">
        <f>VLOOKUP($B40,[16]分省年度数据!$A$1:$IT$65532,13,FALSE)</f>
        <v>74</v>
      </c>
      <c r="AD40">
        <f>VLOOKUP($B40,[17]分省年度数据!$A$1:$IS$65525,13,FALSE)</f>
        <v>5491</v>
      </c>
      <c r="AE40">
        <f>IFERROR(AC40/E40,0)</f>
        <v>1.9871106337271752E-2</v>
      </c>
      <c r="AF40">
        <f>IFERROR(AD40/E40,0)</f>
        <v>1.4744897959183674</v>
      </c>
      <c r="AG40">
        <f>VLOOKUP($B40,[15]分省年度数据!$A$1:$IV$65536,13,FALSE)</f>
        <v>3285</v>
      </c>
      <c r="AH40">
        <f>VLOOKUP(B40,[4]分省年度数据!$A$1:$IV$65536,13,FALSE)</f>
        <v>15087</v>
      </c>
      <c r="AI40">
        <f>VLOOKUP(B40,[3]分省年度数据!$A$1:$IV$65536,13,FALSE)</f>
        <v>125.48</v>
      </c>
      <c r="AJ40">
        <f>VLOOKUP($B40,[18]分省年度数据!$A$1:$IS$65529,13,FALSE)</f>
        <v>94.14</v>
      </c>
      <c r="AK40">
        <f>VLOOKUP($B40,[19]分省年度数据!$A$1:$IS$65529,13,FALSE)</f>
        <v>83.39</v>
      </c>
      <c r="AL40">
        <f>VLOOKUP($B40,[20]分省年度数据!$A$1:$IS$65528,13,FALSE)</f>
        <v>11.26</v>
      </c>
      <c r="AM40">
        <f>VLOOKUP($B40,[21]分省年度数据!$A$1:$IS$65528,13,FALSE)</f>
        <v>5.14</v>
      </c>
      <c r="AN40">
        <f>VLOOKUP($B40,[22]分省年度数据!$A$1:$IS$65529,13,FALSE)</f>
        <v>11.75</v>
      </c>
    </row>
    <row r="41" spans="1:40">
      <c r="A41">
        <v>31</v>
      </c>
      <c r="B41" t="s">
        <v>9</v>
      </c>
      <c r="C41">
        <v>2012</v>
      </c>
      <c r="D41" t="s">
        <v>34</v>
      </c>
      <c r="E41">
        <f>VLOOKUP(B41,[1]分省年度数据!$A$1:$IV$65536,13,FALSE)</f>
        <v>2399</v>
      </c>
      <c r="F41" s="4">
        <v>38550</v>
      </c>
      <c r="G41" s="2">
        <f>VLOOKUP(B41,[2]分省年度数据!$A$1:$IV$65536,13,FALSE)</f>
        <v>42</v>
      </c>
      <c r="H41" s="2">
        <f t="shared" si="1"/>
        <v>1.7507294706127552E-2</v>
      </c>
      <c r="N41">
        <v>16787.099999999999</v>
      </c>
      <c r="O41">
        <f>N41/F41</f>
        <v>0.43546303501945521</v>
      </c>
      <c r="Q41" t="s">
        <v>56</v>
      </c>
      <c r="R41">
        <f>VLOOKUP(B41,[5]分省年度数据!$A$1:$O$65536,13,FALSE)</f>
        <v>4845</v>
      </c>
      <c r="S41">
        <f>VLOOKUP($B41,[6]分省年度数据!$A$1:$IV$65536,13,FALSE)</f>
        <v>10.98</v>
      </c>
      <c r="T41">
        <f>VLOOKUP($B41,[7]分省年度数据!$A$1:$IV$65536,13,FALSE)</f>
        <v>62</v>
      </c>
      <c r="U41">
        <f>VLOOKUP($B41,[8]分省年度数据!$A$1:$IV$65536,13,FALSE)</f>
        <v>11.54</v>
      </c>
      <c r="V41">
        <f>VLOOKUP($B41,[9]分省年度数据!$A$1:$IV$65536,13,FALSE)</f>
        <v>197.34</v>
      </c>
      <c r="W41">
        <f>VLOOKUP($B41,[10]分省年度数据!$A$1:$IV$65536,13,FALSE)</f>
        <v>9.51</v>
      </c>
      <c r="X41">
        <f>VLOOKUP($B41,[11]分省年度数据!$A$1:$IV$65536,13,FALSE)</f>
        <v>12.29</v>
      </c>
      <c r="Y41">
        <f>VLOOKUP($B41,[12]分省年度数据!$A$1:$IV$65536,13,FALSE)</f>
        <v>15.82</v>
      </c>
      <c r="AA41" t="str">
        <f>VLOOKUP($B41,[13]分省年度数据!$A$1:$IV$65536,13,FALSE)</f>
        <v/>
      </c>
      <c r="AB41">
        <f>VLOOKUP($B41,[14]分省年度数据!$A$1:$IV$65536,13,FALSE)</f>
        <v>648.95000000000005</v>
      </c>
      <c r="AC41">
        <f>VLOOKUP($B41,[16]分省年度数据!$A$1:$IT$65532,13,FALSE)</f>
        <v>1787</v>
      </c>
      <c r="AD41">
        <f>VLOOKUP($B41,[17]分省年度数据!$A$1:$IS$65525,13,FALSE)</f>
        <v>7840.4</v>
      </c>
      <c r="AE41">
        <f>IFERROR(AC41/E41,0)</f>
        <v>0.74489370571071278</v>
      </c>
      <c r="AF41">
        <f>IFERROR(AD41/E41,0)</f>
        <v>3.268195081283868</v>
      </c>
      <c r="AG41">
        <f>VLOOKUP($B41,[15]分省年度数据!$A$1:$IV$65536,13,FALSE)</f>
        <v>2256</v>
      </c>
      <c r="AH41">
        <f>VLOOKUP(B41,[4]分省年度数据!$A$1:$IV$65536,13,FALSE)</f>
        <v>23190</v>
      </c>
      <c r="AI41">
        <f>VLOOKUP(B41,[3]分省年度数据!$A$1:$IV$65536,13,FALSE)</f>
        <v>186.54</v>
      </c>
      <c r="AJ41">
        <f>VLOOKUP($B41,[18]分省年度数据!$A$1:$IS$65529,13,FALSE)</f>
        <v>100</v>
      </c>
      <c r="AK41">
        <f>VLOOKUP($B41,[19]分省年度数据!$A$1:$IS$65529,13,FALSE)</f>
        <v>100</v>
      </c>
      <c r="AL41">
        <f>VLOOKUP($B41,[20]分省年度数据!$A$1:$IS$65528,13,FALSE)</f>
        <v>11.91</v>
      </c>
      <c r="AM41">
        <f>VLOOKUP($B41,[21]分省年度数据!$A$1:$IS$65528,13,FALSE)</f>
        <v>2.66</v>
      </c>
      <c r="AN41">
        <f>VLOOKUP($B41,[22]分省年度数据!$A$1:$IS$65529,13,FALSE)</f>
        <v>7.08</v>
      </c>
    </row>
    <row r="42" spans="1:40">
      <c r="A42">
        <v>32</v>
      </c>
      <c r="B42" t="s">
        <v>10</v>
      </c>
      <c r="C42">
        <v>2012</v>
      </c>
      <c r="D42" t="s">
        <v>34</v>
      </c>
      <c r="E42">
        <f>VLOOKUP(B42,[1]分省年度数据!$A$1:$IV$65536,13,FALSE)</f>
        <v>8120</v>
      </c>
      <c r="F42" s="4">
        <v>22432</v>
      </c>
      <c r="G42" s="2">
        <f>VLOOKUP(B42,[2]分省年度数据!$A$1:$IV$65536,13,FALSE)</f>
        <v>1492.9</v>
      </c>
      <c r="H42" s="2">
        <f t="shared" si="1"/>
        <v>0.18385467980295567</v>
      </c>
      <c r="N42">
        <v>6259.4115384615388</v>
      </c>
      <c r="O42">
        <f>N42/F42</f>
        <v>0.27903938741358503</v>
      </c>
      <c r="Q42" t="s">
        <v>79</v>
      </c>
      <c r="R42">
        <f>VLOOKUP(B42,[5]分省年度数据!$A$1:$O$65536,13,FALSE)</f>
        <v>31050</v>
      </c>
      <c r="S42">
        <f>VLOOKUP($B42,[6]分省年度数据!$A$1:$IV$65536,13,FALSE)</f>
        <v>33.31</v>
      </c>
      <c r="T42">
        <f>VLOOKUP($B42,[7]分省年度数据!$A$1:$IV$65536,13,FALSE)</f>
        <v>50</v>
      </c>
      <c r="U42">
        <f>VLOOKUP($B42,[8]分省年度数据!$A$1:$IV$65536,13,FALSE)</f>
        <v>10.51</v>
      </c>
      <c r="V42">
        <f>VLOOKUP($B42,[9]分省年度数据!$A$1:$IV$65536,13,FALSE)</f>
        <v>418.14</v>
      </c>
      <c r="W42">
        <f>VLOOKUP($B42,[10]分省年度数据!$A$1:$IV$65536,13,FALSE)</f>
        <v>12.43</v>
      </c>
      <c r="X42">
        <f>VLOOKUP($B42,[11]分省年度数据!$A$1:$IV$65536,13,FALSE)</f>
        <v>10.81</v>
      </c>
      <c r="Y42">
        <f>VLOOKUP($B42,[12]分省年度数据!$A$1:$IV$65536,13,FALSE)</f>
        <v>16.739999999999998</v>
      </c>
      <c r="AA42" t="str">
        <f>VLOOKUP($B42,[13]分省年度数据!$A$1:$IV$65536,13,FALSE)</f>
        <v/>
      </c>
      <c r="AB42">
        <f>VLOOKUP($B42,[14]分省年度数据!$A$1:$IV$65536,13,FALSE)</f>
        <v>1350.61</v>
      </c>
      <c r="AC42">
        <f>VLOOKUP($B42,[16]分省年度数据!$A$1:$IT$65532,13,FALSE)</f>
        <v>1333</v>
      </c>
      <c r="AD42">
        <f>VLOOKUP($B42,[17]分省年度数据!$A$1:$IS$65525,13,FALSE)</f>
        <v>18411.099999999999</v>
      </c>
      <c r="AE42">
        <f>IFERROR(AC42/E42,0)</f>
        <v>0.16416256157635467</v>
      </c>
      <c r="AF42">
        <f>IFERROR(AD42/E42,0)</f>
        <v>2.2673768472906404</v>
      </c>
      <c r="AG42">
        <f>VLOOKUP($B42,[15]分省年度数据!$A$1:$IV$65536,13,FALSE)</f>
        <v>13517</v>
      </c>
      <c r="AH42">
        <f>VLOOKUP(B42,[4]分省年度数据!$A$1:$IV$65536,13,FALSE)</f>
        <v>49793</v>
      </c>
      <c r="AI42">
        <f>VLOOKUP(B42,[3]分省年度数据!$A$1:$IV$65536,13,FALSE)</f>
        <v>215.44</v>
      </c>
      <c r="AJ42">
        <f>VLOOKUP($B42,[18]分省年度数据!$A$1:$IS$65529,13,FALSE)</f>
        <v>99.7</v>
      </c>
      <c r="AK42">
        <f>VLOOKUP($B42,[19]分省年度数据!$A$1:$IS$65529,13,FALSE)</f>
        <v>99.43</v>
      </c>
      <c r="AL42">
        <f>VLOOKUP($B42,[20]分省年度数据!$A$1:$IS$65528,13,FALSE)</f>
        <v>13.36</v>
      </c>
      <c r="AM42">
        <f>VLOOKUP($B42,[21]分省年度数据!$A$1:$IS$65528,13,FALSE)</f>
        <v>3.59</v>
      </c>
      <c r="AN42">
        <f>VLOOKUP($B42,[22]分省年度数据!$A$1:$IS$65529,13,FALSE)</f>
        <v>13.63</v>
      </c>
    </row>
    <row r="43" spans="1:40">
      <c r="A43">
        <v>33</v>
      </c>
      <c r="B43" t="s">
        <v>11</v>
      </c>
      <c r="C43">
        <v>2012</v>
      </c>
      <c r="D43" t="s">
        <v>34</v>
      </c>
      <c r="E43">
        <f>VLOOKUP(B43,[1]分省年度数据!$A$1:$IV$65536,13,FALSE)</f>
        <v>5685</v>
      </c>
      <c r="F43" s="4">
        <v>27020</v>
      </c>
      <c r="G43" s="2">
        <f>VLOOKUP(B43,[2]分省年度数据!$A$1:$IV$65536,13,FALSE)</f>
        <v>1126.7</v>
      </c>
      <c r="H43" s="2">
        <f t="shared" si="1"/>
        <v>0.19818821459982411</v>
      </c>
      <c r="N43">
        <v>9743.4963636363645</v>
      </c>
      <c r="O43">
        <f>N43/F43</f>
        <v>0.36060312226633473</v>
      </c>
      <c r="Q43" t="s">
        <v>56</v>
      </c>
      <c r="R43">
        <f>VLOOKUP(B43,[5]分省年度数据!$A$1:$O$65536,13,FALSE)</f>
        <v>30271</v>
      </c>
      <c r="S43">
        <f>VLOOKUP($B43,[6]分省年度数据!$A$1:$IV$65536,13,FALSE)</f>
        <v>21.33</v>
      </c>
      <c r="T43">
        <f>VLOOKUP($B43,[7]分省年度数据!$A$1:$IV$65536,13,FALSE)</f>
        <v>60</v>
      </c>
      <c r="U43">
        <f>VLOOKUP($B43,[8]分省年度数据!$A$1:$IV$65536,13,FALSE)</f>
        <v>11.17</v>
      </c>
      <c r="V43">
        <f>VLOOKUP($B43,[9]分省年度数据!$A$1:$IV$65536,13,FALSE)</f>
        <v>305.91000000000003</v>
      </c>
      <c r="W43">
        <f>VLOOKUP($B43,[10]分省年度数据!$A$1:$IV$65536,13,FALSE)</f>
        <v>13.58</v>
      </c>
      <c r="X43">
        <f>VLOOKUP($B43,[11]分省年度数据!$A$1:$IV$65536,13,FALSE)</f>
        <v>12.56</v>
      </c>
      <c r="Y43">
        <f>VLOOKUP($B43,[12]分省年度数据!$A$1:$IV$65536,13,FALSE)</f>
        <v>19.32</v>
      </c>
      <c r="AA43" t="str">
        <f>VLOOKUP($B43,[13]分省年度数据!$A$1:$IV$65536,13,FALSE)</f>
        <v/>
      </c>
      <c r="AB43">
        <f>VLOOKUP($B43,[14]分省年度数据!$A$1:$IV$65536,13,FALSE)</f>
        <v>877.86</v>
      </c>
      <c r="AC43">
        <f>VLOOKUP($B43,[16]分省年度数据!$A$1:$IT$65532,13,FALSE)</f>
        <v>1457</v>
      </c>
      <c r="AD43">
        <f>VLOOKUP($B43,[17]分省年度数据!$A$1:$IS$65525,13,FALSE)</f>
        <v>14199.6</v>
      </c>
      <c r="AE43">
        <f>IFERROR(AC43/E43,0)</f>
        <v>0.25628847845206687</v>
      </c>
      <c r="AF43">
        <f>IFERROR(AD43/E43,0)</f>
        <v>2.4977308707124011</v>
      </c>
      <c r="AG43">
        <f>VLOOKUP($B43,[15]分省年度数据!$A$1:$IV$65536,13,FALSE)</f>
        <v>19270</v>
      </c>
      <c r="AH43">
        <f>VLOOKUP(B43,[4]分省年度数据!$A$1:$IV$65536,13,FALSE)</f>
        <v>40558</v>
      </c>
      <c r="AI43">
        <f>VLOOKUP(B43,[3]分省年度数据!$A$1:$IV$65536,13,FALSE)</f>
        <v>195.81</v>
      </c>
      <c r="AJ43">
        <f>VLOOKUP($B43,[18]分省年度数据!$A$1:$IS$65529,13,FALSE)</f>
        <v>99.88</v>
      </c>
      <c r="AK43">
        <f>VLOOKUP($B43,[19]分省年度数据!$A$1:$IS$65529,13,FALSE)</f>
        <v>99.49</v>
      </c>
      <c r="AL43">
        <f>VLOOKUP($B43,[20]分省年度数据!$A$1:$IS$65528,13,FALSE)</f>
        <v>13.96</v>
      </c>
      <c r="AM43">
        <f>VLOOKUP($B43,[21]分省年度数据!$A$1:$IS$65528,13,FALSE)</f>
        <v>4.18</v>
      </c>
      <c r="AN43">
        <f>VLOOKUP($B43,[22]分省年度数据!$A$1:$IS$65529,13,FALSE)</f>
        <v>12.47</v>
      </c>
    </row>
    <row r="44" spans="1:40">
      <c r="A44">
        <v>34</v>
      </c>
      <c r="B44" t="s">
        <v>12</v>
      </c>
      <c r="C44">
        <v>2012</v>
      </c>
      <c r="D44" t="s">
        <v>34</v>
      </c>
      <c r="E44">
        <f>VLOOKUP(B44,[1]分省年度数据!$A$1:$IV$65536,13,FALSE)</f>
        <v>5978</v>
      </c>
      <c r="F44" s="4">
        <v>13593</v>
      </c>
      <c r="G44" s="2">
        <f>VLOOKUP(B44,[2]分省年度数据!$A$1:$IV$65536,13,FALSE)</f>
        <v>2206.3000000000002</v>
      </c>
      <c r="H44" s="2">
        <f t="shared" si="1"/>
        <v>0.36906992305118774</v>
      </c>
      <c r="N44">
        <v>5030.1975000000002</v>
      </c>
      <c r="O44">
        <f>N44/F44</f>
        <v>0.37005793423085415</v>
      </c>
      <c r="Q44" t="s">
        <v>79</v>
      </c>
      <c r="R44">
        <f>VLOOKUP(B44,[5]分省年度数据!$A$1:$O$65536,13,FALSE)</f>
        <v>23275</v>
      </c>
      <c r="S44">
        <f>VLOOKUP($B44,[6]分省年度数据!$A$1:$IV$65536,13,FALSE)</f>
        <v>22.23</v>
      </c>
      <c r="T44">
        <f>VLOOKUP($B44,[7]分省年度数据!$A$1:$IV$65536,13,FALSE)</f>
        <v>39</v>
      </c>
      <c r="U44">
        <f>VLOOKUP($B44,[8]分省年度数据!$A$1:$IV$65536,13,FALSE)</f>
        <v>9.2799999999999994</v>
      </c>
      <c r="V44">
        <f>VLOOKUP($B44,[9]分省年度数据!$A$1:$IV$65536,13,FALSE)</f>
        <v>319.39</v>
      </c>
      <c r="W44">
        <f>VLOOKUP($B44,[10]分省年度数据!$A$1:$IV$65536,13,FALSE)</f>
        <v>18.010000000000002</v>
      </c>
      <c r="X44">
        <f>VLOOKUP($B44,[11]分省年度数据!$A$1:$IV$65536,13,FALSE)</f>
        <v>13.23</v>
      </c>
      <c r="Y44">
        <f>VLOOKUP($B44,[12]分省年度数据!$A$1:$IV$65536,13,FALSE)</f>
        <v>16.760000000000002</v>
      </c>
      <c r="AA44" t="str">
        <f>VLOOKUP($B44,[13]分省年度数据!$A$1:$IV$65536,13,FALSE)</f>
        <v/>
      </c>
      <c r="AB44">
        <f>VLOOKUP($B44,[14]分省年度数据!$A$1:$IV$65536,13,FALSE)</f>
        <v>717.94</v>
      </c>
      <c r="AC44">
        <f>VLOOKUP($B44,[16]分省年度数据!$A$1:$IT$65532,13,FALSE)</f>
        <v>365</v>
      </c>
      <c r="AD44">
        <f>VLOOKUP($B44,[17]分省年度数据!$A$1:$IS$65525,13,FALSE)</f>
        <v>6142.8</v>
      </c>
      <c r="AE44">
        <f>IFERROR(AC44/E44,0)</f>
        <v>6.1057209769153561E-2</v>
      </c>
      <c r="AF44">
        <f>IFERROR(AD44/E44,0)</f>
        <v>1.0275677484108399</v>
      </c>
      <c r="AG44">
        <f>VLOOKUP($B44,[15]分省年度数据!$A$1:$IV$65536,13,FALSE)</f>
        <v>18076</v>
      </c>
      <c r="AH44">
        <f>VLOOKUP(B44,[4]分省年度数据!$A$1:$IV$65536,13,FALSE)</f>
        <v>10535</v>
      </c>
      <c r="AI44">
        <f>VLOOKUP(B44,[3]分省年度数据!$A$1:$IV$65536,13,FALSE)</f>
        <v>165.45</v>
      </c>
      <c r="AJ44">
        <f>VLOOKUP($B44,[18]分省年度数据!$A$1:$IS$65529,13,FALSE)</f>
        <v>98.02</v>
      </c>
      <c r="AK44">
        <f>VLOOKUP($B44,[19]分省年度数据!$A$1:$IS$65529,13,FALSE)</f>
        <v>94.61</v>
      </c>
      <c r="AL44">
        <f>VLOOKUP($B44,[20]分省年度数据!$A$1:$IS$65528,13,FALSE)</f>
        <v>10.14</v>
      </c>
      <c r="AM44">
        <f>VLOOKUP($B44,[21]分省年度数据!$A$1:$IS$65528,13,FALSE)</f>
        <v>2.3199999999999998</v>
      </c>
      <c r="AN44">
        <f>VLOOKUP($B44,[22]分省年度数据!$A$1:$IS$65529,13,FALSE)</f>
        <v>11.92</v>
      </c>
    </row>
    <row r="45" spans="1:40">
      <c r="A45">
        <v>35</v>
      </c>
      <c r="B45" t="s">
        <v>13</v>
      </c>
      <c r="C45">
        <v>2012</v>
      </c>
      <c r="D45" t="s">
        <v>34</v>
      </c>
      <c r="E45">
        <f>VLOOKUP(B45,[1]分省年度数据!$A$1:$IV$65536,13,FALSE)</f>
        <v>3841</v>
      </c>
      <c r="F45" s="4">
        <v>19141</v>
      </c>
      <c r="G45" s="2">
        <f>VLOOKUP(B45,[2]分省年度数据!$A$1:$IV$65536,13,FALSE)</f>
        <v>225.6</v>
      </c>
      <c r="H45" s="2">
        <f t="shared" si="1"/>
        <v>5.8734704504035409E-2</v>
      </c>
      <c r="N45">
        <v>7643.1399999999994</v>
      </c>
      <c r="O45">
        <f>N45/F45</f>
        <v>0.39930724622538005</v>
      </c>
      <c r="Q45" t="s">
        <v>57</v>
      </c>
      <c r="R45">
        <f>VLOOKUP(B45,[5]分省年度数据!$A$1:$O$65536,13,FALSE)</f>
        <v>27276</v>
      </c>
      <c r="S45">
        <f>VLOOKUP($B45,[6]分省年度数据!$A$1:$IV$65536,13,FALSE)</f>
        <v>13.93</v>
      </c>
      <c r="T45">
        <f>VLOOKUP($B45,[7]分省年度数据!$A$1:$IV$65536,13,FALSE)</f>
        <v>47</v>
      </c>
      <c r="U45">
        <f>VLOOKUP($B45,[8]分省年度数据!$A$1:$IV$65536,13,FALSE)</f>
        <v>8.75</v>
      </c>
      <c r="V45">
        <f>VLOOKUP($B45,[9]分省年度数据!$A$1:$IV$65536,13,FALSE)</f>
        <v>185.99</v>
      </c>
      <c r="W45">
        <f>VLOOKUP($B45,[10]分省年度数据!$A$1:$IV$65536,13,FALSE)</f>
        <v>13.27</v>
      </c>
      <c r="X45">
        <f>VLOOKUP($B45,[11]分省年度数据!$A$1:$IV$65536,13,FALSE)</f>
        <v>11.59</v>
      </c>
      <c r="Y45">
        <f>VLOOKUP($B45,[12]分省年度数据!$A$1:$IV$65536,13,FALSE)</f>
        <v>16.420000000000002</v>
      </c>
      <c r="AA45" t="str">
        <f>VLOOKUP($B45,[13]分省年度数据!$A$1:$IV$65536,13,FALSE)</f>
        <v/>
      </c>
      <c r="AB45">
        <f>VLOOKUP($B45,[14]分省年度数据!$A$1:$IV$65536,13,FALSE)</f>
        <v>562.29999999999995</v>
      </c>
      <c r="AC45">
        <f>VLOOKUP($B45,[16]分省年度数据!$A$1:$IT$65532,13,FALSE)</f>
        <v>952</v>
      </c>
      <c r="AD45">
        <f>VLOOKUP($B45,[17]分省年度数据!$A$1:$IS$65525,13,FALSE)</f>
        <v>7256.5</v>
      </c>
      <c r="AE45">
        <f>IFERROR(AC45/E45,0)</f>
        <v>0.24785212184326999</v>
      </c>
      <c r="AF45">
        <f>IFERROR(AD45/E45,0)</f>
        <v>1.8892215568862276</v>
      </c>
      <c r="AG45">
        <f>VLOOKUP($B45,[15]分省年度数据!$A$1:$IV$65536,13,FALSE)</f>
        <v>9942</v>
      </c>
      <c r="AH45">
        <f>VLOOKUP(B45,[4]分省年度数据!$A$1:$IV$65536,13,FALSE)</f>
        <v>15627</v>
      </c>
      <c r="AI45">
        <f>VLOOKUP(B45,[3]分省年度数据!$A$1:$IV$65536,13,FALSE)</f>
        <v>178.37</v>
      </c>
      <c r="AJ45">
        <f>VLOOKUP($B45,[18]分省年度数据!$A$1:$IS$65529,13,FALSE)</f>
        <v>99.13</v>
      </c>
      <c r="AK45">
        <f>VLOOKUP($B45,[19]分省年度数据!$A$1:$IS$65529,13,FALSE)</f>
        <v>98.6</v>
      </c>
      <c r="AL45">
        <f>VLOOKUP($B45,[20]分省年度数据!$A$1:$IS$65528,13,FALSE)</f>
        <v>12.16</v>
      </c>
      <c r="AM45">
        <f>VLOOKUP($B45,[21]分省年度数据!$A$1:$IS$65528,13,FALSE)</f>
        <v>2.69</v>
      </c>
      <c r="AN45">
        <f>VLOOKUP($B45,[22]分省年度数据!$A$1:$IS$65529,13,FALSE)</f>
        <v>12.1</v>
      </c>
    </row>
    <row r="46" spans="1:40">
      <c r="A46">
        <v>36</v>
      </c>
      <c r="B46" t="s">
        <v>14</v>
      </c>
      <c r="C46">
        <v>2012</v>
      </c>
      <c r="D46" t="s">
        <v>34</v>
      </c>
      <c r="E46">
        <f>VLOOKUP(B46,[1]分省年度数据!$A$1:$IV$65536,13,FALSE)</f>
        <v>4475</v>
      </c>
      <c r="F46" s="4">
        <v>13567</v>
      </c>
      <c r="G46" s="2">
        <f>VLOOKUP(B46,[2]分省年度数据!$A$1:$IV$65536,13,FALSE)</f>
        <v>775.9</v>
      </c>
      <c r="H46" s="2">
        <f t="shared" si="1"/>
        <v>0.1733854748603352</v>
      </c>
      <c r="N46">
        <v>4742.57</v>
      </c>
      <c r="O46">
        <f>N46/F46</f>
        <v>0.34956659541534602</v>
      </c>
      <c r="Q46" t="s">
        <v>58</v>
      </c>
      <c r="R46">
        <f>VLOOKUP(B46,[5]分省年度数据!$A$1:$O$65536,13,FALSE)</f>
        <v>39509</v>
      </c>
      <c r="S46">
        <f>VLOOKUP($B46,[6]分省年度数据!$A$1:$IV$65536,13,FALSE)</f>
        <v>16.37</v>
      </c>
      <c r="T46">
        <f>VLOOKUP($B46,[7]分省年度数据!$A$1:$IV$65536,13,FALSE)</f>
        <v>40</v>
      </c>
      <c r="U46">
        <f>VLOOKUP($B46,[8]分省年度数据!$A$1:$IV$65536,13,FALSE)</f>
        <v>9.09</v>
      </c>
      <c r="V46">
        <f>VLOOKUP($B46,[9]分省年度数据!$A$1:$IV$65536,13,FALSE)</f>
        <v>219.15</v>
      </c>
      <c r="W46">
        <f>VLOOKUP($B46,[10]分省年度数据!$A$1:$IV$65536,13,FALSE)</f>
        <v>17.350000000000001</v>
      </c>
      <c r="X46">
        <f>VLOOKUP($B46,[11]分省年度数据!$A$1:$IV$65536,13,FALSE)</f>
        <v>15.85</v>
      </c>
      <c r="Y46">
        <f>VLOOKUP($B46,[12]分省年度数据!$A$1:$IV$65536,13,FALSE)</f>
        <v>21.13</v>
      </c>
      <c r="AA46" t="str">
        <f>VLOOKUP($B46,[13]分省年度数据!$A$1:$IV$65536,13,FALSE)</f>
        <v/>
      </c>
      <c r="AB46">
        <f>VLOOKUP($B46,[14]分省年度数据!$A$1:$IV$65536,13,FALSE)</f>
        <v>622.05999999999995</v>
      </c>
      <c r="AC46">
        <f>VLOOKUP($B46,[16]分省年度数据!$A$1:$IT$65532,13,FALSE)</f>
        <v>79</v>
      </c>
      <c r="AD46">
        <f>VLOOKUP($B46,[17]分省年度数据!$A$1:$IS$65525,13,FALSE)</f>
        <v>4123.3</v>
      </c>
      <c r="AE46">
        <f>IFERROR(AC46/E46,0)</f>
        <v>1.7653631284916201E-2</v>
      </c>
      <c r="AF46">
        <f>IFERROR(AD46/E46,0)</f>
        <v>0.92140782122905029</v>
      </c>
      <c r="AG46">
        <f>VLOOKUP($B46,[15]分省年度数据!$A$1:$IV$65536,13,FALSE)</f>
        <v>3103</v>
      </c>
      <c r="AH46">
        <f>VLOOKUP(B46,[4]分省年度数据!$A$1:$IV$65536,13,FALSE)</f>
        <v>11648</v>
      </c>
      <c r="AI46">
        <f>VLOOKUP(B46,[3]分省年度数据!$A$1:$IV$65536,13,FALSE)</f>
        <v>175.69</v>
      </c>
      <c r="AJ46">
        <f>VLOOKUP($B46,[18]分省年度数据!$A$1:$IS$65529,13,FALSE)</f>
        <v>97.67</v>
      </c>
      <c r="AK46">
        <f>VLOOKUP($B46,[19]分省年度数据!$A$1:$IS$65529,13,FALSE)</f>
        <v>94.4</v>
      </c>
      <c r="AL46">
        <f>VLOOKUP($B46,[20]分省年度数据!$A$1:$IS$65528,13,FALSE)</f>
        <v>10.01</v>
      </c>
      <c r="AM46">
        <f>VLOOKUP($B46,[21]分省年度数据!$A$1:$IS$65528,13,FALSE)</f>
        <v>2.25</v>
      </c>
      <c r="AN46">
        <f>VLOOKUP($B46,[22]分省年度数据!$A$1:$IS$65529,13,FALSE)</f>
        <v>14.1</v>
      </c>
    </row>
    <row r="47" spans="1:40">
      <c r="A47">
        <v>37</v>
      </c>
      <c r="B47" t="s">
        <v>15</v>
      </c>
      <c r="C47">
        <v>2012</v>
      </c>
      <c r="D47" t="s">
        <v>34</v>
      </c>
      <c r="E47">
        <f>VLOOKUP(B47,[1]分省年度数据!$A$1:$IV$65536,13,FALSE)</f>
        <v>9708</v>
      </c>
      <c r="F47" s="4">
        <v>17127</v>
      </c>
      <c r="G47" s="2">
        <f>VLOOKUP(B47,[2]分省年度数据!$A$1:$IV$65536,13,FALSE)</f>
        <v>1940.3</v>
      </c>
      <c r="H47" s="2">
        <f t="shared" si="1"/>
        <v>0.19986608982282653</v>
      </c>
      <c r="N47">
        <v>4931.2518749999999</v>
      </c>
      <c r="O47">
        <f>N47/F47</f>
        <v>0.28792268786127168</v>
      </c>
      <c r="Q47" t="s">
        <v>65</v>
      </c>
      <c r="R47">
        <f>VLOOKUP(B47,[5]分省年度数据!$A$1:$O$65536,13,FALSE)</f>
        <v>68840</v>
      </c>
      <c r="S47">
        <f>VLOOKUP($B47,[6]分省年度数据!$A$1:$IV$65536,13,FALSE)</f>
        <v>47.38</v>
      </c>
      <c r="T47">
        <f>VLOOKUP($B47,[7]分省年度数据!$A$1:$IV$65536,13,FALSE)</f>
        <v>55</v>
      </c>
      <c r="U47">
        <f>VLOOKUP($B47,[8]分省年度数据!$A$1:$IV$65536,13,FALSE)</f>
        <v>9.4600000000000009</v>
      </c>
      <c r="V47">
        <f>VLOOKUP($B47,[9]分省年度数据!$A$1:$IV$65536,13,FALSE)</f>
        <v>422.91</v>
      </c>
      <c r="W47">
        <f>VLOOKUP($B47,[10]分省年度数据!$A$1:$IV$65536,13,FALSE)</f>
        <v>14.28</v>
      </c>
      <c r="X47">
        <f>VLOOKUP($B47,[11]分省年度数据!$A$1:$IV$65536,13,FALSE)</f>
        <v>12.54</v>
      </c>
      <c r="Y47">
        <f>VLOOKUP($B47,[12]分省年度数据!$A$1:$IV$65536,13,FALSE)</f>
        <v>16.41</v>
      </c>
      <c r="AA47" t="str">
        <f>VLOOKUP($B47,[13]分省年度数据!$A$1:$IV$65536,13,FALSE)</f>
        <v/>
      </c>
      <c r="AB47">
        <f>VLOOKUP($B47,[14]分省年度数据!$A$1:$IV$65536,13,FALSE)</f>
        <v>1311.8</v>
      </c>
      <c r="AC47">
        <f>VLOOKUP($B47,[16]分省年度数据!$A$1:$IT$65532,13,FALSE)</f>
        <v>390</v>
      </c>
      <c r="AD47">
        <f>VLOOKUP($B47,[17]分省年度数据!$A$1:$IS$65525,13,FALSE)</f>
        <v>19651.900000000001</v>
      </c>
      <c r="AE47">
        <f>IFERROR(AC47/E47,0)</f>
        <v>4.0173053152039555E-2</v>
      </c>
      <c r="AF47">
        <f>IFERROR(AD47/E47,0)</f>
        <v>2.0242995467655542</v>
      </c>
      <c r="AG47">
        <f>VLOOKUP($B47,[15]分省年度数据!$A$1:$IV$65536,13,FALSE)</f>
        <v>13275</v>
      </c>
      <c r="AH47">
        <f>VLOOKUP(B47,[4]分省年度数据!$A$1:$IV$65536,13,FALSE)</f>
        <v>44682</v>
      </c>
      <c r="AI47">
        <f>VLOOKUP(B47,[3]分省年度数据!$A$1:$IV$65536,13,FALSE)</f>
        <v>131.6</v>
      </c>
      <c r="AJ47">
        <f>VLOOKUP($B47,[18]分省年度数据!$A$1:$IS$65529,13,FALSE)</f>
        <v>99.85</v>
      </c>
      <c r="AK47">
        <f>VLOOKUP($B47,[19]分省年度数据!$A$1:$IS$65529,13,FALSE)</f>
        <v>99.48</v>
      </c>
      <c r="AL47">
        <f>VLOOKUP($B47,[20]分省年度数据!$A$1:$IS$65528,13,FALSE)</f>
        <v>12.76</v>
      </c>
      <c r="AM47">
        <f>VLOOKUP($B47,[21]分省年度数据!$A$1:$IS$65528,13,FALSE)</f>
        <v>1.99</v>
      </c>
      <c r="AN47">
        <f>VLOOKUP($B47,[22]分省年度数据!$A$1:$IS$65529,13,FALSE)</f>
        <v>16.37</v>
      </c>
    </row>
    <row r="48" spans="1:40">
      <c r="A48">
        <v>41</v>
      </c>
      <c r="B48" t="s">
        <v>16</v>
      </c>
      <c r="C48">
        <v>2012</v>
      </c>
      <c r="D48" t="s">
        <v>35</v>
      </c>
      <c r="E48">
        <f>VLOOKUP(B48,[1]分省年度数据!$A$1:$IV$65536,13,FALSE)</f>
        <v>9532</v>
      </c>
      <c r="F48" s="4">
        <v>12772</v>
      </c>
      <c r="G48" s="2">
        <f>VLOOKUP(B48,[2]分省年度数据!$A$1:$IV$65536,13,FALSE)</f>
        <v>1232.0999999999999</v>
      </c>
      <c r="H48" s="2">
        <f t="shared" si="1"/>
        <v>0.12925933697020561</v>
      </c>
      <c r="N48">
        <v>3782.7117647058822</v>
      </c>
      <c r="O48">
        <f>N48/F48</f>
        <v>0.29617223337816179</v>
      </c>
      <c r="Q48" t="s">
        <v>62</v>
      </c>
      <c r="R48">
        <f>VLOOKUP(B48,[5]分省年度数据!$A$1:$O$65536,13,FALSE)</f>
        <v>69258</v>
      </c>
      <c r="S48">
        <f>VLOOKUP($B48,[6]分省年度数据!$A$1:$IV$65536,13,FALSE)</f>
        <v>39.4</v>
      </c>
      <c r="T48">
        <f>VLOOKUP($B48,[7]分省年度数据!$A$1:$IV$65536,13,FALSE)</f>
        <v>46</v>
      </c>
      <c r="U48">
        <f>VLOOKUP($B48,[8]分省年度数据!$A$1:$IV$65536,13,FALSE)</f>
        <v>10.18</v>
      </c>
      <c r="V48">
        <f>VLOOKUP($B48,[9]分省年度数据!$A$1:$IV$65536,13,FALSE)</f>
        <v>425.99</v>
      </c>
      <c r="W48">
        <f>VLOOKUP($B48,[10]分省年度数据!$A$1:$IV$65536,13,FALSE)</f>
        <v>17.940000000000001</v>
      </c>
      <c r="X48">
        <f>VLOOKUP($B48,[11]分省年度数据!$A$1:$IV$65536,13,FALSE)</f>
        <v>16.07</v>
      </c>
      <c r="Y48">
        <f>VLOOKUP($B48,[12]分省年度数据!$A$1:$IV$65536,13,FALSE)</f>
        <v>21.72</v>
      </c>
      <c r="AA48" t="str">
        <f>VLOOKUP($B48,[13]分省年度数据!$A$1:$IV$65536,13,FALSE)</f>
        <v/>
      </c>
      <c r="AB48">
        <f>VLOOKUP($B48,[14]分省年度数据!$A$1:$IV$65536,13,FALSE)</f>
        <v>1106.51</v>
      </c>
      <c r="AC48">
        <f>VLOOKUP($B48,[16]分省年度数据!$A$1:$IT$65532,13,FALSE)</f>
        <v>206</v>
      </c>
      <c r="AD48">
        <f>VLOOKUP($B48,[17]分省年度数据!$A$1:$IS$65525,13,FALSE)</f>
        <v>10915.6</v>
      </c>
      <c r="AE48">
        <f>IFERROR(AC48/E48,0)</f>
        <v>2.1611414183801931E-2</v>
      </c>
      <c r="AF48">
        <f>IFERROR(AD48/E48,0)</f>
        <v>1.1451531682752834</v>
      </c>
      <c r="AG48">
        <f>VLOOKUP($B48,[15]分省年度数据!$A$1:$IV$65536,13,FALSE)</f>
        <v>6732</v>
      </c>
      <c r="AH48">
        <f>VLOOKUP(B48,[4]分省年度数据!$A$1:$IV$65536,13,FALSE)</f>
        <v>18337</v>
      </c>
      <c r="AI48">
        <f>VLOOKUP(B48,[3]分省年度数据!$A$1:$IV$65536,13,FALSE)</f>
        <v>104.09</v>
      </c>
      <c r="AJ48">
        <f>VLOOKUP($B48,[18]分省年度数据!$A$1:$IS$65529,13,FALSE)</f>
        <v>91.76</v>
      </c>
      <c r="AK48">
        <f>VLOOKUP($B48,[19]分省年度数据!$A$1:$IS$65529,13,FALSE)</f>
        <v>77.94</v>
      </c>
      <c r="AL48">
        <f>VLOOKUP($B48,[20]分省年度数据!$A$1:$IS$65528,13,FALSE)</f>
        <v>8.6</v>
      </c>
      <c r="AM48">
        <f>VLOOKUP($B48,[21]分省年度数据!$A$1:$IS$65528,13,FALSE)</f>
        <v>3.12</v>
      </c>
      <c r="AN48">
        <f>VLOOKUP($B48,[22]分省年度数据!$A$1:$IS$65529,13,FALSE)</f>
        <v>9.23</v>
      </c>
    </row>
    <row r="49" spans="1:40">
      <c r="A49">
        <v>42</v>
      </c>
      <c r="B49" t="s">
        <v>17</v>
      </c>
      <c r="C49">
        <v>2012</v>
      </c>
      <c r="D49" t="s">
        <v>35</v>
      </c>
      <c r="E49">
        <f>VLOOKUP(B49,[1]分省年度数据!$A$1:$IV$65536,13,FALSE)</f>
        <v>5781</v>
      </c>
      <c r="F49" s="4">
        <v>14809</v>
      </c>
      <c r="G49" s="2">
        <f>VLOOKUP(B49,[2]分省年度数据!$A$1:$IV$65536,13,FALSE)</f>
        <v>1703.6</v>
      </c>
      <c r="H49" s="2">
        <f t="shared" si="1"/>
        <v>0.2946895000864902</v>
      </c>
      <c r="N49">
        <v>3984.335</v>
      </c>
      <c r="O49">
        <f>N49/F49</f>
        <v>0.26904821392396516</v>
      </c>
      <c r="Q49" t="s">
        <v>55</v>
      </c>
      <c r="R49">
        <f>VLOOKUP(B49,[5]分省年度数据!$A$1:$O$65536,13,FALSE)</f>
        <v>35240</v>
      </c>
      <c r="S49">
        <f>VLOOKUP($B49,[6]分省年度数据!$A$1:$IV$65536,13,FALSE)</f>
        <v>25.3</v>
      </c>
      <c r="T49">
        <f>VLOOKUP($B49,[7]分省年度数据!$A$1:$IV$65536,13,FALSE)</f>
        <v>50</v>
      </c>
      <c r="U49">
        <f>VLOOKUP($B49,[8]分省年度数据!$A$1:$IV$65536,13,FALSE)</f>
        <v>10.15</v>
      </c>
      <c r="V49">
        <f>VLOOKUP($B49,[9]分省年度数据!$A$1:$IV$65536,13,FALSE)</f>
        <v>267.99</v>
      </c>
      <c r="W49">
        <f>VLOOKUP($B49,[10]分省年度数据!$A$1:$IV$65536,13,FALSE)</f>
        <v>15.16</v>
      </c>
      <c r="X49">
        <f>VLOOKUP($B49,[11]分省年度数据!$A$1:$IV$65536,13,FALSE)</f>
        <v>11.16</v>
      </c>
      <c r="Y49">
        <f>VLOOKUP($B49,[12]分省年度数据!$A$1:$IV$65536,13,FALSE)</f>
        <v>17.04</v>
      </c>
      <c r="AA49" t="str">
        <f>VLOOKUP($B49,[13]分省年度数据!$A$1:$IV$65536,13,FALSE)</f>
        <v/>
      </c>
      <c r="AB49">
        <f>VLOOKUP($B49,[14]分省年度数据!$A$1:$IV$65536,13,FALSE)</f>
        <v>732.37</v>
      </c>
      <c r="AC49">
        <f>VLOOKUP($B49,[16]分省年度数据!$A$1:$IT$65532,13,FALSE)</f>
        <v>498</v>
      </c>
      <c r="AD49">
        <f>VLOOKUP($B49,[17]分省年度数据!$A$1:$IS$65525,13,FALSE)</f>
        <v>9682.4</v>
      </c>
      <c r="AE49">
        <f>IFERROR(AC49/E49,0)</f>
        <v>8.6144265697976133E-2</v>
      </c>
      <c r="AF49">
        <f>IFERROR(AD49/E49,0)</f>
        <v>1.6748659401487631</v>
      </c>
      <c r="AG49">
        <f>VLOOKUP($B49,[15]分省年度数据!$A$1:$IV$65536,13,FALSE)</f>
        <v>6009</v>
      </c>
      <c r="AH49">
        <f>VLOOKUP(B49,[4]分省年度数据!$A$1:$IV$65536,13,FALSE)</f>
        <v>17298</v>
      </c>
      <c r="AI49">
        <f>VLOOKUP(B49,[3]分省年度数据!$A$1:$IV$65536,13,FALSE)</f>
        <v>215.72</v>
      </c>
      <c r="AJ49">
        <f>VLOOKUP($B49,[18]分省年度数据!$A$1:$IS$65529,13,FALSE)</f>
        <v>98.24</v>
      </c>
      <c r="AK49">
        <f>VLOOKUP($B49,[19]分省年度数据!$A$1:$IS$65529,13,FALSE)</f>
        <v>95.09</v>
      </c>
      <c r="AL49">
        <f>VLOOKUP($B49,[20]分省年度数据!$A$1:$IS$65528,13,FALSE)</f>
        <v>11.25</v>
      </c>
      <c r="AM49">
        <f>VLOOKUP($B49,[21]分省年度数据!$A$1:$IS$65528,13,FALSE)</f>
        <v>2.59</v>
      </c>
      <c r="AN49">
        <f>VLOOKUP($B49,[22]分省年度数据!$A$1:$IS$65529,13,FALSE)</f>
        <v>10.5</v>
      </c>
    </row>
    <row r="50" spans="1:40">
      <c r="A50">
        <v>43</v>
      </c>
      <c r="B50" t="s">
        <v>18</v>
      </c>
      <c r="C50">
        <v>2012</v>
      </c>
      <c r="D50" t="s">
        <v>35</v>
      </c>
      <c r="E50">
        <f>VLOOKUP(B50,[1]分省年度数据!$A$1:$IV$65536,13,FALSE)</f>
        <v>6590</v>
      </c>
      <c r="F50" s="4">
        <v>14391</v>
      </c>
      <c r="G50" s="2">
        <f>VLOOKUP(B50,[2]分省年度数据!$A$1:$IV$65536,13,FALSE)</f>
        <v>1622.8</v>
      </c>
      <c r="H50" s="2">
        <f t="shared" si="1"/>
        <v>0.24625189681335355</v>
      </c>
      <c r="N50">
        <v>3769.6823076923079</v>
      </c>
      <c r="O50">
        <f>N50/F50</f>
        <v>0.26194721059636633</v>
      </c>
      <c r="Q50" t="s">
        <v>53</v>
      </c>
      <c r="R50">
        <f>VLOOKUP(B50,[5]分省年度数据!$A$1:$O$65536,13,FALSE)</f>
        <v>58612</v>
      </c>
      <c r="S50">
        <f>VLOOKUP($B50,[6]分省年度数据!$A$1:$IV$65536,13,FALSE)</f>
        <v>28.7</v>
      </c>
      <c r="T50">
        <f>VLOOKUP($B50,[7]分省年度数据!$A$1:$IV$65536,13,FALSE)</f>
        <v>45</v>
      </c>
      <c r="U50">
        <f>VLOOKUP($B50,[8]分省年度数据!$A$1:$IV$65536,13,FALSE)</f>
        <v>9.61</v>
      </c>
      <c r="V50">
        <f>VLOOKUP($B50,[9]分省年度数据!$A$1:$IV$65536,13,FALSE)</f>
        <v>294.17</v>
      </c>
      <c r="W50">
        <f>VLOOKUP($B50,[10]分省年度数据!$A$1:$IV$65536,13,FALSE)</f>
        <v>15.3</v>
      </c>
      <c r="X50">
        <f>VLOOKUP($B50,[11]分省年度数据!$A$1:$IV$65536,13,FALSE)</f>
        <v>12.33</v>
      </c>
      <c r="Y50">
        <f>VLOOKUP($B50,[12]分省年度数据!$A$1:$IV$65536,13,FALSE)</f>
        <v>19.190000000000001</v>
      </c>
      <c r="AA50" t="str">
        <f>VLOOKUP($B50,[13]分省年度数据!$A$1:$IV$65536,13,FALSE)</f>
        <v/>
      </c>
      <c r="AB50">
        <f>VLOOKUP($B50,[14]分省年度数据!$A$1:$IV$65536,13,FALSE)</f>
        <v>807.58</v>
      </c>
      <c r="AC50">
        <f>VLOOKUP($B50,[16]分省年度数据!$A$1:$IT$65532,13,FALSE)</f>
        <v>350</v>
      </c>
      <c r="AD50">
        <f>VLOOKUP($B50,[17]分省年度数据!$A$1:$IS$65525,13,FALSE)</f>
        <v>8318.7000000000007</v>
      </c>
      <c r="AE50">
        <f>IFERROR(AC50/E50,0)</f>
        <v>5.3110773899848251E-2</v>
      </c>
      <c r="AF50">
        <f>IFERROR(AD50/E50,0)</f>
        <v>1.2623216995447648</v>
      </c>
      <c r="AG50">
        <f>VLOOKUP($B50,[15]分省年度数据!$A$1:$IV$65536,13,FALSE)</f>
        <v>8748</v>
      </c>
      <c r="AH50">
        <f>VLOOKUP(B50,[4]分省年度数据!$A$1:$IV$65536,13,FALSE)</f>
        <v>14132</v>
      </c>
      <c r="AI50">
        <f>VLOOKUP(B50,[3]分省年度数据!$A$1:$IV$65536,13,FALSE)</f>
        <v>212.78</v>
      </c>
      <c r="AJ50">
        <f>VLOOKUP($B50,[18]分省年度数据!$A$1:$IS$65529,13,FALSE)</f>
        <v>96.42</v>
      </c>
      <c r="AK50">
        <f>VLOOKUP($B50,[19]分省年度数据!$A$1:$IS$65529,13,FALSE)</f>
        <v>91.33</v>
      </c>
      <c r="AL50">
        <f>VLOOKUP($B50,[20]分省年度数据!$A$1:$IS$65528,13,FALSE)</f>
        <v>10.38</v>
      </c>
      <c r="AM50">
        <f>VLOOKUP($B50,[21]分省年度数据!$A$1:$IS$65528,13,FALSE)</f>
        <v>2.34</v>
      </c>
      <c r="AN50">
        <f>VLOOKUP($B50,[22]分省年度数据!$A$1:$IS$65529,13,FALSE)</f>
        <v>8.83</v>
      </c>
    </row>
    <row r="51" spans="1:40">
      <c r="A51">
        <v>44</v>
      </c>
      <c r="B51" t="s">
        <v>19</v>
      </c>
      <c r="C51">
        <v>2012</v>
      </c>
      <c r="D51" t="s">
        <v>35</v>
      </c>
      <c r="E51">
        <f>VLOOKUP(B51,[1]分省年度数据!$A$1:$IV$65536,13,FALSE)</f>
        <v>11041</v>
      </c>
      <c r="F51" s="4">
        <v>21268</v>
      </c>
      <c r="G51" s="2">
        <f>VLOOKUP(B51,[2]分省年度数据!$A$1:$IV$65536,13,FALSE)</f>
        <v>499.5</v>
      </c>
      <c r="H51" s="2">
        <f t="shared" si="1"/>
        <v>4.524046734897201E-2</v>
      </c>
      <c r="N51">
        <v>7185.0885714285723</v>
      </c>
      <c r="O51">
        <f>N51/F51</f>
        <v>0.3378356484591204</v>
      </c>
      <c r="Q51" t="s">
        <v>54</v>
      </c>
      <c r="R51">
        <f>VLOOKUP(B51,[5]分省年度数据!$A$1:$O$65536,13,FALSE)</f>
        <v>46534</v>
      </c>
      <c r="S51">
        <f>VLOOKUP($B51,[6]分省年度数据!$A$1:$IV$65536,13,FALSE)</f>
        <v>35.53</v>
      </c>
      <c r="T51">
        <f>VLOOKUP($B51,[7]分省年度数据!$A$1:$IV$65536,13,FALSE)</f>
        <v>49</v>
      </c>
      <c r="U51">
        <f>VLOOKUP($B51,[8]分省年度数据!$A$1:$IV$65536,13,FALSE)</f>
        <v>8.6999999999999993</v>
      </c>
      <c r="V51">
        <f>VLOOKUP($B51,[9]分省年度数据!$A$1:$IV$65536,13,FALSE)</f>
        <v>505.14</v>
      </c>
      <c r="W51">
        <f>VLOOKUP($B51,[10]分省年度数据!$A$1:$IV$65536,13,FALSE)</f>
        <v>15.93</v>
      </c>
      <c r="X51">
        <f>VLOOKUP($B51,[11]分省年度数据!$A$1:$IV$65536,13,FALSE)</f>
        <v>16.18</v>
      </c>
      <c r="Y51">
        <f>VLOOKUP($B51,[12]分省年度数据!$A$1:$IV$65536,13,FALSE)</f>
        <v>18.690000000000001</v>
      </c>
      <c r="AA51" t="str">
        <f>VLOOKUP($B51,[13]分省年度数据!$A$1:$IV$65536,13,FALSE)</f>
        <v/>
      </c>
      <c r="AB51">
        <f>VLOOKUP($B51,[14]分省年度数据!$A$1:$IV$65536,13,FALSE)</f>
        <v>1501.22</v>
      </c>
      <c r="AC51">
        <f>VLOOKUP($B51,[16]分省年度数据!$A$1:$IT$65532,13,FALSE)</f>
        <v>2792</v>
      </c>
      <c r="AD51">
        <f>VLOOKUP($B51,[17]分省年度数据!$A$1:$IS$65525,13,FALSE)</f>
        <v>22677.1</v>
      </c>
      <c r="AE51">
        <f>IFERROR(AC51/E51,0)</f>
        <v>0.2528756453219817</v>
      </c>
      <c r="AF51">
        <f>IFERROR(AD51/E51,0)</f>
        <v>2.0538991033420886</v>
      </c>
      <c r="AG51">
        <f>VLOOKUP($B51,[15]分省年度数据!$A$1:$IV$65536,13,FALSE)</f>
        <v>25720</v>
      </c>
      <c r="AH51">
        <f>VLOOKUP(B51,[4]分省年度数据!$A$1:$IV$65536,13,FALSE)</f>
        <v>87384</v>
      </c>
      <c r="AI51">
        <f>VLOOKUP(B51,[3]分省年度数据!$A$1:$IV$65536,13,FALSE)</f>
        <v>246.68</v>
      </c>
      <c r="AJ51">
        <f>VLOOKUP($B51,[18]分省年度数据!$A$1:$IS$65529,13,FALSE)</f>
        <v>97.62</v>
      </c>
      <c r="AK51">
        <f>VLOOKUP($B51,[19]分省年度数据!$A$1:$IS$65529,13,FALSE)</f>
        <v>94.93</v>
      </c>
      <c r="AL51">
        <f>VLOOKUP($B51,[20]分省年度数据!$A$1:$IS$65528,13,FALSE)</f>
        <v>13.42</v>
      </c>
      <c r="AM51">
        <f>VLOOKUP($B51,[21]分省年度数据!$A$1:$IS$65528,13,FALSE)</f>
        <v>2.06</v>
      </c>
      <c r="AN51">
        <f>VLOOKUP($B51,[22]分省年度数据!$A$1:$IS$65529,13,FALSE)</f>
        <v>15.82</v>
      </c>
    </row>
    <row r="52" spans="1:40">
      <c r="A52">
        <v>45</v>
      </c>
      <c r="B52" t="s">
        <v>20</v>
      </c>
      <c r="C52">
        <v>2012</v>
      </c>
      <c r="D52" t="s">
        <v>35</v>
      </c>
      <c r="E52">
        <f>VLOOKUP(B52,[1]分省年度数据!$A$1:$IV$65536,13,FALSE)</f>
        <v>4694</v>
      </c>
      <c r="F52" s="4">
        <v>12644</v>
      </c>
      <c r="G52" s="2">
        <f>VLOOKUP(B52,[2]分省年度数据!$A$1:$IV$65536,13,FALSE)</f>
        <v>844.1</v>
      </c>
      <c r="H52" s="2">
        <f t="shared" si="1"/>
        <v>0.1798253089049851</v>
      </c>
      <c r="N52">
        <v>4216.915</v>
      </c>
      <c r="O52">
        <f>N52/F52</f>
        <v>0.33351115153432459</v>
      </c>
      <c r="Q52" t="s">
        <v>55</v>
      </c>
      <c r="R52">
        <f>VLOOKUP(B52,[5]分省年度数据!$A$1:$O$65536,13,FALSE)</f>
        <v>34152</v>
      </c>
      <c r="S52">
        <f>VLOOKUP($B52,[6]分省年度数据!$A$1:$IV$65536,13,FALSE)</f>
        <v>16.87</v>
      </c>
      <c r="T52">
        <f>VLOOKUP($B52,[7]分省年度数据!$A$1:$IV$65536,13,FALSE)</f>
        <v>47</v>
      </c>
      <c r="U52">
        <f>VLOOKUP($B52,[8]分省年度数据!$A$1:$IV$65536,13,FALSE)</f>
        <v>9.31</v>
      </c>
      <c r="V52">
        <f>VLOOKUP($B52,[9]分省年度数据!$A$1:$IV$65536,13,FALSE)</f>
        <v>253.17</v>
      </c>
      <c r="W52">
        <f>VLOOKUP($B52,[10]分省年度数据!$A$1:$IV$65536,13,FALSE)</f>
        <v>17.86</v>
      </c>
      <c r="X52">
        <f>VLOOKUP($B52,[11]分省年度数据!$A$1:$IV$65536,13,FALSE)</f>
        <v>16.739999999999998</v>
      </c>
      <c r="Y52">
        <f>VLOOKUP($B52,[12]分省年度数据!$A$1:$IV$65536,13,FALSE)</f>
        <v>19.64</v>
      </c>
      <c r="AA52" t="str">
        <f>VLOOKUP($B52,[13]分省年度数据!$A$1:$IV$65536,13,FALSE)</f>
        <v/>
      </c>
      <c r="AB52">
        <f>VLOOKUP($B52,[14]分省年度数据!$A$1:$IV$65536,13,FALSE)</f>
        <v>589.24</v>
      </c>
      <c r="AC52">
        <f>VLOOKUP($B52,[16]分省年度数据!$A$1:$IT$65532,13,FALSE)</f>
        <v>72</v>
      </c>
      <c r="AD52">
        <f>VLOOKUP($B52,[17]分省年度数据!$A$1:$IS$65525,13,FALSE)</f>
        <v>4516.6000000000004</v>
      </c>
      <c r="AE52">
        <f>IFERROR(AC52/E52,0)</f>
        <v>1.5338730293992331E-2</v>
      </c>
      <c r="AF52">
        <f>IFERROR(AD52/E52,0)</f>
        <v>0.962207072858969</v>
      </c>
      <c r="AG52">
        <f>VLOOKUP($B52,[15]分省年度数据!$A$1:$IV$65536,13,FALSE)</f>
        <v>3984</v>
      </c>
      <c r="AH52">
        <f>VLOOKUP(B52,[4]分省年度数据!$A$1:$IV$65536,13,FALSE)</f>
        <v>9323</v>
      </c>
      <c r="AI52">
        <f>VLOOKUP(B52,[3]分省年度数据!$A$1:$IV$65536,13,FALSE)</f>
        <v>248.11</v>
      </c>
      <c r="AJ52">
        <f>VLOOKUP($B52,[18]分省年度数据!$A$1:$IS$65529,13,FALSE)</f>
        <v>95.3</v>
      </c>
      <c r="AK52">
        <f>VLOOKUP($B52,[19]分省年度数据!$A$1:$IS$65529,13,FALSE)</f>
        <v>93.26</v>
      </c>
      <c r="AL52">
        <f>VLOOKUP($B52,[20]分省年度数据!$A$1:$IS$65528,13,FALSE)</f>
        <v>9.18</v>
      </c>
      <c r="AM52">
        <f>VLOOKUP($B52,[21]分省年度数据!$A$1:$IS$65528,13,FALSE)</f>
        <v>2.33</v>
      </c>
      <c r="AN52">
        <f>VLOOKUP($B52,[22]分省年度数据!$A$1:$IS$65529,13,FALSE)</f>
        <v>11.42</v>
      </c>
    </row>
    <row r="53" spans="1:40">
      <c r="A53">
        <v>46</v>
      </c>
      <c r="B53" t="s">
        <v>21</v>
      </c>
      <c r="C53">
        <v>2012</v>
      </c>
      <c r="D53" t="s">
        <v>35</v>
      </c>
      <c r="E53">
        <f>VLOOKUP(B53,[1]分省年度数据!$A$1:$IV$65536,13,FALSE)</f>
        <v>910</v>
      </c>
      <c r="F53" s="4">
        <v>14180</v>
      </c>
      <c r="G53" s="2">
        <f>VLOOKUP(B53,[2]分省年度数据!$A$1:$IV$65536,13,FALSE)</f>
        <v>197.5</v>
      </c>
      <c r="H53" s="2">
        <f t="shared" si="1"/>
        <v>0.21703296703296704</v>
      </c>
      <c r="N53">
        <v>13710.525</v>
      </c>
      <c r="O53">
        <f>N53/F53</f>
        <v>0.966891748942172</v>
      </c>
      <c r="Q53" t="s">
        <v>57</v>
      </c>
      <c r="R53">
        <f>VLOOKUP(B53,[5]分省年度数据!$A$1:$O$65536,13,FALSE)</f>
        <v>5154</v>
      </c>
      <c r="S53">
        <f>VLOOKUP($B53,[6]分省年度数据!$A$1:$IV$65536,13,FALSE)</f>
        <v>3.03</v>
      </c>
      <c r="T53">
        <f>VLOOKUP($B53,[7]分省年度数据!$A$1:$IV$65536,13,FALSE)</f>
        <v>51</v>
      </c>
      <c r="U53">
        <f>VLOOKUP($B53,[8]分省年度数据!$A$1:$IV$65536,13,FALSE)</f>
        <v>9.86</v>
      </c>
      <c r="V53">
        <f>VLOOKUP($B53,[9]分省年度数据!$A$1:$IV$65536,13,FALSE)</f>
        <v>59.86</v>
      </c>
      <c r="W53">
        <f>VLOOKUP($B53,[10]分省年度数据!$A$1:$IV$65536,13,FALSE)</f>
        <v>16.12</v>
      </c>
      <c r="X53">
        <f>VLOOKUP($B53,[11]分省年度数据!$A$1:$IV$65536,13,FALSE)</f>
        <v>14.54</v>
      </c>
      <c r="Y53">
        <f>VLOOKUP($B53,[12]分省年度数据!$A$1:$IV$65536,13,FALSE)</f>
        <v>14.68</v>
      </c>
      <c r="AA53" t="str">
        <f>VLOOKUP($B53,[13]分省年度数据!$A$1:$IV$65536,13,FALSE)</f>
        <v/>
      </c>
      <c r="AB53">
        <f>VLOOKUP($B53,[14]分省年度数据!$A$1:$IV$65536,13,FALSE)</f>
        <v>158.79</v>
      </c>
      <c r="AC53">
        <f>VLOOKUP($B53,[16]分省年度数据!$A$1:$IT$65532,13,FALSE)</f>
        <v>4</v>
      </c>
      <c r="AD53">
        <f>VLOOKUP($B53,[17]分省年度数据!$A$1:$IS$65525,13,FALSE)</f>
        <v>950.2</v>
      </c>
      <c r="AE53">
        <f>IFERROR(AC53/E53,0)</f>
        <v>4.3956043956043956E-3</v>
      </c>
      <c r="AF53">
        <f>IFERROR(AD53/E53,0)</f>
        <v>1.0441758241758243</v>
      </c>
      <c r="AG53">
        <f>VLOOKUP($B53,[15]分省年度数据!$A$1:$IV$65536,13,FALSE)</f>
        <v>1752</v>
      </c>
      <c r="AH53">
        <f>VLOOKUP(B53,[4]分省年度数据!$A$1:$IV$65536,13,FALSE)</f>
        <v>5600</v>
      </c>
      <c r="AI53">
        <f>VLOOKUP(B53,[3]分省年度数据!$A$1:$IV$65536,13,FALSE)</f>
        <v>237.16</v>
      </c>
      <c r="AJ53">
        <f>VLOOKUP($B53,[18]分省年度数据!$A$1:$IS$65529,13,FALSE)</f>
        <v>97.74</v>
      </c>
      <c r="AK53">
        <f>VLOOKUP($B53,[19]分省年度数据!$A$1:$IS$65529,13,FALSE)</f>
        <v>92.15</v>
      </c>
      <c r="AL53">
        <f>VLOOKUP($B53,[20]分省年度数据!$A$1:$IS$65528,13,FALSE)</f>
        <v>11.6</v>
      </c>
      <c r="AM53">
        <f>VLOOKUP($B53,[21]分省年度数据!$A$1:$IS$65528,13,FALSE)</f>
        <v>1.92</v>
      </c>
      <c r="AN53">
        <f>VLOOKUP($B53,[22]分省年度数据!$A$1:$IS$65529,13,FALSE)</f>
        <v>12.01</v>
      </c>
    </row>
    <row r="54" spans="1:40">
      <c r="A54">
        <v>50</v>
      </c>
      <c r="B54" t="s">
        <v>22</v>
      </c>
      <c r="C54">
        <v>2012</v>
      </c>
      <c r="D54" t="s">
        <v>36</v>
      </c>
      <c r="E54">
        <f>VLOOKUP(B54,[1]分省年度数据!$A$1:$IV$65536,13,FALSE)</f>
        <v>2975</v>
      </c>
      <c r="F54" s="4">
        <v>14924</v>
      </c>
      <c r="G54" s="2">
        <f>VLOOKUP(B54,[2]分省年度数据!$A$1:$IV$65536,13,FALSE)</f>
        <v>795.4</v>
      </c>
      <c r="H54" s="2">
        <f t="shared" si="1"/>
        <v>0.26736134453781513</v>
      </c>
      <c r="N54">
        <v>5519</v>
      </c>
      <c r="O54">
        <f>N54/F54</f>
        <v>0.36980702224604661</v>
      </c>
      <c r="Q54" t="s">
        <v>55</v>
      </c>
      <c r="R54">
        <f>VLOOKUP(B54,[5]分省年度数据!$A$1:$O$65536,13,FALSE)</f>
        <v>17961</v>
      </c>
      <c r="S54">
        <f>VLOOKUP($B54,[6]分省年度数据!$A$1:$IV$65536,13,FALSE)</f>
        <v>13.08</v>
      </c>
      <c r="T54">
        <f>VLOOKUP($B54,[7]分省年度数据!$A$1:$IV$65536,13,FALSE)</f>
        <v>45</v>
      </c>
      <c r="U54">
        <f>VLOOKUP($B54,[8]分省年度数据!$A$1:$IV$65536,13,FALSE)</f>
        <v>10.52</v>
      </c>
      <c r="V54">
        <f>VLOOKUP($B54,[9]分省年度数据!$A$1:$IV$65536,13,FALSE)</f>
        <v>167.43</v>
      </c>
      <c r="W54">
        <f>VLOOKUP($B54,[10]分省年度数据!$A$1:$IV$65536,13,FALSE)</f>
        <v>18.13</v>
      </c>
      <c r="X54">
        <f>VLOOKUP($B54,[11]分省年度数据!$A$1:$IV$65536,13,FALSE)</f>
        <v>14.29</v>
      </c>
      <c r="Y54">
        <f>VLOOKUP($B54,[12]分省年度数据!$A$1:$IV$65536,13,FALSE)</f>
        <v>17.04</v>
      </c>
      <c r="AA54" t="str">
        <f>VLOOKUP($B54,[13]分省年度数据!$A$1:$IV$65536,13,FALSE)</f>
        <v/>
      </c>
      <c r="AB54">
        <f>VLOOKUP($B54,[14]分省年度数据!$A$1:$IV$65536,13,FALSE)</f>
        <v>471.49</v>
      </c>
      <c r="AC54">
        <f>VLOOKUP($B54,[16]分省年度数据!$A$1:$IT$65532,13,FALSE)</f>
        <v>2179</v>
      </c>
      <c r="AD54">
        <f>VLOOKUP($B54,[17]分省年度数据!$A$1:$IS$65525,13,FALSE)</f>
        <v>4403</v>
      </c>
      <c r="AE54">
        <f>IFERROR(AC54/E54,0)</f>
        <v>0.73243697478991598</v>
      </c>
      <c r="AF54">
        <f>IFERROR(AD54/E54,0)</f>
        <v>1.48</v>
      </c>
      <c r="AG54">
        <f>VLOOKUP($B54,[15]分省年度数据!$A$1:$IV$65536,13,FALSE)</f>
        <v>5791</v>
      </c>
      <c r="AH54">
        <f>VLOOKUP(B54,[4]分省年度数据!$A$1:$IV$65536,13,FALSE)</f>
        <v>8828</v>
      </c>
      <c r="AI54">
        <f>VLOOKUP(B54,[3]分省年度数据!$A$1:$IV$65536,13,FALSE)</f>
        <v>148.75</v>
      </c>
      <c r="AJ54">
        <f>VLOOKUP($B54,[18]分省年度数据!$A$1:$IS$65529,13,FALSE)</f>
        <v>93.84</v>
      </c>
      <c r="AK54">
        <f>VLOOKUP($B54,[19]分省年度数据!$A$1:$IS$65529,13,FALSE)</f>
        <v>93.32</v>
      </c>
      <c r="AL54">
        <f>VLOOKUP($B54,[20]分省年度数据!$A$1:$IS$65528,13,FALSE)</f>
        <v>9</v>
      </c>
      <c r="AM54">
        <f>VLOOKUP($B54,[21]分省年度数据!$A$1:$IS$65528,13,FALSE)</f>
        <v>1.78</v>
      </c>
      <c r="AN54">
        <f>VLOOKUP($B54,[22]分省年度数据!$A$1:$IS$65529,13,FALSE)</f>
        <v>18.13</v>
      </c>
    </row>
    <row r="55" spans="1:40">
      <c r="A55">
        <v>51</v>
      </c>
      <c r="B55" t="s">
        <v>23</v>
      </c>
      <c r="C55">
        <v>2012</v>
      </c>
      <c r="D55" t="s">
        <v>36</v>
      </c>
      <c r="E55">
        <f>VLOOKUP(B55,[1]分省年度数据!$A$1:$IV$65536,13,FALSE)</f>
        <v>8085</v>
      </c>
      <c r="F55" s="4">
        <v>12753</v>
      </c>
      <c r="G55" s="2">
        <f>VLOOKUP(B55,[2]分省年度数据!$A$1:$IV$65536,13,FALSE)</f>
        <v>3655.1</v>
      </c>
      <c r="H55" s="2">
        <f t="shared" si="1"/>
        <v>0.45208410636982066</v>
      </c>
      <c r="N55">
        <v>4745.6783333333333</v>
      </c>
      <c r="O55">
        <f>N55/F55</f>
        <v>0.37212250712250711</v>
      </c>
      <c r="Q55" t="s">
        <v>55</v>
      </c>
      <c r="R55">
        <f>VLOOKUP(B55,[5]分省年度数据!$A$1:$O$65536,13,FALSE)</f>
        <v>76557</v>
      </c>
      <c r="S55">
        <f>VLOOKUP($B55,[6]分省年度数据!$A$1:$IV$65536,13,FALSE)</f>
        <v>39.01</v>
      </c>
      <c r="T55">
        <f>VLOOKUP($B55,[7]分省年度数据!$A$1:$IV$65536,13,FALSE)</f>
        <v>48</v>
      </c>
      <c r="U55">
        <f>VLOOKUP($B55,[8]分省年度数据!$A$1:$IV$65536,13,FALSE)</f>
        <v>10.35</v>
      </c>
      <c r="V55">
        <f>VLOOKUP($B55,[9]分省年度数据!$A$1:$IV$65536,13,FALSE)</f>
        <v>424.26</v>
      </c>
      <c r="W55">
        <f>VLOOKUP($B55,[10]分省年度数据!$A$1:$IV$65536,13,FALSE)</f>
        <v>17.54</v>
      </c>
      <c r="X55">
        <f>VLOOKUP($B55,[11]分省年度数据!$A$1:$IV$65536,13,FALSE)</f>
        <v>14.92</v>
      </c>
      <c r="Y55">
        <f>VLOOKUP($B55,[12]分省年度数据!$A$1:$IV$65536,13,FALSE)</f>
        <v>18.39</v>
      </c>
      <c r="AA55" t="str">
        <f>VLOOKUP($B55,[13]分省年度数据!$A$1:$IV$65536,13,FALSE)</f>
        <v/>
      </c>
      <c r="AB55">
        <f>VLOOKUP($B55,[14]分省年度数据!$A$1:$IV$65536,13,FALSE)</f>
        <v>993.2</v>
      </c>
      <c r="AC55">
        <f>VLOOKUP($B55,[16]分省年度数据!$A$1:$IT$65532,13,FALSE)</f>
        <v>590</v>
      </c>
      <c r="AD55">
        <f>VLOOKUP($B55,[17]分省年度数据!$A$1:$IS$65525,13,FALSE)</f>
        <v>9622</v>
      </c>
      <c r="AE55">
        <f>IFERROR(AC55/E55,0)</f>
        <v>7.2974644403215827E-2</v>
      </c>
      <c r="AF55">
        <f>IFERROR(AD55/E55,0)</f>
        <v>1.1901051329622758</v>
      </c>
      <c r="AG55">
        <f>VLOOKUP($B55,[15]分省年度数据!$A$1:$IV$65536,13,FALSE)</f>
        <v>10024</v>
      </c>
      <c r="AH55">
        <f>VLOOKUP(B55,[4]分省年度数据!$A$1:$IV$65536,13,FALSE)</f>
        <v>19140</v>
      </c>
      <c r="AI55">
        <f>VLOOKUP(B55,[3]分省年度数据!$A$1:$IV$65536,13,FALSE)</f>
        <v>195.58</v>
      </c>
      <c r="AJ55">
        <f>VLOOKUP($B55,[18]分省年度数据!$A$1:$IS$65529,13,FALSE)</f>
        <v>92.04</v>
      </c>
      <c r="AK55">
        <f>VLOOKUP($B55,[19]分省年度数据!$A$1:$IS$65529,13,FALSE)</f>
        <v>87.96</v>
      </c>
      <c r="AL55">
        <f>VLOOKUP($B55,[20]分省年度数据!$A$1:$IS$65528,13,FALSE)</f>
        <v>13.34</v>
      </c>
      <c r="AM55">
        <f>VLOOKUP($B55,[21]分省年度数据!$A$1:$IS$65528,13,FALSE)</f>
        <v>2.89</v>
      </c>
      <c r="AN55">
        <f>VLOOKUP($B55,[22]分省年度数据!$A$1:$IS$65529,13,FALSE)</f>
        <v>10.79</v>
      </c>
    </row>
    <row r="56" spans="1:40">
      <c r="A56">
        <v>52</v>
      </c>
      <c r="B56" t="s">
        <v>24</v>
      </c>
      <c r="C56">
        <v>2012</v>
      </c>
      <c r="D56" t="s">
        <v>36</v>
      </c>
      <c r="E56">
        <f>VLOOKUP(B56,[1]分省年度数据!$A$1:$IV$65536,13,FALSE)</f>
        <v>3587</v>
      </c>
      <c r="F56" s="4">
        <v>9850</v>
      </c>
      <c r="G56" s="2">
        <f>VLOOKUP(B56,[2]分省年度数据!$A$1:$IV$65536,13,FALSE)</f>
        <v>1194.8</v>
      </c>
      <c r="H56" s="2">
        <f t="shared" si="1"/>
        <v>0.33309172010036242</v>
      </c>
      <c r="N56">
        <v>4263.2749999999996</v>
      </c>
      <c r="O56">
        <f>N56/F56</f>
        <v>0.43281979695431466</v>
      </c>
      <c r="Q56" t="s">
        <v>55</v>
      </c>
      <c r="R56">
        <f>VLOOKUP(B56,[5]分省年度数据!$A$1:$O$65536,13,FALSE)</f>
        <v>27404</v>
      </c>
      <c r="S56">
        <f>VLOOKUP($B56,[6]分省年度数据!$A$1:$IV$65536,13,FALSE)</f>
        <v>13.92</v>
      </c>
      <c r="T56">
        <f>VLOOKUP($B56,[7]分省年度数据!$A$1:$IV$65536,13,FALSE)</f>
        <v>37</v>
      </c>
      <c r="U56">
        <f>VLOOKUP($B56,[8]分省年度数据!$A$1:$IV$65536,13,FALSE)</f>
        <v>8.8699999999999992</v>
      </c>
      <c r="V56">
        <f>VLOOKUP($B56,[9]分省年度数据!$A$1:$IV$65536,13,FALSE)</f>
        <v>201.05</v>
      </c>
      <c r="W56">
        <f>VLOOKUP($B56,[10]分省年度数据!$A$1:$IV$65536,13,FALSE)</f>
        <v>18.59</v>
      </c>
      <c r="X56">
        <f>VLOOKUP($B56,[11]分省年度数据!$A$1:$IV$65536,13,FALSE)</f>
        <v>18.309999999999999</v>
      </c>
      <c r="Y56">
        <f>VLOOKUP($B56,[12]分省年度数据!$A$1:$IV$65536,13,FALSE)</f>
        <v>19.2</v>
      </c>
      <c r="AA56" t="str">
        <f>VLOOKUP($B56,[13]分省年度数据!$A$1:$IV$65536,13,FALSE)</f>
        <v/>
      </c>
      <c r="AB56">
        <f>VLOOKUP($B56,[14]分省年度数据!$A$1:$IV$65536,13,FALSE)</f>
        <v>500.51</v>
      </c>
      <c r="AC56">
        <f>VLOOKUP($B56,[16]分省年度数据!$A$1:$IT$65532,13,FALSE)</f>
        <v>20</v>
      </c>
      <c r="AD56">
        <f>VLOOKUP($B56,[17]分省年度数据!$A$1:$IS$65525,13,FALSE)</f>
        <v>2266.3000000000002</v>
      </c>
      <c r="AE56">
        <f>IFERROR(AC56/E56,0)</f>
        <v>5.5756899916364648E-3</v>
      </c>
      <c r="AF56">
        <f>IFERROR(AD56/E56,0)</f>
        <v>0.63180931140228613</v>
      </c>
      <c r="AG56">
        <f>VLOOKUP($B56,[15]分省年度数据!$A$1:$IV$65536,13,FALSE)</f>
        <v>1360</v>
      </c>
      <c r="AH56">
        <f>VLOOKUP(B56,[4]分省年度数据!$A$1:$IV$65536,13,FALSE)</f>
        <v>5305</v>
      </c>
      <c r="AI56">
        <f>VLOOKUP(B56,[3]分省年度数据!$A$1:$IV$65536,13,FALSE)</f>
        <v>144.88</v>
      </c>
      <c r="AJ56">
        <f>VLOOKUP($B56,[18]分省年度数据!$A$1:$IS$65529,13,FALSE)</f>
        <v>92.07</v>
      </c>
      <c r="AK56">
        <f>VLOOKUP($B56,[19]分省年度数据!$A$1:$IS$65529,13,FALSE)</f>
        <v>71.349999999999994</v>
      </c>
      <c r="AL56">
        <f>VLOOKUP($B56,[20]分省年度数据!$A$1:$IS$65528,13,FALSE)</f>
        <v>8.8000000000000007</v>
      </c>
      <c r="AM56">
        <f>VLOOKUP($B56,[21]分省年度数据!$A$1:$IS$65528,13,FALSE)</f>
        <v>2.09</v>
      </c>
      <c r="AN56">
        <f>VLOOKUP($B56,[22]分省年度数据!$A$1:$IS$65529,13,FALSE)</f>
        <v>9.3800000000000008</v>
      </c>
    </row>
    <row r="57" spans="1:40">
      <c r="A57">
        <v>53</v>
      </c>
      <c r="B57" t="s">
        <v>25</v>
      </c>
      <c r="C57">
        <v>2012</v>
      </c>
      <c r="D57" t="s">
        <v>36</v>
      </c>
      <c r="E57">
        <f>VLOOKUP(B57,[1]分省年度数据!$A$1:$IV$65536,13,FALSE)</f>
        <v>4631</v>
      </c>
      <c r="F57" s="4">
        <v>11233</v>
      </c>
      <c r="G57" s="2">
        <f>VLOOKUP(B57,[2]分省年度数据!$A$1:$IV$65536,13,FALSE)</f>
        <v>1760</v>
      </c>
      <c r="H57" s="2">
        <f t="shared" si="1"/>
        <v>0.38004750593824227</v>
      </c>
      <c r="N57">
        <v>4064.65</v>
      </c>
      <c r="O57">
        <f>N57/F57</f>
        <v>0.36184901629128463</v>
      </c>
      <c r="Q57" t="s">
        <v>55</v>
      </c>
      <c r="R57">
        <f>VLOOKUP(B57,[5]分省年度数据!$A$1:$O$65536,13,FALSE)</f>
        <v>23395</v>
      </c>
      <c r="S57">
        <f>VLOOKUP($B57,[6]分省年度数据!$A$1:$IV$65536,13,FALSE)</f>
        <v>19.47</v>
      </c>
      <c r="T57">
        <f>VLOOKUP($B57,[7]分省年度数据!$A$1:$IV$65536,13,FALSE)</f>
        <v>36</v>
      </c>
      <c r="U57">
        <f>VLOOKUP($B57,[8]分省年度数据!$A$1:$IV$65536,13,FALSE)</f>
        <v>9.66</v>
      </c>
      <c r="V57">
        <f>VLOOKUP($B57,[9]分省年度数据!$A$1:$IV$65536,13,FALSE)</f>
        <v>266.94</v>
      </c>
      <c r="W57">
        <f>VLOOKUP($B57,[10]分省年度数据!$A$1:$IV$65536,13,FALSE)</f>
        <v>15.6</v>
      </c>
      <c r="X57">
        <f>VLOOKUP($B57,[11]分省年度数据!$A$1:$IV$65536,13,FALSE)</f>
        <v>16.18</v>
      </c>
      <c r="Y57">
        <f>VLOOKUP($B57,[12]分省年度数据!$A$1:$IV$65536,13,FALSE)</f>
        <v>17.399999999999999</v>
      </c>
      <c r="AA57" t="str">
        <f>VLOOKUP($B57,[13]分省年度数据!$A$1:$IV$65536,13,FALSE)</f>
        <v/>
      </c>
      <c r="AB57">
        <f>VLOOKUP($B57,[14]分省年度数据!$A$1:$IV$65536,13,FALSE)</f>
        <v>674.82</v>
      </c>
      <c r="AC57">
        <f>VLOOKUP($B57,[16]分省年度数据!$A$1:$IT$65532,13,FALSE)</f>
        <v>214</v>
      </c>
      <c r="AD57">
        <f>VLOOKUP($B57,[17]分省年度数据!$A$1:$IS$65525,13,FALSE)</f>
        <v>3597.9</v>
      </c>
      <c r="AE57">
        <f>IFERROR(AC57/E57,0)</f>
        <v>4.6210321744763548E-2</v>
      </c>
      <c r="AF57">
        <f>IFERROR(AD57/E57,0)</f>
        <v>0.77691643273591016</v>
      </c>
      <c r="AG57">
        <f>VLOOKUP($B57,[15]分省年度数据!$A$1:$IV$65536,13,FALSE)</f>
        <v>3941</v>
      </c>
      <c r="AH57">
        <f>VLOOKUP(B57,[4]分省年度数据!$A$1:$IV$65536,13,FALSE)</f>
        <v>16329</v>
      </c>
      <c r="AI57">
        <f>VLOOKUP(B57,[3]分省年度数据!$A$1:$IV$65536,13,FALSE)</f>
        <v>118.29</v>
      </c>
      <c r="AJ57">
        <f>VLOOKUP($B57,[18]分省年度数据!$A$1:$IS$65529,13,FALSE)</f>
        <v>94.32</v>
      </c>
      <c r="AK57">
        <f>VLOOKUP($B57,[19]分省年度数据!$A$1:$IS$65529,13,FALSE)</f>
        <v>66.459999999999994</v>
      </c>
      <c r="AL57">
        <f>VLOOKUP($B57,[20]分省年度数据!$A$1:$IS$65528,13,FALSE)</f>
        <v>10.25</v>
      </c>
      <c r="AM57">
        <f>VLOOKUP($B57,[21]分省年度数据!$A$1:$IS$65528,13,FALSE)</f>
        <v>2.79</v>
      </c>
      <c r="AN57">
        <f>VLOOKUP($B57,[22]分省年度数据!$A$1:$IS$65529,13,FALSE)</f>
        <v>10.43</v>
      </c>
    </row>
    <row r="58" spans="1:40">
      <c r="A58">
        <v>54</v>
      </c>
      <c r="B58" t="s">
        <v>26</v>
      </c>
      <c r="C58">
        <v>2012</v>
      </c>
      <c r="D58" t="s">
        <v>36</v>
      </c>
      <c r="E58">
        <f>VLOOKUP(B58,[1]分省年度数据!$A$1:$IV$65536,13,FALSE)</f>
        <v>315</v>
      </c>
      <c r="F58" s="4">
        <v>8568</v>
      </c>
      <c r="G58" s="2">
        <f>VLOOKUP(B58,[2]分省年度数据!$A$1:$IV$65536,13,FALSE)</f>
        <v>49</v>
      </c>
      <c r="H58" s="2">
        <f t="shared" si="1"/>
        <v>0.15555555555555556</v>
      </c>
      <c r="N58">
        <v>3779.57</v>
      </c>
      <c r="O58">
        <f>N58/F58</f>
        <v>0.44112628384687208</v>
      </c>
      <c r="Q58" t="s">
        <v>75</v>
      </c>
      <c r="R58">
        <f>VLOOKUP(B58,[5]分省年度数据!$A$1:$O$65536,13,FALSE)</f>
        <v>6660</v>
      </c>
      <c r="S58">
        <f>VLOOKUP($B58,[6]分省年度数据!$A$1:$IV$65536,13,FALSE)</f>
        <v>0.84</v>
      </c>
      <c r="T58">
        <f>VLOOKUP($B58,[7]分省年度数据!$A$1:$IV$65536,13,FALSE)</f>
        <v>30</v>
      </c>
      <c r="U58">
        <f>VLOOKUP($B58,[8]分省年度数据!$A$1:$IV$65536,13,FALSE)</f>
        <v>11.06</v>
      </c>
      <c r="V58">
        <f>VLOOKUP($B58,[9]分省年度数据!$A$1:$IV$65536,13,FALSE)</f>
        <v>36.119999999999997</v>
      </c>
      <c r="W58">
        <f>VLOOKUP($B58,[10]分省年度数据!$A$1:$IV$65536,13,FALSE)</f>
        <v>13.07</v>
      </c>
      <c r="X58">
        <f>VLOOKUP($B58,[11]分省年度数据!$A$1:$IV$65536,13,FALSE)</f>
        <v>14.5</v>
      </c>
      <c r="Y58">
        <f>VLOOKUP($B58,[12]分省年度数据!$A$1:$IV$65536,13,FALSE)</f>
        <v>15.49</v>
      </c>
      <c r="AA58" t="str">
        <f>VLOOKUP($B58,[13]分省年度数据!$A$1:$IV$65536,13,FALSE)</f>
        <v/>
      </c>
      <c r="AB58">
        <f>VLOOKUP($B58,[14]分省年度数据!$A$1:$IV$65536,13,FALSE)</f>
        <v>94.48</v>
      </c>
      <c r="AC58">
        <f>VLOOKUP($B58,[16]分省年度数据!$A$1:$IT$65532,13,FALSE)</f>
        <v>3</v>
      </c>
      <c r="AD58">
        <f>VLOOKUP($B58,[17]分省年度数据!$A$1:$IS$65525,13,FALSE)</f>
        <v>277.89999999999998</v>
      </c>
      <c r="AE58">
        <f>IFERROR(AC58/E58,0)</f>
        <v>9.5238095238095247E-3</v>
      </c>
      <c r="AF58">
        <f>IFERROR(AD58/E58,0)</f>
        <v>0.88222222222222213</v>
      </c>
      <c r="AG58">
        <f>VLOOKUP($B58,[15]分省年度数据!$A$1:$IV$65536,13,FALSE)</f>
        <v>725</v>
      </c>
      <c r="AH58">
        <f>VLOOKUP(B58,[4]分省年度数据!$A$1:$IV$65536,13,FALSE)</f>
        <v>834</v>
      </c>
      <c r="AI58">
        <f>VLOOKUP(B58,[3]分省年度数据!$A$1:$IV$65536,13,FALSE)</f>
        <v>127.69</v>
      </c>
      <c r="AJ58">
        <f>VLOOKUP($B58,[18]分省年度数据!$A$1:$IS$65529,13,FALSE)</f>
        <v>75.39</v>
      </c>
      <c r="AK58">
        <f>VLOOKUP($B58,[19]分省年度数据!$A$1:$IS$65529,13,FALSE)</f>
        <v>29.79</v>
      </c>
      <c r="AL58">
        <f>VLOOKUP($B58,[20]分省年度数据!$A$1:$IS$65528,13,FALSE)</f>
        <v>8.59</v>
      </c>
      <c r="AM58">
        <f>VLOOKUP($B58,[21]分省年度数据!$A$1:$IS$65528,13,FALSE)</f>
        <v>0.77</v>
      </c>
      <c r="AN58">
        <f>VLOOKUP($B58,[22]分省年度数据!$A$1:$IS$65529,13,FALSE)</f>
        <v>9.4</v>
      </c>
    </row>
    <row r="59" spans="1:40">
      <c r="A59">
        <v>61</v>
      </c>
      <c r="B59" t="s">
        <v>27</v>
      </c>
      <c r="C59">
        <v>2012</v>
      </c>
      <c r="D59" t="s">
        <v>37</v>
      </c>
      <c r="E59">
        <f>VLOOKUP(B59,[1]分省年度数据!$A$1:$IV$65536,13,FALSE)</f>
        <v>3787</v>
      </c>
      <c r="F59" s="4">
        <v>12885</v>
      </c>
      <c r="G59" s="2">
        <f>VLOOKUP(B59,[2]分省年度数据!$A$1:$IV$65536,13,FALSE)</f>
        <v>733.2</v>
      </c>
      <c r="H59" s="2">
        <f t="shared" si="1"/>
        <v>0.19360971745444944</v>
      </c>
      <c r="N59">
        <v>3786.9180000000001</v>
      </c>
      <c r="O59">
        <f>N59/F59</f>
        <v>0.29390128055878928</v>
      </c>
      <c r="Q59" t="s">
        <v>62</v>
      </c>
      <c r="R59">
        <f>VLOOKUP(B59,[5]分省年度数据!$A$1:$O$65536,13,FALSE)</f>
        <v>36271</v>
      </c>
      <c r="S59">
        <f>VLOOKUP($B59,[6]分省年度数据!$A$1:$IV$65536,13,FALSE)</f>
        <v>16.920000000000002</v>
      </c>
      <c r="T59">
        <f>VLOOKUP($B59,[7]分省年度数据!$A$1:$IV$65536,13,FALSE)</f>
        <v>58</v>
      </c>
      <c r="U59">
        <f>VLOOKUP($B59,[8]分省年度数据!$A$1:$IV$65536,13,FALSE)</f>
        <v>10.15</v>
      </c>
      <c r="V59">
        <f>VLOOKUP($B59,[9]分省年度数据!$A$1:$IV$65536,13,FALSE)</f>
        <v>222.3</v>
      </c>
      <c r="W59">
        <f>VLOOKUP($B59,[10]分省年度数据!$A$1:$IV$65536,13,FALSE)</f>
        <v>16.75</v>
      </c>
      <c r="X59">
        <f>VLOOKUP($B59,[11]分省年度数据!$A$1:$IV$65536,13,FALSE)</f>
        <v>11.68</v>
      </c>
      <c r="Y59">
        <f>VLOOKUP($B59,[12]分省年度数据!$A$1:$IV$65536,13,FALSE)</f>
        <v>14.06</v>
      </c>
      <c r="AA59" t="str">
        <f>VLOOKUP($B59,[13]分省年度数据!$A$1:$IV$65536,13,FALSE)</f>
        <v/>
      </c>
      <c r="AB59">
        <f>VLOOKUP($B59,[14]分省年度数据!$A$1:$IV$65536,13,FALSE)</f>
        <v>703.34</v>
      </c>
      <c r="AC59">
        <f>VLOOKUP($B59,[16]分省年度数据!$A$1:$IT$65532,13,FALSE)</f>
        <v>162</v>
      </c>
      <c r="AD59">
        <f>VLOOKUP($B59,[17]分省年度数据!$A$1:$IS$65525,13,FALSE)</f>
        <v>4581.6000000000004</v>
      </c>
      <c r="AE59">
        <f>IFERROR(AC59/E59,0)</f>
        <v>4.2777924478479008E-2</v>
      </c>
      <c r="AF59">
        <f>IFERROR(AD59/E59,0)</f>
        <v>1.2098230789543174</v>
      </c>
      <c r="AG59">
        <f>VLOOKUP($B59,[15]分省年度数据!$A$1:$IV$65536,13,FALSE)</f>
        <v>5996</v>
      </c>
      <c r="AH59">
        <f>VLOOKUP(B59,[4]分省年度数据!$A$1:$IV$65536,13,FALSE)</f>
        <v>9187</v>
      </c>
      <c r="AI59">
        <f>VLOOKUP(B59,[3]分省年度数据!$A$1:$IV$65536,13,FALSE)</f>
        <v>174.72</v>
      </c>
      <c r="AJ59">
        <f>VLOOKUP($B59,[18]分省年度数据!$A$1:$IS$65529,13,FALSE)</f>
        <v>96.15</v>
      </c>
      <c r="AK59">
        <f>VLOOKUP($B59,[19]分省年度数据!$A$1:$IS$65529,13,FALSE)</f>
        <v>94.11</v>
      </c>
      <c r="AL59">
        <f>VLOOKUP($B59,[20]分省年度数据!$A$1:$IS$65528,13,FALSE)</f>
        <v>15.58</v>
      </c>
      <c r="AM59">
        <f>VLOOKUP($B59,[21]分省年度数据!$A$1:$IS$65528,13,FALSE)</f>
        <v>3.48</v>
      </c>
      <c r="AN59">
        <f>VLOOKUP($B59,[22]分省年度数据!$A$1:$IS$65529,13,FALSE)</f>
        <v>11.58</v>
      </c>
    </row>
    <row r="60" spans="1:40">
      <c r="A60">
        <v>62</v>
      </c>
      <c r="B60" t="s">
        <v>28</v>
      </c>
      <c r="C60">
        <v>2012</v>
      </c>
      <c r="D60" t="s">
        <v>37</v>
      </c>
      <c r="E60">
        <f>VLOOKUP(B60,[1]分省年度数据!$A$1:$IV$65536,13,FALSE)</f>
        <v>2550</v>
      </c>
      <c r="F60" s="4">
        <v>9768</v>
      </c>
      <c r="G60" s="2">
        <f>VLOOKUP(B60,[2]分省年度数据!$A$1:$IV$65536,13,FALSE)</f>
        <v>1185.2</v>
      </c>
      <c r="H60" s="2">
        <f t="shared" si="1"/>
        <v>0.46478431372549023</v>
      </c>
      <c r="N60">
        <v>3688.1566666666658</v>
      </c>
      <c r="O60">
        <f>N60/F60</f>
        <v>0.37757541632541625</v>
      </c>
      <c r="Q60" t="s">
        <v>61</v>
      </c>
      <c r="R60">
        <f>VLOOKUP(B60,[5]分省年度数据!$A$1:$O$65536,13,FALSE)</f>
        <v>26401</v>
      </c>
      <c r="S60">
        <f>VLOOKUP($B60,[6]分省年度数据!$A$1:$IV$65536,13,FALSE)</f>
        <v>11.23</v>
      </c>
      <c r="T60">
        <f>VLOOKUP($B60,[7]分省年度数据!$A$1:$IV$65536,13,FALSE)</f>
        <v>43</v>
      </c>
      <c r="U60">
        <f>VLOOKUP($B60,[8]分省年度数据!$A$1:$IV$65536,13,FALSE)</f>
        <v>10.1</v>
      </c>
      <c r="V60">
        <f>VLOOKUP($B60,[9]分省年度数据!$A$1:$IV$65536,13,FALSE)</f>
        <v>148.21</v>
      </c>
      <c r="W60">
        <f>VLOOKUP($B60,[10]分省年度数据!$A$1:$IV$65536,13,FALSE)</f>
        <v>16.43</v>
      </c>
      <c r="X60">
        <f>VLOOKUP($B60,[11]分省年度数据!$A$1:$IV$65536,13,FALSE)</f>
        <v>13.99</v>
      </c>
      <c r="Y60">
        <f>VLOOKUP($B60,[12]分省年度数据!$A$1:$IV$65536,13,FALSE)</f>
        <v>14.71</v>
      </c>
      <c r="AA60" t="str">
        <f>VLOOKUP($B60,[13]分省年度数据!$A$1:$IV$65536,13,FALSE)</f>
        <v/>
      </c>
      <c r="AB60">
        <f>VLOOKUP($B60,[14]分省年度数据!$A$1:$IV$65536,13,FALSE)</f>
        <v>367.92</v>
      </c>
      <c r="AC60">
        <f>VLOOKUP($B60,[16]分省年度数据!$A$1:$IT$65532,13,FALSE)</f>
        <v>33</v>
      </c>
      <c r="AD60">
        <f>VLOOKUP($B60,[17]分省年度数据!$A$1:$IS$65525,13,FALSE)</f>
        <v>2064.4</v>
      </c>
      <c r="AE60">
        <f>IFERROR(AC60/E60,0)</f>
        <v>1.2941176470588235E-2</v>
      </c>
      <c r="AF60">
        <f>IFERROR(AD60/E60,0)</f>
        <v>0.80956862745098046</v>
      </c>
      <c r="AG60">
        <f>VLOOKUP($B60,[15]分省年度数据!$A$1:$IV$65536,13,FALSE)</f>
        <v>2954</v>
      </c>
      <c r="AH60">
        <f>VLOOKUP(B60,[4]分省年度数据!$A$1:$IV$65536,13,FALSE)</f>
        <v>4907</v>
      </c>
      <c r="AI60">
        <f>VLOOKUP(B60,[3]分省年度数据!$A$1:$IV$65536,13,FALSE)</f>
        <v>144.02000000000001</v>
      </c>
      <c r="AJ60">
        <f>VLOOKUP($B60,[18]分省年度数据!$A$1:$IS$65529,13,FALSE)</f>
        <v>92.77</v>
      </c>
      <c r="AK60">
        <f>VLOOKUP($B60,[19]分省年度数据!$A$1:$IS$65529,13,FALSE)</f>
        <v>77.81</v>
      </c>
      <c r="AL60">
        <f>VLOOKUP($B60,[20]分省年度数据!$A$1:$IS$65528,13,FALSE)</f>
        <v>10.039999999999999</v>
      </c>
      <c r="AM60">
        <f>VLOOKUP($B60,[21]分省年度数据!$A$1:$IS$65528,13,FALSE)</f>
        <v>2.36</v>
      </c>
      <c r="AN60">
        <f>VLOOKUP($B60,[22]分省年度数据!$A$1:$IS$65529,13,FALSE)</f>
        <v>9.52</v>
      </c>
    </row>
    <row r="61" spans="1:40">
      <c r="A61">
        <v>63</v>
      </c>
      <c r="B61" t="s">
        <v>29</v>
      </c>
      <c r="C61">
        <v>2012</v>
      </c>
      <c r="D61" t="s">
        <v>37</v>
      </c>
      <c r="E61">
        <f>VLOOKUP(B61,[1]分省年度数据!$A$1:$IV$65536,13,FALSE)</f>
        <v>571</v>
      </c>
      <c r="F61" s="4">
        <v>11470</v>
      </c>
      <c r="G61" s="2">
        <f>VLOOKUP(B61,[2]分省年度数据!$A$1:$IV$65536,13,FALSE)</f>
        <v>172.7</v>
      </c>
      <c r="H61" s="2">
        <f t="shared" si="1"/>
        <v>0.30245183887915933</v>
      </c>
      <c r="N61">
        <v>5753.33</v>
      </c>
      <c r="O61">
        <f>N61/F61</f>
        <v>0.50159808195292066</v>
      </c>
      <c r="Q61" t="s">
        <v>62</v>
      </c>
      <c r="R61">
        <f>VLOOKUP(B61,[5]分省年度数据!$A$1:$O$65536,13,FALSE)</f>
        <v>5948</v>
      </c>
      <c r="S61">
        <f>VLOOKUP($B61,[6]分省年度数据!$A$1:$IV$65536,13,FALSE)</f>
        <v>2.6</v>
      </c>
      <c r="T61">
        <f>VLOOKUP($B61,[7]分省年度数据!$A$1:$IV$65536,13,FALSE)</f>
        <v>51</v>
      </c>
      <c r="U61">
        <f>VLOOKUP($B61,[8]分省年度数据!$A$1:$IV$65536,13,FALSE)</f>
        <v>10.81</v>
      </c>
      <c r="V61">
        <f>VLOOKUP($B61,[9]分省年度数据!$A$1:$IV$65536,13,FALSE)</f>
        <v>60.11</v>
      </c>
      <c r="W61">
        <f>VLOOKUP($B61,[10]分省年度数据!$A$1:$IV$65536,13,FALSE)</f>
        <v>13.8</v>
      </c>
      <c r="X61">
        <f>VLOOKUP($B61,[11]分省年度数据!$A$1:$IV$65536,13,FALSE)</f>
        <v>14.06</v>
      </c>
      <c r="Y61">
        <f>VLOOKUP($B61,[12]分省年度数据!$A$1:$IV$65536,13,FALSE)</f>
        <v>19.100000000000001</v>
      </c>
      <c r="AA61" t="str">
        <f>VLOOKUP($B61,[13]分省年度数据!$A$1:$IV$65536,13,FALSE)</f>
        <v/>
      </c>
      <c r="AB61">
        <f>VLOOKUP($B61,[14]分省年度数据!$A$1:$IV$65536,13,FALSE)</f>
        <v>171.81</v>
      </c>
      <c r="AC61" t="str">
        <f>VLOOKUP($B61,[16]分省年度数据!$A$1:$IT$65532,13,FALSE)</f>
        <v/>
      </c>
      <c r="AD61">
        <f>VLOOKUP($B61,[17]分省年度数据!$A$1:$IS$65525,13,FALSE)</f>
        <v>480.3</v>
      </c>
      <c r="AE61">
        <f>IFERROR(AC61/E61,0)</f>
        <v>0</v>
      </c>
      <c r="AF61">
        <f>IFERROR(AD61/E61,0)</f>
        <v>0.84115586690017519</v>
      </c>
      <c r="AG61">
        <f>VLOOKUP($B61,[15]分省年度数据!$A$1:$IV$65536,13,FALSE)</f>
        <v>1096</v>
      </c>
      <c r="AH61">
        <f>VLOOKUP(B61,[4]分省年度数据!$A$1:$IV$65536,13,FALSE)</f>
        <v>1937</v>
      </c>
      <c r="AI61">
        <f>VLOOKUP(B61,[3]分省年度数据!$A$1:$IV$65536,13,FALSE)</f>
        <v>194.19</v>
      </c>
      <c r="AJ61">
        <f>VLOOKUP($B61,[18]分省年度数据!$A$1:$IS$65529,13,FALSE)</f>
        <v>99.9</v>
      </c>
      <c r="AK61">
        <f>VLOOKUP($B61,[19]分省年度数据!$A$1:$IS$65529,13,FALSE)</f>
        <v>92.65</v>
      </c>
      <c r="AL61">
        <f>VLOOKUP($B61,[20]分省年度数据!$A$1:$IS$65528,13,FALSE)</f>
        <v>16.600000000000001</v>
      </c>
      <c r="AM61">
        <f>VLOOKUP($B61,[21]分省年度数据!$A$1:$IS$65528,13,FALSE)</f>
        <v>4.32</v>
      </c>
      <c r="AN61">
        <f>VLOOKUP($B61,[22]分省年度数据!$A$1:$IS$65529,13,FALSE)</f>
        <v>9.81</v>
      </c>
    </row>
    <row r="62" spans="1:40">
      <c r="A62">
        <v>64</v>
      </c>
      <c r="B62" t="s">
        <v>30</v>
      </c>
      <c r="C62">
        <v>2012</v>
      </c>
      <c r="D62" t="s">
        <v>37</v>
      </c>
      <c r="E62">
        <f>VLOOKUP(B62,[1]分省年度数据!$A$1:$IV$65536,13,FALSE)</f>
        <v>659</v>
      </c>
      <c r="F62" s="4">
        <v>13104</v>
      </c>
      <c r="G62" s="2">
        <f>VLOOKUP(B62,[2]分省年度数据!$A$1:$IV$65536,13,FALSE)</f>
        <v>144.6</v>
      </c>
      <c r="H62" s="2">
        <f t="shared" si="1"/>
        <v>0.21942336874051593</v>
      </c>
      <c r="N62">
        <v>3687.01</v>
      </c>
      <c r="O62">
        <f>N62/F62</f>
        <v>0.281365231990232</v>
      </c>
      <c r="Q62" t="s">
        <v>61</v>
      </c>
      <c r="R62">
        <f>VLOOKUP(B62,[5]分省年度数据!$A$1:$O$65536,13,FALSE)</f>
        <v>4140</v>
      </c>
      <c r="S62">
        <f>VLOOKUP($B62,[6]分省年度数据!$A$1:$IV$65536,13,FALSE)</f>
        <v>2.78</v>
      </c>
      <c r="T62">
        <f>VLOOKUP($B62,[7]分省年度数据!$A$1:$IV$65536,13,FALSE)</f>
        <v>53</v>
      </c>
      <c r="U62">
        <f>VLOOKUP($B62,[8]分省年度数据!$A$1:$IV$65536,13,FALSE)</f>
        <v>10.37</v>
      </c>
      <c r="V62">
        <f>VLOOKUP($B62,[9]分省年度数据!$A$1:$IV$65536,13,FALSE)</f>
        <v>46.09</v>
      </c>
      <c r="W62">
        <f>VLOOKUP($B62,[10]分省年度数据!$A$1:$IV$65536,13,FALSE)</f>
        <v>16.170000000000002</v>
      </c>
      <c r="X62">
        <f>VLOOKUP($B62,[11]分省年度数据!$A$1:$IV$65536,13,FALSE)</f>
        <v>15.11</v>
      </c>
      <c r="Y62">
        <f>VLOOKUP($B62,[12]分省年度数据!$A$1:$IV$65536,13,FALSE)</f>
        <v>17.98</v>
      </c>
      <c r="AA62" t="str">
        <f>VLOOKUP($B62,[13]分省年度数据!$A$1:$IV$65536,13,FALSE)</f>
        <v/>
      </c>
      <c r="AB62">
        <f>VLOOKUP($B62,[14]分省年度数据!$A$1:$IV$65536,13,FALSE)</f>
        <v>106.45</v>
      </c>
      <c r="AC62">
        <f>VLOOKUP($B62,[16]分省年度数据!$A$1:$IT$65532,13,FALSE)</f>
        <v>3</v>
      </c>
      <c r="AD62">
        <f>VLOOKUP($B62,[17]分省年度数据!$A$1:$IS$65525,13,FALSE)</f>
        <v>590.5</v>
      </c>
      <c r="AE62">
        <f>IFERROR(AC62/E62,0)</f>
        <v>4.552352048558422E-3</v>
      </c>
      <c r="AF62">
        <f>IFERROR(AD62/E62,0)</f>
        <v>0.89605462822458271</v>
      </c>
      <c r="AG62">
        <f>VLOOKUP($B62,[15]分省年度数据!$A$1:$IV$65536,13,FALSE)</f>
        <v>1767</v>
      </c>
      <c r="AH62">
        <f>VLOOKUP(B62,[4]分省年度数据!$A$1:$IV$65536,13,FALSE)</f>
        <v>4813</v>
      </c>
      <c r="AI62">
        <f>VLOOKUP(B62,[3]分省年度数据!$A$1:$IV$65536,13,FALSE)</f>
        <v>156.51</v>
      </c>
      <c r="AJ62">
        <f>VLOOKUP($B62,[18]分省年度数据!$A$1:$IS$65529,13,FALSE)</f>
        <v>92.3</v>
      </c>
      <c r="AK62">
        <f>VLOOKUP($B62,[19]分省年度数据!$A$1:$IS$65529,13,FALSE)</f>
        <v>79.67</v>
      </c>
      <c r="AL62">
        <f>VLOOKUP($B62,[20]分省年度数据!$A$1:$IS$65528,13,FALSE)</f>
        <v>12.46</v>
      </c>
      <c r="AM62">
        <f>VLOOKUP($B62,[21]分省年度数据!$A$1:$IS$65528,13,FALSE)</f>
        <v>2.2999999999999998</v>
      </c>
      <c r="AN62">
        <f>VLOOKUP($B62,[22]分省年度数据!$A$1:$IS$65529,13,FALSE)</f>
        <v>15.71</v>
      </c>
    </row>
    <row r="63" spans="1:40">
      <c r="A63">
        <v>65</v>
      </c>
      <c r="B63" t="s">
        <v>31</v>
      </c>
      <c r="C63">
        <v>2012</v>
      </c>
      <c r="D63" t="s">
        <v>37</v>
      </c>
      <c r="E63">
        <f>VLOOKUP(B63,[1]分省年度数据!$A$1:$IV$65536,13,FALSE)</f>
        <v>2253</v>
      </c>
      <c r="F63" s="4">
        <v>12151</v>
      </c>
      <c r="G63" s="2">
        <f>VLOOKUP(B63,[2]分省年度数据!$A$1:$IV$65536,13,FALSE)</f>
        <v>233.4</v>
      </c>
      <c r="H63" s="2">
        <f t="shared" si="1"/>
        <v>0.10359520639147803</v>
      </c>
      <c r="N63">
        <v>4906.8649999999998</v>
      </c>
      <c r="O63">
        <f>N63/F63</f>
        <v>0.40382396510575258</v>
      </c>
      <c r="Q63" t="s">
        <v>75</v>
      </c>
      <c r="R63">
        <f>VLOOKUP(B63,[5]分省年度数据!$A$1:$O$65536,13,FALSE)</f>
        <v>18320</v>
      </c>
      <c r="S63">
        <f>VLOOKUP($B63,[6]分省年度数据!$A$1:$IV$65536,13,FALSE)</f>
        <v>13.16</v>
      </c>
      <c r="T63">
        <f>VLOOKUP($B63,[7]分省年度数据!$A$1:$IV$65536,13,FALSE)</f>
        <v>61</v>
      </c>
      <c r="U63">
        <f>VLOOKUP($B63,[8]分省年度数据!$A$1:$IV$65536,13,FALSE)</f>
        <v>9.76</v>
      </c>
      <c r="V63">
        <f>VLOOKUP($B63,[9]分省年度数据!$A$1:$IV$65536,13,FALSE)</f>
        <v>145.88</v>
      </c>
      <c r="W63">
        <f>VLOOKUP($B63,[10]分省年度数据!$A$1:$IV$65536,13,FALSE)</f>
        <v>13.61</v>
      </c>
      <c r="X63">
        <f>VLOOKUP($B63,[11]分省年度数据!$A$1:$IV$65536,13,FALSE)</f>
        <v>10.98</v>
      </c>
      <c r="Y63">
        <f>VLOOKUP($B63,[12]分省年度数据!$A$1:$IV$65536,13,FALSE)</f>
        <v>13.96</v>
      </c>
      <c r="AA63" t="str">
        <f>VLOOKUP($B63,[13]分省年度数据!$A$1:$IV$65536,13,FALSE)</f>
        <v/>
      </c>
      <c r="AB63">
        <f>VLOOKUP($B63,[14]分省年度数据!$A$1:$IV$65536,13,FALSE)</f>
        <v>473.86</v>
      </c>
      <c r="AC63">
        <f>VLOOKUP($B63,[16]分省年度数据!$A$1:$IT$65532,13,FALSE)</f>
        <v>148</v>
      </c>
      <c r="AD63">
        <f>VLOOKUP($B63,[17]分省年度数据!$A$1:$IS$65525,13,FALSE)</f>
        <v>1916.1</v>
      </c>
      <c r="AE63">
        <f>IFERROR(AC63/E63,0)</f>
        <v>6.5690190856635591E-2</v>
      </c>
      <c r="AF63">
        <f>IFERROR(AD63/E63,0)</f>
        <v>0.85046604527296932</v>
      </c>
      <c r="AG63">
        <f>VLOOKUP($B63,[15]分省年度数据!$A$1:$IV$65536,13,FALSE)</f>
        <v>4943</v>
      </c>
      <c r="AH63">
        <f>VLOOKUP(B63,[4]分省年度数据!$A$1:$IV$65536,13,FALSE)</f>
        <v>7568</v>
      </c>
      <c r="AI63">
        <f>VLOOKUP(B63,[3]分省年度数据!$A$1:$IV$65536,13,FALSE)</f>
        <v>171.02</v>
      </c>
      <c r="AJ63">
        <f>VLOOKUP($B63,[18]分省年度数据!$A$1:$IS$65529,13,FALSE)</f>
        <v>99.13</v>
      </c>
      <c r="AK63">
        <f>VLOOKUP($B63,[19]分省年度数据!$A$1:$IS$65529,13,FALSE)</f>
        <v>96.6</v>
      </c>
      <c r="AL63">
        <f>VLOOKUP($B63,[20]分省年度数据!$A$1:$IS$65528,13,FALSE)</f>
        <v>13.91</v>
      </c>
      <c r="AM63">
        <f>VLOOKUP($B63,[21]分省年度数据!$A$1:$IS$65528,13,FALSE)</f>
        <v>3.22</v>
      </c>
      <c r="AN63">
        <f>VLOOKUP($B63,[22]分省年度数据!$A$1:$IS$65529,13,FALSE)</f>
        <v>10</v>
      </c>
    </row>
    <row r="64" spans="1:40">
      <c r="A64">
        <v>11</v>
      </c>
      <c r="B64" t="s">
        <v>1</v>
      </c>
      <c r="C64">
        <v>2014</v>
      </c>
      <c r="D64" t="s">
        <v>32</v>
      </c>
      <c r="E64">
        <f>VLOOKUP(B64,[1]分省年度数据!$A$1:$IV$65536,11,FALSE)</f>
        <v>2171</v>
      </c>
      <c r="F64" s="4">
        <v>44489</v>
      </c>
      <c r="G64" s="2">
        <f>VLOOKUP(B64,[2]分省年度数据!$A$1:$IV$65536,11,FALSE)</f>
        <v>32.1</v>
      </c>
      <c r="H64" s="2">
        <f t="shared" si="1"/>
        <v>1.4785812989405804E-2</v>
      </c>
      <c r="N64">
        <v>27497.200000000001</v>
      </c>
      <c r="O64">
        <f>N64/F64</f>
        <v>0.61806738744408729</v>
      </c>
      <c r="Q64" t="s">
        <v>63</v>
      </c>
      <c r="R64">
        <f>VLOOKUP(B64,[5]分省年度数据!$A$1:$O$65536,11,FALSE)</f>
        <v>9638</v>
      </c>
      <c r="S64">
        <f>VLOOKUP($B64,[6]分省年度数据!$A$1:$IV$65536,11,FALSE)</f>
        <v>10.98</v>
      </c>
      <c r="T64">
        <f>VLOOKUP($B64,[7]分省年度数据!$A$1:$IV$65536,11,FALSE)</f>
        <v>99</v>
      </c>
      <c r="U64">
        <f>VLOOKUP($B64,[8]分省年度数据!$A$1:$IV$65536,11,FALSE)</f>
        <v>10.99</v>
      </c>
      <c r="V64">
        <f>VLOOKUP($B64,[9]分省年度数据!$A$1:$IV$65536,11,FALSE)</f>
        <v>322.29000000000002</v>
      </c>
      <c r="W64">
        <f>VLOOKUP($B64,[10]分省年度数据!$A$1:$IV$65536,11,FALSE)</f>
        <v>8.41</v>
      </c>
      <c r="X64">
        <f>VLOOKUP($B64,[11]分省年度数据!$A$1:$IV$65536,11,FALSE)</f>
        <v>9.44</v>
      </c>
      <c r="Y64">
        <f>VLOOKUP($B64,[12]分省年度数据!$A$1:$IV$65536,11,FALSE)</f>
        <v>14.44</v>
      </c>
      <c r="AA64">
        <f>VLOOKUP($B64,[13]分省年度数据!$A$1:$IV$65536,11,FALSE)</f>
        <v>10937374</v>
      </c>
      <c r="AB64">
        <f>VLOOKUP($B64,[14]分省年度数据!$A$1:$IV$65536,11,FALSE)</f>
        <v>742.05</v>
      </c>
      <c r="AC64">
        <f>VLOOKUP($B64,[16]分省年度数据!$A$1:$IT$65532,11,FALSE)</f>
        <v>3871</v>
      </c>
      <c r="AD64">
        <f>VLOOKUP($B64,[17]分省年度数据!$A$1:$IS$65525,11,FALSE)</f>
        <v>9638</v>
      </c>
      <c r="AE64">
        <f>IFERROR(AC64/E64,0)</f>
        <v>1.783049286043298</v>
      </c>
      <c r="AF64">
        <f>IFERROR(AD64/E64,0)</f>
        <v>4.4394288346384156</v>
      </c>
      <c r="AG64">
        <f>VLOOKUP($B64,[15]分省年度数据!$A$1:$IV$65536,11,FALSE)</f>
        <v>3196</v>
      </c>
      <c r="AH64">
        <f>VLOOKUP(B64,[4]分省年度数据!$A$1:$IV$65536,11,FALSE)</f>
        <v>20249</v>
      </c>
      <c r="AI64">
        <f>VLOOKUP(B64,[3]分省年度数据!$A$1:$IV$65536,11,FALSE)</f>
        <v>187.52</v>
      </c>
      <c r="AJ64">
        <f>VLOOKUP($B64,[18]分省年度数据!$A$1:$IS$65529,11,FALSE)</f>
        <v>100</v>
      </c>
      <c r="AK64">
        <f>VLOOKUP($B64,[19]分省年度数据!$A$1:$IS$65529,11,FALSE)</f>
        <v>100</v>
      </c>
      <c r="AL64">
        <f>VLOOKUP($B64,[20]分省年度数据!$A$1:$IS$65528,11,FALSE)</f>
        <v>24.84</v>
      </c>
      <c r="AM64">
        <f>VLOOKUP($B64,[21]分省年度数据!$A$1:$IS$65528,11,FALSE)</f>
        <v>2.92</v>
      </c>
      <c r="AN64">
        <f>VLOOKUP($B64,[22]分省年度数据!$A$1:$IS$65529,11,FALSE)</f>
        <v>15.94</v>
      </c>
    </row>
    <row r="65" spans="1:40">
      <c r="A65">
        <v>12</v>
      </c>
      <c r="B65" t="s">
        <v>2</v>
      </c>
      <c r="C65">
        <v>2014</v>
      </c>
      <c r="D65" t="s">
        <v>32</v>
      </c>
      <c r="E65">
        <f>VLOOKUP(B65,[1]分省年度数据!$A$1:$IV$65536,11,FALSE)</f>
        <v>1429</v>
      </c>
      <c r="F65" s="4">
        <v>28832</v>
      </c>
      <c r="G65" s="2">
        <f>VLOOKUP(B65,[2]分省年度数据!$A$1:$IV$65536,11,FALSE)</f>
        <v>3.7</v>
      </c>
      <c r="H65" s="2">
        <f t="shared" si="1"/>
        <v>2.5892232330300912E-3</v>
      </c>
      <c r="N65">
        <v>12829.6</v>
      </c>
      <c r="O65">
        <f>N65/F65</f>
        <v>0.44497780244173141</v>
      </c>
      <c r="Q65" t="s">
        <v>65</v>
      </c>
      <c r="R65">
        <f>VLOOKUP(B65,[5]分省年度数据!$A$1:$O$65536,11,FALSE)</f>
        <v>4990</v>
      </c>
      <c r="S65">
        <f>VLOOKUP($B65,[6]分省年度数据!$A$1:$IV$65536,11,FALSE)</f>
        <v>6.09</v>
      </c>
      <c r="T65">
        <f>VLOOKUP($B65,[7]分省年度数据!$A$1:$IV$65536,11,FALSE)</f>
        <v>56</v>
      </c>
      <c r="U65">
        <f>VLOOKUP($B65,[8]分省年度数据!$A$1:$IV$65536,11,FALSE)</f>
        <v>10.87</v>
      </c>
      <c r="V65">
        <f>VLOOKUP($B65,[9]分省年度数据!$A$1:$IV$65536,11,FALSE)</f>
        <v>161.33000000000001</v>
      </c>
      <c r="W65">
        <f>VLOOKUP($B65,[10]分省年度数据!$A$1:$IV$65536,11,FALSE)</f>
        <v>10.62</v>
      </c>
      <c r="X65">
        <f>VLOOKUP($B65,[11]分省年度数据!$A$1:$IV$65536,11,FALSE)</f>
        <v>10.210000000000001</v>
      </c>
      <c r="Y65">
        <f>VLOOKUP($B65,[12]分省年度数据!$A$1:$IV$65536,11,FALSE)</f>
        <v>14.71</v>
      </c>
      <c r="AA65">
        <f>VLOOKUP($B65,[13]分省年度数据!$A$1:$IV$65536,11,FALSE)</f>
        <v>6326265</v>
      </c>
      <c r="AB65">
        <f>VLOOKUP($B65,[14]分省年度数据!$A$1:$IV$65536,11,FALSE)</f>
        <v>517.01</v>
      </c>
      <c r="AC65">
        <f>VLOOKUP($B65,[16]分省年度数据!$A$1:$IT$65532,11,FALSE)</f>
        <v>503</v>
      </c>
      <c r="AD65">
        <f>VLOOKUP($B65,[17]分省年度数据!$A$1:$IS$65525,11,FALSE)</f>
        <v>4738.7</v>
      </c>
      <c r="AE65">
        <f>IFERROR(AC65/E65,0)</f>
        <v>0.35199440167949614</v>
      </c>
      <c r="AF65">
        <f>IFERROR(AD65/E65,0)</f>
        <v>3.3160951714485654</v>
      </c>
      <c r="AG65">
        <f>VLOOKUP($B65,[15]分省年度数据!$A$1:$IV$65536,11,FALSE)</f>
        <v>5322</v>
      </c>
      <c r="AH65">
        <f>VLOOKUP(B65,[4]分省年度数据!$A$1:$IV$65536,11,FALSE)</f>
        <v>14881</v>
      </c>
      <c r="AI65">
        <f>VLOOKUP(B65,[3]分省年度数据!$A$1:$IV$65536,11,FALSE)</f>
        <v>124.33</v>
      </c>
      <c r="AJ65">
        <f>VLOOKUP($B65,[18]分省年度数据!$A$1:$IS$65529,11,FALSE)</f>
        <v>100</v>
      </c>
      <c r="AK65">
        <f>VLOOKUP($B65,[19]分省年度数据!$A$1:$IS$65529,11,FALSE)</f>
        <v>100</v>
      </c>
      <c r="AL65">
        <f>VLOOKUP($B65,[20]分省年度数据!$A$1:$IS$65528,11,FALSE)</f>
        <v>18.14</v>
      </c>
      <c r="AM65">
        <f>VLOOKUP($B65,[21]分省年度数据!$A$1:$IS$65528,11,FALSE)</f>
        <v>1.53</v>
      </c>
      <c r="AN65">
        <f>VLOOKUP($B65,[22]分省年度数据!$A$1:$IS$65529,11,FALSE)</f>
        <v>9.73</v>
      </c>
    </row>
    <row r="66" spans="1:40">
      <c r="A66">
        <v>13</v>
      </c>
      <c r="B66" t="s">
        <v>3</v>
      </c>
      <c r="C66">
        <v>2014</v>
      </c>
      <c r="D66" t="s">
        <v>32</v>
      </c>
      <c r="E66">
        <f>VLOOKUP(B66,[1]分省年度数据!$A$1:$IV$65536,11,FALSE)</f>
        <v>7323</v>
      </c>
      <c r="F66" s="4">
        <v>16647</v>
      </c>
      <c r="G66" s="2">
        <f>VLOOKUP(B66,[2]分省年度数据!$A$1:$IV$65536,11,FALSE)</f>
        <v>1716.1</v>
      </c>
      <c r="H66" s="2">
        <f t="shared" ref="H66:H71" si="2">G66/E66</f>
        <v>0.23434384814966541</v>
      </c>
      <c r="N66">
        <v>5699.6372727272728</v>
      </c>
      <c r="O66">
        <f>N66/F66</f>
        <v>0.34238224741558676</v>
      </c>
      <c r="Q66" t="s">
        <v>65</v>
      </c>
      <c r="R66">
        <f>VLOOKUP(B66,[5]分省年度数据!$A$1:$O$65536,11,FALSE)</f>
        <v>78895</v>
      </c>
      <c r="S66">
        <f>VLOOKUP($B66,[6]分省年度数据!$A$1:$IV$65536,11,FALSE)</f>
        <v>32.29</v>
      </c>
      <c r="T66">
        <f>VLOOKUP($B66,[7]分省年度数据!$A$1:$IV$65536,11,FALSE)</f>
        <v>48</v>
      </c>
      <c r="U66">
        <f>VLOOKUP($B66,[8]分省年度数据!$A$1:$IV$65536,11,FALSE)</f>
        <v>9.0399999999999991</v>
      </c>
      <c r="V66">
        <f>VLOOKUP($B66,[9]分省年度数据!$A$1:$IV$65536,11,FALSE)</f>
        <v>446.79</v>
      </c>
      <c r="W66">
        <f>VLOOKUP($B66,[10]分省年度数据!$A$1:$IV$65536,11,FALSE)</f>
        <v>13.23</v>
      </c>
      <c r="X66">
        <f>VLOOKUP($B66,[11]分省年度数据!$A$1:$IV$65536,11,FALSE)</f>
        <v>13.45</v>
      </c>
      <c r="Y66">
        <f>VLOOKUP($B66,[12]分省年度数据!$A$1:$IV$65536,11,FALSE)</f>
        <v>16.920000000000002</v>
      </c>
      <c r="AA66">
        <f>VLOOKUP($B66,[13]分省年度数据!$A$1:$IV$65536,11,FALSE)</f>
        <v>10861672</v>
      </c>
      <c r="AB66">
        <f>VLOOKUP($B66,[14]分省年度数据!$A$1:$IV$65536,11,FALSE)</f>
        <v>868.87</v>
      </c>
      <c r="AC66">
        <f>VLOOKUP($B66,[16]分省年度数据!$A$1:$IT$65532,11,FALSE)</f>
        <v>6</v>
      </c>
      <c r="AD66">
        <f>VLOOKUP($B66,[17]分省年度数据!$A$1:$IS$65525,11,FALSE)</f>
        <v>11820.5</v>
      </c>
      <c r="AE66">
        <f>IFERROR(AC66/E66,0)</f>
        <v>8.1933633756657109E-4</v>
      </c>
      <c r="AF66">
        <f>IFERROR(AD66/E66,0)</f>
        <v>1.6141608630342756</v>
      </c>
      <c r="AG66">
        <f>VLOOKUP($B66,[15]分省年度数据!$A$1:$IV$65536,11,FALSE)</f>
        <v>5009</v>
      </c>
      <c r="AH66">
        <f>VLOOKUP(B66,[4]分省年度数据!$A$1:$IV$65536,11,FALSE)</f>
        <v>20305</v>
      </c>
      <c r="AI66">
        <f>VLOOKUP(B66,[3]分省年度数据!$A$1:$IV$65536,11,FALSE)</f>
        <v>116.91</v>
      </c>
      <c r="AJ66">
        <f>VLOOKUP($B66,[18]分省年度数据!$A$1:$IS$65529,11,FALSE)</f>
        <v>99.29</v>
      </c>
      <c r="AK66">
        <f>VLOOKUP($B66,[19]分省年度数据!$A$1:$IS$65529,11,FALSE)</f>
        <v>94.26</v>
      </c>
      <c r="AL66">
        <f>VLOOKUP($B66,[20]分省年度数据!$A$1:$IS$65528,11,FALSE)</f>
        <v>11.34</v>
      </c>
      <c r="AM66">
        <f>VLOOKUP($B66,[21]分省年度数据!$A$1:$IS$65528,11,FALSE)</f>
        <v>3.92</v>
      </c>
      <c r="AN66">
        <f>VLOOKUP($B66,[22]分省年度数据!$A$1:$IS$65529,11,FALSE)</f>
        <v>14.45</v>
      </c>
    </row>
    <row r="67" spans="1:40">
      <c r="A67">
        <v>14</v>
      </c>
      <c r="B67" t="s">
        <v>4</v>
      </c>
      <c r="C67">
        <v>2014</v>
      </c>
      <c r="D67" t="s">
        <v>32</v>
      </c>
      <c r="E67">
        <f>VLOOKUP(B67,[1]分省年度数据!$A$1:$IV$65536,11,FALSE)</f>
        <v>3528</v>
      </c>
      <c r="F67" s="4">
        <v>16538</v>
      </c>
      <c r="G67" s="2">
        <f>VLOOKUP(B67,[2]分省年度数据!$A$1:$IV$65536,11,FALSE)</f>
        <v>476</v>
      </c>
      <c r="H67" s="2">
        <f t="shared" si="2"/>
        <v>0.13492063492063491</v>
      </c>
      <c r="N67">
        <v>4184.522727272727</v>
      </c>
      <c r="O67">
        <f>N67/F67</f>
        <v>0.25302471443177693</v>
      </c>
      <c r="Q67" t="s">
        <v>59</v>
      </c>
      <c r="R67">
        <f>VLOOKUP(B67,[5]分省年度数据!$A$1:$O$65536,11,FALSE)</f>
        <v>40777</v>
      </c>
      <c r="S67">
        <f>VLOOKUP($B67,[6]分省年度数据!$A$1:$IV$65536,11,FALSE)</f>
        <v>17.739999999999998</v>
      </c>
      <c r="T67">
        <f>VLOOKUP($B67,[7]分省年度数据!$A$1:$IV$65536,11,FALSE)</f>
        <v>57</v>
      </c>
      <c r="U67">
        <f>VLOOKUP($B67,[8]分省年度数据!$A$1:$IV$65536,11,FALSE)</f>
        <v>10.79</v>
      </c>
      <c r="V67">
        <f>VLOOKUP($B67,[9]分省年度数据!$A$1:$IV$65536,11,FALSE)</f>
        <v>243.94</v>
      </c>
      <c r="W67">
        <f>VLOOKUP($B67,[10]分省年度数据!$A$1:$IV$65536,11,FALSE)</f>
        <v>13.59</v>
      </c>
      <c r="X67">
        <f>VLOOKUP($B67,[11]分省年度数据!$A$1:$IV$65536,11,FALSE)</f>
        <v>10.52</v>
      </c>
      <c r="Y67">
        <f>VLOOKUP($B67,[12]分省年度数据!$A$1:$IV$65536,11,FALSE)</f>
        <v>12.7</v>
      </c>
      <c r="AA67">
        <f>VLOOKUP($B67,[13]分省年度数据!$A$1:$IV$65536,11,FALSE)</f>
        <v>7036233</v>
      </c>
      <c r="AB67">
        <f>VLOOKUP($B67,[14]分省年度数据!$A$1:$IV$65536,11,FALSE)</f>
        <v>507.28</v>
      </c>
      <c r="AC67">
        <f>VLOOKUP($B67,[16]分省年度数据!$A$1:$IT$65532,11,FALSE)</f>
        <v>115</v>
      </c>
      <c r="AD67">
        <f>VLOOKUP($B67,[17]分省年度数据!$A$1:$IS$65525,11,FALSE)</f>
        <v>5717.9</v>
      </c>
      <c r="AE67">
        <f>IFERROR(AC67/E67,0)</f>
        <v>3.2596371882086167E-2</v>
      </c>
      <c r="AF67">
        <f>IFERROR(AD67/E67,0)</f>
        <v>1.620719954648526</v>
      </c>
      <c r="AG67">
        <f>VLOOKUP($B67,[15]分省年度数据!$A$1:$IV$65536,11,FALSE)</f>
        <v>5121</v>
      </c>
      <c r="AH67">
        <f>VLOOKUP(B67,[4]分省年度数据!$A$1:$IV$65536,11,FALSE)</f>
        <v>13658</v>
      </c>
      <c r="AI67">
        <f>VLOOKUP(B67,[3]分省年度数据!$A$1:$IV$65536,11,FALSE)</f>
        <v>114.59</v>
      </c>
      <c r="AJ67">
        <f>VLOOKUP($B67,[18]分省年度数据!$A$1:$IS$65529,11,FALSE)</f>
        <v>98.54</v>
      </c>
      <c r="AK67">
        <f>VLOOKUP($B67,[19]分省年度数据!$A$1:$IS$65529,11,FALSE)</f>
        <v>95.77</v>
      </c>
      <c r="AL67">
        <f>VLOOKUP($B67,[20]分省年度数据!$A$1:$IS$65528,11,FALSE)</f>
        <v>8.85</v>
      </c>
      <c r="AM67">
        <f>VLOOKUP($B67,[21]分省年度数据!$A$1:$IS$65528,11,FALSE)</f>
        <v>2.98</v>
      </c>
      <c r="AN67">
        <f>VLOOKUP($B67,[22]分省年度数据!$A$1:$IS$65529,11,FALSE)</f>
        <v>11.3</v>
      </c>
    </row>
    <row r="68" spans="1:40">
      <c r="A68">
        <v>15</v>
      </c>
      <c r="B68" t="s">
        <v>5</v>
      </c>
      <c r="C68">
        <v>2014</v>
      </c>
      <c r="D68" t="s">
        <v>32</v>
      </c>
      <c r="E68">
        <f>VLOOKUP(B68,[1]分省年度数据!$A$1:$IV$65536,11,FALSE)</f>
        <v>2449</v>
      </c>
      <c r="F68" s="4">
        <v>20559</v>
      </c>
      <c r="G68" s="2">
        <f>VLOOKUP(B68,[2]分省年度数据!$A$1:$IV$65536,11,FALSE)</f>
        <v>644.5</v>
      </c>
      <c r="H68" s="2">
        <f t="shared" si="2"/>
        <v>0.26316864026133113</v>
      </c>
      <c r="N68">
        <v>4362.9677777777779</v>
      </c>
      <c r="O68">
        <f>N68/F68</f>
        <v>0.21221692581243143</v>
      </c>
      <c r="Q68" t="s">
        <v>59</v>
      </c>
      <c r="R68">
        <f>VLOOKUP(B68,[5]分省年度数据!$A$1:$O$65536,11,FALSE)</f>
        <v>23426</v>
      </c>
      <c r="S68">
        <f>VLOOKUP($B68,[6]分省年度数据!$A$1:$IV$65536,11,FALSE)</f>
        <v>12.9</v>
      </c>
      <c r="T68">
        <f>VLOOKUP($B68,[7]分省年度数据!$A$1:$IV$65536,11,FALSE)</f>
        <v>62</v>
      </c>
      <c r="U68">
        <f>VLOOKUP($B68,[8]分省年度数据!$A$1:$IV$65536,11,FALSE)</f>
        <v>9.9</v>
      </c>
      <c r="V68">
        <f>VLOOKUP($B68,[9]分省年度数据!$A$1:$IV$65536,11,FALSE)</f>
        <v>227.78</v>
      </c>
      <c r="W68">
        <f>VLOOKUP($B68,[10]分省年度数据!$A$1:$IV$65536,11,FALSE)</f>
        <v>14.4</v>
      </c>
      <c r="X68">
        <f>VLOOKUP($B68,[11]分省年度数据!$A$1:$IV$65536,11,FALSE)</f>
        <v>11.02</v>
      </c>
      <c r="Y68">
        <f>VLOOKUP($B68,[12]分省年度数据!$A$1:$IV$65536,11,FALSE)</f>
        <v>12.09</v>
      </c>
      <c r="AA68">
        <f>VLOOKUP($B68,[13]分省年度数据!$A$1:$IV$65536,11,FALSE)</f>
        <v>6393778</v>
      </c>
      <c r="AB68">
        <f>VLOOKUP($B68,[14]分省年度数据!$A$1:$IV$65536,11,FALSE)</f>
        <v>477.77</v>
      </c>
      <c r="AC68">
        <f>VLOOKUP($B68,[16]分省年度数据!$A$1:$IT$65532,11,FALSE)</f>
        <v>213</v>
      </c>
      <c r="AD68">
        <f>VLOOKUP($B68,[17]分省年度数据!$A$1:$IS$65525,11,FALSE)</f>
        <v>5657.6</v>
      </c>
      <c r="AE68">
        <f>IFERROR(AC68/E68,0)</f>
        <v>8.6974275214373217E-2</v>
      </c>
      <c r="AF68">
        <f>IFERROR(AD68/E68,0)</f>
        <v>2.3101674152715397</v>
      </c>
      <c r="AG68">
        <f>VLOOKUP($B68,[15]分省年度数据!$A$1:$IV$65536,11,FALSE)</f>
        <v>3406</v>
      </c>
      <c r="AH68">
        <f>VLOOKUP(B68,[4]分省年度数据!$A$1:$IV$65536,11,FALSE)</f>
        <v>11109</v>
      </c>
      <c r="AI68">
        <f>VLOOKUP(B68,[3]分省年度数据!$A$1:$IV$65536,11,FALSE)</f>
        <v>103.49</v>
      </c>
      <c r="AJ68">
        <f>VLOOKUP($B68,[18]分省年度数据!$A$1:$IS$65529,11,FALSE)</f>
        <v>97.79</v>
      </c>
      <c r="AK68">
        <f>VLOOKUP($B68,[19]分省年度数据!$A$1:$IS$65529,11,FALSE)</f>
        <v>92.28</v>
      </c>
      <c r="AL68">
        <f>VLOOKUP($B68,[20]分省年度数据!$A$1:$IS$65528,11,FALSE)</f>
        <v>9.01</v>
      </c>
      <c r="AM68">
        <f>VLOOKUP($B68,[21]分省年度数据!$A$1:$IS$65528,11,FALSE)</f>
        <v>4.67</v>
      </c>
      <c r="AN68">
        <f>VLOOKUP($B68,[22]分省年度数据!$A$1:$IS$65529,11,FALSE)</f>
        <v>18.8</v>
      </c>
    </row>
    <row r="69" spans="1:40">
      <c r="A69">
        <v>21</v>
      </c>
      <c r="B69" t="s">
        <v>6</v>
      </c>
      <c r="C69">
        <v>2014</v>
      </c>
      <c r="D69" t="s">
        <v>33</v>
      </c>
      <c r="E69">
        <f>VLOOKUP(B69,[1]分省年度数据!$A$1:$IV$65536,11,FALSE)</f>
        <v>4358</v>
      </c>
      <c r="F69" s="4">
        <v>22820</v>
      </c>
      <c r="G69" s="2">
        <f>VLOOKUP(B69,[2]分省年度数据!$A$1:$IV$65536,11,FALSE)</f>
        <v>746.7</v>
      </c>
      <c r="H69" s="2">
        <f t="shared" si="2"/>
        <v>0.17134006424965581</v>
      </c>
      <c r="N69">
        <v>4703.55</v>
      </c>
      <c r="O69">
        <f>N69/F69</f>
        <v>0.20611524978089396</v>
      </c>
      <c r="Q69" t="s">
        <v>64</v>
      </c>
      <c r="R69">
        <f>VLOOKUP(B69,[5]分省年度数据!$A$1:$O$65536,11,FALSE)</f>
        <v>35441</v>
      </c>
      <c r="S69">
        <f>VLOOKUP($B69,[6]分省年度数据!$A$1:$IV$65536,11,FALSE)</f>
        <v>25.55</v>
      </c>
      <c r="T69">
        <f>VLOOKUP($B69,[7]分省年度数据!$A$1:$IV$65536,11,FALSE)</f>
        <v>58</v>
      </c>
      <c r="U69">
        <f>VLOOKUP($B69,[8]分省年度数据!$A$1:$IV$65536,11,FALSE)</f>
        <v>11.21</v>
      </c>
      <c r="V69">
        <f>VLOOKUP($B69,[9]分省年度数据!$A$1:$IV$65536,11,FALSE)</f>
        <v>273.61</v>
      </c>
      <c r="W69">
        <f>VLOOKUP($B69,[10]分省年度数据!$A$1:$IV$65536,11,FALSE)</f>
        <v>13.34</v>
      </c>
      <c r="X69">
        <f>VLOOKUP($B69,[11]分省年度数据!$A$1:$IV$65536,11,FALSE)</f>
        <v>10.68</v>
      </c>
      <c r="Y69">
        <f>VLOOKUP($B69,[12]分省年度数据!$A$1:$IV$65536,11,FALSE)</f>
        <v>14.07</v>
      </c>
      <c r="AA69">
        <f>VLOOKUP($B69,[13]分省年度数据!$A$1:$IV$65536,11,FALSE)</f>
        <v>8700533</v>
      </c>
      <c r="AB69">
        <f>VLOOKUP($B69,[14]分省年度数据!$A$1:$IV$65536,11,FALSE)</f>
        <v>604.49</v>
      </c>
      <c r="AC69">
        <f>VLOOKUP($B69,[16]分省年度数据!$A$1:$IT$65532,11,FALSE)</f>
        <v>706</v>
      </c>
      <c r="AD69">
        <f>VLOOKUP($B69,[17]分省年度数据!$A$1:$IS$65525,11,FALSE)</f>
        <v>11857</v>
      </c>
      <c r="AE69">
        <f>IFERROR(AC69/E69,0)</f>
        <v>0.16200091785222578</v>
      </c>
      <c r="AF69">
        <f>IFERROR(AD69/E69,0)</f>
        <v>2.720743460302891</v>
      </c>
      <c r="AG69">
        <f>VLOOKUP($B69,[15]分省年度数据!$A$1:$IV$65536,11,FALSE)</f>
        <v>5650</v>
      </c>
      <c r="AH69">
        <f>VLOOKUP(B69,[4]分省年度数据!$A$1:$IV$65536,11,FALSE)</f>
        <v>23462</v>
      </c>
      <c r="AI69">
        <f>VLOOKUP(B69,[3]分省年度数据!$A$1:$IV$65536,11,FALSE)</f>
        <v>131.79</v>
      </c>
      <c r="AJ69">
        <f>VLOOKUP($B69,[18]分省年度数据!$A$1:$IS$65529,11,FALSE)</f>
        <v>98.72</v>
      </c>
      <c r="AK69">
        <f>VLOOKUP($B69,[19]分省年度数据!$A$1:$IS$65529,11,FALSE)</f>
        <v>96.19</v>
      </c>
      <c r="AL69">
        <f>VLOOKUP($B69,[20]分省年度数据!$A$1:$IS$65528,11,FALSE)</f>
        <v>11.79</v>
      </c>
      <c r="AM69">
        <f>VLOOKUP($B69,[21]分省年度数据!$A$1:$IS$65528,11,FALSE)</f>
        <v>2.35</v>
      </c>
      <c r="AN69">
        <f>VLOOKUP($B69,[22]分省年度数据!$A$1:$IS$65529,11,FALSE)</f>
        <v>11.61</v>
      </c>
    </row>
    <row r="70" spans="1:40">
      <c r="A70">
        <v>22</v>
      </c>
      <c r="B70" t="s">
        <v>7</v>
      </c>
      <c r="C70">
        <v>2014</v>
      </c>
      <c r="D70" t="s">
        <v>33</v>
      </c>
      <c r="E70">
        <f>VLOOKUP(B70,[1]分省年度数据!$A$1:$IV$65536,11,FALSE)</f>
        <v>2642</v>
      </c>
      <c r="F70" s="4">
        <v>17520</v>
      </c>
      <c r="G70" s="2">
        <f>VLOOKUP(B70,[2]分省年度数据!$A$1:$IV$65536,11,FALSE)</f>
        <v>545.5</v>
      </c>
      <c r="H70" s="2">
        <f t="shared" si="2"/>
        <v>0.20647236941710825</v>
      </c>
      <c r="N70">
        <v>4196.4825000000001</v>
      </c>
      <c r="O70">
        <f>N70/F70</f>
        <v>0.23952525684931508</v>
      </c>
      <c r="Q70" t="s">
        <v>64</v>
      </c>
      <c r="R70">
        <f>VLOOKUP(B70,[5]分省年度数据!$A$1:$O$65536,11,FALSE)</f>
        <v>19891</v>
      </c>
      <c r="S70">
        <f>VLOOKUP($B70,[6]分省年度数据!$A$1:$IV$65536,11,FALSE)</f>
        <v>14.1</v>
      </c>
      <c r="T70">
        <f>VLOOKUP($B70,[7]分省年度数据!$A$1:$IV$65536,11,FALSE)</f>
        <v>55</v>
      </c>
      <c r="U70">
        <f>VLOOKUP($B70,[8]分省年度数据!$A$1:$IV$65536,11,FALSE)</f>
        <v>9.85</v>
      </c>
      <c r="V70">
        <f>VLOOKUP($B70,[9]分省年度数据!$A$1:$IV$65536,11,FALSE)</f>
        <v>206.44</v>
      </c>
      <c r="W70">
        <f>VLOOKUP($B70,[10]分省年度数据!$A$1:$IV$65536,11,FALSE)</f>
        <v>14.66</v>
      </c>
      <c r="X70">
        <f>VLOOKUP($B70,[11]分省年度数据!$A$1:$IV$65536,11,FALSE)</f>
        <v>9.3000000000000007</v>
      </c>
      <c r="Y70">
        <f>VLOOKUP($B70,[12]分省年度数据!$A$1:$IV$65536,11,FALSE)</f>
        <v>11.26</v>
      </c>
      <c r="AA70">
        <f>VLOOKUP($B70,[13]分省年度数据!$A$1:$IV$65536,11,FALSE)</f>
        <v>5353180</v>
      </c>
      <c r="AB70">
        <f>VLOOKUP($B70,[14]分省年度数据!$A$1:$IV$65536,11,FALSE)</f>
        <v>407.1</v>
      </c>
      <c r="AC70">
        <f>VLOOKUP($B70,[16]分省年度数据!$A$1:$IT$65532,11,FALSE)</f>
        <v>23</v>
      </c>
      <c r="AD70">
        <f>VLOOKUP($B70,[17]分省年度数据!$A$1:$IS$65525,11,FALSE)</f>
        <v>6080.9</v>
      </c>
      <c r="AE70">
        <f>IFERROR(AC70/E70,0)</f>
        <v>8.7055261165783493E-3</v>
      </c>
      <c r="AF70">
        <f>IFERROR(AD70/E70,0)</f>
        <v>2.3016275548826646</v>
      </c>
      <c r="AG70">
        <f>VLOOKUP($B70,[15]分省年度数据!$A$1:$IV$65536,11,FALSE)</f>
        <v>2794</v>
      </c>
      <c r="AH70">
        <f>VLOOKUP(B70,[4]分省年度数据!$A$1:$IV$65536,11,FALSE)</f>
        <v>13074</v>
      </c>
      <c r="AI70">
        <f>VLOOKUP(B70,[3]分省年度数据!$A$1:$IV$65536,11,FALSE)</f>
        <v>122.79</v>
      </c>
      <c r="AJ70">
        <f>VLOOKUP($B70,[18]分省年度数据!$A$1:$IS$65529,11,FALSE)</f>
        <v>93.79</v>
      </c>
      <c r="AK70">
        <f>VLOOKUP($B70,[19]分省年度数据!$A$1:$IS$65529,11,FALSE)</f>
        <v>91.98</v>
      </c>
      <c r="AL70">
        <f>VLOOKUP($B70,[20]分省年度数据!$A$1:$IS$65528,11,FALSE)</f>
        <v>10.32</v>
      </c>
      <c r="AM70">
        <f>VLOOKUP($B70,[21]分省年度数据!$A$1:$IS$65528,11,FALSE)</f>
        <v>3.23</v>
      </c>
      <c r="AN70">
        <f>VLOOKUP($B70,[22]分省年度数据!$A$1:$IS$65529,11,FALSE)</f>
        <v>12.05</v>
      </c>
    </row>
    <row r="71" spans="1:40">
      <c r="A71">
        <v>23</v>
      </c>
      <c r="B71" t="s">
        <v>8</v>
      </c>
      <c r="C71">
        <v>2014</v>
      </c>
      <c r="D71" t="s">
        <v>33</v>
      </c>
      <c r="E71">
        <f>VLOOKUP(B71,[1]分省年度数据!$A$1:$IV$65536,11,FALSE)</f>
        <v>3608</v>
      </c>
      <c r="F71" s="4">
        <v>17404</v>
      </c>
      <c r="G71" s="2">
        <f>VLOOKUP(B71,[2]分省年度数据!$A$1:$IV$65536,11,FALSE)</f>
        <v>257.39999999999998</v>
      </c>
      <c r="H71" s="2">
        <f t="shared" si="2"/>
        <v>7.134146341463414E-2</v>
      </c>
      <c r="N71">
        <v>3713.6174999999998</v>
      </c>
      <c r="O71">
        <f>N71/F71</f>
        <v>0.21337724086416915</v>
      </c>
      <c r="Q71" t="s">
        <v>64</v>
      </c>
      <c r="R71">
        <f>VLOOKUP(B71,[5]分省年度数据!$A$1:$O$65536,11,FALSE)</f>
        <v>21229</v>
      </c>
      <c r="S71">
        <f>VLOOKUP($B71,[6]分省年度数据!$A$1:$IV$65536,11,FALSE)</f>
        <v>20.13</v>
      </c>
      <c r="T71">
        <f>VLOOKUP($B71,[7]分省年度数据!$A$1:$IV$65536,11,FALSE)</f>
        <v>55</v>
      </c>
      <c r="U71">
        <f>VLOOKUP($B71,[8]分省年度数据!$A$1:$IV$65536,11,FALSE)</f>
        <v>11.07</v>
      </c>
      <c r="V71">
        <f>VLOOKUP($B71,[9]分省年度数据!$A$1:$IV$65536,11,FALSE)</f>
        <v>235.31</v>
      </c>
      <c r="W71">
        <f>VLOOKUP($B71,[10]分省年度数据!$A$1:$IV$65536,11,FALSE)</f>
        <v>13.32</v>
      </c>
      <c r="X71">
        <f>VLOOKUP($B71,[11]分省年度数据!$A$1:$IV$65536,11,FALSE)</f>
        <v>9.6</v>
      </c>
      <c r="Y71">
        <f>VLOOKUP($B71,[12]分省年度数据!$A$1:$IV$65536,11,FALSE)</f>
        <v>11.29</v>
      </c>
      <c r="AA71">
        <f>VLOOKUP($B71,[13]分省年度数据!$A$1:$IV$65536,11,FALSE)</f>
        <v>6278812</v>
      </c>
      <c r="AB71">
        <f>VLOOKUP($B71,[14]分省年度数据!$A$1:$IV$65536,11,FALSE)</f>
        <v>505.94</v>
      </c>
      <c r="AC71">
        <f>VLOOKUP($B71,[16]分省年度数据!$A$1:$IT$65532,11,FALSE)</f>
        <v>68</v>
      </c>
      <c r="AD71">
        <f>VLOOKUP($B71,[17]分省年度数据!$A$1:$IS$65525,11,FALSE)</f>
        <v>7015.3</v>
      </c>
      <c r="AE71">
        <f>IFERROR(AC71/E71,0)</f>
        <v>1.8847006651884702E-2</v>
      </c>
      <c r="AF71">
        <f>IFERROR(AD71/E71,0)</f>
        <v>1.9443736141906873</v>
      </c>
      <c r="AG71">
        <f>VLOOKUP($B71,[15]分省年度数据!$A$1:$IV$65536,11,FALSE)</f>
        <v>3451</v>
      </c>
      <c r="AH71">
        <f>VLOOKUP(B71,[4]分省年度数据!$A$1:$IV$65536,11,FALSE)</f>
        <v>17913</v>
      </c>
      <c r="AI71">
        <f>VLOOKUP(B71,[3]分省年度数据!$A$1:$IV$65536,11,FALSE)</f>
        <v>116.54</v>
      </c>
      <c r="AJ71">
        <f>VLOOKUP($B71,[18]分省年度数据!$A$1:$IS$65529,11,FALSE)</f>
        <v>96.2</v>
      </c>
      <c r="AK71">
        <f>VLOOKUP($B71,[19]分省年度数据!$A$1:$IS$65529,11,FALSE)</f>
        <v>86.23</v>
      </c>
      <c r="AL71">
        <f>VLOOKUP($B71,[20]分省年度数据!$A$1:$IS$65528,11,FALSE)</f>
        <v>12.78</v>
      </c>
      <c r="AM71">
        <f>VLOOKUP($B71,[21]分省年度数据!$A$1:$IS$65528,11,FALSE)</f>
        <v>5.13</v>
      </c>
      <c r="AN71">
        <f>VLOOKUP($B71,[22]分省年度数据!$A$1:$IS$65529,11,FALSE)</f>
        <v>12.1</v>
      </c>
    </row>
    <row r="72" spans="1:40" ht="16">
      <c r="A72">
        <v>31</v>
      </c>
      <c r="B72" t="s">
        <v>9</v>
      </c>
      <c r="C72">
        <v>2014</v>
      </c>
      <c r="D72" t="s">
        <v>34</v>
      </c>
      <c r="E72">
        <f>VLOOKUP(B72,[1]分省年度数据!$A$1:$IV$65536,11,FALSE)</f>
        <v>2467</v>
      </c>
      <c r="F72" s="4">
        <v>45966</v>
      </c>
      <c r="G72" s="2" t="str">
        <f>VLOOKUP(B72,[2]分省年度数据!$A$1:$IV$65536,11,FALSE)</f>
        <v/>
      </c>
      <c r="H72" s="2">
        <f>IFERROR(G72/E72,0)</f>
        <v>0</v>
      </c>
      <c r="N72">
        <v>24747.3</v>
      </c>
      <c r="O72">
        <f>N72/F72</f>
        <v>0.53838271766087975</v>
      </c>
      <c r="Q72" t="s">
        <v>56</v>
      </c>
      <c r="R72">
        <f>VLOOKUP(B72,[5]分省年度数据!$A$1:$O$65536,11,FALSE)</f>
        <v>4984</v>
      </c>
      <c r="S72">
        <f>VLOOKUP($B72,[6]分省年度数据!$A$1:$IV$65536,11,FALSE)</f>
        <v>11.75</v>
      </c>
      <c r="T72">
        <f>VLOOKUP($B72,[7]分省年度数据!$A$1:$IV$65536,11,FALSE)</f>
        <v>68</v>
      </c>
      <c r="U72">
        <f>VLOOKUP($B72,[8]分省年度数据!$A$1:$IV$65536,11,FALSE)</f>
        <v>11.1</v>
      </c>
      <c r="V72">
        <f>VLOOKUP($B72,[9]分省年度数据!$A$1:$IV$65536,11,FALSE)</f>
        <v>264.75</v>
      </c>
      <c r="W72">
        <f>VLOOKUP($B72,[10]分省年度数据!$A$1:$IV$65536,11,FALSE)</f>
        <v>9.27</v>
      </c>
      <c r="X72">
        <f>VLOOKUP($B72,[11]分省年度数据!$A$1:$IV$65536,11,FALSE)</f>
        <v>11.49</v>
      </c>
      <c r="Y72">
        <f>VLOOKUP($B72,[12]分省年度数据!$A$1:$IV$65536,11,FALSE)</f>
        <v>15.6</v>
      </c>
      <c r="AA72">
        <f>VLOOKUP($B72,[13]分省年度数据!$A$1:$IV$65536,11,FALSE)</f>
        <v>9892212</v>
      </c>
      <c r="AB72">
        <f>VLOOKUP($B72,[14]分省年度数据!$A$1:$IV$65536,11,FALSE)</f>
        <v>695.63</v>
      </c>
      <c r="AC72">
        <f>VLOOKUP($B72,[16]分省年度数据!$A$1:$IT$65532,11,FALSE)</f>
        <v>2685</v>
      </c>
      <c r="AD72">
        <f>VLOOKUP($B72,[17]分省年度数据!$A$1:$IS$65525,11,FALSE)</f>
        <v>9303.5</v>
      </c>
      <c r="AE72">
        <f>IFERROR(AC72/E72,0)</f>
        <v>1.0883664369679773</v>
      </c>
      <c r="AF72">
        <f>IFERROR(AD72/E72,0)</f>
        <v>3.771179570328334</v>
      </c>
      <c r="AG72">
        <f>VLOOKUP($B72,[15]分省年度数据!$A$1:$IV$65536,11,FALSE)</f>
        <v>1172</v>
      </c>
      <c r="AH72">
        <f>VLOOKUP(B72,[4]分省年度数据!$A$1:$IV$65536,11,FALSE)</f>
        <v>23897</v>
      </c>
      <c r="AI72">
        <f>VLOOKUP(B72,[3]分省年度数据!$A$1:$IV$65536,11,FALSE)</f>
        <v>186.4</v>
      </c>
      <c r="AJ72">
        <f>VLOOKUP($B72,[18]分省年度数据!$A$1:$IS$65529,11,FALSE)</f>
        <v>100</v>
      </c>
      <c r="AK72">
        <f>VLOOKUP($B72,[19]分省年度数据!$A$1:$IS$65529,11,FALSE)</f>
        <v>100</v>
      </c>
      <c r="AL72">
        <f>VLOOKUP($B72,[20]分省年度数据!$A$1:$IS$65528,11,FALSE)</f>
        <v>11.97</v>
      </c>
      <c r="AM72">
        <f>VLOOKUP($B72,[21]分省年度数据!$A$1:$IS$65528,11,FALSE)</f>
        <v>2.54</v>
      </c>
      <c r="AN72">
        <f>VLOOKUP($B72,[22]分省年度数据!$A$1:$IS$65529,11,FALSE)</f>
        <v>7.33</v>
      </c>
    </row>
    <row r="73" spans="1:40">
      <c r="A73">
        <v>32</v>
      </c>
      <c r="B73" t="s">
        <v>10</v>
      </c>
      <c r="C73">
        <v>2014</v>
      </c>
      <c r="D73" t="s">
        <v>34</v>
      </c>
      <c r="E73">
        <f>VLOOKUP(B73,[1]分省年度数据!$A$1:$IV$65536,11,FALSE)</f>
        <v>8281</v>
      </c>
      <c r="F73" s="4">
        <v>27173</v>
      </c>
      <c r="G73" s="2">
        <f>VLOOKUP(B73,[2]分省年度数据!$A$1:$IV$65536,11,FALSE)</f>
        <v>548.4</v>
      </c>
      <c r="H73" s="2">
        <f t="shared" ref="H73:H104" si="3">G73/E73</f>
        <v>6.6223886004105781E-2</v>
      </c>
      <c r="N73">
        <v>6932.5284615384608</v>
      </c>
      <c r="O73">
        <f>N73/F73</f>
        <v>0.25512561960543412</v>
      </c>
      <c r="Q73" t="s">
        <v>79</v>
      </c>
      <c r="R73">
        <f>VLOOKUP(B73,[5]分省年度数据!$A$1:$O$65536,11,FALSE)</f>
        <v>31995</v>
      </c>
      <c r="S73">
        <f>VLOOKUP($B73,[6]分省年度数据!$A$1:$IV$65536,11,FALSE)</f>
        <v>39.229999999999997</v>
      </c>
      <c r="T73">
        <f>VLOOKUP($B73,[7]分省年度数据!$A$1:$IV$65536,11,FALSE)</f>
        <v>58</v>
      </c>
      <c r="U73">
        <f>VLOOKUP($B73,[8]分省年度数据!$A$1:$IV$65536,11,FALSE)</f>
        <v>10.119999999999999</v>
      </c>
      <c r="V73">
        <f>VLOOKUP($B73,[9]分省年度数据!$A$1:$IV$65536,11,FALSE)</f>
        <v>560.92999999999995</v>
      </c>
      <c r="W73">
        <f>VLOOKUP($B73,[10]分省年度数据!$A$1:$IV$65536,11,FALSE)</f>
        <v>10.71</v>
      </c>
      <c r="X73">
        <f>VLOOKUP($B73,[11]分省年度数据!$A$1:$IV$65536,11,FALSE)</f>
        <v>10.6</v>
      </c>
      <c r="Y73">
        <f>VLOOKUP($B73,[12]分省年度数据!$A$1:$IV$65536,11,FALSE)</f>
        <v>17.45</v>
      </c>
      <c r="AA73">
        <f>VLOOKUP($B73,[13]分省年度数据!$A$1:$IV$65536,11,FALSE)</f>
        <v>20800931</v>
      </c>
      <c r="AB73">
        <f>VLOOKUP($B73,[14]分省年度数据!$A$1:$IV$65536,11,FALSE)</f>
        <v>1504.86</v>
      </c>
      <c r="AC73">
        <f>VLOOKUP($B73,[16]分省年度数据!$A$1:$IT$65532,11,FALSE)</f>
        <v>1460</v>
      </c>
      <c r="AD73">
        <f>VLOOKUP($B73,[17]分省年度数据!$A$1:$IS$65525,11,FALSE)</f>
        <v>23458.1</v>
      </c>
      <c r="AE73">
        <f>IFERROR(AC73/E73,0)</f>
        <v>0.17630720927424223</v>
      </c>
      <c r="AF73">
        <f>IFERROR(AD73/E73,0)</f>
        <v>2.8327617437507544</v>
      </c>
      <c r="AG73">
        <f>VLOOKUP($B73,[15]分省年度数据!$A$1:$IV$65536,11,FALSE)</f>
        <v>13187</v>
      </c>
      <c r="AH73">
        <f>VLOOKUP(B73,[4]分省年度数据!$A$1:$IV$65536,11,FALSE)</f>
        <v>54484</v>
      </c>
      <c r="AI73">
        <f>VLOOKUP(B73,[3]分省年度数据!$A$1:$IV$65536,11,FALSE)</f>
        <v>209.62</v>
      </c>
      <c r="AJ73">
        <f>VLOOKUP($B73,[18]分省年度数据!$A$1:$IS$65529,11,FALSE)</f>
        <v>99.75</v>
      </c>
      <c r="AK73">
        <f>VLOOKUP($B73,[19]分省年度数据!$A$1:$IS$65529,11,FALSE)</f>
        <v>99.49</v>
      </c>
      <c r="AL73">
        <f>VLOOKUP($B73,[20]分省年度数据!$A$1:$IS$65528,11,FALSE)</f>
        <v>15.08</v>
      </c>
      <c r="AM73">
        <f>VLOOKUP($B73,[21]分省年度数据!$A$1:$IS$65528,11,FALSE)</f>
        <v>3.75</v>
      </c>
      <c r="AN73">
        <f>VLOOKUP($B73,[22]分省年度数据!$A$1:$IS$65529,11,FALSE)</f>
        <v>14.41</v>
      </c>
    </row>
    <row r="74" spans="1:40">
      <c r="A74">
        <v>33</v>
      </c>
      <c r="B74" t="s">
        <v>11</v>
      </c>
      <c r="C74">
        <v>2014</v>
      </c>
      <c r="D74" t="s">
        <v>34</v>
      </c>
      <c r="E74">
        <f>VLOOKUP(B74,[1]分省年度数据!$A$1:$IV$65536,11,FALSE)</f>
        <v>5890</v>
      </c>
      <c r="F74" s="4">
        <v>32658</v>
      </c>
      <c r="G74" s="2">
        <f>VLOOKUP(B74,[2]分省年度数据!$A$1:$IV$65536,11,FALSE)</f>
        <v>471.4</v>
      </c>
      <c r="H74" s="2">
        <f t="shared" si="3"/>
        <v>8.0033955857385389E-2</v>
      </c>
      <c r="N74">
        <v>9744.0727272727272</v>
      </c>
      <c r="O74">
        <f>N74/F74</f>
        <v>0.29836709924896587</v>
      </c>
      <c r="Q74" t="s">
        <v>56</v>
      </c>
      <c r="R74">
        <f>VLOOKUP(B74,[5]分省年度数据!$A$1:$O$65536,11,FALSE)</f>
        <v>30358</v>
      </c>
      <c r="S74">
        <f>VLOOKUP($B74,[6]分省年度数据!$A$1:$IV$65536,11,FALSE)</f>
        <v>24.58</v>
      </c>
      <c r="T74">
        <f>VLOOKUP($B74,[7]分省年度数据!$A$1:$IV$65536,11,FALSE)</f>
        <v>68</v>
      </c>
      <c r="U74">
        <f>VLOOKUP($B74,[8]分省年度数据!$A$1:$IV$65536,11,FALSE)</f>
        <v>10.029999999999999</v>
      </c>
      <c r="V74">
        <f>VLOOKUP($B74,[9]分省年度数据!$A$1:$IV$65536,11,FALSE)</f>
        <v>433.8</v>
      </c>
      <c r="W74">
        <f>VLOOKUP($B74,[10]分省年度数据!$A$1:$IV$65536,11,FALSE)</f>
        <v>12.06</v>
      </c>
      <c r="X74">
        <f>VLOOKUP($B74,[11]分省年度数据!$A$1:$IV$65536,11,FALSE)</f>
        <v>12.59</v>
      </c>
      <c r="Y74">
        <f>VLOOKUP($B74,[12]分省年度数据!$A$1:$IV$65536,11,FALSE)</f>
        <v>18.62</v>
      </c>
      <c r="AA74">
        <f>VLOOKUP($B74,[13]分省年度数据!$A$1:$IV$65536,11,FALSE)</f>
        <v>16079755</v>
      </c>
      <c r="AB74">
        <f>VLOOKUP($B74,[14]分省年度数据!$A$1:$IV$65536,11,FALSE)</f>
        <v>1030.99</v>
      </c>
      <c r="AC74">
        <f>VLOOKUP($B74,[16]分省年度数据!$A$1:$IT$65532,11,FALSE)</f>
        <v>1728</v>
      </c>
      <c r="AD74">
        <f>VLOOKUP($B74,[17]分省年度数据!$A$1:$IS$65525,11,FALSE)</f>
        <v>17835.3</v>
      </c>
      <c r="AE74">
        <f>IFERROR(AC74/E74,0)</f>
        <v>0.2933786078098472</v>
      </c>
      <c r="AF74">
        <f>IFERROR(AD74/E74,0)</f>
        <v>3.028064516129032</v>
      </c>
      <c r="AG74">
        <f>VLOOKUP($B74,[15]分省年度数据!$A$1:$IV$65536,11,FALSE)</f>
        <v>17135</v>
      </c>
      <c r="AH74">
        <f>VLOOKUP(B74,[4]分省年度数据!$A$1:$IV$65536,11,FALSE)</f>
        <v>50186</v>
      </c>
      <c r="AI74">
        <f>VLOOKUP(B74,[3]分省年度数据!$A$1:$IV$65536,11,FALSE)</f>
        <v>197.01</v>
      </c>
      <c r="AJ74">
        <f>VLOOKUP($B74,[18]分省年度数据!$A$1:$IS$65529,11,FALSE)</f>
        <v>99.93</v>
      </c>
      <c r="AK74">
        <f>VLOOKUP($B74,[19]分省年度数据!$A$1:$IS$65529,11,FALSE)</f>
        <v>99.81</v>
      </c>
      <c r="AL74">
        <f>VLOOKUP($B74,[20]分省年度数据!$A$1:$IS$65528,11,FALSE)</f>
        <v>15.46</v>
      </c>
      <c r="AM74">
        <f>VLOOKUP($B74,[21]分省年度数据!$A$1:$IS$65528,11,FALSE)</f>
        <v>3.96</v>
      </c>
      <c r="AN74">
        <f>VLOOKUP($B74,[22]分省年度数据!$A$1:$IS$65529,11,FALSE)</f>
        <v>12.9</v>
      </c>
    </row>
    <row r="75" spans="1:40">
      <c r="A75">
        <v>34</v>
      </c>
      <c r="B75" t="s">
        <v>12</v>
      </c>
      <c r="C75">
        <v>2014</v>
      </c>
      <c r="D75" t="s">
        <v>34</v>
      </c>
      <c r="E75">
        <f>VLOOKUP(B75,[1]分省年度数据!$A$1:$IV$65536,11,FALSE)</f>
        <v>5997</v>
      </c>
      <c r="F75" s="4">
        <v>16796</v>
      </c>
      <c r="G75" s="2">
        <f>VLOOKUP(B75,[2]分省年度数据!$A$1:$IV$65536,11,FALSE)</f>
        <v>1201.5999999999999</v>
      </c>
      <c r="H75" s="2">
        <f t="shared" si="3"/>
        <v>0.20036685009171251</v>
      </c>
      <c r="N75">
        <v>5018.7650000000003</v>
      </c>
      <c r="O75">
        <f>N75/F75</f>
        <v>0.29880715646582523</v>
      </c>
      <c r="Q75" t="s">
        <v>79</v>
      </c>
      <c r="R75">
        <f>VLOOKUP(B75,[5]分省年度数据!$A$1:$O$65536,11,FALSE)</f>
        <v>24824</v>
      </c>
      <c r="S75">
        <f>VLOOKUP($B75,[6]分省年度数据!$A$1:$IV$65536,11,FALSE)</f>
        <v>25.2</v>
      </c>
      <c r="T75">
        <f>VLOOKUP($B75,[7]分省年度数据!$A$1:$IV$65536,11,FALSE)</f>
        <v>44</v>
      </c>
      <c r="U75">
        <f>VLOOKUP($B75,[8]分省年度数据!$A$1:$IV$65536,11,FALSE)</f>
        <v>9.17</v>
      </c>
      <c r="V75">
        <f>VLOOKUP($B75,[9]分省年度数据!$A$1:$IV$65536,11,FALSE)</f>
        <v>425</v>
      </c>
      <c r="W75">
        <f>VLOOKUP($B75,[10]分省年度数据!$A$1:$IV$65536,11,FALSE)</f>
        <v>15.97</v>
      </c>
      <c r="X75">
        <f>VLOOKUP($B75,[11]分省年度数据!$A$1:$IV$65536,11,FALSE)</f>
        <v>12.4</v>
      </c>
      <c r="Y75">
        <f>VLOOKUP($B75,[12]分省年度数据!$A$1:$IV$65536,11,FALSE)</f>
        <v>17.45</v>
      </c>
      <c r="AA75">
        <f>VLOOKUP($B75,[13]分省年度数据!$A$1:$IV$65536,11,FALSE)</f>
        <v>10457811</v>
      </c>
      <c r="AB75">
        <f>VLOOKUP($B75,[14]分省年度数据!$A$1:$IV$65536,11,FALSE)</f>
        <v>743.07</v>
      </c>
      <c r="AC75">
        <f>VLOOKUP($B75,[16]分省年度数据!$A$1:$IT$65532,11,FALSE)</f>
        <v>583</v>
      </c>
      <c r="AD75">
        <f>VLOOKUP($B75,[17]分省年度数据!$A$1:$IS$65525,11,FALSE)</f>
        <v>7957</v>
      </c>
      <c r="AE75">
        <f>IFERROR(AC75/E75,0)</f>
        <v>9.7215274303818572E-2</v>
      </c>
      <c r="AF75">
        <f>IFERROR(AD75/E75,0)</f>
        <v>1.3268300817075205</v>
      </c>
      <c r="AG75">
        <f>VLOOKUP($B75,[15]分省年度数据!$A$1:$IV$65536,11,FALSE)</f>
        <v>16077</v>
      </c>
      <c r="AH75">
        <f>VLOOKUP(B75,[4]分省年度数据!$A$1:$IV$65536,11,FALSE)</f>
        <v>12319</v>
      </c>
      <c r="AI75">
        <f>VLOOKUP(B75,[3]分省年度数据!$A$1:$IV$65536,11,FALSE)</f>
        <v>166.72</v>
      </c>
      <c r="AJ75">
        <f>VLOOKUP($B75,[18]分省年度数据!$A$1:$IS$65529,11,FALSE)</f>
        <v>98.63</v>
      </c>
      <c r="AK75">
        <f>VLOOKUP($B75,[19]分省年度数据!$A$1:$IS$65529,11,FALSE)</f>
        <v>96.81</v>
      </c>
      <c r="AL75">
        <f>VLOOKUP($B75,[20]分省年度数据!$A$1:$IS$65528,11,FALSE)</f>
        <v>11.6</v>
      </c>
      <c r="AM75">
        <f>VLOOKUP($B75,[21]分省年度数据!$A$1:$IS$65528,11,FALSE)</f>
        <v>2.23</v>
      </c>
      <c r="AN75">
        <f>VLOOKUP($B75,[22]分省年度数据!$A$1:$IS$65529,11,FALSE)</f>
        <v>13.2</v>
      </c>
    </row>
    <row r="76" spans="1:40">
      <c r="A76">
        <v>35</v>
      </c>
      <c r="B76" t="s">
        <v>13</v>
      </c>
      <c r="C76">
        <v>2014</v>
      </c>
      <c r="D76" t="s">
        <v>34</v>
      </c>
      <c r="E76">
        <f>VLOOKUP(B76,[1]分省年度数据!$A$1:$IV$65536,11,FALSE)</f>
        <v>3945</v>
      </c>
      <c r="F76" s="4">
        <v>23331</v>
      </c>
      <c r="G76" s="2">
        <f>VLOOKUP(B76,[2]分省年度数据!$A$1:$IV$65536,11,FALSE)</f>
        <v>155.80000000000001</v>
      </c>
      <c r="H76" s="2">
        <f t="shared" si="3"/>
        <v>3.9493029150823832E-2</v>
      </c>
      <c r="N76">
        <v>7620.02</v>
      </c>
      <c r="O76">
        <f>N76/F76</f>
        <v>0.32660494620890662</v>
      </c>
      <c r="Q76" t="s">
        <v>57</v>
      </c>
      <c r="R76">
        <f>VLOOKUP(B76,[5]分省年度数据!$A$1:$O$65536,11,FALSE)</f>
        <v>28030</v>
      </c>
      <c r="S76">
        <f>VLOOKUP($B76,[6]分省年度数据!$A$1:$IV$65536,11,FALSE)</f>
        <v>16.48</v>
      </c>
      <c r="T76">
        <f>VLOOKUP($B76,[7]分省年度数据!$A$1:$IV$65536,11,FALSE)</f>
        <v>54</v>
      </c>
      <c r="U76">
        <f>VLOOKUP($B76,[8]分省年度数据!$A$1:$IV$65536,11,FALSE)</f>
        <v>8.65</v>
      </c>
      <c r="V76">
        <f>VLOOKUP($B76,[9]分省年度数据!$A$1:$IV$65536,11,FALSE)</f>
        <v>292.14</v>
      </c>
      <c r="W76">
        <f>VLOOKUP($B76,[10]分省年度数据!$A$1:$IV$65536,11,FALSE)</f>
        <v>12.35</v>
      </c>
      <c r="X76">
        <f>VLOOKUP($B76,[11]分省年度数据!$A$1:$IV$65536,11,FALSE)</f>
        <v>11.49</v>
      </c>
      <c r="Y76">
        <f>VLOOKUP($B76,[12]分省年度数据!$A$1:$IV$65536,11,FALSE)</f>
        <v>17.3</v>
      </c>
      <c r="AA76">
        <f>VLOOKUP($B76,[13]分省年度数据!$A$1:$IV$65536,11,FALSE)</f>
        <v>8928771</v>
      </c>
      <c r="AB76">
        <f>VLOOKUP($B76,[14]分省年度数据!$A$1:$IV$65536,11,FALSE)</f>
        <v>634.6</v>
      </c>
      <c r="AC76">
        <f>VLOOKUP($B76,[16]分省年度数据!$A$1:$IT$65532,11,FALSE)</f>
        <v>786</v>
      </c>
      <c r="AD76">
        <f>VLOOKUP($B76,[17]分省年度数据!$A$1:$IS$65525,11,FALSE)</f>
        <v>9346.7000000000007</v>
      </c>
      <c r="AE76">
        <f>IFERROR(AC76/E76,0)</f>
        <v>0.19923954372623573</v>
      </c>
      <c r="AF76">
        <f>IFERROR(AD76/E76,0)</f>
        <v>2.3692522179974653</v>
      </c>
      <c r="AG76">
        <f>VLOOKUP($B76,[15]分省年度数据!$A$1:$IV$65536,11,FALSE)</f>
        <v>8684</v>
      </c>
      <c r="AH76">
        <f>VLOOKUP(B76,[4]分省年度数据!$A$1:$IV$65536,11,FALSE)</f>
        <v>19675</v>
      </c>
      <c r="AI76">
        <f>VLOOKUP(B76,[3]分省年度数据!$A$1:$IV$65536,11,FALSE)</f>
        <v>180.98</v>
      </c>
      <c r="AJ76">
        <f>VLOOKUP($B76,[18]分省年度数据!$A$1:$IS$65529,11,FALSE)</f>
        <v>99.49</v>
      </c>
      <c r="AK76">
        <f>VLOOKUP($B76,[19]分省年度数据!$A$1:$IS$65529,11,FALSE)</f>
        <v>98.83</v>
      </c>
      <c r="AL76">
        <f>VLOOKUP($B76,[20]分省年度数据!$A$1:$IS$65528,11,FALSE)</f>
        <v>13.33</v>
      </c>
      <c r="AM76">
        <f>VLOOKUP($B76,[21]分省年度数据!$A$1:$IS$65528,11,FALSE)</f>
        <v>2.74</v>
      </c>
      <c r="AN76">
        <f>VLOOKUP($B76,[22]分省年度数据!$A$1:$IS$65529,11,FALSE)</f>
        <v>12.76</v>
      </c>
    </row>
    <row r="77" spans="1:40">
      <c r="A77">
        <v>36</v>
      </c>
      <c r="B77" t="s">
        <v>14</v>
      </c>
      <c r="C77">
        <v>2014</v>
      </c>
      <c r="D77" t="s">
        <v>34</v>
      </c>
      <c r="E77">
        <f>VLOOKUP(B77,[1]分省年度数据!$A$1:$IV$65536,11,FALSE)</f>
        <v>4480</v>
      </c>
      <c r="F77" s="4">
        <v>16734</v>
      </c>
      <c r="G77" s="2">
        <f>VLOOKUP(B77,[2]分省年度数据!$A$1:$IV$65536,11,FALSE)</f>
        <v>634.20000000000005</v>
      </c>
      <c r="H77" s="2">
        <f t="shared" si="3"/>
        <v>0.14156250000000001</v>
      </c>
      <c r="N77">
        <v>4951.0599999999986</v>
      </c>
      <c r="O77">
        <f>N77/F77</f>
        <v>0.29586829209991627</v>
      </c>
      <c r="Q77" t="s">
        <v>58</v>
      </c>
      <c r="R77">
        <f>VLOOKUP(B77,[5]分省年度数据!$A$1:$O$65536,11,FALSE)</f>
        <v>38873</v>
      </c>
      <c r="S77">
        <f>VLOOKUP($B77,[6]分省年度数据!$A$1:$IV$65536,11,FALSE)</f>
        <v>18.670000000000002</v>
      </c>
      <c r="T77">
        <f>VLOOKUP($B77,[7]分省年度数据!$A$1:$IV$65536,11,FALSE)</f>
        <v>44</v>
      </c>
      <c r="U77">
        <f>VLOOKUP($B77,[8]分省年度数据!$A$1:$IV$65536,11,FALSE)</f>
        <v>9.19</v>
      </c>
      <c r="V77">
        <f>VLOOKUP($B77,[9]分省年度数据!$A$1:$IV$65536,11,FALSE)</f>
        <v>338.45</v>
      </c>
      <c r="W77">
        <f>VLOOKUP($B77,[10]分省年度数据!$A$1:$IV$65536,11,FALSE)</f>
        <v>17.670000000000002</v>
      </c>
      <c r="X77">
        <f>VLOOKUP($B77,[11]分省年度数据!$A$1:$IV$65536,11,FALSE)</f>
        <v>14.42</v>
      </c>
      <c r="Y77">
        <f>VLOOKUP($B77,[12]分省年度数据!$A$1:$IV$65536,11,FALSE)</f>
        <v>19.64</v>
      </c>
      <c r="AA77">
        <f>VLOOKUP($B77,[13]分省年度数据!$A$1:$IV$65536,11,FALSE)</f>
        <v>8930127</v>
      </c>
      <c r="AB77">
        <f>VLOOKUP($B77,[14]分省年度数据!$A$1:$IV$65536,11,FALSE)</f>
        <v>711.72</v>
      </c>
      <c r="AC77">
        <f>VLOOKUP($B77,[16]分省年度数据!$A$1:$IT$65532,11,FALSE)</f>
        <v>112</v>
      </c>
      <c r="AD77">
        <f>VLOOKUP($B77,[17]分省年度数据!$A$1:$IS$65525,11,FALSE)</f>
        <v>5292.6</v>
      </c>
      <c r="AE77">
        <f>IFERROR(AC77/E77,0)</f>
        <v>2.5000000000000001E-2</v>
      </c>
      <c r="AF77">
        <f>IFERROR(AD77/E77,0)</f>
        <v>1.1813839285714287</v>
      </c>
      <c r="AG77">
        <f>VLOOKUP($B77,[15]分省年度数据!$A$1:$IV$65536,11,FALSE)</f>
        <v>2873</v>
      </c>
      <c r="AH77">
        <f>VLOOKUP(B77,[4]分省年度数据!$A$1:$IV$65536,11,FALSE)</f>
        <v>11718</v>
      </c>
      <c r="AI77">
        <f>VLOOKUP(B77,[3]分省年度数据!$A$1:$IV$65536,11,FALSE)</f>
        <v>178.71</v>
      </c>
      <c r="AJ77">
        <f>VLOOKUP($B77,[18]分省年度数据!$A$1:$IS$65529,11,FALSE)</f>
        <v>97.78</v>
      </c>
      <c r="AK77">
        <f>VLOOKUP($B77,[19]分省年度数据!$A$1:$IS$65529,11,FALSE)</f>
        <v>95.18</v>
      </c>
      <c r="AL77">
        <f>VLOOKUP($B77,[20]分省年度数据!$A$1:$IS$65528,11,FALSE)</f>
        <v>8.56</v>
      </c>
      <c r="AM77">
        <f>VLOOKUP($B77,[21]分省年度数据!$A$1:$IS$65528,11,FALSE)</f>
        <v>2.0099999999999998</v>
      </c>
      <c r="AN77">
        <f>VLOOKUP($B77,[22]分省年度数据!$A$1:$IS$65529,11,FALSE)</f>
        <v>14.13</v>
      </c>
    </row>
    <row r="78" spans="1:40">
      <c r="A78">
        <v>37</v>
      </c>
      <c r="B78" t="s">
        <v>15</v>
      </c>
      <c r="C78">
        <v>2014</v>
      </c>
      <c r="D78" t="s">
        <v>34</v>
      </c>
      <c r="E78">
        <f>VLOOKUP(B78,[1]分省年度数据!$A$1:$IV$65536,11,FALSE)</f>
        <v>9808</v>
      </c>
      <c r="F78" s="4">
        <v>20864</v>
      </c>
      <c r="G78" s="2">
        <f>VLOOKUP(B78,[2]分省年度数据!$A$1:$IV$65536,11,FALSE)</f>
        <v>959.8</v>
      </c>
      <c r="H78" s="2">
        <f t="shared" si="3"/>
        <v>9.7858890701468179E-2</v>
      </c>
      <c r="N78">
        <v>5186.5962500000014</v>
      </c>
      <c r="O78">
        <f>N78/F78</f>
        <v>0.24859069449769947</v>
      </c>
      <c r="Q78" t="s">
        <v>65</v>
      </c>
      <c r="R78">
        <f>VLOOKUP(B78,[5]分省年度数据!$A$1:$O$65536,11,FALSE)</f>
        <v>77012</v>
      </c>
      <c r="S78">
        <f>VLOOKUP($B78,[6]分省年度数据!$A$1:$IV$65536,11,FALSE)</f>
        <v>50.06</v>
      </c>
      <c r="T78">
        <f>VLOOKUP($B78,[7]分省年度数据!$A$1:$IV$65536,11,FALSE)</f>
        <v>62</v>
      </c>
      <c r="U78">
        <f>VLOOKUP($B78,[8]分省年度数据!$A$1:$IV$65536,11,FALSE)</f>
        <v>9.48</v>
      </c>
      <c r="V78">
        <f>VLOOKUP($B78,[9]分省年度数据!$A$1:$IV$65536,11,FALSE)</f>
        <v>605.66999999999996</v>
      </c>
      <c r="W78">
        <f>VLOOKUP($B78,[10]分省年度数据!$A$1:$IV$65536,11,FALSE)</f>
        <v>14.08</v>
      </c>
      <c r="X78">
        <f>VLOOKUP($B78,[11]分省年度数据!$A$1:$IV$65536,11,FALSE)</f>
        <v>11.87</v>
      </c>
      <c r="Y78">
        <f>VLOOKUP($B78,[12]分省年度数据!$A$1:$IV$65536,11,FALSE)</f>
        <v>16.670000000000002</v>
      </c>
      <c r="AA78">
        <f>VLOOKUP($B78,[13]分省年度数据!$A$1:$IV$65536,11,FALSE)</f>
        <v>18847752</v>
      </c>
      <c r="AB78">
        <f>VLOOKUP($B78,[14]分省年度数据!$A$1:$IV$65536,11,FALSE)</f>
        <v>1461.05</v>
      </c>
      <c r="AC78">
        <f>VLOOKUP($B78,[16]分省年度数据!$A$1:$IT$65532,11,FALSE)</f>
        <v>438</v>
      </c>
      <c r="AD78">
        <f>VLOOKUP($B78,[17]分省年度数据!$A$1:$IS$65525,11,FALSE)</f>
        <v>25111.5</v>
      </c>
      <c r="AE78">
        <f>IFERROR(AC78/E78,0)</f>
        <v>4.4657422512234909E-2</v>
      </c>
      <c r="AF78">
        <f>IFERROR(AD78/E78,0)</f>
        <v>2.5603079119086458</v>
      </c>
      <c r="AG78">
        <f>VLOOKUP($B78,[15]分省年度数据!$A$1:$IV$65536,11,FALSE)</f>
        <v>13570</v>
      </c>
      <c r="AH78">
        <f>VLOOKUP(B78,[4]分省年度数据!$A$1:$IV$65536,11,FALSE)</f>
        <v>59238</v>
      </c>
      <c r="AI78">
        <f>VLOOKUP(B78,[3]分省年度数据!$A$1:$IV$65536,11,FALSE)</f>
        <v>138.78</v>
      </c>
      <c r="AJ78">
        <f>VLOOKUP($B78,[18]分省年度数据!$A$1:$IS$65529,11,FALSE)</f>
        <v>99.92</v>
      </c>
      <c r="AK78">
        <f>VLOOKUP($B78,[19]分省年度数据!$A$1:$IS$65529,11,FALSE)</f>
        <v>99.49</v>
      </c>
      <c r="AL78">
        <f>VLOOKUP($B78,[20]分省年度数据!$A$1:$IS$65528,11,FALSE)</f>
        <v>13.17</v>
      </c>
      <c r="AM78">
        <f>VLOOKUP($B78,[21]分省年度数据!$A$1:$IS$65528,11,FALSE)</f>
        <v>2</v>
      </c>
      <c r="AN78">
        <f>VLOOKUP($B78,[22]分省年度数据!$A$1:$IS$65529,11,FALSE)</f>
        <v>17.100000000000001</v>
      </c>
    </row>
    <row r="79" spans="1:40">
      <c r="A79">
        <v>41</v>
      </c>
      <c r="B79" t="s">
        <v>16</v>
      </c>
      <c r="C79">
        <v>2014</v>
      </c>
      <c r="D79" t="s">
        <v>35</v>
      </c>
      <c r="E79">
        <f>VLOOKUP(B79,[1]分省年度数据!$A$1:$IV$65536,11,FALSE)</f>
        <v>9645</v>
      </c>
      <c r="F79" s="4">
        <v>15695</v>
      </c>
      <c r="G79" s="2">
        <f>VLOOKUP(B79,[2]分省年度数据!$A$1:$IV$65536,11,FALSE)</f>
        <v>2491</v>
      </c>
      <c r="H79" s="2">
        <f t="shared" si="3"/>
        <v>0.25826853291861068</v>
      </c>
      <c r="N79">
        <v>4140.4141176470584</v>
      </c>
      <c r="O79">
        <f>N79/F79</f>
        <v>0.26380465865862113</v>
      </c>
      <c r="Q79" t="s">
        <v>62</v>
      </c>
      <c r="R79">
        <f>VLOOKUP(B79,[5]分省年度数据!$A$1:$O$65536,11,FALSE)</f>
        <v>71154</v>
      </c>
      <c r="S79">
        <f>VLOOKUP($B79,[6]分省年度数据!$A$1:$IV$65536,11,FALSE)</f>
        <v>45.93</v>
      </c>
      <c r="T79">
        <f>VLOOKUP($B79,[7]分省年度数据!$A$1:$IV$65536,11,FALSE)</f>
        <v>52</v>
      </c>
      <c r="U79">
        <f>VLOOKUP($B79,[8]分省年度数据!$A$1:$IV$65536,11,FALSE)</f>
        <v>9.91</v>
      </c>
      <c r="V79">
        <f>VLOOKUP($B79,[9]分省年度数据!$A$1:$IV$65536,11,FALSE)</f>
        <v>602.95000000000005</v>
      </c>
      <c r="W79">
        <f>VLOOKUP($B79,[10]分省年度数据!$A$1:$IV$65536,11,FALSE)</f>
        <v>17.11</v>
      </c>
      <c r="X79">
        <f>VLOOKUP($B79,[11]分省年度数据!$A$1:$IV$65536,11,FALSE)</f>
        <v>14.09</v>
      </c>
      <c r="Y79">
        <f>VLOOKUP($B79,[12]分省年度数据!$A$1:$IV$65536,11,FALSE)</f>
        <v>18.8</v>
      </c>
      <c r="AA79">
        <f>VLOOKUP($B79,[13]分省年度数据!$A$1:$IV$65536,11,FALSE)</f>
        <v>16385611</v>
      </c>
      <c r="AB79">
        <f>VLOOKUP($B79,[14]分省年度数据!$A$1:$IV$65536,11,FALSE)</f>
        <v>1201.3800000000001</v>
      </c>
      <c r="AC79">
        <f>VLOOKUP($B79,[16]分省年度数据!$A$1:$IT$65532,11,FALSE)</f>
        <v>210</v>
      </c>
      <c r="AD79">
        <f>VLOOKUP($B79,[17]分省年度数据!$A$1:$IS$65525,11,FALSE)</f>
        <v>14005</v>
      </c>
      <c r="AE79">
        <f>IFERROR(AC79/E79,0)</f>
        <v>2.177293934681182E-2</v>
      </c>
      <c r="AF79">
        <f>IFERROR(AD79/E79,0)</f>
        <v>1.452047693105236</v>
      </c>
      <c r="AG79">
        <f>VLOOKUP($B79,[15]分省年度数据!$A$1:$IV$65536,11,FALSE)</f>
        <v>6355</v>
      </c>
      <c r="AH79">
        <f>VLOOKUP(B79,[4]分省年度数据!$A$1:$IV$65536,11,FALSE)</f>
        <v>20840</v>
      </c>
      <c r="AI79">
        <f>VLOOKUP(B79,[3]分省年度数据!$A$1:$IV$65536,11,FALSE)</f>
        <v>107.44</v>
      </c>
      <c r="AJ79">
        <f>VLOOKUP($B79,[18]分省年度数据!$A$1:$IS$65529,11,FALSE)</f>
        <v>92.99</v>
      </c>
      <c r="AK79">
        <f>VLOOKUP($B79,[19]分省年度数据!$A$1:$IS$65529,11,FALSE)</f>
        <v>83.76</v>
      </c>
      <c r="AL79">
        <f>VLOOKUP($B79,[20]分省年度数据!$A$1:$IS$65528,11,FALSE)</f>
        <v>9.75</v>
      </c>
      <c r="AM79">
        <f>VLOOKUP($B79,[21]分省年度数据!$A$1:$IS$65528,11,FALSE)</f>
        <v>3.01</v>
      </c>
      <c r="AN79">
        <f>VLOOKUP($B79,[22]分省年度数据!$A$1:$IS$65529,11,FALSE)</f>
        <v>9.93</v>
      </c>
    </row>
    <row r="80" spans="1:40">
      <c r="A80">
        <v>42</v>
      </c>
      <c r="B80" t="s">
        <v>17</v>
      </c>
      <c r="C80">
        <v>2014</v>
      </c>
      <c r="D80" t="s">
        <v>35</v>
      </c>
      <c r="E80">
        <f>VLOOKUP(B80,[1]分省年度数据!$A$1:$IV$65536,11,FALSE)</f>
        <v>5816</v>
      </c>
      <c r="F80" s="4">
        <v>18283</v>
      </c>
      <c r="G80" s="2">
        <f>VLOOKUP(B80,[2]分省年度数据!$A$1:$IV$65536,11,FALSE)</f>
        <v>986.9</v>
      </c>
      <c r="H80" s="2">
        <f t="shared" si="3"/>
        <v>0.16968707015130674</v>
      </c>
      <c r="N80">
        <v>4414.8133333333344</v>
      </c>
      <c r="O80">
        <f>N80/F80</f>
        <v>0.24147094751043779</v>
      </c>
      <c r="Q80" t="s">
        <v>55</v>
      </c>
      <c r="R80">
        <f>VLOOKUP(B80,[5]分省年度数据!$A$1:$O$65536,11,FALSE)</f>
        <v>36077</v>
      </c>
      <c r="S80">
        <f>VLOOKUP($B80,[6]分省年度数据!$A$1:$IV$65536,11,FALSE)</f>
        <v>31.75</v>
      </c>
      <c r="T80">
        <f>VLOOKUP($B80,[7]分省年度数据!$A$1:$IV$65536,11,FALSE)</f>
        <v>58</v>
      </c>
      <c r="U80">
        <f>VLOOKUP($B80,[8]分省年度数据!$A$1:$IV$65536,11,FALSE)</f>
        <v>9.74</v>
      </c>
      <c r="V80">
        <f>VLOOKUP($B80,[9]分省年度数据!$A$1:$IV$65536,11,FALSE)</f>
        <v>401.32</v>
      </c>
      <c r="W80">
        <f>VLOOKUP($B80,[10]分省年度数据!$A$1:$IV$65536,11,FALSE)</f>
        <v>13.49</v>
      </c>
      <c r="X80">
        <f>VLOOKUP($B80,[11]分省年度数据!$A$1:$IV$65536,11,FALSE)</f>
        <v>10.3</v>
      </c>
      <c r="Y80">
        <f>VLOOKUP($B80,[12]分省年度数据!$A$1:$IV$65536,11,FALSE)</f>
        <v>16.12</v>
      </c>
      <c r="AA80">
        <f>VLOOKUP($B80,[13]分省年度数据!$A$1:$IV$65536,11,FALSE)</f>
        <v>9874547</v>
      </c>
      <c r="AB80">
        <f>VLOOKUP($B80,[14]分省年度数据!$A$1:$IV$65536,11,FALSE)</f>
        <v>773.35</v>
      </c>
      <c r="AC80">
        <f>VLOOKUP($B80,[16]分省年度数据!$A$1:$IT$65532,11,FALSE)</f>
        <v>649</v>
      </c>
      <c r="AD80">
        <f>VLOOKUP($B80,[17]分省年度数据!$A$1:$IS$65525,11,FALSE)</f>
        <v>12449.3</v>
      </c>
      <c r="AE80">
        <f>IFERROR(AC80/E80,0)</f>
        <v>0.11158872077028886</v>
      </c>
      <c r="AF80">
        <f>IFERROR(AD80/E80,0)</f>
        <v>2.1405261348005502</v>
      </c>
      <c r="AG80">
        <f>VLOOKUP($B80,[15]分省年度数据!$A$1:$IV$65536,11,FALSE)</f>
        <v>5271</v>
      </c>
      <c r="AH80">
        <f>VLOOKUP(B80,[4]分省年度数据!$A$1:$IV$65536,11,FALSE)</f>
        <v>18446</v>
      </c>
      <c r="AI80">
        <f>VLOOKUP(B80,[3]分省年度数据!$A$1:$IV$65536,11,FALSE)</f>
        <v>210.6</v>
      </c>
      <c r="AJ80">
        <f>VLOOKUP($B80,[18]分省年度数据!$A$1:$IS$65529,11,FALSE)</f>
        <v>98.75</v>
      </c>
      <c r="AK80">
        <f>VLOOKUP($B80,[19]分省年度数据!$A$1:$IS$65529,11,FALSE)</f>
        <v>94.71</v>
      </c>
      <c r="AL80">
        <f>VLOOKUP($B80,[20]分省年度数据!$A$1:$IS$65528,11,FALSE)</f>
        <v>11.91</v>
      </c>
      <c r="AM80">
        <f>VLOOKUP($B80,[21]分省年度数据!$A$1:$IS$65528,11,FALSE)</f>
        <v>2.73</v>
      </c>
      <c r="AN80">
        <f>VLOOKUP($B80,[22]分省年度数据!$A$1:$IS$65529,11,FALSE)</f>
        <v>11.1</v>
      </c>
    </row>
    <row r="81" spans="1:40">
      <c r="A81">
        <v>43</v>
      </c>
      <c r="B81" t="s">
        <v>18</v>
      </c>
      <c r="C81">
        <v>2014</v>
      </c>
      <c r="D81" t="s">
        <v>35</v>
      </c>
      <c r="E81">
        <f>VLOOKUP(B81,[1]分省年度数据!$A$1:$IV$65536,11,FALSE)</f>
        <v>6611</v>
      </c>
      <c r="F81" s="4">
        <v>17622</v>
      </c>
      <c r="G81" s="2">
        <f>VLOOKUP(B81,[2]分省年度数据!$A$1:$IV$65536,11,FALSE)</f>
        <v>1704.9</v>
      </c>
      <c r="H81" s="2">
        <f t="shared" si="3"/>
        <v>0.25788836787172897</v>
      </c>
      <c r="N81">
        <v>4031.333076923077</v>
      </c>
      <c r="O81">
        <f>N81/F81</f>
        <v>0.22876705691312432</v>
      </c>
      <c r="Q81" t="s">
        <v>53</v>
      </c>
      <c r="R81">
        <f>VLOOKUP(B81,[5]分省年度数据!$A$1:$O$65536,11,FALSE)</f>
        <v>61571</v>
      </c>
      <c r="S81">
        <f>VLOOKUP($B81,[6]分省年度数据!$A$1:$IV$65536,11,FALSE)</f>
        <v>35.549999999999997</v>
      </c>
      <c r="T81">
        <f>VLOOKUP($B81,[7]分省年度数据!$A$1:$IV$65536,11,FALSE)</f>
        <v>51</v>
      </c>
      <c r="U81">
        <f>VLOOKUP($B81,[8]分省年度数据!$A$1:$IV$65536,11,FALSE)</f>
        <v>9.4</v>
      </c>
      <c r="V81">
        <f>VLOOKUP($B81,[9]分省年度数据!$A$1:$IV$65536,11,FALSE)</f>
        <v>422.4</v>
      </c>
      <c r="W81">
        <f>VLOOKUP($B81,[10]分省年度数据!$A$1:$IV$65536,11,FALSE)</f>
        <v>15.44</v>
      </c>
      <c r="X81">
        <f>VLOOKUP($B81,[11]分省年度数据!$A$1:$IV$65536,11,FALSE)</f>
        <v>12.97</v>
      </c>
      <c r="Y81">
        <f>VLOOKUP($B81,[12]分省年度数据!$A$1:$IV$65536,11,FALSE)</f>
        <v>19.100000000000001</v>
      </c>
      <c r="AA81">
        <f>VLOOKUP($B81,[13]分省年度数据!$A$1:$IV$65536,11,FALSE)</f>
        <v>11285463</v>
      </c>
      <c r="AB81">
        <f>VLOOKUP($B81,[14]分省年度数据!$A$1:$IV$65536,11,FALSE)</f>
        <v>833.27</v>
      </c>
      <c r="AC81">
        <f>VLOOKUP($B81,[16]分省年度数据!$A$1:$IT$65532,11,FALSE)</f>
        <v>621</v>
      </c>
      <c r="AD81">
        <f>VLOOKUP($B81,[17]分省年度数据!$A$1:$IS$65525,11,FALSE)</f>
        <v>10723.5</v>
      </c>
      <c r="AE81">
        <f>IFERROR(AC81/E81,0)</f>
        <v>9.3934351837846014E-2</v>
      </c>
      <c r="AF81">
        <f>IFERROR(AD81/E81,0)</f>
        <v>1.6220692784752684</v>
      </c>
      <c r="AG81">
        <f>VLOOKUP($B81,[15]分省年度数据!$A$1:$IV$65536,11,FALSE)</f>
        <v>8542</v>
      </c>
      <c r="AH81">
        <f>VLOOKUP(B81,[4]分省年度数据!$A$1:$IV$65536,11,FALSE)</f>
        <v>14676</v>
      </c>
      <c r="AI81">
        <f>VLOOKUP(B81,[3]分省年度数据!$A$1:$IV$65536,11,FALSE)</f>
        <v>202.96</v>
      </c>
      <c r="AJ81">
        <f>VLOOKUP($B81,[18]分省年度数据!$A$1:$IS$65529,11,FALSE)</f>
        <v>97.05</v>
      </c>
      <c r="AK81">
        <f>VLOOKUP($B81,[19]分省年度数据!$A$1:$IS$65529,11,FALSE)</f>
        <v>91.24</v>
      </c>
      <c r="AL81">
        <f>VLOOKUP($B81,[20]分省年度数据!$A$1:$IS$65528,11,FALSE)</f>
        <v>12.46</v>
      </c>
      <c r="AM81">
        <f>VLOOKUP($B81,[21]分省年度数据!$A$1:$IS$65528,11,FALSE)</f>
        <v>2.31</v>
      </c>
      <c r="AN81">
        <f>VLOOKUP($B81,[22]分省年度数据!$A$1:$IS$65529,11,FALSE)</f>
        <v>9.85</v>
      </c>
    </row>
    <row r="82" spans="1:40">
      <c r="A82">
        <v>44</v>
      </c>
      <c r="B82" t="s">
        <v>19</v>
      </c>
      <c r="C82">
        <v>2014</v>
      </c>
      <c r="D82" t="s">
        <v>35</v>
      </c>
      <c r="E82">
        <f>VLOOKUP(B82,[1]分省年度数据!$A$1:$IV$65536,11,FALSE)</f>
        <v>11489</v>
      </c>
      <c r="F82" s="4">
        <v>25685</v>
      </c>
      <c r="G82" s="2">
        <f>VLOOKUP(B82,[2]分省年度数据!$A$1:$IV$65536,11,FALSE)</f>
        <v>742.8</v>
      </c>
      <c r="H82" s="2">
        <f t="shared" si="3"/>
        <v>6.4653146487944985E-2</v>
      </c>
      <c r="N82">
        <v>9135.4414285714302</v>
      </c>
      <c r="O82">
        <f>N82/F82</f>
        <v>0.3556722378264135</v>
      </c>
      <c r="Q82" t="s">
        <v>54</v>
      </c>
      <c r="R82">
        <f>VLOOKUP(B82,[5]分省年度数据!$A$1:$O$65536,11,FALSE)</f>
        <v>48085</v>
      </c>
      <c r="S82">
        <f>VLOOKUP($B82,[6]分省年度数据!$A$1:$IV$65536,11,FALSE)</f>
        <v>40.58</v>
      </c>
      <c r="T82">
        <f>VLOOKUP($B82,[7]分省年度数据!$A$1:$IV$65536,11,FALSE)</f>
        <v>54</v>
      </c>
      <c r="U82">
        <f>VLOOKUP($B82,[8]分省年度数据!$A$1:$IV$65536,11,FALSE)</f>
        <v>8.7899999999999991</v>
      </c>
      <c r="V82">
        <f>VLOOKUP($B82,[9]分省年度数据!$A$1:$IV$65536,11,FALSE)</f>
        <v>777.55</v>
      </c>
      <c r="W82">
        <f>VLOOKUP($B82,[10]分省年度数据!$A$1:$IV$65536,11,FALSE)</f>
        <v>14.43</v>
      </c>
      <c r="X82">
        <f>VLOOKUP($B82,[11]分省年度数据!$A$1:$IV$65536,11,FALSE)</f>
        <v>13.53</v>
      </c>
      <c r="Y82">
        <f>VLOOKUP($B82,[12]分省年度数据!$A$1:$IV$65536,11,FALSE)</f>
        <v>18.309999999999999</v>
      </c>
      <c r="AA82">
        <f>VLOOKUP($B82,[13]分省年度数据!$A$1:$IV$65536,11,FALSE)</f>
        <v>27356552</v>
      </c>
      <c r="AB82">
        <f>VLOOKUP($B82,[14]分省年度数据!$A$1:$IV$65536,11,FALSE)</f>
        <v>1808.97</v>
      </c>
      <c r="AC82">
        <f>VLOOKUP($B82,[16]分省年度数据!$A$1:$IT$65532,11,FALSE)</f>
        <v>3403</v>
      </c>
      <c r="AD82">
        <f>VLOOKUP($B82,[17]分省年度数据!$A$1:$IS$65525,11,FALSE)</f>
        <v>28471.1</v>
      </c>
      <c r="AE82">
        <f>IFERROR(AC82/E82,0)</f>
        <v>0.29619636173731395</v>
      </c>
      <c r="AF82">
        <f>IFERROR(AD82/E82,0)</f>
        <v>2.4781182000174078</v>
      </c>
      <c r="AG82">
        <f>VLOOKUP($B82,[15]分省年度数据!$A$1:$IV$65536,11,FALSE)</f>
        <v>26445</v>
      </c>
      <c r="AH82">
        <f>VLOOKUP(B82,[4]分省年度数据!$A$1:$IV$65536,11,FALSE)</f>
        <v>94131</v>
      </c>
      <c r="AI82">
        <f>VLOOKUP(B82,[3]分省年度数据!$A$1:$IV$65536,11,FALSE)</f>
        <v>247.51</v>
      </c>
      <c r="AJ82">
        <f>VLOOKUP($B82,[18]分省年度数据!$A$1:$IS$65529,11,FALSE)</f>
        <v>97.26</v>
      </c>
      <c r="AK82">
        <f>VLOOKUP($B82,[19]分省年度数据!$A$1:$IS$65529,11,FALSE)</f>
        <v>96.64</v>
      </c>
      <c r="AL82">
        <f>VLOOKUP($B82,[20]分省年度数据!$A$1:$IS$65528,11,FALSE)</f>
        <v>13.28</v>
      </c>
      <c r="AM82">
        <f>VLOOKUP($B82,[21]分省年度数据!$A$1:$IS$65528,11,FALSE)</f>
        <v>1.89</v>
      </c>
      <c r="AN82">
        <f>VLOOKUP($B82,[22]分省年度数据!$A$1:$IS$65529,11,FALSE)</f>
        <v>16.28</v>
      </c>
    </row>
    <row r="83" spans="1:40">
      <c r="A83">
        <v>45</v>
      </c>
      <c r="B83" t="s">
        <v>20</v>
      </c>
      <c r="C83">
        <v>2014</v>
      </c>
      <c r="D83" t="s">
        <v>35</v>
      </c>
      <c r="E83">
        <f>VLOOKUP(B83,[1]分省年度数据!$A$1:$IV$65536,11,FALSE)</f>
        <v>4770</v>
      </c>
      <c r="F83" s="4">
        <v>15557</v>
      </c>
      <c r="G83" s="2">
        <f>VLOOKUP(B83,[2]分省年度数据!$A$1:$IV$65536,11,FALSE)</f>
        <v>1100.5</v>
      </c>
      <c r="H83" s="2">
        <f t="shared" si="3"/>
        <v>0.23071278825995808</v>
      </c>
      <c r="N83">
        <v>4314.5435714285713</v>
      </c>
      <c r="O83">
        <f>N83/F83</f>
        <v>0.27733776251388903</v>
      </c>
      <c r="Q83" t="s">
        <v>55</v>
      </c>
      <c r="R83">
        <f>VLOOKUP(B83,[5]分省年度数据!$A$1:$O$65536,11,FALSE)</f>
        <v>34667</v>
      </c>
      <c r="S83">
        <f>VLOOKUP($B83,[6]分省年度数据!$A$1:$IV$65536,11,FALSE)</f>
        <v>20.16</v>
      </c>
      <c r="T83">
        <f>VLOOKUP($B83,[7]分省年度数据!$A$1:$IV$65536,11,FALSE)</f>
        <v>54</v>
      </c>
      <c r="U83">
        <f>VLOOKUP($B83,[8]分省年度数据!$A$1:$IV$65536,11,FALSE)</f>
        <v>8.99</v>
      </c>
      <c r="V83">
        <f>VLOOKUP($B83,[9]分省年度数据!$A$1:$IV$65536,11,FALSE)</f>
        <v>355.33</v>
      </c>
      <c r="W83">
        <f>VLOOKUP($B83,[10]分省年度数据!$A$1:$IV$65536,11,FALSE)</f>
        <v>17.329999999999998</v>
      </c>
      <c r="X83">
        <f>VLOOKUP($B83,[11]分省年度数据!$A$1:$IV$65536,11,FALSE)</f>
        <v>16.559999999999999</v>
      </c>
      <c r="Y83">
        <f>VLOOKUP($B83,[12]分省年度数据!$A$1:$IV$65536,11,FALSE)</f>
        <v>19.87</v>
      </c>
      <c r="AA83">
        <f>VLOOKUP($B83,[13]分省年度数据!$A$1:$IV$65536,11,FALSE)</f>
        <v>8586224</v>
      </c>
      <c r="AB83">
        <f>VLOOKUP($B83,[14]分省年度数据!$A$1:$IV$65536,11,FALSE)</f>
        <v>660.53</v>
      </c>
      <c r="AC83">
        <f>VLOOKUP($B83,[16]分省年度数据!$A$1:$IT$65532,11,FALSE)</f>
        <v>170</v>
      </c>
      <c r="AD83">
        <f>VLOOKUP($B83,[17]分省年度数据!$A$1:$IS$65525,11,FALSE)</f>
        <v>5772.8</v>
      </c>
      <c r="AE83">
        <f>IFERROR(AC83/E83,0)</f>
        <v>3.5639412997903561E-2</v>
      </c>
      <c r="AF83">
        <f>IFERROR(AD83/E83,0)</f>
        <v>1.2102306079664571</v>
      </c>
      <c r="AG83">
        <f>VLOOKUP($B83,[15]分省年度数据!$A$1:$IV$65536,11,FALSE)</f>
        <v>3942</v>
      </c>
      <c r="AH83">
        <f>VLOOKUP(B83,[4]分省年度数据!$A$1:$IV$65536,11,FALSE)</f>
        <v>10699</v>
      </c>
      <c r="AI83">
        <f>VLOOKUP(B83,[3]分省年度数据!$A$1:$IV$65536,11,FALSE)</f>
        <v>234.97</v>
      </c>
      <c r="AJ83">
        <f>VLOOKUP($B83,[18]分省年度数据!$A$1:$IS$65529,11,FALSE)</f>
        <v>94.4</v>
      </c>
      <c r="AK83">
        <f>VLOOKUP($B83,[19]分省年度数据!$A$1:$IS$65529,11,FALSE)</f>
        <v>92.99</v>
      </c>
      <c r="AL83">
        <f>VLOOKUP($B83,[20]分省年度数据!$A$1:$IS$65528,11,FALSE)</f>
        <v>9.19</v>
      </c>
      <c r="AM83">
        <f>VLOOKUP($B83,[21]分省年度数据!$A$1:$IS$65528,11,FALSE)</f>
        <v>2.15</v>
      </c>
      <c r="AN83">
        <f>VLOOKUP($B83,[22]分省年度数据!$A$1:$IS$65529,11,FALSE)</f>
        <v>11.19</v>
      </c>
    </row>
    <row r="84" spans="1:40">
      <c r="A84">
        <v>46</v>
      </c>
      <c r="B84" t="s">
        <v>21</v>
      </c>
      <c r="C84">
        <v>2014</v>
      </c>
      <c r="D84" t="s">
        <v>35</v>
      </c>
      <c r="E84">
        <f>VLOOKUP(B84,[1]分省年度数据!$A$1:$IV$65536,11,FALSE)</f>
        <v>936</v>
      </c>
      <c r="F84" s="4">
        <v>17476</v>
      </c>
      <c r="G84" s="2">
        <f>VLOOKUP(B84,[2]分省年度数据!$A$1:$IV$65536,11,FALSE)</f>
        <v>621.4</v>
      </c>
      <c r="H84" s="2">
        <f t="shared" si="3"/>
        <v>0.66388888888888886</v>
      </c>
      <c r="N84">
        <v>13768.32</v>
      </c>
      <c r="O84">
        <f>N84/F84</f>
        <v>0.78784161135271225</v>
      </c>
      <c r="Q84" t="s">
        <v>57</v>
      </c>
      <c r="R84">
        <f>VLOOKUP(B84,[5]分省年度数据!$A$1:$O$65536,11,FALSE)</f>
        <v>5075</v>
      </c>
      <c r="S84">
        <f>VLOOKUP($B84,[6]分省年度数据!$A$1:$IV$65536,11,FALSE)</f>
        <v>3.45</v>
      </c>
      <c r="T84">
        <f>VLOOKUP($B84,[7]分省年度数据!$A$1:$IV$65536,11,FALSE)</f>
        <v>56</v>
      </c>
      <c r="U84">
        <f>VLOOKUP($B84,[8]分省年度数据!$A$1:$IV$65536,11,FALSE)</f>
        <v>9.4700000000000006</v>
      </c>
      <c r="V84">
        <f>VLOOKUP($B84,[9]分省年度数据!$A$1:$IV$65536,11,FALSE)</f>
        <v>88.46</v>
      </c>
      <c r="W84">
        <f>VLOOKUP($B84,[10]分省年度数据!$A$1:$IV$65536,11,FALSE)</f>
        <v>14.46</v>
      </c>
      <c r="X84">
        <f>VLOOKUP($B84,[11]分省年度数据!$A$1:$IV$65536,11,FALSE)</f>
        <v>13.33</v>
      </c>
      <c r="Y84">
        <f>VLOOKUP($B84,[12]分省年度数据!$A$1:$IV$65536,11,FALSE)</f>
        <v>14.99</v>
      </c>
      <c r="AA84">
        <f>VLOOKUP($B84,[13]分省年度数据!$A$1:$IV$65536,11,FALSE)</f>
        <v>2413904</v>
      </c>
      <c r="AB84">
        <f>VLOOKUP($B84,[14]分省年度数据!$A$1:$IV$65536,11,FALSE)</f>
        <v>175.95</v>
      </c>
      <c r="AC84">
        <f>VLOOKUP($B84,[16]分省年度数据!$A$1:$IT$65532,11,FALSE)</f>
        <v>5</v>
      </c>
      <c r="AD84">
        <f>VLOOKUP($B84,[17]分省年度数据!$A$1:$IS$65525,11,FALSE)</f>
        <v>1224.5</v>
      </c>
      <c r="AE84">
        <f>IFERROR(AC84/E84,0)</f>
        <v>5.341880341880342E-3</v>
      </c>
      <c r="AF84">
        <f>IFERROR(AD84/E84,0)</f>
        <v>1.3082264957264957</v>
      </c>
      <c r="AG84">
        <f>VLOOKUP($B84,[15]分省年度数据!$A$1:$IV$65536,11,FALSE)</f>
        <v>2058</v>
      </c>
      <c r="AH84">
        <f>VLOOKUP(B84,[4]分省年度数据!$A$1:$IV$65536,11,FALSE)</f>
        <v>4758</v>
      </c>
      <c r="AI84">
        <f>VLOOKUP(B84,[3]分省年度数据!$A$1:$IV$65536,11,FALSE)</f>
        <v>243.54</v>
      </c>
      <c r="AJ84">
        <f>VLOOKUP($B84,[18]分省年度数据!$A$1:$IS$65529,11,FALSE)</f>
        <v>98.1</v>
      </c>
      <c r="AK84">
        <f>VLOOKUP($B84,[19]分省年度数据!$A$1:$IS$65529,11,FALSE)</f>
        <v>96.49</v>
      </c>
      <c r="AL84">
        <f>VLOOKUP($B84,[20]分省年度数据!$A$1:$IS$65528,11,FALSE)</f>
        <v>11.97</v>
      </c>
      <c r="AM84">
        <f>VLOOKUP($B84,[21]分省年度数据!$A$1:$IS$65528,11,FALSE)</f>
        <v>1.83</v>
      </c>
      <c r="AN84">
        <f>VLOOKUP($B84,[22]分省年度数据!$A$1:$IS$65529,11,FALSE)</f>
        <v>13.01</v>
      </c>
    </row>
    <row r="85" spans="1:40">
      <c r="A85">
        <v>50</v>
      </c>
      <c r="B85" t="s">
        <v>22</v>
      </c>
      <c r="C85">
        <v>2014</v>
      </c>
      <c r="D85" t="s">
        <v>36</v>
      </c>
      <c r="E85">
        <f>VLOOKUP(B85,[1]分省年度数据!$A$1:$IV$65536,11,FALSE)</f>
        <v>3043</v>
      </c>
      <c r="F85" s="4">
        <v>18352</v>
      </c>
      <c r="G85" s="2">
        <f>VLOOKUP(B85,[2]分省年度数据!$A$1:$IV$65536,11,FALSE)</f>
        <v>649.70000000000005</v>
      </c>
      <c r="H85" s="2">
        <f t="shared" si="3"/>
        <v>0.21350640814985214</v>
      </c>
      <c r="N85">
        <v>5484.92</v>
      </c>
      <c r="O85">
        <f>N85/F85</f>
        <v>0.29887314734088927</v>
      </c>
      <c r="Q85" t="s">
        <v>55</v>
      </c>
      <c r="R85">
        <f>VLOOKUP(B85,[5]分省年度数据!$A$1:$O$65536,11,FALSE)</f>
        <v>18767</v>
      </c>
      <c r="S85">
        <f>VLOOKUP($B85,[6]分省年度数据!$A$1:$IV$65536,11,FALSE)</f>
        <v>16.059999999999999</v>
      </c>
      <c r="T85">
        <f>VLOOKUP($B85,[7]分省年度数据!$A$1:$IV$65536,11,FALSE)</f>
        <v>52</v>
      </c>
      <c r="U85">
        <f>VLOOKUP($B85,[8]分省年度数据!$A$1:$IV$65536,11,FALSE)</f>
        <v>9.51</v>
      </c>
      <c r="V85">
        <f>VLOOKUP($B85,[9]分省年度数据!$A$1:$IV$65536,11,FALSE)</f>
        <v>246.34</v>
      </c>
      <c r="W85">
        <f>VLOOKUP($B85,[10]分省年度数据!$A$1:$IV$65536,11,FALSE)</f>
        <v>16.88</v>
      </c>
      <c r="X85">
        <f>VLOOKUP($B85,[11]分省年度数据!$A$1:$IV$65536,11,FALSE)</f>
        <v>12.94</v>
      </c>
      <c r="Y85">
        <f>VLOOKUP($B85,[12]分省年度数据!$A$1:$IV$65536,11,FALSE)</f>
        <v>17.48</v>
      </c>
      <c r="AA85">
        <f>VLOOKUP($B85,[13]分省年度数据!$A$1:$IV$65536,11,FALSE)</f>
        <v>6979973</v>
      </c>
      <c r="AB85">
        <f>VLOOKUP($B85,[14]分省年度数据!$A$1:$IV$65536,11,FALSE)</f>
        <v>469.98</v>
      </c>
      <c r="AC85">
        <f>VLOOKUP($B85,[16]分省年度数据!$A$1:$IT$65532,11,FALSE)</f>
        <v>2596</v>
      </c>
      <c r="AD85">
        <f>VLOOKUP($B85,[17]分省年度数据!$A$1:$IS$65525,11,FALSE)</f>
        <v>5710.7</v>
      </c>
      <c r="AE85">
        <f>IFERROR(AC85/E85,0)</f>
        <v>0.85310548800525798</v>
      </c>
      <c r="AF85">
        <f>IFERROR(AD85/E85,0)</f>
        <v>1.8766677620768977</v>
      </c>
      <c r="AG85">
        <f>VLOOKUP($B85,[15]分省年度数据!$A$1:$IV$65536,11,FALSE)</f>
        <v>5220</v>
      </c>
      <c r="AH85">
        <f>VLOOKUP(B85,[4]分省年度数据!$A$1:$IV$65536,11,FALSE)</f>
        <v>11989</v>
      </c>
      <c r="AI85">
        <f>VLOOKUP(B85,[3]分省年度数据!$A$1:$IV$65536,11,FALSE)</f>
        <v>146.13</v>
      </c>
      <c r="AJ85">
        <f>VLOOKUP($B85,[18]分省年度数据!$A$1:$IS$65529,11,FALSE)</f>
        <v>96.78</v>
      </c>
      <c r="AK85">
        <f>VLOOKUP($B85,[19]分省年度数据!$A$1:$IS$65529,11,FALSE)</f>
        <v>94.27</v>
      </c>
      <c r="AL85">
        <f>VLOOKUP($B85,[20]分省年度数据!$A$1:$IS$65528,11,FALSE)</f>
        <v>11.18</v>
      </c>
      <c r="AM85">
        <f>VLOOKUP($B85,[21]分省年度数据!$A$1:$IS$65528,11,FALSE)</f>
        <v>2.29</v>
      </c>
      <c r="AN85">
        <f>VLOOKUP($B85,[22]分省年度数据!$A$1:$IS$65529,11,FALSE)</f>
        <v>16.97</v>
      </c>
    </row>
    <row r="86" spans="1:40">
      <c r="A86">
        <v>51</v>
      </c>
      <c r="B86" t="s">
        <v>23</v>
      </c>
      <c r="C86">
        <v>2014</v>
      </c>
      <c r="D86" t="s">
        <v>36</v>
      </c>
      <c r="E86">
        <f>VLOOKUP(B86,[1]分省年度数据!$A$1:$IV$65536,11,FALSE)</f>
        <v>8139</v>
      </c>
      <c r="F86" s="4">
        <v>15749</v>
      </c>
      <c r="G86" s="2">
        <f>VLOOKUP(B86,[2]分省年度数据!$A$1:$IV$65536,11,FALSE)</f>
        <v>1611.9</v>
      </c>
      <c r="H86" s="2">
        <f t="shared" si="3"/>
        <v>0.198046443051972</v>
      </c>
      <c r="N86">
        <v>4709.37</v>
      </c>
      <c r="O86">
        <f>N86/F86</f>
        <v>0.29902660486380089</v>
      </c>
      <c r="Q86" t="s">
        <v>55</v>
      </c>
      <c r="R86">
        <f>VLOOKUP(B86,[5]分省年度数据!$A$1:$O$65536,11,FALSE)</f>
        <v>81070</v>
      </c>
      <c r="S86">
        <f>VLOOKUP($B86,[6]分省年度数据!$A$1:$IV$65536,11,FALSE)</f>
        <v>45.96</v>
      </c>
      <c r="T86">
        <f>VLOOKUP($B86,[7]分省年度数据!$A$1:$IV$65536,11,FALSE)</f>
        <v>56</v>
      </c>
      <c r="U86">
        <f>VLOOKUP($B86,[8]分省年度数据!$A$1:$IV$65536,11,FALSE)</f>
        <v>10.02</v>
      </c>
      <c r="V86">
        <f>VLOOKUP($B86,[9]分省年度数据!$A$1:$IV$65536,11,FALSE)</f>
        <v>584.1</v>
      </c>
      <c r="W86">
        <f>VLOOKUP($B86,[10]分省年度数据!$A$1:$IV$65536,11,FALSE)</f>
        <v>16.18</v>
      </c>
      <c r="X86">
        <f>VLOOKUP($B86,[11]分省年度数据!$A$1:$IV$65536,11,FALSE)</f>
        <v>12.86</v>
      </c>
      <c r="Y86">
        <f>VLOOKUP($B86,[12]分省年度数据!$A$1:$IV$65536,11,FALSE)</f>
        <v>17.43</v>
      </c>
      <c r="AA86">
        <f>VLOOKUP($B86,[13]分省年度数据!$A$1:$IV$65536,11,FALSE)</f>
        <v>14508458</v>
      </c>
      <c r="AB86">
        <f>VLOOKUP($B86,[14]分省年度数据!$A$1:$IV$65536,11,FALSE)</f>
        <v>1056.9100000000001</v>
      </c>
      <c r="AC86">
        <f>VLOOKUP($B86,[16]分省年度数据!$A$1:$IT$65532,11,FALSE)</f>
        <v>845</v>
      </c>
      <c r="AD86">
        <f>VLOOKUP($B86,[17]分省年度数据!$A$1:$IS$65525,11,FALSE)</f>
        <v>12393</v>
      </c>
      <c r="AE86">
        <f>IFERROR(AC86/E86,0)</f>
        <v>0.10382110824425606</v>
      </c>
      <c r="AF86">
        <f>IFERROR(AD86/E86,0)</f>
        <v>1.5226686325101364</v>
      </c>
      <c r="AG86">
        <f>VLOOKUP($B86,[15]分省年度数据!$A$1:$IV$65536,11,FALSE)</f>
        <v>9193</v>
      </c>
      <c r="AH86">
        <f>VLOOKUP(B86,[4]分省年度数据!$A$1:$IV$65536,11,FALSE)</f>
        <v>20824</v>
      </c>
      <c r="AI86">
        <f>VLOOKUP(B86,[3]分省年度数据!$A$1:$IV$65536,11,FALSE)</f>
        <v>216</v>
      </c>
      <c r="AJ86">
        <f>VLOOKUP($B86,[18]分省年度数据!$A$1:$IS$65529,11,FALSE)</f>
        <v>91.12</v>
      </c>
      <c r="AK86">
        <f>VLOOKUP($B86,[19]分省年度数据!$A$1:$IS$65529,11,FALSE)</f>
        <v>90.89</v>
      </c>
      <c r="AL86">
        <f>VLOOKUP($B86,[20]分省年度数据!$A$1:$IS$65528,11,FALSE)</f>
        <v>14.22</v>
      </c>
      <c r="AM86">
        <f>VLOOKUP($B86,[21]分省年度数据!$A$1:$IS$65528,11,FALSE)</f>
        <v>2.17</v>
      </c>
      <c r="AN86">
        <f>VLOOKUP($B86,[22]分省年度数据!$A$1:$IS$65529,11,FALSE)</f>
        <v>11.26</v>
      </c>
    </row>
    <row r="87" spans="1:40">
      <c r="A87">
        <v>52</v>
      </c>
      <c r="B87" t="s">
        <v>24</v>
      </c>
      <c r="C87">
        <v>2014</v>
      </c>
      <c r="D87" t="s">
        <v>36</v>
      </c>
      <c r="E87">
        <f>VLOOKUP(B87,[1]分省年度数据!$A$1:$IV$65536,11,FALSE)</f>
        <v>3677</v>
      </c>
      <c r="F87" s="4">
        <v>12371</v>
      </c>
      <c r="G87" s="2">
        <f>VLOOKUP(B87,[2]分省年度数据!$A$1:$IV$65536,11,FALSE)</f>
        <v>1493.8</v>
      </c>
      <c r="H87" s="2">
        <f t="shared" si="3"/>
        <v>0.40625509926570574</v>
      </c>
      <c r="N87">
        <v>4244.9375</v>
      </c>
      <c r="O87">
        <f>N87/F87</f>
        <v>0.34313616522512325</v>
      </c>
      <c r="Q87" t="s">
        <v>55</v>
      </c>
      <c r="R87">
        <f>VLOOKUP(B87,[5]分省年度数据!$A$1:$O$65536,11,FALSE)</f>
        <v>28995</v>
      </c>
      <c r="S87">
        <f>VLOOKUP($B87,[6]分省年度数据!$A$1:$IV$65536,11,FALSE)</f>
        <v>18.22</v>
      </c>
      <c r="T87">
        <f>VLOOKUP($B87,[7]分省年度数据!$A$1:$IV$65536,11,FALSE)</f>
        <v>48</v>
      </c>
      <c r="U87">
        <f>VLOOKUP($B87,[8]分省年度数据!$A$1:$IV$65536,11,FALSE)</f>
        <v>8.4499999999999993</v>
      </c>
      <c r="V87">
        <f>VLOOKUP($B87,[9]分省年度数据!$A$1:$IV$65536,11,FALSE)</f>
        <v>303.25</v>
      </c>
      <c r="W87">
        <f>VLOOKUP($B87,[10]分省年度数据!$A$1:$IV$65536,11,FALSE)</f>
        <v>18</v>
      </c>
      <c r="X87">
        <f>VLOOKUP($B87,[11]分省年度数据!$A$1:$IV$65536,11,FALSE)</f>
        <v>17.29</v>
      </c>
      <c r="Y87">
        <f>VLOOKUP($B87,[12]分省年度数据!$A$1:$IV$65536,11,FALSE)</f>
        <v>17.96</v>
      </c>
      <c r="AA87">
        <f>VLOOKUP($B87,[13]分省年度数据!$A$1:$IV$65536,11,FALSE)</f>
        <v>7700061</v>
      </c>
      <c r="AB87">
        <f>VLOOKUP($B87,[14]分省年度数据!$A$1:$IV$65536,11,FALSE)</f>
        <v>637.03</v>
      </c>
      <c r="AC87">
        <f>VLOOKUP($B87,[16]分省年度数据!$A$1:$IT$65532,11,FALSE)</f>
        <v>18</v>
      </c>
      <c r="AD87">
        <f>VLOOKUP($B87,[17]分省年度数据!$A$1:$IS$65525,11,FALSE)</f>
        <v>2936.9</v>
      </c>
      <c r="AE87">
        <f>IFERROR(AC87/E87,0)</f>
        <v>4.8952950775088388E-3</v>
      </c>
      <c r="AF87">
        <f>IFERROR(AD87/E87,0)</f>
        <v>0.79872178406309491</v>
      </c>
      <c r="AG87">
        <f>VLOOKUP($B87,[15]分省年度数据!$A$1:$IV$65536,11,FALSE)</f>
        <v>1145</v>
      </c>
      <c r="AH87">
        <f>VLOOKUP(B87,[4]分省年度数据!$A$1:$IV$65536,11,FALSE)</f>
        <v>6269</v>
      </c>
      <c r="AI87">
        <f>VLOOKUP(B87,[3]分省年度数据!$A$1:$IV$65536,11,FALSE)</f>
        <v>159.65</v>
      </c>
      <c r="AJ87">
        <f>VLOOKUP($B87,[18]分省年度数据!$A$1:$IS$65529,11,FALSE)</f>
        <v>94.47</v>
      </c>
      <c r="AK87">
        <f>VLOOKUP($B87,[19]分省年度数据!$A$1:$IS$65529,11,FALSE)</f>
        <v>76.3</v>
      </c>
      <c r="AL87">
        <f>VLOOKUP($B87,[20]分省年度数据!$A$1:$IS$65528,11,FALSE)</f>
        <v>10.61</v>
      </c>
      <c r="AM87">
        <f>VLOOKUP($B87,[21]分省年度数据!$A$1:$IS$65528,11,FALSE)</f>
        <v>2.17</v>
      </c>
      <c r="AN87">
        <f>VLOOKUP($B87,[22]分省年度数据!$A$1:$IS$65529,11,FALSE)</f>
        <v>12.5</v>
      </c>
    </row>
    <row r="88" spans="1:40">
      <c r="A88">
        <v>53</v>
      </c>
      <c r="B88" t="s">
        <v>25</v>
      </c>
      <c r="C88">
        <v>2014</v>
      </c>
      <c r="D88" t="s">
        <v>36</v>
      </c>
      <c r="E88">
        <f>VLOOKUP(B88,[1]分省年度数据!$A$1:$IV$65536,11,FALSE)</f>
        <v>4653</v>
      </c>
      <c r="F88" s="4">
        <v>13772</v>
      </c>
      <c r="G88" s="2">
        <f>VLOOKUP(B88,[2]分省年度数据!$A$1:$IV$65536,11,FALSE)</f>
        <v>1414.8</v>
      </c>
      <c r="H88" s="2">
        <f t="shared" si="3"/>
        <v>0.30406189555125723</v>
      </c>
      <c r="N88">
        <v>4763.3824999999997</v>
      </c>
      <c r="O88">
        <f>N88/F88</f>
        <v>0.34587441911124017</v>
      </c>
      <c r="Q88" t="s">
        <v>55</v>
      </c>
      <c r="R88">
        <f>VLOOKUP(B88,[5]分省年度数据!$A$1:$O$65536,11,FALSE)</f>
        <v>24281</v>
      </c>
      <c r="S88">
        <f>VLOOKUP($B88,[6]分省年度数据!$A$1:$IV$65536,11,FALSE)</f>
        <v>22.49</v>
      </c>
      <c r="T88">
        <f>VLOOKUP($B88,[7]分省年度数据!$A$1:$IV$65536,11,FALSE)</f>
        <v>44</v>
      </c>
      <c r="U88">
        <f>VLOOKUP($B88,[8]分省年度数据!$A$1:$IV$65536,11,FALSE)</f>
        <v>9.01</v>
      </c>
      <c r="V88">
        <f>VLOOKUP($B88,[9]分省年度数据!$A$1:$IV$65536,11,FALSE)</f>
        <v>352.41</v>
      </c>
      <c r="W88">
        <f>VLOOKUP($B88,[10]分省年度数据!$A$1:$IV$65536,11,FALSE)</f>
        <v>15.53</v>
      </c>
      <c r="X88">
        <f>VLOOKUP($B88,[11]分省年度数据!$A$1:$IV$65536,11,FALSE)</f>
        <v>15.49</v>
      </c>
      <c r="Y88">
        <f>VLOOKUP($B88,[12]分省年度数据!$A$1:$IV$65536,11,FALSE)</f>
        <v>16.940000000000001</v>
      </c>
      <c r="AA88">
        <f>VLOOKUP($B88,[13]分省年度数据!$A$1:$IV$65536,11,FALSE)</f>
        <v>9199396</v>
      </c>
      <c r="AB88">
        <f>VLOOKUP($B88,[14]分省年度数据!$A$1:$IV$65536,11,FALSE)</f>
        <v>674.94</v>
      </c>
      <c r="AC88">
        <f>VLOOKUP($B88,[16]分省年度数据!$A$1:$IT$65532,11,FALSE)</f>
        <v>295</v>
      </c>
      <c r="AD88">
        <f>VLOOKUP($B88,[17]分省年度数据!$A$1:$IS$65525,11,FALSE)</f>
        <v>4632.8999999999996</v>
      </c>
      <c r="AE88">
        <f>IFERROR(AC88/E88,0)</f>
        <v>6.3399957016978287E-2</v>
      </c>
      <c r="AF88">
        <f>IFERROR(AD88/E88,0)</f>
        <v>0.99568020631850407</v>
      </c>
      <c r="AG88">
        <f>VLOOKUP($B88,[15]分省年度数据!$A$1:$IV$65536,11,FALSE)</f>
        <v>5725</v>
      </c>
      <c r="AH88">
        <f>VLOOKUP(B88,[4]分省年度数据!$A$1:$IV$65536,11,FALSE)</f>
        <v>16620</v>
      </c>
      <c r="AI88">
        <f>VLOOKUP(B88,[3]分省年度数据!$A$1:$IV$65536,11,FALSE)</f>
        <v>129.06</v>
      </c>
      <c r="AJ88">
        <f>VLOOKUP($B88,[18]分省年度数据!$A$1:$IS$65529,11,FALSE)</f>
        <v>97.85</v>
      </c>
      <c r="AK88">
        <f>VLOOKUP($B88,[19]分省年度数据!$A$1:$IS$65529,11,FALSE)</f>
        <v>76.180000000000007</v>
      </c>
      <c r="AL88">
        <f>VLOOKUP($B88,[20]分省年度数据!$A$1:$IS$65528,11,FALSE)</f>
        <v>12.36</v>
      </c>
      <c r="AM88">
        <f>VLOOKUP($B88,[21]分省年度数据!$A$1:$IS$65528,11,FALSE)</f>
        <v>2.87</v>
      </c>
      <c r="AN88">
        <f>VLOOKUP($B88,[22]分省年度数据!$A$1:$IS$65529,11,FALSE)</f>
        <v>11</v>
      </c>
    </row>
    <row r="89" spans="1:40">
      <c r="A89">
        <v>54</v>
      </c>
      <c r="B89" t="s">
        <v>26</v>
      </c>
      <c r="C89">
        <v>2014</v>
      </c>
      <c r="D89" t="s">
        <v>36</v>
      </c>
      <c r="E89">
        <f>VLOOKUP(B89,[1]分省年度数据!$A$1:$IV$65536,11,FALSE)</f>
        <v>325</v>
      </c>
      <c r="F89" s="4">
        <v>10730</v>
      </c>
      <c r="G89" s="2">
        <f>VLOOKUP(B89,[2]分省年度数据!$A$1:$IV$65536,11,FALSE)</f>
        <v>17.600000000000001</v>
      </c>
      <c r="H89" s="2">
        <f t="shared" si="3"/>
        <v>5.4153846153846157E-2</v>
      </c>
      <c r="N89">
        <v>3896.5</v>
      </c>
      <c r="O89">
        <f>N89/F89</f>
        <v>0.36314072693383037</v>
      </c>
      <c r="Q89" t="s">
        <v>75</v>
      </c>
      <c r="R89">
        <f>VLOOKUP(B89,[5]分省年度数据!$A$1:$O$65536,11,FALSE)</f>
        <v>6795</v>
      </c>
      <c r="S89">
        <f>VLOOKUP($B89,[6]分省年度数据!$A$1:$IV$65536,11,FALSE)</f>
        <v>1.19</v>
      </c>
      <c r="T89">
        <f>VLOOKUP($B89,[7]分省年度数据!$A$1:$IV$65536,11,FALSE)</f>
        <v>41</v>
      </c>
      <c r="U89">
        <f>VLOOKUP($B89,[8]分省年度数据!$A$1:$IV$65536,11,FALSE)</f>
        <v>9.84</v>
      </c>
      <c r="V89">
        <f>VLOOKUP($B89,[9]分省年度数据!$A$1:$IV$65536,11,FALSE)</f>
        <v>48.86</v>
      </c>
      <c r="W89">
        <f>VLOOKUP($B89,[10]分省年度数据!$A$1:$IV$65536,11,FALSE)</f>
        <v>12.64</v>
      </c>
      <c r="X89">
        <f>VLOOKUP($B89,[11]分省年度数据!$A$1:$IV$65536,11,FALSE)</f>
        <v>13.08</v>
      </c>
      <c r="Y89">
        <f>VLOOKUP($B89,[12]分省年度数据!$A$1:$IV$65536,11,FALSE)</f>
        <v>14.56</v>
      </c>
      <c r="AA89">
        <f>VLOOKUP($B89,[13]分省年度数据!$A$1:$IV$65536,11,FALSE)</f>
        <v>1529504</v>
      </c>
      <c r="AB89">
        <f>VLOOKUP($B89,[14]分省年度数据!$A$1:$IV$65536,11,FALSE)</f>
        <v>142.08000000000001</v>
      </c>
      <c r="AC89">
        <f>VLOOKUP($B89,[16]分省年度数据!$A$1:$IT$65532,11,FALSE)</f>
        <v>3</v>
      </c>
      <c r="AD89">
        <f>VLOOKUP($B89,[17]分省年度数据!$A$1:$IS$65525,11,FALSE)</f>
        <v>364.5</v>
      </c>
      <c r="AE89">
        <f>IFERROR(AC89/E89,0)</f>
        <v>9.2307692307692316E-3</v>
      </c>
      <c r="AF89">
        <f>IFERROR(AD89/E89,0)</f>
        <v>1.1215384615384616</v>
      </c>
      <c r="AG89">
        <f>VLOOKUP($B89,[15]分省年度数据!$A$1:$IV$65536,11,FALSE)</f>
        <v>388</v>
      </c>
      <c r="AH89">
        <f>VLOOKUP(B89,[4]分省年度数据!$A$1:$IV$65536,11,FALSE)</f>
        <v>997</v>
      </c>
      <c r="AI89">
        <f>VLOOKUP(B89,[3]分省年度数据!$A$1:$IV$65536,11,FALSE)</f>
        <v>328.98</v>
      </c>
      <c r="AJ89">
        <f>VLOOKUP($B89,[18]分省年度数据!$A$1:$IS$65529,11,FALSE)</f>
        <v>89.07</v>
      </c>
      <c r="AK89">
        <f>VLOOKUP($B89,[19]分省年度数据!$A$1:$IS$65529,11,FALSE)</f>
        <v>57.13</v>
      </c>
      <c r="AL89">
        <f>VLOOKUP($B89,[20]分省年度数据!$A$1:$IS$65528,11,FALSE)</f>
        <v>8.43</v>
      </c>
      <c r="AM89">
        <f>VLOOKUP($B89,[21]分省年度数据!$A$1:$IS$65528,11,FALSE)</f>
        <v>4.51</v>
      </c>
      <c r="AN89">
        <f>VLOOKUP($B89,[22]分省年度数据!$A$1:$IS$65529,11,FALSE)</f>
        <v>10.8</v>
      </c>
    </row>
    <row r="90" spans="1:40">
      <c r="A90">
        <v>61</v>
      </c>
      <c r="B90" t="s">
        <v>27</v>
      </c>
      <c r="C90">
        <v>2014</v>
      </c>
      <c r="D90" t="s">
        <v>37</v>
      </c>
      <c r="E90">
        <f>VLOOKUP(B90,[1]分省年度数据!$A$1:$IV$65536,11,FALSE)</f>
        <v>3827</v>
      </c>
      <c r="F90" s="4">
        <v>15837</v>
      </c>
      <c r="G90" s="2">
        <f>VLOOKUP(B90,[2]分省年度数据!$A$1:$IV$65536,11,FALSE)</f>
        <v>1208.5</v>
      </c>
      <c r="H90" s="2">
        <f t="shared" si="3"/>
        <v>0.31578259733472697</v>
      </c>
      <c r="N90">
        <v>3943.5729999999999</v>
      </c>
      <c r="O90">
        <f>N90/F90</f>
        <v>0.24901010292353348</v>
      </c>
      <c r="Q90" t="s">
        <v>62</v>
      </c>
      <c r="R90">
        <f>VLOOKUP(B90,[5]分省年度数据!$A$1:$O$65536,11,FALSE)</f>
        <v>37247</v>
      </c>
      <c r="S90">
        <f>VLOOKUP($B90,[6]分省年度数据!$A$1:$IV$65536,11,FALSE)</f>
        <v>19.940000000000001</v>
      </c>
      <c r="T90">
        <f>VLOOKUP($B90,[7]分省年度数据!$A$1:$IV$65536,11,FALSE)</f>
        <v>67</v>
      </c>
      <c r="U90">
        <f>VLOOKUP($B90,[8]分省年度数据!$A$1:$IV$65536,11,FALSE)</f>
        <v>9.57</v>
      </c>
      <c r="V90">
        <f>VLOOKUP($B90,[9]分省年度数据!$A$1:$IV$65536,11,FALSE)</f>
        <v>313.45</v>
      </c>
      <c r="W90">
        <f>VLOOKUP($B90,[10]分省年度数据!$A$1:$IV$65536,11,FALSE)</f>
        <v>14.95</v>
      </c>
      <c r="X90">
        <f>VLOOKUP($B90,[11]分省年度数据!$A$1:$IV$65536,11,FALSE)</f>
        <v>10.4</v>
      </c>
      <c r="Y90">
        <f>VLOOKUP($B90,[12]分省年度数据!$A$1:$IV$65536,11,FALSE)</f>
        <v>14.21</v>
      </c>
      <c r="AA90">
        <f>VLOOKUP($B90,[13]分省年度数据!$A$1:$IV$65536,11,FALSE)</f>
        <v>9101672</v>
      </c>
      <c r="AB90">
        <f>VLOOKUP($B90,[14]分省年度数据!$A$1:$IV$65536,11,FALSE)</f>
        <v>693.83</v>
      </c>
      <c r="AC90">
        <f>VLOOKUP($B90,[16]分省年度数据!$A$1:$IT$65532,11,FALSE)</f>
        <v>181</v>
      </c>
      <c r="AD90">
        <f>VLOOKUP($B90,[17]分省年度数据!$A$1:$IS$65525,11,FALSE)</f>
        <v>5918.7</v>
      </c>
      <c r="AE90">
        <f>IFERROR(AC90/E90,0)</f>
        <v>4.7295531748105565E-2</v>
      </c>
      <c r="AF90">
        <f>IFERROR(AD90/E90,0)</f>
        <v>1.5465638881630519</v>
      </c>
      <c r="AG90">
        <f>VLOOKUP($B90,[15]分省年度数据!$A$1:$IV$65536,11,FALSE)</f>
        <v>5055</v>
      </c>
      <c r="AH90">
        <f>VLOOKUP(B90,[4]分省年度数据!$A$1:$IV$65536,11,FALSE)</f>
        <v>9419</v>
      </c>
      <c r="AI90">
        <f>VLOOKUP(B90,[3]分省年度数据!$A$1:$IV$65536,11,FALSE)</f>
        <v>154.05000000000001</v>
      </c>
      <c r="AJ90">
        <f>VLOOKUP($B90,[18]分省年度数据!$A$1:$IS$65529,11,FALSE)</f>
        <v>96.31</v>
      </c>
      <c r="AK90">
        <f>VLOOKUP($B90,[19]分省年度数据!$A$1:$IS$65529,11,FALSE)</f>
        <v>95.08</v>
      </c>
      <c r="AL90">
        <f>VLOOKUP($B90,[20]分省年度数据!$A$1:$IS$65528,11,FALSE)</f>
        <v>15.85</v>
      </c>
      <c r="AM90">
        <f>VLOOKUP($B90,[21]分省年度数据!$A$1:$IS$65528,11,FALSE)</f>
        <v>4.3</v>
      </c>
      <c r="AN90">
        <f>VLOOKUP($B90,[22]分省年度数据!$A$1:$IS$65529,11,FALSE)</f>
        <v>12.48</v>
      </c>
    </row>
    <row r="91" spans="1:40">
      <c r="A91">
        <v>62</v>
      </c>
      <c r="B91" t="s">
        <v>28</v>
      </c>
      <c r="C91">
        <v>2014</v>
      </c>
      <c r="D91" t="s">
        <v>37</v>
      </c>
      <c r="E91">
        <f>VLOOKUP(B91,[1]分省年度数据!$A$1:$IV$65536,11,FALSE)</f>
        <v>2531</v>
      </c>
      <c r="F91" s="4">
        <v>12185</v>
      </c>
      <c r="G91" s="2">
        <f>VLOOKUP(B91,[2]分省年度数据!$A$1:$IV$65536,11,FALSE)</f>
        <v>1052.7</v>
      </c>
      <c r="H91" s="2">
        <f t="shared" si="3"/>
        <v>0.4159225602528645</v>
      </c>
      <c r="N91">
        <v>4189.7950000000001</v>
      </c>
      <c r="O91">
        <f>N91/F91</f>
        <v>0.34384858432498977</v>
      </c>
      <c r="Q91" t="s">
        <v>61</v>
      </c>
      <c r="R91">
        <f>VLOOKUP(B91,[5]分省年度数据!$A$1:$O$65536,11,FALSE)</f>
        <v>27916</v>
      </c>
      <c r="S91">
        <f>VLOOKUP($B91,[6]分省年度数据!$A$1:$IV$65536,11,FALSE)</f>
        <v>12.24</v>
      </c>
      <c r="T91">
        <f>VLOOKUP($B91,[7]分省年度数据!$A$1:$IV$65536,11,FALSE)</f>
        <v>49</v>
      </c>
      <c r="U91">
        <f>VLOOKUP($B91,[8]分省年度数据!$A$1:$IV$65536,11,FALSE)</f>
        <v>9.4700000000000006</v>
      </c>
      <c r="V91">
        <f>VLOOKUP($B91,[9]分省年度数据!$A$1:$IV$65536,11,FALSE)</f>
        <v>204.19</v>
      </c>
      <c r="W91">
        <f>VLOOKUP($B91,[10]分省年度数据!$A$1:$IV$65536,11,FALSE)</f>
        <v>14.95</v>
      </c>
      <c r="X91">
        <f>VLOOKUP($B91,[11]分省年度数据!$A$1:$IV$65536,11,FALSE)</f>
        <v>11.44</v>
      </c>
      <c r="Y91">
        <f>VLOOKUP($B91,[12]分省年度数据!$A$1:$IV$65536,11,FALSE)</f>
        <v>12.83</v>
      </c>
      <c r="AA91">
        <f>VLOOKUP($B91,[13]分省年度数据!$A$1:$IV$65536,11,FALSE)</f>
        <v>5181631</v>
      </c>
      <c r="AB91">
        <f>VLOOKUP($B91,[14]分省年度数据!$A$1:$IV$65536,11,FALSE)</f>
        <v>401.26</v>
      </c>
      <c r="AC91">
        <f>VLOOKUP($B91,[16]分省年度数据!$A$1:$IT$65532,11,FALSE)</f>
        <v>37</v>
      </c>
      <c r="AD91">
        <f>VLOOKUP($B91,[17]分省年度数据!$A$1:$IS$65525,11,FALSE)</f>
        <v>2668.3</v>
      </c>
      <c r="AE91">
        <f>IFERROR(AC91/E91,0)</f>
        <v>1.4618727775582773E-2</v>
      </c>
      <c r="AF91">
        <f>IFERROR(AD91/E91,0)</f>
        <v>1.0542473330699329</v>
      </c>
      <c r="AG91">
        <f>VLOOKUP($B91,[15]分省年度数据!$A$1:$IV$65536,11,FALSE)</f>
        <v>3035</v>
      </c>
      <c r="AH91">
        <f>VLOOKUP(B91,[4]分省年度数据!$A$1:$IV$65536,11,FALSE)</f>
        <v>5872</v>
      </c>
      <c r="AI91">
        <f>VLOOKUP(B91,[3]分省年度数据!$A$1:$IV$65536,11,FALSE)</f>
        <v>146.25</v>
      </c>
      <c r="AJ91">
        <f>VLOOKUP($B91,[18]分省年度数据!$A$1:$IS$65529,11,FALSE)</f>
        <v>94.95</v>
      </c>
      <c r="AK91">
        <f>VLOOKUP($B91,[19]分省年度数据!$A$1:$IS$65529,11,FALSE)</f>
        <v>83.48</v>
      </c>
      <c r="AL91">
        <f>VLOOKUP($B91,[20]分省年度数据!$A$1:$IS$65528,11,FALSE)</f>
        <v>9.67</v>
      </c>
      <c r="AM91">
        <f>VLOOKUP($B91,[21]分省年度数据!$A$1:$IS$65528,11,FALSE)</f>
        <v>2.5</v>
      </c>
      <c r="AN91">
        <f>VLOOKUP($B91,[22]分省年度数据!$A$1:$IS$65529,11,FALSE)</f>
        <v>12.79</v>
      </c>
    </row>
    <row r="92" spans="1:40">
      <c r="A92">
        <v>63</v>
      </c>
      <c r="B92" t="s">
        <v>29</v>
      </c>
      <c r="C92">
        <v>2014</v>
      </c>
      <c r="D92" t="s">
        <v>37</v>
      </c>
      <c r="E92">
        <f>VLOOKUP(B92,[1]分省年度数据!$A$1:$IV$65536,11,FALSE)</f>
        <v>576</v>
      </c>
      <c r="F92" s="4">
        <v>14374</v>
      </c>
      <c r="G92" s="2">
        <f>VLOOKUP(B92,[2]分省年度数据!$A$1:$IV$65536,11,FALSE)</f>
        <v>129.80000000000001</v>
      </c>
      <c r="H92" s="2">
        <f t="shared" si="3"/>
        <v>0.22534722222222225</v>
      </c>
      <c r="N92">
        <v>5909.9</v>
      </c>
      <c r="O92">
        <f>N92/F92</f>
        <v>0.41115208014470567</v>
      </c>
      <c r="Q92" t="s">
        <v>62</v>
      </c>
      <c r="R92">
        <f>VLOOKUP(B92,[5]分省年度数据!$A$1:$O$65536,11,FALSE)</f>
        <v>6241</v>
      </c>
      <c r="S92">
        <f>VLOOKUP($B92,[6]分省年度数据!$A$1:$IV$65536,11,FALSE)</f>
        <v>3.3</v>
      </c>
      <c r="T92">
        <f>VLOOKUP($B92,[7]分省年度数据!$A$1:$IV$65536,11,FALSE)</f>
        <v>58</v>
      </c>
      <c r="U92">
        <f>VLOOKUP($B92,[8]分省年度数据!$A$1:$IV$65536,11,FALSE)</f>
        <v>9.57</v>
      </c>
      <c r="V92">
        <f>VLOOKUP($B92,[9]分省年度数据!$A$1:$IV$65536,11,FALSE)</f>
        <v>80.13</v>
      </c>
      <c r="W92">
        <f>VLOOKUP($B92,[10]分省年度数据!$A$1:$IV$65536,11,FALSE)</f>
        <v>14.19</v>
      </c>
      <c r="X92">
        <f>VLOOKUP($B92,[11]分省年度数据!$A$1:$IV$65536,11,FALSE)</f>
        <v>13.81</v>
      </c>
      <c r="Y92">
        <f>VLOOKUP($B92,[12]分省年度数据!$A$1:$IV$65536,11,FALSE)</f>
        <v>18.28</v>
      </c>
      <c r="AA92">
        <f>VLOOKUP($B92,[13]分省年度数据!$A$1:$IV$65536,11,FALSE)</f>
        <v>1976886</v>
      </c>
      <c r="AB92">
        <f>VLOOKUP($B92,[14]分省年度数据!$A$1:$IV$65536,11,FALSE)</f>
        <v>156.31</v>
      </c>
      <c r="AC92" t="str">
        <f>VLOOKUP($B92,[16]分省年度数据!$A$1:$IT$65532,11,FALSE)</f>
        <v/>
      </c>
      <c r="AD92">
        <f>VLOOKUP($B92,[17]分省年度数据!$A$1:$IS$65525,11,FALSE)</f>
        <v>620.79999999999995</v>
      </c>
      <c r="AE92">
        <f>IFERROR(AC92/E92,0)</f>
        <v>0</v>
      </c>
      <c r="AF92">
        <f>IFERROR(AD92/E92,0)</f>
        <v>1.0777777777777777</v>
      </c>
      <c r="AG92">
        <f>VLOOKUP($B92,[15]分省年度数据!$A$1:$IV$65536,11,FALSE)</f>
        <v>1029</v>
      </c>
      <c r="AH92">
        <f>VLOOKUP(B92,[4]分省年度数据!$A$1:$IV$65536,11,FALSE)</f>
        <v>1978</v>
      </c>
      <c r="AI92">
        <f>VLOOKUP(B92,[3]分省年度数据!$A$1:$IV$65536,11,FALSE)</f>
        <v>176.52</v>
      </c>
      <c r="AJ92">
        <f>VLOOKUP($B92,[18]分省年度数据!$A$1:$IS$65529,11,FALSE)</f>
        <v>99.71</v>
      </c>
      <c r="AK92">
        <f>VLOOKUP($B92,[19]分省年度数据!$A$1:$IS$65529,11,FALSE)</f>
        <v>88.81</v>
      </c>
      <c r="AL92">
        <f>VLOOKUP($B92,[20]分省年度数据!$A$1:$IS$65528,11,FALSE)</f>
        <v>14.4</v>
      </c>
      <c r="AM92">
        <f>VLOOKUP($B92,[21]分省年度数据!$A$1:$IS$65528,11,FALSE)</f>
        <v>4.04</v>
      </c>
      <c r="AN92">
        <f>VLOOKUP($B92,[22]分省年度数据!$A$1:$IS$65529,11,FALSE)</f>
        <v>10.78</v>
      </c>
    </row>
    <row r="93" spans="1:40">
      <c r="A93">
        <v>64</v>
      </c>
      <c r="B93" t="s">
        <v>30</v>
      </c>
      <c r="C93">
        <v>2014</v>
      </c>
      <c r="D93" t="s">
        <v>37</v>
      </c>
      <c r="E93">
        <f>VLOOKUP(B93,[1]分省年度数据!$A$1:$IV$65536,11,FALSE)</f>
        <v>678</v>
      </c>
      <c r="F93" s="4">
        <v>15907</v>
      </c>
      <c r="G93" s="2">
        <f>VLOOKUP(B93,[2]分省年度数据!$A$1:$IV$65536,11,FALSE)</f>
        <v>220.6</v>
      </c>
      <c r="H93" s="2">
        <f t="shared" si="3"/>
        <v>0.32536873156342183</v>
      </c>
      <c r="N93">
        <v>3725.154</v>
      </c>
      <c r="O93">
        <f>N93/F93</f>
        <v>0.23418331552146854</v>
      </c>
      <c r="Q93" t="s">
        <v>61</v>
      </c>
      <c r="R93">
        <f>VLOOKUP(B93,[5]分省年度数据!$A$1:$O$65536,11,FALSE)</f>
        <v>4255</v>
      </c>
      <c r="S93">
        <f>VLOOKUP($B93,[6]分省年度数据!$A$1:$IV$65536,11,FALSE)</f>
        <v>3.25</v>
      </c>
      <c r="T93">
        <f>VLOOKUP($B93,[7]分省年度数据!$A$1:$IV$65536,11,FALSE)</f>
        <v>60</v>
      </c>
      <c r="U93">
        <f>VLOOKUP($B93,[8]分省年度数据!$A$1:$IV$65536,11,FALSE)</f>
        <v>9.8000000000000007</v>
      </c>
      <c r="V93">
        <f>VLOOKUP($B93,[9]分省年度数据!$A$1:$IV$65536,11,FALSE)</f>
        <v>65.27</v>
      </c>
      <c r="W93">
        <f>VLOOKUP($B93,[10]分省年度数据!$A$1:$IV$65536,11,FALSE)</f>
        <v>15.92</v>
      </c>
      <c r="X93">
        <f>VLOOKUP($B93,[11]分省年度数据!$A$1:$IV$65536,11,FALSE)</f>
        <v>14.59</v>
      </c>
      <c r="Y93">
        <f>VLOOKUP($B93,[12]分省年度数据!$A$1:$IV$65536,11,FALSE)</f>
        <v>17.649999999999999</v>
      </c>
      <c r="AA93">
        <f>VLOOKUP($B93,[13]分省年度数据!$A$1:$IV$65536,11,FALSE)</f>
        <v>1697964</v>
      </c>
      <c r="AB93">
        <f>VLOOKUP($B93,[14]分省年度数据!$A$1:$IV$65536,11,FALSE)</f>
        <v>122.68</v>
      </c>
      <c r="AC93" t="str">
        <f>VLOOKUP($B93,[16]分省年度数据!$A$1:$IT$65532,11,FALSE)</f>
        <v/>
      </c>
      <c r="AD93">
        <f>VLOOKUP($B93,[17]分省年度数据!$A$1:$IS$65525,11,FALSE)</f>
        <v>737.2</v>
      </c>
      <c r="AE93">
        <f>IFERROR(AC93/E93,0)</f>
        <v>0</v>
      </c>
      <c r="AF93">
        <f>IFERROR(AD93/E93,0)</f>
        <v>1.0873156342182893</v>
      </c>
      <c r="AG93">
        <f>VLOOKUP($B93,[15]分省年度数据!$A$1:$IV$65536,11,FALSE)</f>
        <v>1752</v>
      </c>
      <c r="AH93">
        <f>VLOOKUP(B93,[4]分省年度数据!$A$1:$IV$65536,11,FALSE)</f>
        <v>5890</v>
      </c>
      <c r="AI93">
        <f>VLOOKUP(B93,[3]分省年度数据!$A$1:$IV$65536,11,FALSE)</f>
        <v>148.6</v>
      </c>
      <c r="AJ93">
        <f>VLOOKUP($B93,[18]分省年度数据!$A$1:$IS$65529,11,FALSE)</f>
        <v>97.26</v>
      </c>
      <c r="AK93">
        <f>VLOOKUP($B93,[19]分省年度数据!$A$1:$IS$65529,11,FALSE)</f>
        <v>89.23</v>
      </c>
      <c r="AL93">
        <f>VLOOKUP($B93,[20]分省年度数据!$A$1:$IS$65528,11,FALSE)</f>
        <v>13.17</v>
      </c>
      <c r="AM93">
        <f>VLOOKUP($B93,[21]分省年度数据!$A$1:$IS$65528,11,FALSE)</f>
        <v>2.5099999999999998</v>
      </c>
      <c r="AN93">
        <f>VLOOKUP($B93,[22]分省年度数据!$A$1:$IS$65529,11,FALSE)</f>
        <v>17.91</v>
      </c>
    </row>
    <row r="94" spans="1:40">
      <c r="A94">
        <v>65</v>
      </c>
      <c r="B94" t="s">
        <v>31</v>
      </c>
      <c r="C94">
        <v>2014</v>
      </c>
      <c r="D94" t="s">
        <v>37</v>
      </c>
      <c r="E94">
        <f>VLOOKUP(B94,[1]分省年度数据!$A$1:$IV$65536,11,FALSE)</f>
        <v>2325</v>
      </c>
      <c r="F94" s="4">
        <v>15097</v>
      </c>
      <c r="G94" s="2">
        <f>VLOOKUP(B94,[2]分省年度数据!$A$1:$IV$65536,11,FALSE)</f>
        <v>513.6</v>
      </c>
      <c r="H94" s="2">
        <f t="shared" si="3"/>
        <v>0.22090322580645164</v>
      </c>
      <c r="N94">
        <v>4512.5066666666671</v>
      </c>
      <c r="O94">
        <f>N94/F94</f>
        <v>0.29890088538561749</v>
      </c>
      <c r="Q94" t="s">
        <v>75</v>
      </c>
      <c r="R94">
        <f>VLOOKUP(B94,[5]分省年度数据!$A$1:$O$65536,11,FALSE)</f>
        <v>18873</v>
      </c>
      <c r="S94">
        <f>VLOOKUP($B94,[6]分省年度数据!$A$1:$IV$65536,11,FALSE)</f>
        <v>14.3</v>
      </c>
      <c r="T94">
        <f>VLOOKUP($B94,[7]分省年度数据!$A$1:$IV$65536,11,FALSE)</f>
        <v>67</v>
      </c>
      <c r="U94">
        <f>VLOOKUP($B94,[8]分省年度数据!$A$1:$IV$65536,11,FALSE)</f>
        <v>8.84</v>
      </c>
      <c r="V94">
        <f>VLOOKUP($B94,[9]分省年度数据!$A$1:$IV$65536,11,FALSE)</f>
        <v>202.32</v>
      </c>
      <c r="W94">
        <f>VLOOKUP($B94,[10]分省年度数据!$A$1:$IV$65536,11,FALSE)</f>
        <v>12.25</v>
      </c>
      <c r="X94">
        <f>VLOOKUP($B94,[11]分省年度数据!$A$1:$IV$65536,11,FALSE)</f>
        <v>10.47</v>
      </c>
      <c r="Y94">
        <f>VLOOKUP($B94,[12]分省年度数据!$A$1:$IV$65536,11,FALSE)</f>
        <v>13.39</v>
      </c>
      <c r="AA94">
        <f>VLOOKUP($B94,[13]分省年度数据!$A$1:$IV$65536,11,FALSE)</f>
        <v>6349792</v>
      </c>
      <c r="AB94">
        <f>VLOOKUP($B94,[14]分省年度数据!$A$1:$IV$65536,11,FALSE)</f>
        <v>567.20000000000005</v>
      </c>
      <c r="AC94">
        <f>VLOOKUP($B94,[16]分省年度数据!$A$1:$IT$65532,11,FALSE)</f>
        <v>164</v>
      </c>
      <c r="AD94">
        <f>VLOOKUP($B94,[17]分省年度数据!$A$1:$IS$65525,11,FALSE)</f>
        <v>2436.5</v>
      </c>
      <c r="AE94">
        <f>IFERROR(AC94/E94,0)</f>
        <v>7.0537634408602154E-2</v>
      </c>
      <c r="AF94">
        <f>IFERROR(AD94/E94,0)</f>
        <v>1.0479569892473117</v>
      </c>
      <c r="AG94">
        <f>VLOOKUP($B94,[15]分省年度数据!$A$1:$IV$65536,11,FALSE)</f>
        <v>5010</v>
      </c>
      <c r="AH94">
        <f>VLOOKUP(B94,[4]分省年度数据!$A$1:$IV$65536,11,FALSE)</f>
        <v>7663</v>
      </c>
      <c r="AI94">
        <f>VLOOKUP(B94,[3]分省年度数据!$A$1:$IV$65536,11,FALSE)</f>
        <v>171.82</v>
      </c>
      <c r="AJ94">
        <f>VLOOKUP($B94,[18]分省年度数据!$A$1:$IS$65529,11,FALSE)</f>
        <v>98.15</v>
      </c>
      <c r="AK94">
        <f>VLOOKUP($B94,[19]分省年度数据!$A$1:$IS$65529,11,FALSE)</f>
        <v>96.87</v>
      </c>
      <c r="AL94">
        <f>VLOOKUP($B94,[20]分省年度数据!$A$1:$IS$65528,11,FALSE)</f>
        <v>15.54</v>
      </c>
      <c r="AM94">
        <f>VLOOKUP($B94,[21]分省年度数据!$A$1:$IS$65528,11,FALSE)</f>
        <v>3.36</v>
      </c>
      <c r="AN94">
        <f>VLOOKUP($B94,[22]分省年度数据!$A$1:$IS$65529,11,FALSE)</f>
        <v>10.74</v>
      </c>
    </row>
    <row r="95" spans="1:40">
      <c r="A95">
        <v>11</v>
      </c>
      <c r="B95" t="s">
        <v>1</v>
      </c>
      <c r="C95">
        <v>2016</v>
      </c>
      <c r="D95" t="s">
        <v>32</v>
      </c>
      <c r="E95">
        <f>VLOOKUP(B95,[1]分省年度数据!$A$1:$IV$65536,9,FALSE)</f>
        <v>2195</v>
      </c>
      <c r="F95" s="4">
        <v>52530</v>
      </c>
      <c r="G95" s="2">
        <f>VLOOKUP(B95,[2]分省年度数据!$A$1:$IV$65536,9,FALSE)</f>
        <v>24.8</v>
      </c>
      <c r="H95" s="2">
        <f t="shared" si="3"/>
        <v>1.1298405466970387E-2</v>
      </c>
      <c r="N95">
        <v>47167.833333333299</v>
      </c>
      <c r="O95">
        <f>N95/F95</f>
        <v>0.89792182245066243</v>
      </c>
      <c r="Q95" t="s">
        <v>63</v>
      </c>
      <c r="R95">
        <f>VLOOKUP(B95,[5]分省年度数据!$A$1:$O$65536,9,FALSE)</f>
        <v>9773</v>
      </c>
      <c r="S95">
        <f>VLOOKUP($B95,[6]分省年度数据!$A$1:$IV$65536,9,FALSE)</f>
        <v>11.7</v>
      </c>
      <c r="T95">
        <f>VLOOKUP($B95,[7]分省年度数据!$A$1:$IV$65536,9,FALSE)</f>
        <v>108</v>
      </c>
      <c r="U95">
        <f>VLOOKUP($B95,[8]分省年度数据!$A$1:$IV$65536,9,FALSE)</f>
        <v>10.49</v>
      </c>
      <c r="V95">
        <f>VLOOKUP($B95,[9]分省年度数据!$A$1:$IV$65536,9,FALSE)</f>
        <v>397.95</v>
      </c>
      <c r="W95">
        <f>VLOOKUP($B95,[10]分省年度数据!$A$1:$IV$65536,9,FALSE)</f>
        <v>7.75</v>
      </c>
      <c r="X95">
        <f>VLOOKUP($B95,[11]分省年度数据!$A$1:$IV$65536,9,FALSE)</f>
        <v>8.02</v>
      </c>
      <c r="Y95">
        <f>VLOOKUP($B95,[12]分省年度数据!$A$1:$IV$65536,9,FALSE)</f>
        <v>14.05</v>
      </c>
      <c r="AA95">
        <f>VLOOKUP($B95,[13]分省年度数据!$A$1:$IV$65536,9,FALSE)</f>
        <v>11934724</v>
      </c>
      <c r="AB95">
        <f>VLOOKUP($B95,[14]分省年度数据!$A$1:$IV$65536,9,FALSE)</f>
        <v>887.37</v>
      </c>
      <c r="AC95">
        <f>VLOOKUP($B95,[16]分省年度数据!$A$1:$IT$65532,9,FALSE)</f>
        <v>4734</v>
      </c>
      <c r="AD95">
        <f>VLOOKUP($B95,[17]分省年度数据!$A$1:$IS$65525,9,FALSE)</f>
        <v>13134.9</v>
      </c>
      <c r="AE95">
        <f>IFERROR(AC95/E95,0)</f>
        <v>2.1567198177676539</v>
      </c>
      <c r="AF95">
        <f>IFERROR(AD95/E95,0)</f>
        <v>5.9840091116173122</v>
      </c>
      <c r="AG95">
        <f>VLOOKUP($B95,[15]分省年度数据!$A$1:$IV$65536,9,FALSE)</f>
        <v>3163</v>
      </c>
      <c r="AH95">
        <f>VLOOKUP(B95,[4]分省年度数据!$A$1:$IV$65536,9,FALSE)</f>
        <v>19818</v>
      </c>
      <c r="AI95">
        <f>VLOOKUP(B95,[3]分省年度数据!$A$1:$IV$65536,9,FALSE)</f>
        <v>173.1</v>
      </c>
      <c r="AJ95">
        <f>VLOOKUP($B95,[18]分省年度数据!$A$1:$IS$65529,9,FALSE)</f>
        <v>100</v>
      </c>
      <c r="AK95">
        <f>VLOOKUP($B95,[19]分省年度数据!$A$1:$IS$65529,9,FALSE)</f>
        <v>100</v>
      </c>
      <c r="AL95">
        <f>VLOOKUP($B95,[20]分省年度数据!$A$1:$IS$65528,9,FALSE)</f>
        <v>24.31</v>
      </c>
      <c r="AM95">
        <f>VLOOKUP($B95,[21]分省年度数据!$A$1:$IS$65528,9,FALSE)</f>
        <v>2.87</v>
      </c>
      <c r="AN95">
        <f>VLOOKUP($B95,[22]分省年度数据!$A$1:$IS$65529,9,FALSE)</f>
        <v>16.010000000000002</v>
      </c>
    </row>
    <row r="96" spans="1:40">
      <c r="A96">
        <v>12</v>
      </c>
      <c r="B96" t="s">
        <v>2</v>
      </c>
      <c r="C96">
        <v>2016</v>
      </c>
      <c r="D96" t="s">
        <v>32</v>
      </c>
      <c r="E96">
        <f>VLOOKUP(B96,[1]分省年度数据!$A$1:$IV$65536,9,FALSE)</f>
        <v>1443</v>
      </c>
      <c r="F96" s="4">
        <v>34074</v>
      </c>
      <c r="G96" s="2">
        <f>VLOOKUP(B96,[2]分省年度数据!$A$1:$IV$65536,9,FALSE)</f>
        <v>14.5</v>
      </c>
      <c r="H96" s="2">
        <f t="shared" si="3"/>
        <v>1.0048510048510048E-2</v>
      </c>
      <c r="N96">
        <v>18674.083333333299</v>
      </c>
      <c r="O96">
        <f>N96/F96</f>
        <v>0.54804494140204552</v>
      </c>
      <c r="Q96" t="s">
        <v>65</v>
      </c>
      <c r="R96">
        <f>VLOOKUP(B96,[5]分省年度数据!$A$1:$O$65536,9,FALSE)</f>
        <v>5443</v>
      </c>
      <c r="S96">
        <f>VLOOKUP($B96,[6]分省年度数据!$A$1:$IV$65536,9,FALSE)</f>
        <v>6.58</v>
      </c>
      <c r="T96">
        <f>VLOOKUP($B96,[7]分省年度数据!$A$1:$IV$65536,9,FALSE)</f>
        <v>61</v>
      </c>
      <c r="U96">
        <f>VLOOKUP($B96,[8]分省年度数据!$A$1:$IV$65536,9,FALSE)</f>
        <v>10.28</v>
      </c>
      <c r="V96">
        <f>VLOOKUP($B96,[9]分省年度数据!$A$1:$IV$65536,9,FALSE)</f>
        <v>203.23</v>
      </c>
      <c r="W96">
        <f>VLOOKUP($B96,[10]分省年度数据!$A$1:$IV$65536,9,FALSE)</f>
        <v>10</v>
      </c>
      <c r="X96">
        <f>VLOOKUP($B96,[11]分省年度数据!$A$1:$IV$65536,9,FALSE)</f>
        <v>9.6300000000000008</v>
      </c>
      <c r="Y96">
        <f>VLOOKUP($B96,[12]分省年度数据!$A$1:$IV$65536,9,FALSE)</f>
        <v>15.19</v>
      </c>
      <c r="AA96">
        <f>VLOOKUP($B96,[13]分省年度数据!$A$1:$IV$65536,9,FALSE)</f>
        <v>5365129</v>
      </c>
      <c r="AB96">
        <f>VLOOKUP($B96,[14]分省年度数据!$A$1:$IV$65536,9,FALSE)</f>
        <v>502.49</v>
      </c>
      <c r="AC96">
        <f>VLOOKUP($B96,[16]分省年度数据!$A$1:$IT$65532,9,FALSE)</f>
        <v>517</v>
      </c>
      <c r="AD96">
        <f>VLOOKUP($B96,[17]分省年度数据!$A$1:$IS$65525,9,FALSE)</f>
        <v>4188.1000000000004</v>
      </c>
      <c r="AE96">
        <f>IFERROR(AC96/E96,0)</f>
        <v>0.35828135828135826</v>
      </c>
      <c r="AF96">
        <f>IFERROR(AD96/E96,0)</f>
        <v>2.9023562023562026</v>
      </c>
      <c r="AG96">
        <f>VLOOKUP($B96,[15]分省年度数据!$A$1:$IV$65536,9,FALSE)</f>
        <v>5912</v>
      </c>
      <c r="AH96">
        <f>VLOOKUP(B96,[4]分省年度数据!$A$1:$IV$65536,9,FALSE)</f>
        <v>17757</v>
      </c>
      <c r="AI96">
        <f>VLOOKUP(B96,[3]分省年度数据!$A$1:$IV$65536,9,FALSE)</f>
        <v>113.96</v>
      </c>
      <c r="AJ96">
        <f>VLOOKUP($B96,[18]分省年度数据!$A$1:$IS$65529,9,FALSE)</f>
        <v>100</v>
      </c>
      <c r="AK96">
        <f>VLOOKUP($B96,[19]分省年度数据!$A$1:$IS$65529,9,FALSE)</f>
        <v>100</v>
      </c>
      <c r="AL96">
        <f>VLOOKUP($B96,[20]分省年度数据!$A$1:$IS$65528,9,FALSE)</f>
        <v>18.09</v>
      </c>
      <c r="AM96">
        <f>VLOOKUP($B96,[21]分省年度数据!$A$1:$IS$65528,9,FALSE)</f>
        <v>1.44</v>
      </c>
      <c r="AN96">
        <f>VLOOKUP($B96,[22]分省年度数据!$A$1:$IS$65529,9,FALSE)</f>
        <v>10.59</v>
      </c>
    </row>
    <row r="97" spans="1:40">
      <c r="A97">
        <v>13</v>
      </c>
      <c r="B97" t="s">
        <v>3</v>
      </c>
      <c r="C97">
        <v>2016</v>
      </c>
      <c r="D97" t="s">
        <v>32</v>
      </c>
      <c r="E97">
        <f>VLOOKUP(B97,[1]分省年度数据!$A$1:$IV$65536,9,FALSE)</f>
        <v>7375</v>
      </c>
      <c r="F97" s="4">
        <v>19725</v>
      </c>
      <c r="G97" s="2">
        <f>VLOOKUP(B97,[2]分省年度数据!$A$1:$IV$65536,9,FALSE)</f>
        <v>1428.2</v>
      </c>
      <c r="H97" s="2">
        <f t="shared" si="3"/>
        <v>0.19365423728813561</v>
      </c>
      <c r="N97">
        <v>7227.4318181818226</v>
      </c>
      <c r="O97">
        <f>N97/F97</f>
        <v>0.36640972462265259</v>
      </c>
      <c r="Q97" t="s">
        <v>65</v>
      </c>
      <c r="R97">
        <f>VLOOKUP(B97,[5]分省年度数据!$A$1:$O$65536,9,FALSE)</f>
        <v>78795</v>
      </c>
      <c r="S97">
        <f>VLOOKUP($B97,[6]分省年度数据!$A$1:$IV$65536,9,FALSE)</f>
        <v>36.049999999999997</v>
      </c>
      <c r="T97">
        <f>VLOOKUP($B97,[7]分省年度数据!$A$1:$IV$65536,9,FALSE)</f>
        <v>53</v>
      </c>
      <c r="U97">
        <f>VLOOKUP($B97,[8]分省年度数据!$A$1:$IV$65536,9,FALSE)</f>
        <v>8.7899999999999991</v>
      </c>
      <c r="V97">
        <f>VLOOKUP($B97,[9]分省年度数据!$A$1:$IV$65536,9,FALSE)</f>
        <v>547.86</v>
      </c>
      <c r="W97">
        <f>VLOOKUP($B97,[10]分省年度数据!$A$1:$IV$65536,9,FALSE)</f>
        <v>13.61</v>
      </c>
      <c r="X97">
        <f>VLOOKUP($B97,[11]分省年度数据!$A$1:$IV$65536,9,FALSE)</f>
        <v>13.59</v>
      </c>
      <c r="Y97">
        <f>VLOOKUP($B97,[12]分省年度数据!$A$1:$IV$65536,9,FALSE)</f>
        <v>17.66</v>
      </c>
      <c r="AA97">
        <f>VLOOKUP($B97,[13]分省年度数据!$A$1:$IV$65536,9,FALSE)</f>
        <v>14203834</v>
      </c>
      <c r="AB97">
        <f>VLOOKUP($B97,[14]分省年度数据!$A$1:$IV$65536,9,FALSE)</f>
        <v>1134.9000000000001</v>
      </c>
      <c r="AC97">
        <f>VLOOKUP($B97,[16]分省年度数据!$A$1:$IT$65532,9,FALSE)</f>
        <v>6</v>
      </c>
      <c r="AD97">
        <f>VLOOKUP($B97,[17]分省年度数据!$A$1:$IS$65525,9,FALSE)</f>
        <v>10191.4</v>
      </c>
      <c r="AE97">
        <f>IFERROR(AC97/E97,0)</f>
        <v>8.1355932203389829E-4</v>
      </c>
      <c r="AF97">
        <f>IFERROR(AD97/E97,0)</f>
        <v>1.3818847457627119</v>
      </c>
      <c r="AG97">
        <f>VLOOKUP($B97,[15]分省年度数据!$A$1:$IV$65536,9,FALSE)</f>
        <v>4919</v>
      </c>
      <c r="AH97">
        <f>VLOOKUP(B97,[4]分省年度数据!$A$1:$IV$65536,9,FALSE)</f>
        <v>26077</v>
      </c>
      <c r="AI97">
        <f>VLOOKUP(B97,[3]分省年度数据!$A$1:$IV$65536,9,FALSE)</f>
        <v>132</v>
      </c>
      <c r="AJ97">
        <f>VLOOKUP($B97,[18]分省年度数据!$A$1:$IS$65529,9,FALSE)</f>
        <v>99.52</v>
      </c>
      <c r="AK97">
        <f>VLOOKUP($B97,[19]分省年度数据!$A$1:$IS$65529,9,FALSE)</f>
        <v>98.88</v>
      </c>
      <c r="AL97">
        <f>VLOOKUP($B97,[20]分省年度数据!$A$1:$IS$65528,9,FALSE)</f>
        <v>13.68</v>
      </c>
      <c r="AM97">
        <f>VLOOKUP($B97,[21]分省年度数据!$A$1:$IS$65528,9,FALSE)</f>
        <v>3.15</v>
      </c>
      <c r="AN97">
        <f>VLOOKUP($B97,[22]分省年度数据!$A$1:$IS$65529,9,FALSE)</f>
        <v>14.31</v>
      </c>
    </row>
    <row r="98" spans="1:40">
      <c r="A98">
        <v>14</v>
      </c>
      <c r="B98" t="s">
        <v>4</v>
      </c>
      <c r="C98">
        <v>2016</v>
      </c>
      <c r="D98" t="s">
        <v>32</v>
      </c>
      <c r="E98">
        <f>VLOOKUP(B98,[1]分省年度数据!$A$1:$IV$65536,9,FALSE)</f>
        <v>3514</v>
      </c>
      <c r="F98" s="4">
        <v>19049</v>
      </c>
      <c r="G98" s="2">
        <f>VLOOKUP(B98,[2]分省年度数据!$A$1:$IV$65536,9,FALSE)</f>
        <v>648.79999999999995</v>
      </c>
      <c r="H98" s="2">
        <f t="shared" si="3"/>
        <v>0.18463289698349458</v>
      </c>
      <c r="N98">
        <v>5080.4351851851861</v>
      </c>
      <c r="O98">
        <f>N98/F98</f>
        <v>0.26670351121765901</v>
      </c>
      <c r="Q98" t="s">
        <v>59</v>
      </c>
      <c r="R98">
        <f>VLOOKUP(B98,[5]分省年度数据!$A$1:$O$65536,9,FALSE)</f>
        <v>42204</v>
      </c>
      <c r="S98">
        <f>VLOOKUP($B98,[6]分省年度数据!$A$1:$IV$65536,9,FALSE)</f>
        <v>18.97</v>
      </c>
      <c r="T98">
        <f>VLOOKUP($B98,[7]分省年度数据!$A$1:$IV$65536,9,FALSE)</f>
        <v>61</v>
      </c>
      <c r="U98">
        <f>VLOOKUP($B98,[8]分省年度数据!$A$1:$IV$65536,9,FALSE)</f>
        <v>10.49</v>
      </c>
      <c r="V98">
        <f>VLOOKUP($B98,[9]分省年度数据!$A$1:$IV$65536,9,FALSE)</f>
        <v>300.86</v>
      </c>
      <c r="W98">
        <f>VLOOKUP($B98,[10]分省年度数据!$A$1:$IV$65536,9,FALSE)</f>
        <v>11.9</v>
      </c>
      <c r="X98">
        <f>VLOOKUP($B98,[11]分省年度数据!$A$1:$IV$65536,9,FALSE)</f>
        <v>9.92</v>
      </c>
      <c r="Y98">
        <f>VLOOKUP($B98,[12]分省年度数据!$A$1:$IV$65536,9,FALSE)</f>
        <v>13.24</v>
      </c>
      <c r="AA98">
        <f>VLOOKUP($B98,[13]分省年度数据!$A$1:$IV$65536,9,FALSE)</f>
        <v>7942196</v>
      </c>
      <c r="AB98">
        <f>VLOOKUP($B98,[14]分省年度数据!$A$1:$IV$65536,9,FALSE)</f>
        <v>606.97</v>
      </c>
      <c r="AC98">
        <f>VLOOKUP($B98,[16]分省年度数据!$A$1:$IT$65532,9,FALSE)</f>
        <v>107</v>
      </c>
      <c r="AD98">
        <f>VLOOKUP($B98,[17]分省年度数据!$A$1:$IS$65525,9,FALSE)</f>
        <v>5699.2</v>
      </c>
      <c r="AE98">
        <f>IFERROR(AC98/E98,0)</f>
        <v>3.0449630051223676E-2</v>
      </c>
      <c r="AF98">
        <f>IFERROR(AD98/E98,0)</f>
        <v>1.621855435401252</v>
      </c>
      <c r="AG98">
        <f>VLOOKUP($B98,[15]分省年度数据!$A$1:$IV$65536,9,FALSE)</f>
        <v>5088</v>
      </c>
      <c r="AH98">
        <f>VLOOKUP(B98,[4]分省年度数据!$A$1:$IV$65536,9,FALSE)</f>
        <v>13813</v>
      </c>
      <c r="AI98">
        <f>VLOOKUP(B98,[3]分省年度数据!$A$1:$IV$65536,9,FALSE)</f>
        <v>114.52</v>
      </c>
      <c r="AJ98">
        <f>VLOOKUP($B98,[18]分省年度数据!$A$1:$IS$65529,9,FALSE)</f>
        <v>99.29</v>
      </c>
      <c r="AK98">
        <f>VLOOKUP($B98,[19]分省年度数据!$A$1:$IS$65529,9,FALSE)</f>
        <v>97.92</v>
      </c>
      <c r="AL98">
        <f>VLOOKUP($B98,[20]分省年度数据!$A$1:$IS$65528,9,FALSE)</f>
        <v>9.42</v>
      </c>
      <c r="AM98">
        <f>VLOOKUP($B98,[21]分省年度数据!$A$1:$IS$65528,9,FALSE)</f>
        <v>3.14</v>
      </c>
      <c r="AN98">
        <f>VLOOKUP($B98,[22]分省年度数据!$A$1:$IS$65529,9,FALSE)</f>
        <v>11.86</v>
      </c>
    </row>
    <row r="99" spans="1:40">
      <c r="A99">
        <v>15</v>
      </c>
      <c r="B99" t="s">
        <v>5</v>
      </c>
      <c r="C99">
        <v>2016</v>
      </c>
      <c r="D99" t="s">
        <v>32</v>
      </c>
      <c r="E99">
        <f>VLOOKUP(B99,[1]分省年度数据!$A$1:$IV$65536,9,FALSE)</f>
        <v>2436</v>
      </c>
      <c r="F99" s="4">
        <v>24127</v>
      </c>
      <c r="G99" s="2">
        <f>VLOOKUP(B99,[2]分省年度数据!$A$1:$IV$65536,9,FALSE)</f>
        <v>596.20000000000005</v>
      </c>
      <c r="H99" s="2">
        <f t="shared" si="3"/>
        <v>0.24474548440065683</v>
      </c>
      <c r="N99">
        <v>5068.2656249999991</v>
      </c>
      <c r="O99">
        <f>N99/F99</f>
        <v>0.21006613441372732</v>
      </c>
      <c r="Q99" t="s">
        <v>59</v>
      </c>
      <c r="R99">
        <f>VLOOKUP(B99,[5]分省年度数据!$A$1:$O$65536,9,FALSE)</f>
        <v>24002</v>
      </c>
      <c r="S99">
        <f>VLOOKUP($B99,[6]分省年度数据!$A$1:$IV$65536,9,FALSE)</f>
        <v>13.92</v>
      </c>
      <c r="T99">
        <f>VLOOKUP($B99,[7]分省年度数据!$A$1:$IV$65536,9,FALSE)</f>
        <v>68</v>
      </c>
      <c r="U99">
        <f>VLOOKUP($B99,[8]分省年度数据!$A$1:$IV$65536,9,FALSE)</f>
        <v>9.8800000000000008</v>
      </c>
      <c r="V99">
        <f>VLOOKUP($B99,[9]分省年度数据!$A$1:$IV$65536,9,FALSE)</f>
        <v>284.63</v>
      </c>
      <c r="W99">
        <f>VLOOKUP($B99,[10]分省年度数据!$A$1:$IV$65536,9,FALSE)</f>
        <v>12.89</v>
      </c>
      <c r="X99">
        <f>VLOOKUP($B99,[11]分省年度数据!$A$1:$IV$65536,9,FALSE)</f>
        <v>10.73</v>
      </c>
      <c r="Y99">
        <f>VLOOKUP($B99,[12]分省年度数据!$A$1:$IV$65536,9,FALSE)</f>
        <v>13.47</v>
      </c>
      <c r="AA99">
        <f>VLOOKUP($B99,[13]分省年度数据!$A$1:$IV$65536,9,FALSE)</f>
        <v>7624806</v>
      </c>
      <c r="AB99">
        <f>VLOOKUP($B99,[14]分省年度数据!$A$1:$IV$65536,9,FALSE)</f>
        <v>554.97</v>
      </c>
      <c r="AC99">
        <f>VLOOKUP($B99,[16]分省年度数据!$A$1:$IT$65532,9,FALSE)</f>
        <v>130</v>
      </c>
      <c r="AD99">
        <f>VLOOKUP($B99,[17]分省年度数据!$A$1:$IS$65525,9,FALSE)</f>
        <v>4415.8999999999996</v>
      </c>
      <c r="AE99">
        <f>IFERROR(AC99/E99,0)</f>
        <v>5.3366174055829226E-2</v>
      </c>
      <c r="AF99">
        <f>IFERROR(AD99/E99,0)</f>
        <v>1.8127668308702789</v>
      </c>
      <c r="AG99">
        <f>VLOOKUP($B99,[15]分省年度数据!$A$1:$IV$65536,9,FALSE)</f>
        <v>3172</v>
      </c>
      <c r="AH99">
        <f>VLOOKUP(B99,[4]分省年度数据!$A$1:$IV$65536,9,FALSE)</f>
        <v>16495</v>
      </c>
      <c r="AI99">
        <f>VLOOKUP(B99,[3]分省年度数据!$A$1:$IV$65536,9,FALSE)</f>
        <v>103.44</v>
      </c>
      <c r="AJ99">
        <f>VLOOKUP($B99,[18]分省年度数据!$A$1:$IS$65529,9,FALSE)</f>
        <v>98.98</v>
      </c>
      <c r="AK99">
        <f>VLOOKUP($B99,[19]分省年度数据!$A$1:$IS$65529,9,FALSE)</f>
        <v>94.9</v>
      </c>
      <c r="AL99">
        <f>VLOOKUP($B99,[20]分省年度数据!$A$1:$IS$65528,9,FALSE)</f>
        <v>10.26</v>
      </c>
      <c r="AM99">
        <f>VLOOKUP($B99,[21]分省年度数据!$A$1:$IS$65528,9,FALSE)</f>
        <v>4.6900000000000004</v>
      </c>
      <c r="AN99">
        <f>VLOOKUP($B99,[22]分省年度数据!$A$1:$IS$65529,9,FALSE)</f>
        <v>19.77</v>
      </c>
    </row>
    <row r="100" spans="1:40">
      <c r="A100">
        <v>21</v>
      </c>
      <c r="B100" t="s">
        <v>6</v>
      </c>
      <c r="C100">
        <v>2016</v>
      </c>
      <c r="D100" t="s">
        <v>33</v>
      </c>
      <c r="E100">
        <f>VLOOKUP(B100,[1]分省年度数据!$A$1:$IV$65536,9,FALSE)</f>
        <v>4327</v>
      </c>
      <c r="F100" s="4">
        <v>26040</v>
      </c>
      <c r="G100" s="2">
        <f>VLOOKUP(B100,[2]分省年度数据!$A$1:$IV$65536,9,FALSE)</f>
        <v>156.5</v>
      </c>
      <c r="H100" s="2">
        <f t="shared" si="3"/>
        <v>3.6168245897850705E-2</v>
      </c>
      <c r="N100">
        <v>5494.0619047619039</v>
      </c>
      <c r="O100">
        <f>N100/F100</f>
        <v>0.21098548021359079</v>
      </c>
      <c r="Q100" t="s">
        <v>64</v>
      </c>
      <c r="R100">
        <f>VLOOKUP(B100,[5]分省年度数据!$A$1:$O$65536,9,FALSE)</f>
        <v>36131</v>
      </c>
      <c r="S100">
        <f>VLOOKUP($B100,[6]分省年度数据!$A$1:$IV$65536,9,FALSE)</f>
        <v>28.44</v>
      </c>
      <c r="T100">
        <f>VLOOKUP($B100,[7]分省年度数据!$A$1:$IV$65536,9,FALSE)</f>
        <v>63</v>
      </c>
      <c r="U100">
        <f>VLOOKUP($B100,[8]分省年度数据!$A$1:$IV$65536,9,FALSE)</f>
        <v>10.83</v>
      </c>
      <c r="V100">
        <f>VLOOKUP($B100,[9]分省年度数据!$A$1:$IV$65536,9,FALSE)</f>
        <v>307.31</v>
      </c>
      <c r="W100">
        <f>VLOOKUP($B100,[10]分省年度数据!$A$1:$IV$65536,9,FALSE)</f>
        <v>12.35</v>
      </c>
      <c r="X100">
        <f>VLOOKUP($B100,[11]分省年度数据!$A$1:$IV$65536,9,FALSE)</f>
        <v>9.89</v>
      </c>
      <c r="Y100">
        <f>VLOOKUP($B100,[12]分省年度数据!$A$1:$IV$65536,9,FALSE)</f>
        <v>14.16</v>
      </c>
      <c r="AA100">
        <f>VLOOKUP($B100,[13]分省年度数据!$A$1:$IV$65536,9,FALSE)</f>
        <v>9206907</v>
      </c>
      <c r="AB100">
        <f>VLOOKUP($B100,[14]分省年度数据!$A$1:$IV$65536,9,FALSE)</f>
        <v>633.96</v>
      </c>
      <c r="AC100">
        <f>VLOOKUP($B100,[16]分省年度数据!$A$1:$IT$65532,9,FALSE)</f>
        <v>715</v>
      </c>
      <c r="AD100">
        <f>VLOOKUP($B100,[17]分省年度数据!$A$1:$IS$65525,9,FALSE)</f>
        <v>8597.1</v>
      </c>
      <c r="AE100">
        <f>IFERROR(AC100/E100,0)</f>
        <v>0.16524150681765656</v>
      </c>
      <c r="AF100">
        <f>IFERROR(AD100/E100,0)</f>
        <v>1.9868500115553502</v>
      </c>
      <c r="AG100">
        <f>VLOOKUP($B100,[15]分省年度数据!$A$1:$IV$65536,9,FALSE)</f>
        <v>4878</v>
      </c>
      <c r="AH100">
        <f>VLOOKUP(B100,[4]分省年度数据!$A$1:$IV$65536,9,FALSE)</f>
        <v>26001</v>
      </c>
      <c r="AI100">
        <f>VLOOKUP(B100,[3]分省年度数据!$A$1:$IV$65536,9,FALSE)</f>
        <v>146.26</v>
      </c>
      <c r="AJ100">
        <f>VLOOKUP($B100,[18]分省年度数据!$A$1:$IS$65529,9,FALSE)</f>
        <v>98.96</v>
      </c>
      <c r="AK100">
        <f>VLOOKUP($B100,[19]分省年度数据!$A$1:$IS$65529,9,FALSE)</f>
        <v>96.07</v>
      </c>
      <c r="AL100">
        <f>VLOOKUP($B100,[20]分省年度数据!$A$1:$IS$65528,9,FALSE)</f>
        <v>12.91</v>
      </c>
      <c r="AM100">
        <f>VLOOKUP($B100,[21]分省年度数据!$A$1:$IS$65528,9,FALSE)</f>
        <v>2.4</v>
      </c>
      <c r="AN100">
        <f>VLOOKUP($B100,[22]分省年度数据!$A$1:$IS$65529,9,FALSE)</f>
        <v>11.33</v>
      </c>
    </row>
    <row r="101" spans="1:40">
      <c r="A101">
        <v>22</v>
      </c>
      <c r="B101" t="s">
        <v>7</v>
      </c>
      <c r="C101">
        <v>2016</v>
      </c>
      <c r="D101" t="s">
        <v>33</v>
      </c>
      <c r="E101">
        <f>VLOOKUP(B101,[1]分省年度数据!$A$1:$IV$65536,9,FALSE)</f>
        <v>2567</v>
      </c>
      <c r="F101" s="4">
        <v>19967</v>
      </c>
      <c r="G101" s="2">
        <f>VLOOKUP(B101,[2]分省年度数据!$A$1:$IV$65536,9,FALSE)</f>
        <v>259.89999999999998</v>
      </c>
      <c r="H101" s="2">
        <f t="shared" si="3"/>
        <v>0.10124659135177248</v>
      </c>
      <c r="N101">
        <v>4847.15625</v>
      </c>
      <c r="O101">
        <f>N101/F101</f>
        <v>0.24275836380027044</v>
      </c>
      <c r="Q101" t="s">
        <v>64</v>
      </c>
      <c r="R101">
        <f>VLOOKUP(B101,[5]分省年度数据!$A$1:$O$65536,9,FALSE)</f>
        <v>20829</v>
      </c>
      <c r="S101">
        <f>VLOOKUP($B101,[6]分省年度数据!$A$1:$IV$65536,9,FALSE)</f>
        <v>15.12</v>
      </c>
      <c r="T101">
        <f>VLOOKUP($B101,[7]分省年度数据!$A$1:$IV$65536,9,FALSE)</f>
        <v>61</v>
      </c>
      <c r="U101">
        <f>VLOOKUP($B101,[8]分省年度数据!$A$1:$IV$65536,9,FALSE)</f>
        <v>9.59</v>
      </c>
      <c r="V101">
        <f>VLOOKUP($B101,[9]分省年度数据!$A$1:$IV$65536,9,FALSE)</f>
        <v>273.62</v>
      </c>
      <c r="W101">
        <f>VLOOKUP($B101,[10]分省年度数据!$A$1:$IV$65536,9,FALSE)</f>
        <v>13.81</v>
      </c>
      <c r="X101">
        <f>VLOOKUP($B101,[11]分省年度数据!$A$1:$IV$65536,9,FALSE)</f>
        <v>9.34</v>
      </c>
      <c r="Y101">
        <f>VLOOKUP($B101,[12]分省年度数据!$A$1:$IV$65536,9,FALSE)</f>
        <v>11.53</v>
      </c>
      <c r="AA101">
        <f>VLOOKUP($B101,[13]分省年度数据!$A$1:$IV$65536,9,FALSE)</f>
        <v>6439837</v>
      </c>
      <c r="AB101">
        <f>VLOOKUP($B101,[14]分省年度数据!$A$1:$IV$65536,9,FALSE)</f>
        <v>499.7</v>
      </c>
      <c r="AC101">
        <f>VLOOKUP($B101,[16]分省年度数据!$A$1:$IT$65532,9,FALSE)</f>
        <v>18</v>
      </c>
      <c r="AD101">
        <f>VLOOKUP($B101,[17]分省年度数据!$A$1:$IS$65525,9,FALSE)</f>
        <v>3812.9</v>
      </c>
      <c r="AE101">
        <f>IFERROR(AC101/E101,0)</f>
        <v>7.012076353720296E-3</v>
      </c>
      <c r="AF101">
        <f>IFERROR(AD101/E101,0)</f>
        <v>1.4853525516166732</v>
      </c>
      <c r="AG101">
        <f>VLOOKUP($B101,[15]分省年度数据!$A$1:$IV$65536,9,FALSE)</f>
        <v>5564</v>
      </c>
      <c r="AH101">
        <f>VLOOKUP(B101,[4]分省年度数据!$A$1:$IV$65536,9,FALSE)</f>
        <v>13203</v>
      </c>
      <c r="AI101">
        <f>VLOOKUP(B101,[3]分省年度数据!$A$1:$IV$65536,9,FALSE)</f>
        <v>124.51</v>
      </c>
      <c r="AJ101">
        <f>VLOOKUP($B101,[18]分省年度数据!$A$1:$IS$65529,9,FALSE)</f>
        <v>93.4</v>
      </c>
      <c r="AK101">
        <f>VLOOKUP($B101,[19]分省年度数据!$A$1:$IS$65529,9,FALSE)</f>
        <v>93</v>
      </c>
      <c r="AL101">
        <f>VLOOKUP($B101,[20]分省年度数据!$A$1:$IS$65528,9,FALSE)</f>
        <v>10.26</v>
      </c>
      <c r="AM101">
        <f>VLOOKUP($B101,[21]分省年度数据!$A$1:$IS$65528,9,FALSE)</f>
        <v>3.14</v>
      </c>
      <c r="AN101">
        <f>VLOOKUP($B101,[22]分省年度数据!$A$1:$IS$65529,9,FALSE)</f>
        <v>13.37</v>
      </c>
    </row>
    <row r="102" spans="1:40">
      <c r="A102">
        <v>23</v>
      </c>
      <c r="B102" t="s">
        <v>8</v>
      </c>
      <c r="C102">
        <v>2016</v>
      </c>
      <c r="D102" t="s">
        <v>33</v>
      </c>
      <c r="E102">
        <f>VLOOKUP(B102,[1]分省年度数据!$A$1:$IV$65536,9,FALSE)</f>
        <v>3463</v>
      </c>
      <c r="F102" s="4">
        <v>19838</v>
      </c>
      <c r="G102" s="2">
        <f>VLOOKUP(B102,[2]分省年度数据!$A$1:$IV$65536,9,FALSE)</f>
        <v>589.1</v>
      </c>
      <c r="H102" s="2">
        <f t="shared" si="3"/>
        <v>0.1701126191163731</v>
      </c>
      <c r="N102">
        <v>4839.1785714285716</v>
      </c>
      <c r="O102">
        <f>N102/F102</f>
        <v>0.24393480045511501</v>
      </c>
      <c r="Q102" t="s">
        <v>64</v>
      </c>
      <c r="R102">
        <f>VLOOKUP(B102,[5]分省年度数据!$A$1:$O$65536,9,FALSE)</f>
        <v>20375</v>
      </c>
      <c r="S102">
        <f>VLOOKUP($B102,[6]分省年度数据!$A$1:$IV$65536,9,FALSE)</f>
        <v>22.01</v>
      </c>
      <c r="T102">
        <f>VLOOKUP($B102,[7]分省年度数据!$A$1:$IV$65536,9,FALSE)</f>
        <v>58</v>
      </c>
      <c r="U102">
        <f>VLOOKUP($B102,[8]分省年度数据!$A$1:$IV$65536,9,FALSE)</f>
        <v>10.75</v>
      </c>
      <c r="V102">
        <f>VLOOKUP($B102,[9]分省年度数据!$A$1:$IV$65536,9,FALSE)</f>
        <v>280.56</v>
      </c>
      <c r="W102">
        <f>VLOOKUP($B102,[10]分省年度数据!$A$1:$IV$65536,9,FALSE)</f>
        <v>12.99</v>
      </c>
      <c r="X102">
        <f>VLOOKUP($B102,[11]分省年度数据!$A$1:$IV$65536,9,FALSE)</f>
        <v>9.99</v>
      </c>
      <c r="Y102">
        <f>VLOOKUP($B102,[12]分省年度数据!$A$1:$IV$65536,9,FALSE)</f>
        <v>12.05</v>
      </c>
      <c r="AA102">
        <f>VLOOKUP($B102,[13]分省年度数据!$A$1:$IV$65536,9,FALSE)</f>
        <v>7336607</v>
      </c>
      <c r="AB102">
        <f>VLOOKUP($B102,[14]分省年度数据!$A$1:$IV$65536,9,FALSE)</f>
        <v>558.87</v>
      </c>
      <c r="AC102">
        <f>VLOOKUP($B102,[16]分省年度数据!$A$1:$IT$65532,9,FALSE)</f>
        <v>66</v>
      </c>
      <c r="AD102">
        <f>VLOOKUP($B102,[17]分省年度数据!$A$1:$IS$65525,9,FALSE)</f>
        <v>4794.1000000000004</v>
      </c>
      <c r="AE102">
        <f>IFERROR(AC102/E102,0)</f>
        <v>1.9058619693907018E-2</v>
      </c>
      <c r="AF102">
        <f>IFERROR(AD102/E102,0)</f>
        <v>1.3843777071902976</v>
      </c>
      <c r="AG102">
        <f>VLOOKUP($B102,[15]分省年度数据!$A$1:$IV$65536,9,FALSE)</f>
        <v>3614</v>
      </c>
      <c r="AH102">
        <f>VLOOKUP(B102,[4]分省年度数据!$A$1:$IV$65536,9,FALSE)</f>
        <v>20239</v>
      </c>
      <c r="AI102">
        <f>VLOOKUP(B102,[3]分省年度数据!$A$1:$IV$65536,9,FALSE)</f>
        <v>117.38</v>
      </c>
      <c r="AJ102">
        <f>VLOOKUP($B102,[18]分省年度数据!$A$1:$IS$65529,9,FALSE)</f>
        <v>97.25</v>
      </c>
      <c r="AK102">
        <f>VLOOKUP($B102,[19]分省年度数据!$A$1:$IS$65529,9,FALSE)</f>
        <v>86.66</v>
      </c>
      <c r="AL102">
        <f>VLOOKUP($B102,[20]分省年度数据!$A$1:$IS$65528,9,FALSE)</f>
        <v>13.58</v>
      </c>
      <c r="AM102">
        <f>VLOOKUP($B102,[21]分省年度数据!$A$1:$IS$65528,9,FALSE)</f>
        <v>4.28</v>
      </c>
      <c r="AN102">
        <f>VLOOKUP($B102,[22]分省年度数据!$A$1:$IS$65529,9,FALSE)</f>
        <v>11.91</v>
      </c>
    </row>
    <row r="103" spans="1:40">
      <c r="A103">
        <v>31</v>
      </c>
      <c r="B103" t="s">
        <v>9</v>
      </c>
      <c r="C103">
        <v>2016</v>
      </c>
      <c r="D103" t="s">
        <v>34</v>
      </c>
      <c r="E103">
        <f>VLOOKUP(B103,[1]分省年度数据!$A$1:$IV$65536,9,FALSE)</f>
        <v>2467</v>
      </c>
      <c r="F103" s="4">
        <v>54305</v>
      </c>
      <c r="G103" s="2">
        <f>VLOOKUP(B103,[2]分省年度数据!$A$1:$IV$65536,9,FALSE)</f>
        <v>0.5</v>
      </c>
      <c r="H103" s="2">
        <f t="shared" si="3"/>
        <v>2.0267531414673692E-4</v>
      </c>
      <c r="N103">
        <v>45617.416666666701</v>
      </c>
      <c r="O103">
        <f>N103/F103</f>
        <v>0.84002240432127251</v>
      </c>
      <c r="Q103" t="s">
        <v>56</v>
      </c>
      <c r="R103">
        <f>VLOOKUP(B103,[5]分省年度数据!$A$1:$O$65536,9,FALSE)</f>
        <v>5016</v>
      </c>
      <c r="S103">
        <f>VLOOKUP($B103,[6]分省年度数据!$A$1:$IV$65536,9,FALSE)</f>
        <v>12.92</v>
      </c>
      <c r="T103">
        <f>VLOOKUP($B103,[7]分省年度数据!$A$1:$IV$65536,9,FALSE)</f>
        <v>74</v>
      </c>
      <c r="U103">
        <f>VLOOKUP($B103,[8]分省年度数据!$A$1:$IV$65536,9,FALSE)</f>
        <v>10.11</v>
      </c>
      <c r="V103">
        <f>VLOOKUP($B103,[9]分省年度数据!$A$1:$IV$65536,9,FALSE)</f>
        <v>383.1</v>
      </c>
      <c r="W103">
        <f>VLOOKUP($B103,[10]分省年度数据!$A$1:$IV$65536,9,FALSE)</f>
        <v>8.93</v>
      </c>
      <c r="X103">
        <f>VLOOKUP($B103,[11]分省年度数据!$A$1:$IV$65536,9,FALSE)</f>
        <v>10.85</v>
      </c>
      <c r="Y103">
        <f>VLOOKUP($B103,[12]分省年度数据!$A$1:$IV$65536,9,FALSE)</f>
        <v>14.79</v>
      </c>
      <c r="AA103">
        <f>VLOOKUP($B103,[13]分省年度数据!$A$1:$IV$65536,9,FALSE)</f>
        <v>11218946</v>
      </c>
      <c r="AB103">
        <f>VLOOKUP($B103,[14]分省年度数据!$A$1:$IV$65536,9,FALSE)</f>
        <v>840.97</v>
      </c>
      <c r="AC103">
        <f>VLOOKUP($B103,[16]分省年度数据!$A$1:$IT$65532,9,FALSE)</f>
        <v>3603</v>
      </c>
      <c r="AD103">
        <f>VLOOKUP($B103,[17]分省年度数据!$A$1:$IS$65525,9,FALSE)</f>
        <v>12588.2</v>
      </c>
      <c r="AE103">
        <f>IFERROR(AC103/E103,0)</f>
        <v>1.4604783137413864</v>
      </c>
      <c r="AF103">
        <f>IFERROR(AD103/E103,0)</f>
        <v>5.1026347790839077</v>
      </c>
      <c r="AG103">
        <f>VLOOKUP($B103,[15]分省年度数据!$A$1:$IV$65536,9,FALSE)</f>
        <v>795</v>
      </c>
      <c r="AH103">
        <f>VLOOKUP(B103,[4]分省年度数据!$A$1:$IV$65536,9,FALSE)</f>
        <v>24169</v>
      </c>
      <c r="AI103">
        <f>VLOOKUP(B103,[3]分省年度数据!$A$1:$IV$65536,9,FALSE)</f>
        <v>200.85</v>
      </c>
      <c r="AJ103">
        <f>VLOOKUP($B103,[18]分省年度数据!$A$1:$IS$65529,9,FALSE)</f>
        <v>100</v>
      </c>
      <c r="AK103">
        <f>VLOOKUP($B103,[19]分省年度数据!$A$1:$IS$65529,9,FALSE)</f>
        <v>100</v>
      </c>
      <c r="AL103">
        <f>VLOOKUP($B103,[20]分省年度数据!$A$1:$IS$65528,9,FALSE)</f>
        <v>12.7</v>
      </c>
      <c r="AM103">
        <f>VLOOKUP($B103,[21]分省年度数据!$A$1:$IS$65528,9,FALSE)</f>
        <v>2.57</v>
      </c>
      <c r="AN103">
        <f>VLOOKUP($B103,[22]分省年度数据!$A$1:$IS$65529,9,FALSE)</f>
        <v>7.83</v>
      </c>
    </row>
    <row r="104" spans="1:40">
      <c r="A104">
        <v>32</v>
      </c>
      <c r="B104" t="s">
        <v>10</v>
      </c>
      <c r="C104">
        <v>2016</v>
      </c>
      <c r="D104" t="s">
        <v>34</v>
      </c>
      <c r="E104">
        <f>VLOOKUP(B104,[1]分省年度数据!$A$1:$IV$65536,9,FALSE)</f>
        <v>8381</v>
      </c>
      <c r="F104" s="4">
        <v>32070</v>
      </c>
      <c r="G104" s="2">
        <f>VLOOKUP(B104,[2]分省年度数据!$A$1:$IV$65536,9,FALSE)</f>
        <v>237.7</v>
      </c>
      <c r="H104" s="2">
        <f t="shared" si="3"/>
        <v>2.8361770671757547E-2</v>
      </c>
      <c r="N104">
        <v>8660.1923076923104</v>
      </c>
      <c r="O104">
        <f>N104/F104</f>
        <v>0.27004029646686345</v>
      </c>
      <c r="Q104" t="s">
        <v>79</v>
      </c>
      <c r="R104">
        <f>VLOOKUP(B104,[5]分省年度数据!$A$1:$O$65536,9,FALSE)</f>
        <v>32117</v>
      </c>
      <c r="S104">
        <f>VLOOKUP($B104,[6]分省年度数据!$A$1:$IV$65536,9,FALSE)</f>
        <v>44.31</v>
      </c>
      <c r="T104">
        <f>VLOOKUP($B104,[7]分省年度数据!$A$1:$IV$65536,9,FALSE)</f>
        <v>65</v>
      </c>
      <c r="U104">
        <f>VLOOKUP($B104,[8]分省年度数据!$A$1:$IV$65536,9,FALSE)</f>
        <v>9.64</v>
      </c>
      <c r="V104">
        <f>VLOOKUP($B104,[9]分省年度数据!$A$1:$IV$65536,9,FALSE)</f>
        <v>712.77</v>
      </c>
      <c r="W104">
        <f>VLOOKUP($B104,[10]分省年度数据!$A$1:$IV$65536,9,FALSE)</f>
        <v>10.01</v>
      </c>
      <c r="X104">
        <f>VLOOKUP($B104,[11]分省年度数据!$A$1:$IV$65536,9,FALSE)</f>
        <v>11.04</v>
      </c>
      <c r="Y104">
        <f>VLOOKUP($B104,[12]分省年度数据!$A$1:$IV$65536,9,FALSE)</f>
        <v>18.059999999999999</v>
      </c>
      <c r="AA104">
        <f>VLOOKUP($B104,[13]分省年度数据!$A$1:$IV$65536,9,FALSE)</f>
        <v>24020855</v>
      </c>
      <c r="AB104">
        <f>VLOOKUP($B104,[14]分省年度数据!$A$1:$IV$65536,9,FALSE)</f>
        <v>1842.94</v>
      </c>
      <c r="AC104">
        <f>VLOOKUP($B104,[16]分省年度数据!$A$1:$IT$65532,9,FALSE)</f>
        <v>1527</v>
      </c>
      <c r="AD104">
        <f>VLOOKUP($B104,[17]分省年度数据!$A$1:$IS$65525,9,FALSE)</f>
        <v>29612.5</v>
      </c>
      <c r="AE104">
        <f>IFERROR(AC104/E104,0)</f>
        <v>0.18219782842142943</v>
      </c>
      <c r="AF104">
        <f>IFERROR(AD104/E104,0)</f>
        <v>3.5332895835819116</v>
      </c>
      <c r="AG104">
        <f>VLOOKUP($B104,[15]分省年度数据!$A$1:$IV$65536,9,FALSE)</f>
        <v>13299</v>
      </c>
      <c r="AH104">
        <f>VLOOKUP(B104,[4]分省年度数据!$A$1:$IV$65536,9,FALSE)</f>
        <v>62333</v>
      </c>
      <c r="AI104">
        <f>VLOOKUP(B104,[3]分省年度数据!$A$1:$IV$65536,9,FALSE)</f>
        <v>215.39</v>
      </c>
      <c r="AJ104">
        <f>VLOOKUP($B104,[18]分省年度数据!$A$1:$IS$65529,9,FALSE)</f>
        <v>99.86</v>
      </c>
      <c r="AK104">
        <f>VLOOKUP($B104,[19]分省年度数据!$A$1:$IS$65529,9,FALSE)</f>
        <v>99.54</v>
      </c>
      <c r="AL104">
        <f>VLOOKUP($B104,[20]分省年度数据!$A$1:$IS$65528,9,FALSE)</f>
        <v>16.57</v>
      </c>
      <c r="AM104">
        <f>VLOOKUP($B104,[21]分省年度数据!$A$1:$IS$65528,9,FALSE)</f>
        <v>3.86</v>
      </c>
      <c r="AN104">
        <f>VLOOKUP($B104,[22]分省年度数据!$A$1:$IS$65529,9,FALSE)</f>
        <v>14.79</v>
      </c>
    </row>
    <row r="105" spans="1:40">
      <c r="A105">
        <v>33</v>
      </c>
      <c r="B105" t="s">
        <v>11</v>
      </c>
      <c r="C105">
        <v>2016</v>
      </c>
      <c r="D105" t="s">
        <v>34</v>
      </c>
      <c r="E105">
        <f>VLOOKUP(B105,[1]分省年度数据!$A$1:$IV$65536,9,FALSE)</f>
        <v>6072</v>
      </c>
      <c r="F105" s="4">
        <v>38529</v>
      </c>
      <c r="G105" s="2">
        <f>VLOOKUP(B105,[2]分省年度数据!$A$1:$IV$65536,9,FALSE)</f>
        <v>436.9</v>
      </c>
      <c r="H105" s="2">
        <f t="shared" ref="H105:H136" si="4">G105/E105</f>
        <v>7.1953227931488797E-2</v>
      </c>
      <c r="N105">
        <v>11604.49242424242</v>
      </c>
      <c r="O105">
        <f>N105/F105</f>
        <v>0.30118851836908356</v>
      </c>
      <c r="Q105" t="s">
        <v>56</v>
      </c>
      <c r="R105">
        <f>VLOOKUP(B105,[5]分省年度数据!$A$1:$O$65536,9,FALSE)</f>
        <v>31546</v>
      </c>
      <c r="S105">
        <f>VLOOKUP($B105,[6]分省年度数据!$A$1:$IV$65536,9,FALSE)</f>
        <v>28.99</v>
      </c>
      <c r="T105">
        <f>VLOOKUP($B105,[7]分省年度数据!$A$1:$IV$65536,9,FALSE)</f>
        <v>77</v>
      </c>
      <c r="U105">
        <f>VLOOKUP($B105,[8]分省年度数据!$A$1:$IV$65536,9,FALSE)</f>
        <v>9.92</v>
      </c>
      <c r="V105">
        <f>VLOOKUP($B105,[9]分省年度数据!$A$1:$IV$65536,9,FALSE)</f>
        <v>542.44000000000005</v>
      </c>
      <c r="W105">
        <f>VLOOKUP($B105,[10]分省年度数据!$A$1:$IV$65536,9,FALSE)</f>
        <v>11.26</v>
      </c>
      <c r="X105">
        <f>VLOOKUP($B105,[11]分省年度数据!$A$1:$IV$65536,9,FALSE)</f>
        <v>12.34</v>
      </c>
      <c r="Y105">
        <f>VLOOKUP($B105,[12]分省年度数据!$A$1:$IV$65536,9,FALSE)</f>
        <v>17.75</v>
      </c>
      <c r="AA105">
        <f>VLOOKUP($B105,[13]分省年度数据!$A$1:$IV$65536,9,FALSE)</f>
        <v>18908104</v>
      </c>
      <c r="AB105">
        <f>VLOOKUP($B105,[14]分省年度数据!$A$1:$IV$65536,9,FALSE)</f>
        <v>1300.03</v>
      </c>
      <c r="AC105">
        <f>VLOOKUP($B105,[16]分省年度数据!$A$1:$IT$65532,9,FALSE)</f>
        <v>1741</v>
      </c>
      <c r="AD105">
        <f>VLOOKUP($B105,[17]分省年度数据!$A$1:$IS$65525,9,FALSE)</f>
        <v>20916.7</v>
      </c>
      <c r="AE105">
        <f>IFERROR(AC105/E105,0)</f>
        <v>0.28672595520421607</v>
      </c>
      <c r="AF105">
        <f>IFERROR(AD105/E105,0)</f>
        <v>3.4447793148880108</v>
      </c>
      <c r="AG105">
        <f>VLOOKUP($B105,[15]分省年度数据!$A$1:$IV$65536,9,FALSE)</f>
        <v>14791</v>
      </c>
      <c r="AH105">
        <f>VLOOKUP(B105,[4]分省年度数据!$A$1:$IV$65536,9,FALSE)</f>
        <v>69884</v>
      </c>
      <c r="AI105">
        <f>VLOOKUP(B105,[3]分省年度数据!$A$1:$IV$65536,9,FALSE)</f>
        <v>187.17</v>
      </c>
      <c r="AJ105">
        <f>VLOOKUP($B105,[18]分省年度数据!$A$1:$IS$65529,9,FALSE)</f>
        <v>99.97</v>
      </c>
      <c r="AK105">
        <f>VLOOKUP($B105,[19]分省年度数据!$A$1:$IS$65529,9,FALSE)</f>
        <v>99.95</v>
      </c>
      <c r="AL105">
        <f>VLOOKUP($B105,[20]分省年度数据!$A$1:$IS$65528,9,FALSE)</f>
        <v>16.27</v>
      </c>
      <c r="AM105">
        <f>VLOOKUP($B105,[21]分省年度数据!$A$1:$IS$65528,9,FALSE)</f>
        <v>3.5</v>
      </c>
      <c r="AN105">
        <f>VLOOKUP($B105,[22]分省年度数据!$A$1:$IS$65529,9,FALSE)</f>
        <v>13.17</v>
      </c>
    </row>
    <row r="106" spans="1:40">
      <c r="A106">
        <v>34</v>
      </c>
      <c r="B106" t="s">
        <v>12</v>
      </c>
      <c r="C106">
        <v>2016</v>
      </c>
      <c r="D106" t="s">
        <v>34</v>
      </c>
      <c r="E106">
        <f>VLOOKUP(B106,[1]分省年度数据!$A$1:$IV$65536,9,FALSE)</f>
        <v>6033</v>
      </c>
      <c r="F106" s="4">
        <v>19998</v>
      </c>
      <c r="G106" s="2">
        <f>VLOOKUP(B106,[2]分省年度数据!$A$1:$IV$65536,9,FALSE)</f>
        <v>1487.8</v>
      </c>
      <c r="H106" s="2">
        <f t="shared" si="4"/>
        <v>0.24661030996187633</v>
      </c>
      <c r="N106">
        <v>6139.0364583333321</v>
      </c>
      <c r="O106">
        <f>N106/F106</f>
        <v>0.3069825211687835</v>
      </c>
      <c r="Q106" t="s">
        <v>79</v>
      </c>
      <c r="R106">
        <f>VLOOKUP(B106,[5]分省年度数据!$A$1:$O$65536,9,FALSE)</f>
        <v>24385</v>
      </c>
      <c r="S106">
        <f>VLOOKUP($B106,[6]分省年度数据!$A$1:$IV$65536,9,FALSE)</f>
        <v>28.17</v>
      </c>
      <c r="T106">
        <f>VLOOKUP($B106,[7]分省年度数据!$A$1:$IV$65536,9,FALSE)</f>
        <v>47</v>
      </c>
      <c r="U106">
        <f>VLOOKUP($B106,[8]分省年度数据!$A$1:$IV$65536,9,FALSE)</f>
        <v>8.84</v>
      </c>
      <c r="V106">
        <f>VLOOKUP($B106,[9]分省年度数据!$A$1:$IV$65536,9,FALSE)</f>
        <v>480.12</v>
      </c>
      <c r="W106">
        <f>VLOOKUP($B106,[10]分省年度数据!$A$1:$IV$65536,9,FALSE)</f>
        <v>14.31</v>
      </c>
      <c r="X106">
        <f>VLOOKUP($B106,[11]分省年度数据!$A$1:$IV$65536,9,FALSE)</f>
        <v>12.79</v>
      </c>
      <c r="Y106">
        <f>VLOOKUP($B106,[12]分省年度数据!$A$1:$IV$65536,9,FALSE)</f>
        <v>17.899999999999999</v>
      </c>
      <c r="AA106">
        <f>VLOOKUP($B106,[13]分省年度数据!$A$1:$IV$65536,9,FALSE)</f>
        <v>12357931</v>
      </c>
      <c r="AB106">
        <f>VLOOKUP($B106,[14]分省年度数据!$A$1:$IV$65536,9,FALSE)</f>
        <v>910.87</v>
      </c>
      <c r="AC106">
        <f>VLOOKUP($B106,[16]分省年度数据!$A$1:$IT$65532,9,FALSE)</f>
        <v>690</v>
      </c>
      <c r="AD106">
        <f>VLOOKUP($B106,[17]分省年度数据!$A$1:$IS$65525,9,FALSE)</f>
        <v>12662.5</v>
      </c>
      <c r="AE106">
        <f>IFERROR(AC106/E106,0)</f>
        <v>0.11437095972153158</v>
      </c>
      <c r="AF106">
        <f>IFERROR(AD106/E106,0)</f>
        <v>2.0988728659041938</v>
      </c>
      <c r="AG106">
        <f>VLOOKUP($B106,[15]分省年度数据!$A$1:$IV$65536,9,FALSE)</f>
        <v>12933</v>
      </c>
      <c r="AH106">
        <f>VLOOKUP(B106,[4]分省年度数据!$A$1:$IV$65536,9,FALSE)</f>
        <v>14760</v>
      </c>
      <c r="AI106">
        <f>VLOOKUP(B106,[3]分省年度数据!$A$1:$IV$65536,9,FALSE)</f>
        <v>180.19</v>
      </c>
      <c r="AJ106">
        <f>VLOOKUP($B106,[18]分省年度数据!$A$1:$IS$65529,9,FALSE)</f>
        <v>99.2</v>
      </c>
      <c r="AK106">
        <f>VLOOKUP($B106,[19]分省年度数据!$A$1:$IS$65529,9,FALSE)</f>
        <v>98.05</v>
      </c>
      <c r="AL106">
        <f>VLOOKUP($B106,[20]分省年度数据!$A$1:$IS$65528,9,FALSE)</f>
        <v>11.95</v>
      </c>
      <c r="AM106">
        <f>VLOOKUP($B106,[21]分省年度数据!$A$1:$IS$65528,9,FALSE)</f>
        <v>2.25</v>
      </c>
      <c r="AN106">
        <f>VLOOKUP($B106,[22]分省年度数据!$A$1:$IS$65529,9,FALSE)</f>
        <v>14.02</v>
      </c>
    </row>
    <row r="107" spans="1:40">
      <c r="A107">
        <v>35</v>
      </c>
      <c r="B107" t="s">
        <v>13</v>
      </c>
      <c r="C107">
        <v>2016</v>
      </c>
      <c r="D107" t="s">
        <v>34</v>
      </c>
      <c r="E107">
        <f>VLOOKUP(B107,[1]分省年度数据!$A$1:$IV$65536,9,FALSE)</f>
        <v>4016</v>
      </c>
      <c r="F107" s="4">
        <v>27608</v>
      </c>
      <c r="G107" s="2">
        <f>VLOOKUP(B107,[2]分省年度数据!$A$1:$IV$65536,9,FALSE)</f>
        <v>562.29999999999995</v>
      </c>
      <c r="H107" s="2">
        <f t="shared" si="4"/>
        <v>0.14001494023904382</v>
      </c>
      <c r="N107">
        <v>11698.535714285719</v>
      </c>
      <c r="O107">
        <f>N107/F107</f>
        <v>0.42373716728070554</v>
      </c>
      <c r="Q107" t="s">
        <v>57</v>
      </c>
      <c r="R107">
        <f>VLOOKUP(B107,[5]分省年度数据!$A$1:$O$65536,9,FALSE)</f>
        <v>27656</v>
      </c>
      <c r="S107">
        <f>VLOOKUP($B107,[6]分省年度数据!$A$1:$IV$65536,9,FALSE)</f>
        <v>17.48</v>
      </c>
      <c r="T107">
        <f>VLOOKUP($B107,[7]分省年度数据!$A$1:$IV$65536,9,FALSE)</f>
        <v>57</v>
      </c>
      <c r="U107">
        <f>VLOOKUP($B107,[8]分省年度数据!$A$1:$IV$65536,9,FALSE)</f>
        <v>8.7100000000000009</v>
      </c>
      <c r="V107">
        <f>VLOOKUP($B107,[9]分省年度数据!$A$1:$IV$65536,9,FALSE)</f>
        <v>377.58</v>
      </c>
      <c r="W107">
        <f>VLOOKUP($B107,[10]分省年度数据!$A$1:$IV$65536,9,FALSE)</f>
        <v>12.59</v>
      </c>
      <c r="X107">
        <f>VLOOKUP($B107,[11]分省年度数据!$A$1:$IV$65536,9,FALSE)</f>
        <v>11.69</v>
      </c>
      <c r="Y107">
        <f>VLOOKUP($B107,[12]分省年度数据!$A$1:$IV$65536,9,FALSE)</f>
        <v>18</v>
      </c>
      <c r="AA107">
        <f>VLOOKUP($B107,[13]分省年度数据!$A$1:$IV$65536,9,FALSE)</f>
        <v>10473975</v>
      </c>
      <c r="AB107">
        <f>VLOOKUP($B107,[14]分省年度数据!$A$1:$IV$65536,9,FALSE)</f>
        <v>789.11</v>
      </c>
      <c r="AC107">
        <f>VLOOKUP($B107,[16]分省年度数据!$A$1:$IT$65532,9,FALSE)</f>
        <v>567</v>
      </c>
      <c r="AD107">
        <f>VLOOKUP($B107,[17]分省年度数据!$A$1:$IS$65525,9,FALSE)</f>
        <v>13703</v>
      </c>
      <c r="AE107">
        <f>IFERROR(AC107/E107,0)</f>
        <v>0.14118525896414344</v>
      </c>
      <c r="AF107">
        <f>IFERROR(AD107/E107,0)</f>
        <v>3.4121015936254979</v>
      </c>
      <c r="AG107">
        <f>VLOOKUP($B107,[15]分省年度数据!$A$1:$IV$65536,9,FALSE)</f>
        <v>8867</v>
      </c>
      <c r="AH107">
        <f>VLOOKUP(B107,[4]分省年度数据!$A$1:$IV$65536,9,FALSE)</f>
        <v>23554</v>
      </c>
      <c r="AI107">
        <f>VLOOKUP(B107,[3]分省年度数据!$A$1:$IV$65536,9,FALSE)</f>
        <v>191.52</v>
      </c>
      <c r="AJ107">
        <f>VLOOKUP($B107,[18]分省年度数据!$A$1:$IS$65529,9,FALSE)</f>
        <v>99.52</v>
      </c>
      <c r="AK107">
        <f>VLOOKUP($B107,[19]分省年度数据!$A$1:$IS$65529,9,FALSE)</f>
        <v>97.21</v>
      </c>
      <c r="AL107">
        <f>VLOOKUP($B107,[20]分省年度数据!$A$1:$IS$65528,9,FALSE)</f>
        <v>15.26</v>
      </c>
      <c r="AM107">
        <f>VLOOKUP($B107,[21]分省年度数据!$A$1:$IS$65528,9,FALSE)</f>
        <v>2.15</v>
      </c>
      <c r="AN107">
        <f>VLOOKUP($B107,[22]分省年度数据!$A$1:$IS$65529,9,FALSE)</f>
        <v>13.08</v>
      </c>
    </row>
    <row r="108" spans="1:40">
      <c r="A108">
        <v>36</v>
      </c>
      <c r="B108" t="s">
        <v>14</v>
      </c>
      <c r="C108">
        <v>2016</v>
      </c>
      <c r="D108" t="s">
        <v>34</v>
      </c>
      <c r="E108">
        <f>VLOOKUP(B108,[1]分省年度数据!$A$1:$IV$65536,9,FALSE)</f>
        <v>4496</v>
      </c>
      <c r="F108" s="4">
        <v>20110</v>
      </c>
      <c r="G108" s="2">
        <f>VLOOKUP(B108,[2]分省年度数据!$A$1:$IV$65536,9,FALSE)</f>
        <v>805.1</v>
      </c>
      <c r="H108" s="2">
        <f t="shared" si="4"/>
        <v>0.17907028469750891</v>
      </c>
      <c r="N108">
        <v>5373.1851851851861</v>
      </c>
      <c r="O108">
        <f>N108/F108</f>
        <v>0.267189715822237</v>
      </c>
      <c r="Q108" t="s">
        <v>58</v>
      </c>
      <c r="R108">
        <f>VLOOKUP(B108,[5]分省年度数据!$A$1:$O$65536,9,FALSE)</f>
        <v>38272</v>
      </c>
      <c r="S108">
        <f>VLOOKUP($B108,[6]分省年度数据!$A$1:$IV$65536,9,FALSE)</f>
        <v>20.91</v>
      </c>
      <c r="T108">
        <f>VLOOKUP($B108,[7]分省年度数据!$A$1:$IV$65536,9,FALSE)</f>
        <v>48</v>
      </c>
      <c r="U108">
        <f>VLOOKUP($B108,[8]分省年度数据!$A$1:$IV$65536,9,FALSE)</f>
        <v>9.1199999999999992</v>
      </c>
      <c r="V108">
        <f>VLOOKUP($B108,[9]分省年度数据!$A$1:$IV$65536,9,FALSE)</f>
        <v>438.72</v>
      </c>
      <c r="W108">
        <f>VLOOKUP($B108,[10]分省年度数据!$A$1:$IV$65536,9,FALSE)</f>
        <v>17.2</v>
      </c>
      <c r="X108">
        <f>VLOOKUP($B108,[11]分省年度数据!$A$1:$IV$65536,9,FALSE)</f>
        <v>15.08</v>
      </c>
      <c r="Y108">
        <f>VLOOKUP($B108,[12]分省年度数据!$A$1:$IV$65536,9,FALSE)</f>
        <v>19.29</v>
      </c>
      <c r="AA108">
        <f>VLOOKUP($B108,[13]分省年度数据!$A$1:$IV$65536,9,FALSE)</f>
        <v>10468837</v>
      </c>
      <c r="AB108">
        <f>VLOOKUP($B108,[14]分省年度数据!$A$1:$IV$65536,9,FALSE)</f>
        <v>848.88</v>
      </c>
      <c r="AC108">
        <f>VLOOKUP($B108,[16]分省年度数据!$A$1:$IT$65532,9,FALSE)</f>
        <v>133</v>
      </c>
      <c r="AD108">
        <f>VLOOKUP($B108,[17]分省年度数据!$A$1:$IS$65525,9,FALSE)</f>
        <v>7198.5</v>
      </c>
      <c r="AE108">
        <f>IFERROR(AC108/E108,0)</f>
        <v>2.9581850533807828E-2</v>
      </c>
      <c r="AF108">
        <f>IFERROR(AD108/E108,0)</f>
        <v>1.6010898576512456</v>
      </c>
      <c r="AG108">
        <f>VLOOKUP($B108,[15]分省年度数据!$A$1:$IV$65536,9,FALSE)</f>
        <v>4932</v>
      </c>
      <c r="AH108">
        <f>VLOOKUP(B108,[4]分省年度数据!$A$1:$IV$65536,9,FALSE)</f>
        <v>14282</v>
      </c>
      <c r="AI108">
        <f>VLOOKUP(B108,[3]分省年度数据!$A$1:$IV$65536,9,FALSE)</f>
        <v>171.37</v>
      </c>
      <c r="AJ108">
        <f>VLOOKUP($B108,[18]分省年度数据!$A$1:$IS$65529,9,FALSE)</f>
        <v>97.69</v>
      </c>
      <c r="AK108">
        <f>VLOOKUP($B108,[19]分省年度数据!$A$1:$IS$65529,9,FALSE)</f>
        <v>95.31</v>
      </c>
      <c r="AL108">
        <f>VLOOKUP($B108,[20]分省年度数据!$A$1:$IS$65528,9,FALSE)</f>
        <v>8.86</v>
      </c>
      <c r="AM108">
        <f>VLOOKUP($B108,[21]分省年度数据!$A$1:$IS$65528,9,FALSE)</f>
        <v>1.9</v>
      </c>
      <c r="AN108">
        <f>VLOOKUP($B108,[22]分省年度数据!$A$1:$IS$65529,9,FALSE)</f>
        <v>14.16</v>
      </c>
    </row>
    <row r="109" spans="1:40">
      <c r="A109">
        <v>37</v>
      </c>
      <c r="B109" t="s">
        <v>15</v>
      </c>
      <c r="C109">
        <v>2016</v>
      </c>
      <c r="D109" t="s">
        <v>34</v>
      </c>
      <c r="E109">
        <f>VLOOKUP(B109,[1]分省年度数据!$A$1:$IV$65536,9,FALSE)</f>
        <v>9973</v>
      </c>
      <c r="F109" s="4">
        <v>24685</v>
      </c>
      <c r="G109" s="2">
        <f>VLOOKUP(B109,[2]分省年度数据!$A$1:$IV$65536,9,FALSE)</f>
        <v>544.20000000000005</v>
      </c>
      <c r="H109" s="2">
        <f t="shared" si="4"/>
        <v>5.4567331795848793E-2</v>
      </c>
      <c r="N109">
        <v>6302.828125</v>
      </c>
      <c r="O109">
        <f>N109/F109</f>
        <v>0.25533028661130241</v>
      </c>
      <c r="Q109" t="s">
        <v>65</v>
      </c>
      <c r="R109">
        <f>VLOOKUP(B109,[5]分省年度数据!$A$1:$O$65536,9,FALSE)</f>
        <v>76997</v>
      </c>
      <c r="S109">
        <f>VLOOKUP($B109,[6]分省年度数据!$A$1:$IV$65536,9,FALSE)</f>
        <v>54.1</v>
      </c>
      <c r="T109">
        <f>VLOOKUP($B109,[7]分省年度数据!$A$1:$IV$65536,9,FALSE)</f>
        <v>65</v>
      </c>
      <c r="U109">
        <f>VLOOKUP($B109,[8]分省年度数据!$A$1:$IV$65536,9,FALSE)</f>
        <v>8.9499999999999993</v>
      </c>
      <c r="V109">
        <f>VLOOKUP($B109,[9]分省年度数据!$A$1:$IV$65536,9,FALSE)</f>
        <v>790.19</v>
      </c>
      <c r="W109">
        <f>VLOOKUP($B109,[10]分省年度数据!$A$1:$IV$65536,9,FALSE)</f>
        <v>12.84</v>
      </c>
      <c r="X109">
        <f>VLOOKUP($B109,[11]分省年度数据!$A$1:$IV$65536,9,FALSE)</f>
        <v>11.79</v>
      </c>
      <c r="Y109">
        <f>VLOOKUP($B109,[12]分省年度数据!$A$1:$IV$65536,9,FALSE)</f>
        <v>16.91</v>
      </c>
      <c r="AA109">
        <f>VLOOKUP($B109,[13]分省年度数据!$A$1:$IV$65536,9,FALSE)</f>
        <v>22422970</v>
      </c>
      <c r="AB109">
        <f>VLOOKUP($B109,[14]分省年度数据!$A$1:$IV$65536,9,FALSE)</f>
        <v>1825.99</v>
      </c>
      <c r="AC109">
        <f>VLOOKUP($B109,[16]分省年度数据!$A$1:$IT$65532,9,FALSE)</f>
        <v>579</v>
      </c>
      <c r="AD109">
        <f>VLOOKUP($B109,[17]分省年度数据!$A$1:$IS$65525,9,FALSE)</f>
        <v>23482.1</v>
      </c>
      <c r="AE109">
        <f>IFERROR(AC109/E109,0)</f>
        <v>5.8056753233731072E-2</v>
      </c>
      <c r="AF109">
        <f>IFERROR(AD109/E109,0)</f>
        <v>2.3545673317958484</v>
      </c>
      <c r="AG109">
        <f>VLOOKUP($B109,[15]分省年度数据!$A$1:$IV$65536,9,FALSE)</f>
        <v>13163</v>
      </c>
      <c r="AH109">
        <f>VLOOKUP(B109,[4]分省年度数据!$A$1:$IV$65536,9,FALSE)</f>
        <v>82116</v>
      </c>
      <c r="AI109">
        <f>VLOOKUP(B109,[3]分省年度数据!$A$1:$IV$65536,9,FALSE)</f>
        <v>132.84</v>
      </c>
      <c r="AJ109">
        <f>VLOOKUP($B109,[18]分省年度数据!$A$1:$IS$65529,9,FALSE)</f>
        <v>99.78</v>
      </c>
      <c r="AK109">
        <f>VLOOKUP($B109,[19]分省年度数据!$A$1:$IS$65529,9,FALSE)</f>
        <v>99.51</v>
      </c>
      <c r="AL109">
        <f>VLOOKUP($B109,[20]分省年度数据!$A$1:$IS$65528,9,FALSE)</f>
        <v>15.88</v>
      </c>
      <c r="AM109">
        <f>VLOOKUP($B109,[21]分省年度数据!$A$1:$IS$65528,9,FALSE)</f>
        <v>2.04</v>
      </c>
      <c r="AN109">
        <f>VLOOKUP($B109,[22]分省年度数据!$A$1:$IS$65529,9,FALSE)</f>
        <v>17.91</v>
      </c>
    </row>
    <row r="110" spans="1:40">
      <c r="A110">
        <v>41</v>
      </c>
      <c r="B110" t="s">
        <v>16</v>
      </c>
      <c r="C110">
        <v>2016</v>
      </c>
      <c r="D110" t="s">
        <v>35</v>
      </c>
      <c r="E110">
        <f>VLOOKUP(B110,[1]分省年度数据!$A$1:$IV$65536,9,FALSE)</f>
        <v>9778</v>
      </c>
      <c r="F110" s="4">
        <v>18443</v>
      </c>
      <c r="G110" s="2">
        <f>VLOOKUP(B110,[2]分省年度数据!$A$1:$IV$65536,9,FALSE)</f>
        <v>712.2</v>
      </c>
      <c r="H110" s="2">
        <f t="shared" si="4"/>
        <v>7.2836980977705051E-2</v>
      </c>
      <c r="N110">
        <v>4903.9117647058811</v>
      </c>
      <c r="O110">
        <f>N110/F110</f>
        <v>0.26589555737710141</v>
      </c>
      <c r="Q110" t="s">
        <v>62</v>
      </c>
      <c r="R110">
        <f>VLOOKUP(B110,[5]分省年度数据!$A$1:$O$65536,9,FALSE)</f>
        <v>71271</v>
      </c>
      <c r="S110">
        <f>VLOOKUP($B110,[6]分省年度数据!$A$1:$IV$65536,9,FALSE)</f>
        <v>52.15</v>
      </c>
      <c r="T110">
        <f>VLOOKUP($B110,[7]分省年度数据!$A$1:$IV$65536,9,FALSE)</f>
        <v>57</v>
      </c>
      <c r="U110">
        <f>VLOOKUP($B110,[8]分省年度数据!$A$1:$IV$65536,9,FALSE)</f>
        <v>9.67</v>
      </c>
      <c r="V110">
        <f>VLOOKUP($B110,[9]分省年度数据!$A$1:$IV$65536,9,FALSE)</f>
        <v>778.01</v>
      </c>
      <c r="W110">
        <f>VLOOKUP($B110,[10]分省年度数据!$A$1:$IV$65536,9,FALSE)</f>
        <v>16.93</v>
      </c>
      <c r="X110">
        <f>VLOOKUP($B110,[11]分省年度数据!$A$1:$IV$65536,9,FALSE)</f>
        <v>14.52</v>
      </c>
      <c r="Y110">
        <f>VLOOKUP($B110,[12]分省年度数据!$A$1:$IV$65536,9,FALSE)</f>
        <v>19.079999999999998</v>
      </c>
      <c r="AA110">
        <f>VLOOKUP($B110,[13]分省年度数据!$A$1:$IV$65536,9,FALSE)</f>
        <v>18902582</v>
      </c>
      <c r="AB110">
        <f>VLOOKUP($B110,[14]分省年度数据!$A$1:$IV$65536,9,FALSE)</f>
        <v>1343.76</v>
      </c>
      <c r="AC110">
        <f>VLOOKUP($B110,[16]分省年度数据!$A$1:$IT$65532,9,FALSE)</f>
        <v>214</v>
      </c>
      <c r="AD110">
        <f>VLOOKUP($B110,[17]分省年度数据!$A$1:$IS$65525,9,FALSE)</f>
        <v>17274.5</v>
      </c>
      <c r="AE110">
        <f>IFERROR(AC110/E110,0)</f>
        <v>2.1885866230312946E-2</v>
      </c>
      <c r="AF110">
        <f>IFERROR(AD110/E110,0)</f>
        <v>1.7666700756800982</v>
      </c>
      <c r="AG110">
        <f>VLOOKUP($B110,[15]分省年度数据!$A$1:$IV$65536,9,FALSE)</f>
        <v>5825</v>
      </c>
      <c r="AH110">
        <f>VLOOKUP(B110,[4]分省年度数据!$A$1:$IV$65536,9,FALSE)</f>
        <v>20794</v>
      </c>
      <c r="AI110">
        <f>VLOOKUP(B110,[3]分省年度数据!$A$1:$IV$65536,9,FALSE)</f>
        <v>115.61</v>
      </c>
      <c r="AJ110">
        <f>VLOOKUP($B110,[18]分省年度数据!$A$1:$IS$65529,9,FALSE)</f>
        <v>93.42</v>
      </c>
      <c r="AK110">
        <f>VLOOKUP($B110,[19]分省年度数据!$A$1:$IS$65529,9,FALSE)</f>
        <v>88.93</v>
      </c>
      <c r="AL110">
        <f>VLOOKUP($B110,[20]分省年度数据!$A$1:$IS$65528,9,FALSE)</f>
        <v>10.88</v>
      </c>
      <c r="AM110">
        <f>VLOOKUP($B110,[21]分省年度数据!$A$1:$IS$65528,9,FALSE)</f>
        <v>3.25</v>
      </c>
      <c r="AN110">
        <f>VLOOKUP($B110,[22]分省年度数据!$A$1:$IS$65529,9,FALSE)</f>
        <v>10.43</v>
      </c>
    </row>
    <row r="111" spans="1:40">
      <c r="A111">
        <v>42</v>
      </c>
      <c r="B111" t="s">
        <v>17</v>
      </c>
      <c r="C111">
        <v>2016</v>
      </c>
      <c r="D111" t="s">
        <v>35</v>
      </c>
      <c r="E111">
        <f>VLOOKUP(B111,[1]分省年度数据!$A$1:$IV$65536,9,FALSE)</f>
        <v>5885</v>
      </c>
      <c r="F111" s="4">
        <v>21787</v>
      </c>
      <c r="G111" s="2">
        <f>VLOOKUP(B111,[2]分省年度数据!$A$1:$IV$65536,9,FALSE)</f>
        <v>2331</v>
      </c>
      <c r="H111" s="2">
        <f t="shared" si="4"/>
        <v>0.39609175870858115</v>
      </c>
      <c r="N111">
        <v>4851.0208333333312</v>
      </c>
      <c r="O111">
        <f>N111/F111</f>
        <v>0.22265666834962736</v>
      </c>
      <c r="Q111" t="s">
        <v>55</v>
      </c>
      <c r="R111">
        <f>VLOOKUP(B111,[5]分省年度数据!$A$1:$O$65536,9,FALSE)</f>
        <v>36354</v>
      </c>
      <c r="S111">
        <f>VLOOKUP($B111,[6]分省年度数据!$A$1:$IV$65536,9,FALSE)</f>
        <v>36.06</v>
      </c>
      <c r="T111">
        <f>VLOOKUP($B111,[7]分省年度数据!$A$1:$IV$65536,9,FALSE)</f>
        <v>65</v>
      </c>
      <c r="U111">
        <f>VLOOKUP($B111,[8]分省年度数据!$A$1:$IV$65536,9,FALSE)</f>
        <v>9.68</v>
      </c>
      <c r="V111">
        <f>VLOOKUP($B111,[9]分省年度数据!$A$1:$IV$65536,9,FALSE)</f>
        <v>588.9</v>
      </c>
      <c r="W111">
        <f>VLOOKUP($B111,[10]分省年度数据!$A$1:$IV$65536,9,FALSE)</f>
        <v>12.7</v>
      </c>
      <c r="X111">
        <f>VLOOKUP($B111,[11]分省年度数据!$A$1:$IV$65536,9,FALSE)</f>
        <v>10.95</v>
      </c>
      <c r="Y111">
        <f>VLOOKUP($B111,[12]分省年度数据!$A$1:$IV$65536,9,FALSE)</f>
        <v>17.13</v>
      </c>
      <c r="AA111">
        <f>VLOOKUP($B111,[13]分省年度数据!$A$1:$IV$65536,9,FALSE)</f>
        <v>13009264</v>
      </c>
      <c r="AB111">
        <f>VLOOKUP($B111,[14]分省年度数据!$A$1:$IV$65536,9,FALSE)</f>
        <v>1047.3699999999999</v>
      </c>
      <c r="AC111">
        <f>VLOOKUP($B111,[16]分省年度数据!$A$1:$IT$65532,9,FALSE)</f>
        <v>906</v>
      </c>
      <c r="AD111">
        <f>VLOOKUP($B111,[17]分省年度数据!$A$1:$IS$65525,9,FALSE)</f>
        <v>16601.900000000001</v>
      </c>
      <c r="AE111">
        <f>IFERROR(AC111/E111,0)</f>
        <v>0.15395072217502123</v>
      </c>
      <c r="AF111">
        <f>IFERROR(AD111/E111,0)</f>
        <v>2.8210535259133391</v>
      </c>
      <c r="AG111">
        <f>VLOOKUP($B111,[15]分省年度数据!$A$1:$IV$65536,9,FALSE)</f>
        <v>16908</v>
      </c>
      <c r="AH111">
        <f>VLOOKUP(B111,[4]分省年度数据!$A$1:$IV$65536,9,FALSE)</f>
        <v>18646</v>
      </c>
      <c r="AI111">
        <f>VLOOKUP(B111,[3]分省年度数据!$A$1:$IV$65536,9,FALSE)</f>
        <v>204.26</v>
      </c>
      <c r="AJ111">
        <f>VLOOKUP($B111,[18]分省年度数据!$A$1:$IS$65529,9,FALSE)</f>
        <v>99.12</v>
      </c>
      <c r="AK111">
        <f>VLOOKUP($B111,[19]分省年度数据!$A$1:$IS$65529,9,FALSE)</f>
        <v>96.3</v>
      </c>
      <c r="AL111">
        <f>VLOOKUP($B111,[20]分省年度数据!$A$1:$IS$65528,9,FALSE)</f>
        <v>12.76</v>
      </c>
      <c r="AM111">
        <f>VLOOKUP($B111,[21]分省年度数据!$A$1:$IS$65528,9,FALSE)</f>
        <v>2.64</v>
      </c>
      <c r="AN111">
        <f>VLOOKUP($B111,[22]分省年度数据!$A$1:$IS$65529,9,FALSE)</f>
        <v>10.99</v>
      </c>
    </row>
    <row r="112" spans="1:40">
      <c r="A112">
        <v>43</v>
      </c>
      <c r="B112" t="s">
        <v>18</v>
      </c>
      <c r="C112">
        <v>2016</v>
      </c>
      <c r="D112" t="s">
        <v>35</v>
      </c>
      <c r="E112">
        <f>VLOOKUP(B112,[1]分省年度数据!$A$1:$IV$65536,9,FALSE)</f>
        <v>6625</v>
      </c>
      <c r="F112" s="4">
        <v>21115</v>
      </c>
      <c r="G112" s="2">
        <f>VLOOKUP(B112,[2]分省年度数据!$A$1:$IV$65536,9,FALSE)</f>
        <v>1660.1</v>
      </c>
      <c r="H112" s="2">
        <f t="shared" si="4"/>
        <v>0.25058113207547167</v>
      </c>
      <c r="N112">
        <v>4079.4038461538462</v>
      </c>
      <c r="O112">
        <f>N112/F112</f>
        <v>0.19319932967813622</v>
      </c>
      <c r="Q112" t="s">
        <v>53</v>
      </c>
      <c r="R112">
        <f>VLOOKUP(B112,[5]分省年度数据!$A$1:$O$65536,9,FALSE)</f>
        <v>61055</v>
      </c>
      <c r="S112">
        <f>VLOOKUP($B112,[6]分省年度数据!$A$1:$IV$65536,9,FALSE)</f>
        <v>42.58</v>
      </c>
      <c r="T112">
        <f>VLOOKUP($B112,[7]分省年度数据!$A$1:$IV$65536,9,FALSE)</f>
        <v>58</v>
      </c>
      <c r="U112">
        <f>VLOOKUP($B112,[8]分省年度数据!$A$1:$IV$65536,9,FALSE)</f>
        <v>9.51</v>
      </c>
      <c r="V112">
        <f>VLOOKUP($B112,[9]分省年度数据!$A$1:$IV$65536,9,FALSE)</f>
        <v>546.27</v>
      </c>
      <c r="W112">
        <f>VLOOKUP($B112,[10]分省年度数据!$A$1:$IV$65536,9,FALSE)</f>
        <v>15.36</v>
      </c>
      <c r="X112">
        <f>VLOOKUP($B112,[11]分省年度数据!$A$1:$IV$65536,9,FALSE)</f>
        <v>13.29</v>
      </c>
      <c r="Y112">
        <f>VLOOKUP($B112,[12]分省年度数据!$A$1:$IV$65536,9,FALSE)</f>
        <v>19.78</v>
      </c>
      <c r="AA112">
        <f>VLOOKUP($B112,[13]分省年度数据!$A$1:$IV$65536,9,FALSE)</f>
        <v>13781959</v>
      </c>
      <c r="AB112">
        <f>VLOOKUP($B112,[14]分省年度数据!$A$1:$IV$65536,9,FALSE)</f>
        <v>1032.3699999999999</v>
      </c>
      <c r="AC112">
        <f>VLOOKUP($B112,[16]分省年度数据!$A$1:$IT$65532,9,FALSE)</f>
        <v>1101</v>
      </c>
      <c r="AD112">
        <f>VLOOKUP($B112,[17]分省年度数据!$A$1:$IS$65525,9,FALSE)</f>
        <v>12500</v>
      </c>
      <c r="AE112">
        <f>IFERROR(AC112/E112,0)</f>
        <v>0.16618867924528302</v>
      </c>
      <c r="AF112">
        <f>IFERROR(AD112/E112,0)</f>
        <v>1.8867924528301887</v>
      </c>
      <c r="AG112">
        <f>VLOOKUP($B112,[15]分省年度数据!$A$1:$IV$65536,9,FALSE)</f>
        <v>7359</v>
      </c>
      <c r="AH112">
        <f>VLOOKUP(B112,[4]分省年度数据!$A$1:$IV$65536,9,FALSE)</f>
        <v>17710</v>
      </c>
      <c r="AI112">
        <f>VLOOKUP(B112,[3]分省年度数据!$A$1:$IV$65536,9,FALSE)</f>
        <v>217.12</v>
      </c>
      <c r="AJ112">
        <f>VLOOKUP($B112,[18]分省年度数据!$A$1:$IS$65529,9,FALSE)</f>
        <v>96.81</v>
      </c>
      <c r="AK112">
        <f>VLOOKUP($B112,[19]分省年度数据!$A$1:$IS$65529,9,FALSE)</f>
        <v>93.28</v>
      </c>
      <c r="AL112">
        <f>VLOOKUP($B112,[20]分省年度数据!$A$1:$IS$65528,9,FALSE)</f>
        <v>15.13</v>
      </c>
      <c r="AM112">
        <f>VLOOKUP($B112,[21]分省年度数据!$A$1:$IS$65528,9,FALSE)</f>
        <v>2.3199999999999998</v>
      </c>
      <c r="AN112">
        <f>VLOOKUP($B112,[22]分省年度数据!$A$1:$IS$65529,9,FALSE)</f>
        <v>10.57</v>
      </c>
    </row>
    <row r="113" spans="1:40">
      <c r="A113">
        <v>44</v>
      </c>
      <c r="B113" t="s">
        <v>19</v>
      </c>
      <c r="C113">
        <v>2016</v>
      </c>
      <c r="D113" t="s">
        <v>35</v>
      </c>
      <c r="E113">
        <f>VLOOKUP(B113,[1]分省年度数据!$A$1:$IV$65536,9,FALSE)</f>
        <v>11908</v>
      </c>
      <c r="F113" s="4">
        <v>30296</v>
      </c>
      <c r="G113" s="2">
        <f>VLOOKUP(B113,[2]分省年度数据!$A$1:$IV$65536,9,FALSE)</f>
        <v>618.5</v>
      </c>
      <c r="H113" s="2">
        <f t="shared" si="4"/>
        <v>5.1939872354719516E-2</v>
      </c>
      <c r="N113">
        <v>12795.475</v>
      </c>
      <c r="O113">
        <f>N113/F113</f>
        <v>0.42234865988909426</v>
      </c>
      <c r="Q113" t="s">
        <v>54</v>
      </c>
      <c r="R113">
        <f>VLOOKUP(B113,[5]分省年度数据!$A$1:$O$65536,9,FALSE)</f>
        <v>49079</v>
      </c>
      <c r="S113">
        <f>VLOOKUP($B113,[6]分省年度数据!$A$1:$IV$65536,9,FALSE)</f>
        <v>46.51</v>
      </c>
      <c r="T113">
        <f>VLOOKUP($B113,[7]分省年度数据!$A$1:$IV$65536,9,FALSE)</f>
        <v>60</v>
      </c>
      <c r="U113">
        <f>VLOOKUP($B113,[8]分省年度数据!$A$1:$IV$65536,9,FALSE)</f>
        <v>8.7899999999999991</v>
      </c>
      <c r="V113">
        <f>VLOOKUP($B113,[9]分省年度数据!$A$1:$IV$65536,9,FALSE)</f>
        <v>1121.83</v>
      </c>
      <c r="W113">
        <f>VLOOKUP($B113,[10]分省年度数据!$A$1:$IV$65536,9,FALSE)</f>
        <v>13.02</v>
      </c>
      <c r="X113">
        <f>VLOOKUP($B113,[11]分省年度数据!$A$1:$IV$65536,9,FALSE)</f>
        <v>12.61</v>
      </c>
      <c r="Y113">
        <f>VLOOKUP($B113,[12]分省年度数据!$A$1:$IV$65536,9,FALSE)</f>
        <v>18.600000000000001</v>
      </c>
      <c r="AA113">
        <f>VLOOKUP($B113,[13]分省年度数据!$A$1:$IV$65536,9,FALSE)</f>
        <v>33675376</v>
      </c>
      <c r="AB113">
        <f>VLOOKUP($B113,[14]分省年度数据!$A$1:$IV$65536,9,FALSE)</f>
        <v>2318.4699999999998</v>
      </c>
      <c r="AC113">
        <f>VLOOKUP($B113,[16]分省年度数据!$A$1:$IT$65532,9,FALSE)</f>
        <v>3984</v>
      </c>
      <c r="AD113">
        <f>VLOOKUP($B113,[17]分省年度数据!$A$1:$IS$65525,9,FALSE)</f>
        <v>33303.199999999997</v>
      </c>
      <c r="AE113">
        <f>IFERROR(AC113/E113,0)</f>
        <v>0.33456499832045683</v>
      </c>
      <c r="AF113">
        <f>IFERROR(AD113/E113,0)</f>
        <v>2.7967080953980514</v>
      </c>
      <c r="AG113">
        <f>VLOOKUP($B113,[15]分省年度数据!$A$1:$IV$65536,9,FALSE)</f>
        <v>24773</v>
      </c>
      <c r="AH113">
        <f>VLOOKUP(B113,[4]分省年度数据!$A$1:$IV$65536,9,FALSE)</f>
        <v>102075</v>
      </c>
      <c r="AI113">
        <f>VLOOKUP(B113,[3]分省年度数据!$A$1:$IV$65536,9,FALSE)</f>
        <v>246.14</v>
      </c>
      <c r="AJ113">
        <f>VLOOKUP($B113,[18]分省年度数据!$A$1:$IS$65529,9,FALSE)</f>
        <v>98.06</v>
      </c>
      <c r="AK113">
        <f>VLOOKUP($B113,[19]分省年度数据!$A$1:$IS$65529,9,FALSE)</f>
        <v>97.43</v>
      </c>
      <c r="AL113">
        <f>VLOOKUP($B113,[20]分省年度数据!$A$1:$IS$65528,9,FALSE)</f>
        <v>14.2</v>
      </c>
      <c r="AM113">
        <f>VLOOKUP($B113,[21]分省年度数据!$A$1:$IS$65528,9,FALSE)</f>
        <v>1.95</v>
      </c>
      <c r="AN113">
        <f>VLOOKUP($B113,[22]分省年度数据!$A$1:$IS$65529,9,FALSE)</f>
        <v>17.87</v>
      </c>
    </row>
    <row r="114" spans="1:40">
      <c r="A114">
        <v>45</v>
      </c>
      <c r="B114" t="s">
        <v>20</v>
      </c>
      <c r="C114">
        <v>2016</v>
      </c>
      <c r="D114" t="s">
        <v>35</v>
      </c>
      <c r="E114">
        <f>VLOOKUP(B114,[1]分省年度数据!$A$1:$IV$65536,9,FALSE)</f>
        <v>4857</v>
      </c>
      <c r="F114" s="4">
        <v>18305</v>
      </c>
      <c r="G114" s="2">
        <f>VLOOKUP(B114,[2]分省年度数据!$A$1:$IV$65536,9,FALSE)</f>
        <v>301.60000000000002</v>
      </c>
      <c r="H114" s="2">
        <f t="shared" si="4"/>
        <v>6.2095943998352894E-2</v>
      </c>
      <c r="N114">
        <v>4810.4666666666681</v>
      </c>
      <c r="O114">
        <f>N114/F114</f>
        <v>0.26279522899025776</v>
      </c>
      <c r="Q114" t="s">
        <v>55</v>
      </c>
      <c r="R114">
        <f>VLOOKUP(B114,[5]分省年度数据!$A$1:$O$65536,9,FALSE)</f>
        <v>34253</v>
      </c>
      <c r="S114">
        <f>VLOOKUP($B114,[6]分省年度数据!$A$1:$IV$65536,9,FALSE)</f>
        <v>22.45</v>
      </c>
      <c r="T114">
        <f>VLOOKUP($B114,[7]分省年度数据!$A$1:$IV$65536,9,FALSE)</f>
        <v>60</v>
      </c>
      <c r="U114">
        <f>VLOOKUP($B114,[8]分省年度数据!$A$1:$IV$65536,9,FALSE)</f>
        <v>8.65</v>
      </c>
      <c r="V114">
        <f>VLOOKUP($B114,[9]分省年度数据!$A$1:$IV$65536,9,FALSE)</f>
        <v>468.18</v>
      </c>
      <c r="W114">
        <f>VLOOKUP($B114,[10]分省年度数据!$A$1:$IV$65536,9,FALSE)</f>
        <v>17.22</v>
      </c>
      <c r="X114">
        <f>VLOOKUP($B114,[11]分省年度数据!$A$1:$IV$65536,9,FALSE)</f>
        <v>16.100000000000001</v>
      </c>
      <c r="Y114">
        <f>VLOOKUP($B114,[12]分省年度数据!$A$1:$IV$65536,9,FALSE)</f>
        <v>19.41</v>
      </c>
      <c r="AA114">
        <f>VLOOKUP($B114,[13]分省年度数据!$A$1:$IV$65536,9,FALSE)</f>
        <v>10914241</v>
      </c>
      <c r="AB114">
        <f>VLOOKUP($B114,[14]分省年度数据!$A$1:$IV$65536,9,FALSE)</f>
        <v>854.55</v>
      </c>
      <c r="AC114">
        <f>VLOOKUP($B114,[16]分省年度数据!$A$1:$IT$65532,9,FALSE)</f>
        <v>187</v>
      </c>
      <c r="AD114">
        <f>VLOOKUP($B114,[17]分省年度数据!$A$1:$IS$65525,9,FALSE)</f>
        <v>6349.8</v>
      </c>
      <c r="AE114">
        <f>IFERROR(AC114/E114,0)</f>
        <v>3.8501132386246653E-2</v>
      </c>
      <c r="AF114">
        <f>IFERROR(AD114/E114,0)</f>
        <v>1.307350216182829</v>
      </c>
      <c r="AG114">
        <f>VLOOKUP($B114,[15]分省年度数据!$A$1:$IV$65536,9,FALSE)</f>
        <v>3842</v>
      </c>
      <c r="AH114">
        <f>VLOOKUP(B114,[4]分省年度数据!$A$1:$IV$65536,9,FALSE)</f>
        <v>13111</v>
      </c>
      <c r="AI114">
        <f>VLOOKUP(B114,[3]分省年度数据!$A$1:$IV$65536,9,FALSE)</f>
        <v>256.38</v>
      </c>
      <c r="AJ114">
        <f>VLOOKUP($B114,[18]分省年度数据!$A$1:$IS$65529,9,FALSE)</f>
        <v>97.7</v>
      </c>
      <c r="AK114">
        <f>VLOOKUP($B114,[19]分省年度数据!$A$1:$IS$65529,9,FALSE)</f>
        <v>95.85</v>
      </c>
      <c r="AL114">
        <f>VLOOKUP($B114,[20]分省年度数据!$A$1:$IS$65528,9,FALSE)</f>
        <v>9.77</v>
      </c>
      <c r="AM114">
        <f>VLOOKUP($B114,[21]分省年度数据!$A$1:$IS$65528,9,FALSE)</f>
        <v>1.38</v>
      </c>
      <c r="AN114">
        <f>VLOOKUP($B114,[22]分省年度数据!$A$1:$IS$65529,9,FALSE)</f>
        <v>11.77</v>
      </c>
    </row>
    <row r="115" spans="1:40">
      <c r="A115">
        <v>46</v>
      </c>
      <c r="B115" t="s">
        <v>21</v>
      </c>
      <c r="C115">
        <v>2016</v>
      </c>
      <c r="D115" t="s">
        <v>35</v>
      </c>
      <c r="E115">
        <f>VLOOKUP(B115,[1]分省年度数据!$A$1:$IV$65536,9,FALSE)</f>
        <v>957</v>
      </c>
      <c r="F115" s="4">
        <v>20653</v>
      </c>
      <c r="G115" s="2">
        <f>VLOOKUP(B115,[2]分省年度数据!$A$1:$IV$65536,9,FALSE)</f>
        <v>457.3</v>
      </c>
      <c r="H115" s="2">
        <f t="shared" si="4"/>
        <v>0.47784743991640544</v>
      </c>
      <c r="N115">
        <v>11187.08333333335</v>
      </c>
      <c r="O115">
        <f>N115/F115</f>
        <v>0.5416686841298286</v>
      </c>
      <c r="Q115" t="s">
        <v>57</v>
      </c>
      <c r="R115">
        <f>VLOOKUP(B115,[5]分省年度数据!$A$1:$O$65536,9,FALSE)</f>
        <v>5144</v>
      </c>
      <c r="S115">
        <f>VLOOKUP($B115,[6]分省年度数据!$A$1:$IV$65536,9,FALSE)</f>
        <v>4.03</v>
      </c>
      <c r="T115">
        <f>VLOOKUP($B115,[7]分省年度数据!$A$1:$IV$65536,9,FALSE)</f>
        <v>63</v>
      </c>
      <c r="U115">
        <f>VLOOKUP($B115,[8]分省年度数据!$A$1:$IV$65536,9,FALSE)</f>
        <v>9.02</v>
      </c>
      <c r="V115">
        <f>VLOOKUP($B115,[9]分省年度数据!$A$1:$IV$65536,9,FALSE)</f>
        <v>114.17</v>
      </c>
      <c r="W115">
        <f>VLOOKUP($B115,[10]分省年度数据!$A$1:$IV$65536,9,FALSE)</f>
        <v>13.28</v>
      </c>
      <c r="X115">
        <f>VLOOKUP($B115,[11]分省年度数据!$A$1:$IV$65536,9,FALSE)</f>
        <v>12.51</v>
      </c>
      <c r="Y115">
        <f>VLOOKUP($B115,[12]分省年度数据!$A$1:$IV$65536,9,FALSE)</f>
        <v>16.18</v>
      </c>
      <c r="AA115">
        <f>VLOOKUP($B115,[13]分省年度数据!$A$1:$IV$65536,9,FALSE)</f>
        <v>3068767</v>
      </c>
      <c r="AB115">
        <f>VLOOKUP($B115,[14]分省年度数据!$A$1:$IV$65536,9,FALSE)</f>
        <v>214.24</v>
      </c>
      <c r="AC115">
        <f>VLOOKUP($B115,[16]分省年度数据!$A$1:$IT$65532,9,FALSE)</f>
        <v>7</v>
      </c>
      <c r="AD115">
        <f>VLOOKUP($B115,[17]分省年度数据!$A$1:$IS$65525,9,FALSE)</f>
        <v>1547.3</v>
      </c>
      <c r="AE115">
        <f>IFERROR(AC115/E115,0)</f>
        <v>7.3145245559038665E-3</v>
      </c>
      <c r="AF115">
        <f>IFERROR(AD115/E115,0)</f>
        <v>1.6168234064785789</v>
      </c>
      <c r="AG115">
        <f>VLOOKUP($B115,[15]分省年度数据!$A$1:$IV$65536,9,FALSE)</f>
        <v>2045</v>
      </c>
      <c r="AH115">
        <f>VLOOKUP(B115,[4]分省年度数据!$A$1:$IV$65536,9,FALSE)</f>
        <v>5866</v>
      </c>
      <c r="AI115">
        <f>VLOOKUP(B115,[3]分省年度数据!$A$1:$IV$65536,9,FALSE)</f>
        <v>253.06</v>
      </c>
      <c r="AJ115">
        <f>VLOOKUP($B115,[18]分省年度数据!$A$1:$IS$65529,9,FALSE)</f>
        <v>97.41</v>
      </c>
      <c r="AK115">
        <f>VLOOKUP($B115,[19]分省年度数据!$A$1:$IS$65529,9,FALSE)</f>
        <v>97.34</v>
      </c>
      <c r="AL115">
        <f>VLOOKUP($B115,[20]分省年度数据!$A$1:$IS$65528,9,FALSE)</f>
        <v>11.35</v>
      </c>
      <c r="AM115">
        <f>VLOOKUP($B115,[21]分省年度数据!$A$1:$IS$65528,9,FALSE)</f>
        <v>2.44</v>
      </c>
      <c r="AN115">
        <f>VLOOKUP($B115,[22]分省年度数据!$A$1:$IS$65529,9,FALSE)</f>
        <v>12.02</v>
      </c>
    </row>
    <row r="116" spans="1:40">
      <c r="A116">
        <v>50</v>
      </c>
      <c r="B116" t="s">
        <v>22</v>
      </c>
      <c r="C116">
        <v>2016</v>
      </c>
      <c r="D116" t="s">
        <v>36</v>
      </c>
      <c r="E116">
        <f>VLOOKUP(B116,[1]分省年度数据!$A$1:$IV$65536,9,FALSE)</f>
        <v>3110</v>
      </c>
      <c r="F116" s="4">
        <v>22034</v>
      </c>
      <c r="G116" s="2">
        <f>VLOOKUP(B116,[2]分省年度数据!$A$1:$IV$65536,9,FALSE)</f>
        <v>371.8</v>
      </c>
      <c r="H116" s="2">
        <f t="shared" si="4"/>
        <v>0.11954983922829582</v>
      </c>
      <c r="N116">
        <v>7095.1666666666697</v>
      </c>
      <c r="O116">
        <f>N116/F116</f>
        <v>0.32200992405676088</v>
      </c>
      <c r="Q116" t="s">
        <v>55</v>
      </c>
      <c r="R116">
        <f>VLOOKUP(B116,[5]分省年度数据!$A$1:$O$65536,9,FALSE)</f>
        <v>19933</v>
      </c>
      <c r="S116">
        <f>VLOOKUP($B116,[6]分省年度数据!$A$1:$IV$65536,9,FALSE)</f>
        <v>19.09</v>
      </c>
      <c r="T116">
        <f>VLOOKUP($B116,[7]分省年度数据!$A$1:$IV$65536,9,FALSE)</f>
        <v>59</v>
      </c>
      <c r="U116">
        <f>VLOOKUP($B116,[8]分省年度数据!$A$1:$IV$65536,9,FALSE)</f>
        <v>9.17</v>
      </c>
      <c r="V116">
        <f>VLOOKUP($B116,[9]分省年度数据!$A$1:$IV$65536,9,FALSE)</f>
        <v>331.18</v>
      </c>
      <c r="W116">
        <f>VLOOKUP($B116,[10]分省年度数据!$A$1:$IV$65536,9,FALSE)</f>
        <v>15.21</v>
      </c>
      <c r="X116">
        <f>VLOOKUP($B116,[11]分省年度数据!$A$1:$IV$65536,9,FALSE)</f>
        <v>12.82</v>
      </c>
      <c r="Y116">
        <f>VLOOKUP($B116,[12]分省年度数据!$A$1:$IV$65536,9,FALSE)</f>
        <v>17.05</v>
      </c>
      <c r="AA116">
        <f>VLOOKUP($B116,[13]分省年度数据!$A$1:$IV$65536,9,FALSE)</f>
        <v>8863208</v>
      </c>
      <c r="AB116">
        <f>VLOOKUP($B116,[14]分省年度数据!$A$1:$IV$65536,9,FALSE)</f>
        <v>575.17999999999995</v>
      </c>
      <c r="AC116">
        <f>VLOOKUP($B116,[16]分省年度数据!$A$1:$IT$65532,9,FALSE)</f>
        <v>2411</v>
      </c>
      <c r="AD116">
        <f>VLOOKUP($B116,[17]分省年度数据!$A$1:$IS$65525,9,FALSE)</f>
        <v>8728.4</v>
      </c>
      <c r="AE116">
        <f>IFERROR(AC116/E116,0)</f>
        <v>0.7752411575562701</v>
      </c>
      <c r="AF116">
        <f>IFERROR(AD116/E116,0)</f>
        <v>2.8065594855305465</v>
      </c>
      <c r="AG116">
        <f>VLOOKUP($B116,[15]分省年度数据!$A$1:$IV$65536,9,FALSE)</f>
        <v>4724</v>
      </c>
      <c r="AH116">
        <f>VLOOKUP(B116,[4]分省年度数据!$A$1:$IV$65536,9,FALSE)</f>
        <v>14352</v>
      </c>
      <c r="AI116">
        <f>VLOOKUP(B116,[3]分省年度数据!$A$1:$IV$65536,9,FALSE)</f>
        <v>151.6</v>
      </c>
      <c r="AJ116">
        <f>VLOOKUP($B116,[18]分省年度数据!$A$1:$IS$65529,9,FALSE)</f>
        <v>97.13</v>
      </c>
      <c r="AK116">
        <f>VLOOKUP($B116,[19]分省年度数据!$A$1:$IS$65529,9,FALSE)</f>
        <v>96.11</v>
      </c>
      <c r="AL116">
        <f>VLOOKUP($B116,[20]分省年度数据!$A$1:$IS$65528,9,FALSE)</f>
        <v>10.7</v>
      </c>
      <c r="AM116">
        <f>VLOOKUP($B116,[21]分省年度数据!$A$1:$IS$65528,9,FALSE)</f>
        <v>2.4300000000000002</v>
      </c>
      <c r="AN116">
        <f>VLOOKUP($B116,[22]分省年度数据!$A$1:$IS$65529,9,FALSE)</f>
        <v>16.86</v>
      </c>
    </row>
    <row r="117" spans="1:40">
      <c r="A117">
        <v>51</v>
      </c>
      <c r="B117" t="s">
        <v>23</v>
      </c>
      <c r="C117">
        <v>2016</v>
      </c>
      <c r="D117" t="s">
        <v>36</v>
      </c>
      <c r="E117">
        <f>VLOOKUP(B117,[1]分省年度数据!$A$1:$IV$65536,9,FALSE)</f>
        <v>8251</v>
      </c>
      <c r="F117" s="4">
        <v>18808</v>
      </c>
      <c r="G117" s="2">
        <f>VLOOKUP(B117,[2]分省年度数据!$A$1:$IV$65536,9,FALSE)</f>
        <v>741.7</v>
      </c>
      <c r="H117" s="2">
        <f t="shared" si="4"/>
        <v>8.989213428675312E-2</v>
      </c>
      <c r="N117">
        <v>4907.6019607843127</v>
      </c>
      <c r="O117">
        <f>N117/F117</f>
        <v>0.26093162275543985</v>
      </c>
      <c r="Q117" t="s">
        <v>55</v>
      </c>
      <c r="R117">
        <f>VLOOKUP(B117,[5]分省年度数据!$A$1:$O$65536,9,FALSE)</f>
        <v>79513</v>
      </c>
      <c r="S117">
        <f>VLOOKUP($B117,[6]分省年度数据!$A$1:$IV$65536,9,FALSE)</f>
        <v>51.92</v>
      </c>
      <c r="T117">
        <f>VLOOKUP($B117,[7]分省年度数据!$A$1:$IV$65536,9,FALSE)</f>
        <v>60</v>
      </c>
      <c r="U117">
        <f>VLOOKUP($B117,[8]分省年度数据!$A$1:$IV$65536,9,FALSE)</f>
        <v>10.07</v>
      </c>
      <c r="V117">
        <f>VLOOKUP($B117,[9]分省年度数据!$A$1:$IV$65536,9,FALSE)</f>
        <v>772.24</v>
      </c>
      <c r="W117">
        <f>VLOOKUP($B117,[10]分省年度数据!$A$1:$IV$65536,9,FALSE)</f>
        <v>15.04</v>
      </c>
      <c r="X117">
        <f>VLOOKUP($B117,[11]分省年度数据!$A$1:$IV$65536,9,FALSE)</f>
        <v>12.34</v>
      </c>
      <c r="Y117">
        <f>VLOOKUP($B117,[12]分省年度数据!$A$1:$IV$65536,9,FALSE)</f>
        <v>17.48</v>
      </c>
      <c r="AA117">
        <f>VLOOKUP($B117,[13]分省年度数据!$A$1:$IV$65536,9,FALSE)</f>
        <v>17620946</v>
      </c>
      <c r="AB117">
        <f>VLOOKUP($B117,[14]分省年度数据!$A$1:$IV$65536,9,FALSE)</f>
        <v>1301.8499999999999</v>
      </c>
      <c r="AC117">
        <f>VLOOKUP($B117,[16]分省年度数据!$A$1:$IT$65532,9,FALSE)</f>
        <v>951</v>
      </c>
      <c r="AD117">
        <f>VLOOKUP($B117,[17]分省年度数据!$A$1:$IS$65525,9,FALSE)</f>
        <v>15519.7</v>
      </c>
      <c r="AE117">
        <f>IFERROR(AC117/E117,0)</f>
        <v>0.11525875651436189</v>
      </c>
      <c r="AF117">
        <f>IFERROR(AD117/E117,0)</f>
        <v>1.8809477639074053</v>
      </c>
      <c r="AG117">
        <f>VLOOKUP($B117,[15]分省年度数据!$A$1:$IV$65536,9,FALSE)</f>
        <v>7527</v>
      </c>
      <c r="AH117">
        <f>VLOOKUP(B117,[4]分省年度数据!$A$1:$IV$65536,9,FALSE)</f>
        <v>24804</v>
      </c>
      <c r="AI117">
        <f>VLOOKUP(B117,[3]分省年度数据!$A$1:$IV$65536,9,FALSE)</f>
        <v>214.64</v>
      </c>
      <c r="AJ117">
        <f>VLOOKUP($B117,[18]分省年度数据!$A$1:$IS$65529,9,FALSE)</f>
        <v>93.07</v>
      </c>
      <c r="AK117">
        <f>VLOOKUP($B117,[19]分省年度数据!$A$1:$IS$65529,9,FALSE)</f>
        <v>91.78</v>
      </c>
      <c r="AL117">
        <f>VLOOKUP($B117,[20]分省年度数据!$A$1:$IS$65528,9,FALSE)</f>
        <v>12.9</v>
      </c>
      <c r="AM117">
        <f>VLOOKUP($B117,[21]分省年度数据!$A$1:$IS$65528,9,FALSE)</f>
        <v>2.1800000000000002</v>
      </c>
      <c r="AN117">
        <f>VLOOKUP($B117,[22]分省年度数据!$A$1:$IS$65529,9,FALSE)</f>
        <v>12.47</v>
      </c>
    </row>
    <row r="118" spans="1:40">
      <c r="A118">
        <v>52</v>
      </c>
      <c r="B118" t="s">
        <v>24</v>
      </c>
      <c r="C118">
        <v>2016</v>
      </c>
      <c r="D118" t="s">
        <v>36</v>
      </c>
      <c r="E118">
        <f>VLOOKUP(B118,[1]分省年度数据!$A$1:$IV$65536,9,FALSE)</f>
        <v>3758</v>
      </c>
      <c r="F118" s="4">
        <v>15121</v>
      </c>
      <c r="G118" s="2">
        <f>VLOOKUP(B118,[2]分省年度数据!$A$1:$IV$65536,9,FALSE)</f>
        <v>661.7</v>
      </c>
      <c r="H118" s="2">
        <f t="shared" si="4"/>
        <v>0.17607770090473657</v>
      </c>
      <c r="N118">
        <v>4848.3611111111104</v>
      </c>
      <c r="O118">
        <f>N118/F118</f>
        <v>0.32063759745460685</v>
      </c>
      <c r="Q118" t="s">
        <v>55</v>
      </c>
      <c r="R118">
        <f>VLOOKUP(B118,[5]分省年度数据!$A$1:$O$65536,9,FALSE)</f>
        <v>28017</v>
      </c>
      <c r="S118">
        <f>VLOOKUP($B118,[6]分省年度数据!$A$1:$IV$65536,9,FALSE)</f>
        <v>21.03</v>
      </c>
      <c r="T118">
        <f>VLOOKUP($B118,[7]分省年度数据!$A$1:$IV$65536,9,FALSE)</f>
        <v>58</v>
      </c>
      <c r="U118">
        <f>VLOOKUP($B118,[8]分省年度数据!$A$1:$IV$65536,9,FALSE)</f>
        <v>8.5399999999999991</v>
      </c>
      <c r="V118">
        <f>VLOOKUP($B118,[9]分省年度数据!$A$1:$IV$65536,9,FALSE)</f>
        <v>392.51</v>
      </c>
      <c r="W118">
        <f>VLOOKUP($B118,[10]分省年度数据!$A$1:$IV$65536,9,FALSE)</f>
        <v>16.28</v>
      </c>
      <c r="X118">
        <f>VLOOKUP($B118,[11]分省年度数据!$A$1:$IV$65536,9,FALSE)</f>
        <v>14.88</v>
      </c>
      <c r="Y118">
        <f>VLOOKUP($B118,[12]分省年度数据!$A$1:$IV$65536,9,FALSE)</f>
        <v>17.93</v>
      </c>
      <c r="AA118">
        <f>VLOOKUP($B118,[13]分省年度数据!$A$1:$IV$65536,9,FALSE)</f>
        <v>10335342</v>
      </c>
      <c r="AB118">
        <f>VLOOKUP($B118,[14]分省年度数据!$A$1:$IV$65536,9,FALSE)</f>
        <v>843.54</v>
      </c>
      <c r="AC118">
        <f>VLOOKUP($B118,[16]分省年度数据!$A$1:$IT$65532,9,FALSE)</f>
        <v>13</v>
      </c>
      <c r="AD118">
        <f>VLOOKUP($B118,[17]分省年度数据!$A$1:$IS$65525,9,FALSE)</f>
        <v>5651.9</v>
      </c>
      <c r="AE118">
        <f>IFERROR(AC118/E118,0)</f>
        <v>3.4592868547099519E-3</v>
      </c>
      <c r="AF118">
        <f>IFERROR(AD118/E118,0)</f>
        <v>1.5039648749334751</v>
      </c>
      <c r="AG118">
        <f>VLOOKUP($B118,[15]分省年度数据!$A$1:$IV$65536,9,FALSE)</f>
        <v>12579</v>
      </c>
      <c r="AH118">
        <f>VLOOKUP(B118,[4]分省年度数据!$A$1:$IV$65536,9,FALSE)</f>
        <v>8656</v>
      </c>
      <c r="AI118">
        <f>VLOOKUP(B118,[3]分省年度数据!$A$1:$IV$65536,9,FALSE)</f>
        <v>171.98</v>
      </c>
      <c r="AJ118">
        <f>VLOOKUP($B118,[18]分省年度数据!$A$1:$IS$65529,9,FALSE)</f>
        <v>96.03</v>
      </c>
      <c r="AK118">
        <f>VLOOKUP($B118,[19]分省年度数据!$A$1:$IS$65529,9,FALSE)</f>
        <v>85.66</v>
      </c>
      <c r="AL118">
        <f>VLOOKUP($B118,[20]分省年度数据!$A$1:$IS$65528,9,FALSE)</f>
        <v>11.36</v>
      </c>
      <c r="AM118">
        <f>VLOOKUP($B118,[21]分省年度数据!$A$1:$IS$65528,9,FALSE)</f>
        <v>2.0099999999999998</v>
      </c>
      <c r="AN118">
        <f>VLOOKUP($B118,[22]分省年度数据!$A$1:$IS$65529,9,FALSE)</f>
        <v>14.98</v>
      </c>
    </row>
    <row r="119" spans="1:40">
      <c r="A119">
        <v>53</v>
      </c>
      <c r="B119" t="s">
        <v>25</v>
      </c>
      <c r="C119">
        <v>2016</v>
      </c>
      <c r="D119" t="s">
        <v>36</v>
      </c>
      <c r="E119">
        <f>VLOOKUP(B119,[1]分省年度数据!$A$1:$IV$65536,9,FALSE)</f>
        <v>4677</v>
      </c>
      <c r="F119" s="4">
        <v>16720</v>
      </c>
      <c r="G119" s="2">
        <f>VLOOKUP(B119,[2]分省年度数据!$A$1:$IV$65536,9,FALSE)</f>
        <v>1168.7</v>
      </c>
      <c r="H119" s="2">
        <f t="shared" si="4"/>
        <v>0.24988240324994657</v>
      </c>
      <c r="N119">
        <v>6063.8095238095248</v>
      </c>
      <c r="O119">
        <f>N119/F119</f>
        <v>0.36266803372066536</v>
      </c>
      <c r="Q119" t="s">
        <v>55</v>
      </c>
      <c r="R119">
        <f>VLOOKUP(B119,[5]分省年度数据!$A$1:$O$65536,9,FALSE)</f>
        <v>24234</v>
      </c>
      <c r="S119">
        <f>VLOOKUP($B119,[6]分省年度数据!$A$1:$IV$65536,9,FALSE)</f>
        <v>25.36</v>
      </c>
      <c r="T119">
        <f>VLOOKUP($B119,[7]分省年度数据!$A$1:$IV$65536,9,FALSE)</f>
        <v>52</v>
      </c>
      <c r="U119">
        <f>VLOOKUP($B119,[8]分省年度数据!$A$1:$IV$65536,9,FALSE)</f>
        <v>8.5500000000000007</v>
      </c>
      <c r="V119">
        <f>VLOOKUP($B119,[9]分省年度数据!$A$1:$IV$65536,9,FALSE)</f>
        <v>466.98</v>
      </c>
      <c r="W119">
        <f>VLOOKUP($B119,[10]分省年度数据!$A$1:$IV$65536,9,FALSE)</f>
        <v>14.96</v>
      </c>
      <c r="X119">
        <f>VLOOKUP($B119,[11]分省年度数据!$A$1:$IV$65536,9,FALSE)</f>
        <v>14.81</v>
      </c>
      <c r="Y119">
        <f>VLOOKUP($B119,[12]分省年度数据!$A$1:$IV$65536,9,FALSE)</f>
        <v>16.59</v>
      </c>
      <c r="AA119">
        <f>VLOOKUP($B119,[13]分省年度数据!$A$1:$IV$65536,9,FALSE)</f>
        <v>11886446</v>
      </c>
      <c r="AB119">
        <f>VLOOKUP($B119,[14]分省年度数据!$A$1:$IV$65536,9,FALSE)</f>
        <v>871.14</v>
      </c>
      <c r="AC119">
        <f>VLOOKUP($B119,[16]分省年度数据!$A$1:$IT$65532,9,FALSE)</f>
        <v>319</v>
      </c>
      <c r="AD119">
        <f>VLOOKUP($B119,[17]分省年度数据!$A$1:$IS$65525,9,FALSE)</f>
        <v>7222.7</v>
      </c>
      <c r="AE119">
        <f>IFERROR(AC119/E119,0)</f>
        <v>6.8206115031002781E-2</v>
      </c>
      <c r="AF119">
        <f>IFERROR(AD119/E119,0)</f>
        <v>1.5443019029292282</v>
      </c>
      <c r="AG119">
        <f>VLOOKUP($B119,[15]分省年度数据!$A$1:$IV$65536,9,FALSE)</f>
        <v>5375</v>
      </c>
      <c r="AH119">
        <f>VLOOKUP(B119,[4]分省年度数据!$A$1:$IV$65536,9,FALSE)</f>
        <v>20775</v>
      </c>
      <c r="AI119">
        <f>VLOOKUP(B119,[3]分省年度数据!$A$1:$IV$65536,9,FALSE)</f>
        <v>131.99</v>
      </c>
      <c r="AJ119">
        <f>VLOOKUP($B119,[18]分省年度数据!$A$1:$IS$65529,9,FALSE)</f>
        <v>96.66</v>
      </c>
      <c r="AK119">
        <f>VLOOKUP($B119,[19]分省年度数据!$A$1:$IS$65529,9,FALSE)</f>
        <v>78.78</v>
      </c>
      <c r="AL119">
        <f>VLOOKUP($B119,[20]分省年度数据!$A$1:$IS$65528,9,FALSE)</f>
        <v>13.17</v>
      </c>
      <c r="AM119">
        <f>VLOOKUP($B119,[21]分省年度数据!$A$1:$IS$65528,9,FALSE)</f>
        <v>3.46</v>
      </c>
      <c r="AN119">
        <f>VLOOKUP($B119,[22]分省年度数据!$A$1:$IS$65529,9,FALSE)</f>
        <v>11.33</v>
      </c>
    </row>
    <row r="120" spans="1:40">
      <c r="A120">
        <v>54</v>
      </c>
      <c r="B120" t="s">
        <v>26</v>
      </c>
      <c r="C120">
        <v>2016</v>
      </c>
      <c r="D120" t="s">
        <v>36</v>
      </c>
      <c r="E120">
        <f>VLOOKUP(B120,[1]分省年度数据!$A$1:$IV$65536,9,FALSE)</f>
        <v>340</v>
      </c>
      <c r="F120" s="4">
        <v>13639</v>
      </c>
      <c r="G120" s="2">
        <f>VLOOKUP(B120,[2]分省年度数据!$A$1:$IV$65536,9,FALSE)</f>
        <v>45.6</v>
      </c>
      <c r="H120" s="2">
        <f t="shared" si="4"/>
        <v>0.13411764705882354</v>
      </c>
      <c r="N120">
        <v>7261.8333333333303</v>
      </c>
      <c r="O120">
        <f>N120/F120</f>
        <v>0.53243150768629155</v>
      </c>
      <c r="Q120" t="s">
        <v>75</v>
      </c>
      <c r="R120">
        <f>VLOOKUP(B120,[5]分省年度数据!$A$1:$O$65536,9,FALSE)</f>
        <v>6835</v>
      </c>
      <c r="S120">
        <f>VLOOKUP($B120,[6]分省年度数据!$A$1:$IV$65536,9,FALSE)</f>
        <v>1.45</v>
      </c>
      <c r="T120">
        <f>VLOOKUP($B120,[7]分省年度数据!$A$1:$IV$65536,9,FALSE)</f>
        <v>45</v>
      </c>
      <c r="U120">
        <f>VLOOKUP($B120,[8]分省年度数据!$A$1:$IV$65536,9,FALSE)</f>
        <v>9.18</v>
      </c>
      <c r="V120">
        <f>VLOOKUP($B120,[9]分省年度数据!$A$1:$IV$65536,9,FALSE)</f>
        <v>69.97</v>
      </c>
      <c r="W120">
        <f>VLOOKUP($B120,[10]分省年度数据!$A$1:$IV$65536,9,FALSE)</f>
        <v>11.41</v>
      </c>
      <c r="X120">
        <f>VLOOKUP($B120,[11]分省年度数据!$A$1:$IV$65536,9,FALSE)</f>
        <v>11.96</v>
      </c>
      <c r="Y120">
        <f>VLOOKUP($B120,[12]分省年度数据!$A$1:$IV$65536,9,FALSE)</f>
        <v>14.37</v>
      </c>
      <c r="AA120">
        <f>VLOOKUP($B120,[13]分省年度数据!$A$1:$IV$65536,9,FALSE)</f>
        <v>1857714</v>
      </c>
      <c r="AB120">
        <f>VLOOKUP($B120,[14]分省年度数据!$A$1:$IV$65536,9,FALSE)</f>
        <v>169.64</v>
      </c>
      <c r="AC120">
        <f>VLOOKUP($B120,[16]分省年度数据!$A$1:$IT$65532,9,FALSE)</f>
        <v>3</v>
      </c>
      <c r="AD120">
        <f>VLOOKUP($B120,[17]分省年度数据!$A$1:$IS$65525,9,FALSE)</f>
        <v>539.1</v>
      </c>
      <c r="AE120">
        <f>IFERROR(AC120/E120,0)</f>
        <v>8.8235294117647058E-3</v>
      </c>
      <c r="AF120">
        <f>IFERROR(AD120/E120,0)</f>
        <v>1.5855882352941177</v>
      </c>
      <c r="AG120">
        <f>VLOOKUP($B120,[15]分省年度数据!$A$1:$IV$65536,9,FALSE)</f>
        <v>308</v>
      </c>
      <c r="AH120">
        <f>VLOOKUP(B120,[4]分省年度数据!$A$1:$IV$65536,9,FALSE)</f>
        <v>1035</v>
      </c>
      <c r="AI120">
        <f>VLOOKUP(B120,[3]分省年度数据!$A$1:$IV$65536,9,FALSE)</f>
        <v>367.04</v>
      </c>
      <c r="AJ120">
        <f>VLOOKUP($B120,[18]分省年度数据!$A$1:$IS$65529,9,FALSE)</f>
        <v>67.569999999999993</v>
      </c>
      <c r="AK120">
        <f>VLOOKUP($B120,[19]分省年度数据!$A$1:$IS$65529,9,FALSE)</f>
        <v>52.99</v>
      </c>
      <c r="AL120">
        <f>VLOOKUP($B120,[20]分省年度数据!$A$1:$IS$65528,9,FALSE)</f>
        <v>6.2</v>
      </c>
      <c r="AM120">
        <f>VLOOKUP($B120,[21]分省年度数据!$A$1:$IS$65528,9,FALSE)</f>
        <v>2.69</v>
      </c>
      <c r="AN120">
        <f>VLOOKUP($B120,[22]分省年度数据!$A$1:$IS$65529,9,FALSE)</f>
        <v>7.84</v>
      </c>
    </row>
    <row r="121" spans="1:40">
      <c r="A121">
        <v>61</v>
      </c>
      <c r="B121" t="s">
        <v>27</v>
      </c>
      <c r="C121">
        <v>2016</v>
      </c>
      <c r="D121" t="s">
        <v>37</v>
      </c>
      <c r="E121">
        <f>VLOOKUP(B121,[1]分省年度数据!$A$1:$IV$65536,9,FALSE)</f>
        <v>3874</v>
      </c>
      <c r="F121" s="4">
        <v>18874</v>
      </c>
      <c r="G121" s="2">
        <f>VLOOKUP(B121,[2]分省年度数据!$A$1:$IV$65536,9,FALSE)</f>
        <v>543.9</v>
      </c>
      <c r="H121" s="2">
        <f t="shared" si="4"/>
        <v>0.1403975219411461</v>
      </c>
      <c r="N121">
        <v>4808.6805555555566</v>
      </c>
      <c r="O121">
        <f>N121/F121</f>
        <v>0.25477803091848872</v>
      </c>
      <c r="Q121" t="s">
        <v>62</v>
      </c>
      <c r="R121">
        <f>VLOOKUP(B121,[5]分省年度数据!$A$1:$O$65536,9,FALSE)</f>
        <v>36598</v>
      </c>
      <c r="S121">
        <f>VLOOKUP($B121,[6]分省年度数据!$A$1:$IV$65536,9,FALSE)</f>
        <v>22.54</v>
      </c>
      <c r="T121">
        <f>VLOOKUP($B121,[7]分省年度数据!$A$1:$IV$65536,9,FALSE)</f>
        <v>76</v>
      </c>
      <c r="U121">
        <f>VLOOKUP($B121,[8]分省年度数据!$A$1:$IV$65536,9,FALSE)</f>
        <v>9.16</v>
      </c>
      <c r="V121">
        <f>VLOOKUP($B121,[9]分省年度数据!$A$1:$IV$65536,9,FALSE)</f>
        <v>381.66</v>
      </c>
      <c r="W121">
        <f>VLOOKUP($B121,[10]分省年度数据!$A$1:$IV$65536,9,FALSE)</f>
        <v>13.63</v>
      </c>
      <c r="X121">
        <f>VLOOKUP($B121,[11]分省年度数据!$A$1:$IV$65536,9,FALSE)</f>
        <v>10.31</v>
      </c>
      <c r="Y121">
        <f>VLOOKUP($B121,[12]分省年度数据!$A$1:$IV$65536,9,FALSE)</f>
        <v>15.48</v>
      </c>
      <c r="AA121">
        <f>VLOOKUP($B121,[13]分省年度数据!$A$1:$IV$65536,9,FALSE)</f>
        <v>10049114</v>
      </c>
      <c r="AB121">
        <f>VLOOKUP($B121,[14]分省年度数据!$A$1:$IV$65536,9,FALSE)</f>
        <v>777.53</v>
      </c>
      <c r="AC121">
        <f>VLOOKUP($B121,[16]分省年度数据!$A$1:$IT$65532,9,FALSE)</f>
        <v>202</v>
      </c>
      <c r="AD121">
        <f>VLOOKUP($B121,[17]分省年度数据!$A$1:$IS$65525,9,FALSE)</f>
        <v>7680.7</v>
      </c>
      <c r="AE121">
        <f>IFERROR(AC121/E121,0)</f>
        <v>5.2142488384099121E-2</v>
      </c>
      <c r="AF121">
        <f>IFERROR(AD121/E121,0)</f>
        <v>1.9826277749096541</v>
      </c>
      <c r="AG121">
        <f>VLOOKUP($B121,[15]分省年度数据!$A$1:$IV$65536,9,FALSE)</f>
        <v>5914</v>
      </c>
      <c r="AH121">
        <f>VLOOKUP(B121,[4]分省年度数据!$A$1:$IV$65536,9,FALSE)</f>
        <v>10453</v>
      </c>
      <c r="AI121">
        <f>VLOOKUP(B121,[3]分省年度数据!$A$1:$IV$65536,9,FALSE)</f>
        <v>159.27000000000001</v>
      </c>
      <c r="AJ121">
        <f>VLOOKUP($B121,[18]分省年度数据!$A$1:$IS$65529,9,FALSE)</f>
        <v>95.61</v>
      </c>
      <c r="AK121">
        <f>VLOOKUP($B121,[19]分省年度数据!$A$1:$IS$65529,9,FALSE)</f>
        <v>94.66</v>
      </c>
      <c r="AL121">
        <f>VLOOKUP($B121,[20]分省年度数据!$A$1:$IS$65528,9,FALSE)</f>
        <v>16.010000000000002</v>
      </c>
      <c r="AM121">
        <f>VLOOKUP($B121,[21]分省年度数据!$A$1:$IS$65528,9,FALSE)</f>
        <v>4.47</v>
      </c>
      <c r="AN121">
        <f>VLOOKUP($B121,[22]分省年度数据!$A$1:$IS$65529,9,FALSE)</f>
        <v>12.3</v>
      </c>
    </row>
    <row r="122" spans="1:40">
      <c r="A122">
        <v>62</v>
      </c>
      <c r="B122" t="s">
        <v>28</v>
      </c>
      <c r="C122">
        <v>2016</v>
      </c>
      <c r="D122" t="s">
        <v>37</v>
      </c>
      <c r="E122">
        <f>VLOOKUP(B122,[1]分省年度数据!$A$1:$IV$65536,9,FALSE)</f>
        <v>2520</v>
      </c>
      <c r="F122" s="4">
        <v>14670</v>
      </c>
      <c r="G122" s="2">
        <f>VLOOKUP(B122,[2]分省年度数据!$A$1:$IV$65536,9,FALSE)</f>
        <v>997.8</v>
      </c>
      <c r="H122" s="2">
        <f t="shared" si="4"/>
        <v>0.39595238095238094</v>
      </c>
      <c r="N122">
        <v>5795.0452380952383</v>
      </c>
      <c r="O122">
        <f>N122/F122</f>
        <v>0.39502694192878246</v>
      </c>
      <c r="Q122" t="s">
        <v>61</v>
      </c>
      <c r="R122">
        <f>VLOOKUP(B122,[5]分省年度数据!$A$1:$O$65536,9,FALSE)</f>
        <v>28197</v>
      </c>
      <c r="S122">
        <f>VLOOKUP($B122,[6]分省年度数据!$A$1:$IV$65536,9,FALSE)</f>
        <v>13.43</v>
      </c>
      <c r="T122">
        <f>VLOOKUP($B122,[7]分省年度数据!$A$1:$IV$65536,9,FALSE)</f>
        <v>52</v>
      </c>
      <c r="U122">
        <f>VLOOKUP($B122,[8]分省年度数据!$A$1:$IV$65536,9,FALSE)</f>
        <v>9.08</v>
      </c>
      <c r="V122">
        <f>VLOOKUP($B122,[9]分省年度数据!$A$1:$IV$65536,9,FALSE)</f>
        <v>273.25</v>
      </c>
      <c r="W122">
        <f>VLOOKUP($B122,[10]分省年度数据!$A$1:$IV$65536,9,FALSE)</f>
        <v>13.38</v>
      </c>
      <c r="X122">
        <f>VLOOKUP($B122,[11]分省年度数据!$A$1:$IV$65536,9,FALSE)</f>
        <v>10.64</v>
      </c>
      <c r="Y122">
        <f>VLOOKUP($B122,[12]分省年度数据!$A$1:$IV$65536,9,FALSE)</f>
        <v>12.91</v>
      </c>
      <c r="AA122">
        <f>VLOOKUP($B122,[13]分省年度数据!$A$1:$IV$65536,9,FALSE)</f>
        <v>6706137</v>
      </c>
      <c r="AB122">
        <f>VLOOKUP($B122,[14]分省年度数据!$A$1:$IV$65536,9,FALSE)</f>
        <v>548.95000000000005</v>
      </c>
      <c r="AC122">
        <f>VLOOKUP($B122,[16]分省年度数据!$A$1:$IT$65532,9,FALSE)</f>
        <v>36</v>
      </c>
      <c r="AD122">
        <f>VLOOKUP($B122,[17]分省年度数据!$A$1:$IS$65525,9,FALSE)</f>
        <v>2984.2</v>
      </c>
      <c r="AE122">
        <f>IFERROR(AC122/E122,0)</f>
        <v>1.4285714285714285E-2</v>
      </c>
      <c r="AF122">
        <f>IFERROR(AD122/E122,0)</f>
        <v>1.184206349206349</v>
      </c>
      <c r="AG122">
        <f>VLOOKUP($B122,[15]分省年度数据!$A$1:$IV$65536,9,FALSE)</f>
        <v>2899</v>
      </c>
      <c r="AH122">
        <f>VLOOKUP(B122,[4]分省年度数据!$A$1:$IV$65536,9,FALSE)</f>
        <v>6429</v>
      </c>
      <c r="AI122">
        <f>VLOOKUP(B122,[3]分省年度数据!$A$1:$IV$65536,9,FALSE)</f>
        <v>125.28</v>
      </c>
      <c r="AJ122">
        <f>VLOOKUP($B122,[18]分省年度数据!$A$1:$IS$65529,9,FALSE)</f>
        <v>97.93</v>
      </c>
      <c r="AK122">
        <f>VLOOKUP($B122,[19]分省年度数据!$A$1:$IS$65529,9,FALSE)</f>
        <v>88.15</v>
      </c>
      <c r="AL122">
        <f>VLOOKUP($B122,[20]分省年度数据!$A$1:$IS$65528,9,FALSE)</f>
        <v>9.16</v>
      </c>
      <c r="AM122">
        <f>VLOOKUP($B122,[21]分省年度数据!$A$1:$IS$65528,9,FALSE)</f>
        <v>2.58</v>
      </c>
      <c r="AN122">
        <f>VLOOKUP($B122,[22]分省年度数据!$A$1:$IS$65529,9,FALSE)</f>
        <v>13.94</v>
      </c>
    </row>
    <row r="123" spans="1:40">
      <c r="A123">
        <v>63</v>
      </c>
      <c r="B123" t="s">
        <v>29</v>
      </c>
      <c r="C123">
        <v>2016</v>
      </c>
      <c r="D123" t="s">
        <v>37</v>
      </c>
      <c r="E123">
        <f>VLOOKUP(B123,[1]分省年度数据!$A$1:$IV$65536,9,FALSE)</f>
        <v>582</v>
      </c>
      <c r="F123" s="4">
        <v>17302</v>
      </c>
      <c r="G123" s="2">
        <f>VLOOKUP(B123,[2]分省年度数据!$A$1:$IV$65536,9,FALSE)</f>
        <v>124.4</v>
      </c>
      <c r="H123" s="2">
        <f t="shared" si="4"/>
        <v>0.21374570446735397</v>
      </c>
      <c r="N123">
        <v>6193.5833333333303</v>
      </c>
      <c r="O123">
        <f>N123/F123</f>
        <v>0.35796921357839151</v>
      </c>
      <c r="Q123" t="s">
        <v>62</v>
      </c>
      <c r="R123">
        <f>VLOOKUP(B123,[5]分省年度数据!$A$1:$O$65536,9,FALSE)</f>
        <v>6291</v>
      </c>
      <c r="S123">
        <f>VLOOKUP($B123,[6]分省年度数据!$A$1:$IV$65536,9,FALSE)</f>
        <v>3.47</v>
      </c>
      <c r="T123">
        <f>VLOOKUP($B123,[7]分省年度数据!$A$1:$IV$65536,9,FALSE)</f>
        <v>62</v>
      </c>
      <c r="U123">
        <f>VLOOKUP($B123,[8]分省年度数据!$A$1:$IV$65536,9,FALSE)</f>
        <v>9.27</v>
      </c>
      <c r="V123">
        <f>VLOOKUP($B123,[9]分省年度数据!$A$1:$IV$65536,9,FALSE)</f>
        <v>103.06</v>
      </c>
      <c r="W123">
        <f>VLOOKUP($B123,[10]分省年度数据!$A$1:$IV$65536,9,FALSE)</f>
        <v>13.48</v>
      </c>
      <c r="X123">
        <f>VLOOKUP($B123,[11]分省年度数据!$A$1:$IV$65536,9,FALSE)</f>
        <v>12.86</v>
      </c>
      <c r="Y123">
        <f>VLOOKUP($B123,[12]分省年度数据!$A$1:$IV$65536,9,FALSE)</f>
        <v>17.34</v>
      </c>
      <c r="AA123">
        <f>VLOOKUP($B123,[13]分省年度数据!$A$1:$IV$65536,9,FALSE)</f>
        <v>2162973</v>
      </c>
      <c r="AB123">
        <f>VLOOKUP($B123,[14]分省年度数据!$A$1:$IV$65536,9,FALSE)</f>
        <v>171.36</v>
      </c>
      <c r="AC123" t="str">
        <f>VLOOKUP($B123,[16]分省年度数据!$A$1:$IT$65532,9,FALSE)</f>
        <v/>
      </c>
      <c r="AD123">
        <f>VLOOKUP($B123,[17]分省年度数据!$A$1:$IS$65525,9,FALSE)</f>
        <v>769.9</v>
      </c>
      <c r="AE123">
        <f>IFERROR(AC123/E123,0)</f>
        <v>0</v>
      </c>
      <c r="AF123">
        <f>IFERROR(AD123/E123,0)</f>
        <v>1.3228522336769759</v>
      </c>
      <c r="AG123">
        <f>VLOOKUP($B123,[15]分省年度数据!$A$1:$IV$65536,9,FALSE)</f>
        <v>1023</v>
      </c>
      <c r="AH123">
        <f>VLOOKUP(B123,[4]分省年度数据!$A$1:$IV$65536,9,FALSE)</f>
        <v>3039</v>
      </c>
      <c r="AI123">
        <f>VLOOKUP(B123,[3]分省年度数据!$A$1:$IV$65536,9,FALSE)</f>
        <v>170.3</v>
      </c>
      <c r="AJ123">
        <f>VLOOKUP($B123,[18]分省年度数据!$A$1:$IS$65529,9,FALSE)</f>
        <v>99.21</v>
      </c>
      <c r="AK123">
        <f>VLOOKUP($B123,[19]分省年度数据!$A$1:$IS$65529,9,FALSE)</f>
        <v>87.55</v>
      </c>
      <c r="AL123">
        <f>VLOOKUP($B123,[20]分省年度数据!$A$1:$IS$65528,9,FALSE)</f>
        <v>14.49</v>
      </c>
      <c r="AM123">
        <f>VLOOKUP($B123,[21]分省年度数据!$A$1:$IS$65528,9,FALSE)</f>
        <v>3.74</v>
      </c>
      <c r="AN123">
        <f>VLOOKUP($B123,[22]分省年度数据!$A$1:$IS$65529,9,FALSE)</f>
        <v>10.78</v>
      </c>
    </row>
    <row r="124" spans="1:40">
      <c r="A124">
        <v>64</v>
      </c>
      <c r="B124" t="s">
        <v>30</v>
      </c>
      <c r="C124">
        <v>2016</v>
      </c>
      <c r="D124" t="s">
        <v>37</v>
      </c>
      <c r="E124">
        <f>VLOOKUP(B124,[1]分省年度数据!$A$1:$IV$65536,9,FALSE)</f>
        <v>695</v>
      </c>
      <c r="F124" s="4">
        <v>18832</v>
      </c>
      <c r="G124" s="2">
        <f>VLOOKUP(B124,[2]分省年度数据!$A$1:$IV$65536,9,FALSE)</f>
        <v>186.1</v>
      </c>
      <c r="H124" s="2">
        <f t="shared" si="4"/>
        <v>0.26776978417266184</v>
      </c>
      <c r="N124">
        <v>4337.4309764309764</v>
      </c>
      <c r="O124">
        <f>N124/F124</f>
        <v>0.23032237555389637</v>
      </c>
      <c r="Q124" t="s">
        <v>61</v>
      </c>
      <c r="R124">
        <f>VLOOKUP(B124,[5]分省年度数据!$A$1:$O$65536,9,FALSE)</f>
        <v>4254</v>
      </c>
      <c r="S124">
        <f>VLOOKUP($B124,[6]分省年度数据!$A$1:$IV$65536,9,FALSE)</f>
        <v>3.63</v>
      </c>
      <c r="T124">
        <f>VLOOKUP($B124,[7]分省年度数据!$A$1:$IV$65536,9,FALSE)</f>
        <v>66</v>
      </c>
      <c r="U124">
        <f>VLOOKUP($B124,[8]分省年度数据!$A$1:$IV$65536,9,FALSE)</f>
        <v>9.31</v>
      </c>
      <c r="V124">
        <f>VLOOKUP($B124,[9]分省年度数据!$A$1:$IV$65536,9,FALSE)</f>
        <v>82.03</v>
      </c>
      <c r="W124">
        <f>VLOOKUP($B124,[10]分省年度数据!$A$1:$IV$65536,9,FALSE)</f>
        <v>14.29</v>
      </c>
      <c r="X124">
        <f>VLOOKUP($B124,[11]分省年度数据!$A$1:$IV$65536,9,FALSE)</f>
        <v>13.92</v>
      </c>
      <c r="Y124">
        <f>VLOOKUP($B124,[12]分省年度数据!$A$1:$IV$65536,9,FALSE)</f>
        <v>17.09</v>
      </c>
      <c r="AA124">
        <f>VLOOKUP($B124,[13]分省年度数据!$A$1:$IV$65536,9,FALSE)</f>
        <v>2072544</v>
      </c>
      <c r="AB124">
        <f>VLOOKUP($B124,[14]分省年度数据!$A$1:$IV$65536,9,FALSE)</f>
        <v>152.57</v>
      </c>
      <c r="AC124" t="str">
        <f>VLOOKUP($B124,[16]分省年度数据!$A$1:$IT$65532,9,FALSE)</f>
        <v/>
      </c>
      <c r="AD124">
        <f>VLOOKUP($B124,[17]分省年度数据!$A$1:$IS$65525,9,FALSE)</f>
        <v>1130.5999999999999</v>
      </c>
      <c r="AE124">
        <f>IFERROR(AC124/E124,0)</f>
        <v>0</v>
      </c>
      <c r="AF124">
        <f>IFERROR(AD124/E124,0)</f>
        <v>1.6267625899280573</v>
      </c>
      <c r="AG124">
        <f>VLOOKUP($B124,[15]分省年度数据!$A$1:$IV$65536,9,FALSE)</f>
        <v>1606</v>
      </c>
      <c r="AH124">
        <f>VLOOKUP(B124,[4]分省年度数据!$A$1:$IV$65536,9,FALSE)</f>
        <v>5019</v>
      </c>
      <c r="AI124">
        <f>VLOOKUP(B124,[3]分省年度数据!$A$1:$IV$65536,9,FALSE)</f>
        <v>187.77</v>
      </c>
      <c r="AJ124">
        <f>VLOOKUP($B124,[18]分省年度数据!$A$1:$IS$65529,9,FALSE)</f>
        <v>94.75</v>
      </c>
      <c r="AK124">
        <f>VLOOKUP($B124,[19]分省年度数据!$A$1:$IS$65529,9,FALSE)</f>
        <v>90.69</v>
      </c>
      <c r="AL124">
        <f>VLOOKUP($B124,[20]分省年度数据!$A$1:$IS$65528,9,FALSE)</f>
        <v>13.47</v>
      </c>
      <c r="AM124">
        <f>VLOOKUP($B124,[21]分省年度数据!$A$1:$IS$65528,9,FALSE)</f>
        <v>2.62</v>
      </c>
      <c r="AN124">
        <f>VLOOKUP($B124,[22]分省年度数据!$A$1:$IS$65529,9,FALSE)</f>
        <v>18.3</v>
      </c>
    </row>
    <row r="125" spans="1:40">
      <c r="A125">
        <v>65</v>
      </c>
      <c r="B125" t="s">
        <v>31</v>
      </c>
      <c r="C125">
        <v>2016</v>
      </c>
      <c r="D125" t="s">
        <v>37</v>
      </c>
      <c r="E125">
        <f>VLOOKUP(B125,[1]分省年度数据!$A$1:$IV$65536,9,FALSE)</f>
        <v>2428</v>
      </c>
      <c r="F125" s="4">
        <v>18355</v>
      </c>
      <c r="G125" s="2">
        <f>VLOOKUP(B125,[2]分省年度数据!$A$1:$IV$65536,9,FALSE)</f>
        <v>196.8</v>
      </c>
      <c r="H125" s="2">
        <f t="shared" si="4"/>
        <v>8.1054365733113684E-2</v>
      </c>
      <c r="N125">
        <v>5129.4722222222244</v>
      </c>
      <c r="O125">
        <f>N125/F125</f>
        <v>0.2794591240654985</v>
      </c>
      <c r="Q125" t="s">
        <v>75</v>
      </c>
      <c r="R125">
        <f>VLOOKUP(B125,[5]分省年度数据!$A$1:$O$65536,9,FALSE)</f>
        <v>18825</v>
      </c>
      <c r="S125">
        <f>VLOOKUP($B125,[6]分省年度数据!$A$1:$IV$65536,9,FALSE)</f>
        <v>15.69</v>
      </c>
      <c r="T125">
        <f>VLOOKUP($B125,[7]分省年度数据!$A$1:$IV$65536,9,FALSE)</f>
        <v>71</v>
      </c>
      <c r="U125">
        <f>VLOOKUP($B125,[8]分省年度数据!$A$1:$IV$65536,9,FALSE)</f>
        <v>8.66</v>
      </c>
      <c r="V125">
        <f>VLOOKUP($B125,[9]分省年度数据!$A$1:$IV$65536,9,FALSE)</f>
        <v>256.43</v>
      </c>
      <c r="W125">
        <f>VLOOKUP($B125,[10]分省年度数据!$A$1:$IV$65536,9,FALSE)</f>
        <v>13.1</v>
      </c>
      <c r="X125">
        <f>VLOOKUP($B125,[11]分省年度数据!$A$1:$IV$65536,9,FALSE)</f>
        <v>10.54</v>
      </c>
      <c r="Y125">
        <f>VLOOKUP($B125,[12]分省年度数据!$A$1:$IV$65536,9,FALSE)</f>
        <v>14.75</v>
      </c>
      <c r="AA125">
        <f>VLOOKUP($B125,[13]分省年度数据!$A$1:$IV$65536,9,FALSE)</f>
        <v>7823914</v>
      </c>
      <c r="AB125">
        <f>VLOOKUP($B125,[14]分省年度数据!$A$1:$IV$65536,9,FALSE)</f>
        <v>664.52</v>
      </c>
      <c r="AC125">
        <f>VLOOKUP($B125,[16]分省年度数据!$A$1:$IT$65532,9,FALSE)</f>
        <v>167</v>
      </c>
      <c r="AD125">
        <f>VLOOKUP($B125,[17]分省年度数据!$A$1:$IS$65525,9,FALSE)</f>
        <v>3005.2</v>
      </c>
      <c r="AE125">
        <f>IFERROR(AC125/E125,0)</f>
        <v>6.8780889621087318E-2</v>
      </c>
      <c r="AF125">
        <f>IFERROR(AD125/E125,0)</f>
        <v>1.2377265238879736</v>
      </c>
      <c r="AG125">
        <f>VLOOKUP($B125,[15]分省年度数据!$A$1:$IV$65536,9,FALSE)</f>
        <v>5049</v>
      </c>
      <c r="AH125">
        <f>VLOOKUP(B125,[4]分省年度数据!$A$1:$IV$65536,9,FALSE)</f>
        <v>8429</v>
      </c>
      <c r="AI125">
        <f>VLOOKUP(B125,[3]分省年度数据!$A$1:$IV$65536,9,FALSE)</f>
        <v>167.2</v>
      </c>
      <c r="AJ125">
        <f>VLOOKUP($B125,[18]分省年度数据!$A$1:$IS$65529,9,FALSE)</f>
        <v>98.86</v>
      </c>
      <c r="AK125">
        <f>VLOOKUP($B125,[19]分省年度数据!$A$1:$IS$65529,9,FALSE)</f>
        <v>97.89</v>
      </c>
      <c r="AL125">
        <f>VLOOKUP($B125,[20]分省年度数据!$A$1:$IS$65528,9,FALSE)</f>
        <v>15.24</v>
      </c>
      <c r="AM125">
        <f>VLOOKUP($B125,[21]分省年度数据!$A$1:$IS$65528,9,FALSE)</f>
        <v>3.28</v>
      </c>
      <c r="AN125">
        <f>VLOOKUP($B125,[22]分省年度数据!$A$1:$IS$65529,9,FALSE)</f>
        <v>12.22</v>
      </c>
    </row>
    <row r="126" spans="1:40">
      <c r="A126">
        <v>11</v>
      </c>
      <c r="B126" t="s">
        <v>1</v>
      </c>
      <c r="C126">
        <v>2018</v>
      </c>
      <c r="D126" t="s">
        <v>32</v>
      </c>
      <c r="E126">
        <f>VLOOKUP(B126,[1]分省年度数据!$A$1:$IV$65536,7,FALSE)</f>
        <v>2192</v>
      </c>
      <c r="F126" s="4">
        <v>62361</v>
      </c>
      <c r="G126" s="2">
        <f>VLOOKUP(B126,[2]分省年度数据!$A$1:$IV$65536,7,FALSE)</f>
        <v>15.7</v>
      </c>
      <c r="H126" s="2">
        <f t="shared" si="4"/>
        <v>7.1624087591240877E-3</v>
      </c>
      <c r="N126">
        <v>58649.166666666701</v>
      </c>
      <c r="O126">
        <f>N126/F126</f>
        <v>0.94047829038448227</v>
      </c>
      <c r="Q126" t="s">
        <v>63</v>
      </c>
      <c r="R126">
        <f>VLOOKUP(B126,[5]分省年度数据!$A$1:$O$65536,7,FALSE)</f>
        <v>10058</v>
      </c>
      <c r="S126">
        <f>VLOOKUP($B126,[6]分省年度数据!$A$1:$IV$65536,7,FALSE)</f>
        <v>12.36</v>
      </c>
      <c r="T126">
        <f>VLOOKUP($B126,[7]分省年度数据!$A$1:$IV$65536,7,FALSE)</f>
        <v>119</v>
      </c>
      <c r="U126">
        <f>VLOOKUP($B126,[8]分省年度数据!$A$1:$IV$65536,7,FALSE)</f>
        <v>10.1</v>
      </c>
      <c r="V126">
        <f>VLOOKUP($B126,[9]分省年度数据!$A$1:$IV$65536,7,FALSE)</f>
        <v>490.09</v>
      </c>
      <c r="W126">
        <f>VLOOKUP($B126,[10]分省年度数据!$A$1:$IV$65536,7,FALSE)</f>
        <v>7.44</v>
      </c>
      <c r="X126">
        <f>VLOOKUP($B126,[11]分省年度数据!$A$1:$IV$65536,7,FALSE)</f>
        <v>7.83</v>
      </c>
      <c r="Y126">
        <f>VLOOKUP($B126,[12]分省年度数据!$A$1:$IV$65536,7,FALSE)</f>
        <v>13.65</v>
      </c>
      <c r="AA126">
        <f>VLOOKUP($B126,[13]分省年度数据!$A$1:$IV$65536,7,FALSE)</f>
        <v>13525400</v>
      </c>
      <c r="AB126">
        <f>VLOOKUP($B126,[14]分省年度数据!$A$1:$IV$65536,7,FALSE)</f>
        <v>1025.51</v>
      </c>
      <c r="AC126">
        <f>VLOOKUP($B126,[16]分省年度数据!$A$1:$IT$65532,7,FALSE)</f>
        <v>5624</v>
      </c>
      <c r="AD126">
        <f>VLOOKUP($B126,[17]分省年度数据!$A$1:$IS$65525,7,FALSE)</f>
        <v>14422.3</v>
      </c>
      <c r="AE126">
        <f>IFERROR(AC126/E126,0)</f>
        <v>2.5656934306569341</v>
      </c>
      <c r="AF126">
        <f>IFERROR(AD126/E126,0)</f>
        <v>6.5795164233576635</v>
      </c>
      <c r="AG126">
        <f>VLOOKUP($B126,[15]分省年度数据!$A$1:$IV$65536,7,FALSE)</f>
        <v>3242</v>
      </c>
      <c r="AH126">
        <f>VLOOKUP(B126,[4]分省年度数据!$A$1:$IV$65536,7,FALSE)</f>
        <v>19245</v>
      </c>
      <c r="AI126">
        <f>VLOOKUP(B126,[3]分省年度数据!$A$1:$IV$65536,7,FALSE)</f>
        <v>198.7</v>
      </c>
      <c r="AJ126">
        <f>VLOOKUP($B126,[18]分省年度数据!$A$1:$IS$65529,7,FALSE)</f>
        <v>100</v>
      </c>
      <c r="AK126">
        <f>VLOOKUP($B126,[19]分省年度数据!$A$1:$IS$65529,7,FALSE)</f>
        <v>100</v>
      </c>
      <c r="AL126">
        <f>VLOOKUP($B126,[20]分省年度数据!$A$1:$IS$65528,7,FALSE)</f>
        <v>18.239999999999998</v>
      </c>
      <c r="AM126">
        <f>VLOOKUP($B126,[21]分省年度数据!$A$1:$IS$65528,7,FALSE)</f>
        <v>2.83</v>
      </c>
      <c r="AN126">
        <f>VLOOKUP($B126,[22]分省年度数据!$A$1:$IS$65529,7,FALSE)</f>
        <v>16.3</v>
      </c>
    </row>
    <row r="127" spans="1:40">
      <c r="A127">
        <v>12</v>
      </c>
      <c r="B127" t="s">
        <v>2</v>
      </c>
      <c r="C127">
        <v>2018</v>
      </c>
      <c r="D127" t="s">
        <v>32</v>
      </c>
      <c r="E127">
        <f>VLOOKUP(B127,[1]分省年度数据!$A$1:$IV$65536,7,FALSE)</f>
        <v>1383</v>
      </c>
      <c r="F127" s="4">
        <v>39506</v>
      </c>
      <c r="G127" s="2">
        <f>VLOOKUP(B127,[2]分省年度数据!$A$1:$IV$65536,7,FALSE)</f>
        <v>10.9</v>
      </c>
      <c r="H127" s="2">
        <f t="shared" si="4"/>
        <v>7.8814172089660163E-3</v>
      </c>
      <c r="N127">
        <v>22276.083333333299</v>
      </c>
      <c r="O127">
        <f>N127/F127</f>
        <v>0.5638658262879892</v>
      </c>
      <c r="Q127" t="s">
        <v>65</v>
      </c>
      <c r="R127">
        <f>VLOOKUP(B127,[5]分省年度数据!$A$1:$O$65536,7,FALSE)</f>
        <v>5686</v>
      </c>
      <c r="S127">
        <f>VLOOKUP($B127,[6]分省年度数据!$A$1:$IV$65536,7,FALSE)</f>
        <v>6.82</v>
      </c>
      <c r="T127">
        <f>VLOOKUP($B127,[7]分省年度数据!$A$1:$IV$65536,7,FALSE)</f>
        <v>67</v>
      </c>
      <c r="U127">
        <f>VLOOKUP($B127,[8]分省年度数据!$A$1:$IV$65536,7,FALSE)</f>
        <v>9.1999999999999993</v>
      </c>
      <c r="V127">
        <f>VLOOKUP($B127,[9]分省年度数据!$A$1:$IV$65536,7,FALSE)</f>
        <v>192.76</v>
      </c>
      <c r="W127">
        <f>VLOOKUP($B127,[10]分省年度数据!$A$1:$IV$65536,7,FALSE)</f>
        <v>9.6300000000000008</v>
      </c>
      <c r="X127">
        <f>VLOOKUP($B127,[11]分省年度数据!$A$1:$IV$65536,7,FALSE)</f>
        <v>10.199999999999999</v>
      </c>
      <c r="Y127">
        <f>VLOOKUP($B127,[12]分省年度数据!$A$1:$IV$65536,7,FALSE)</f>
        <v>15.03</v>
      </c>
      <c r="AA127">
        <f>VLOOKUP($B127,[13]分省年度数据!$A$1:$IV$65536,7,FALSE)</f>
        <v>6351712</v>
      </c>
      <c r="AB127">
        <f>VLOOKUP($B127,[14]分省年度数据!$A$1:$IV$65536,7,FALSE)</f>
        <v>448.19</v>
      </c>
      <c r="AC127">
        <f>VLOOKUP($B127,[16]分省年度数据!$A$1:$IT$65532,7,FALSE)</f>
        <v>595</v>
      </c>
      <c r="AD127">
        <f>VLOOKUP($B127,[17]分省年度数据!$A$1:$IS$65525,7,FALSE)</f>
        <v>4231.2</v>
      </c>
      <c r="AE127">
        <f>IFERROR(AC127/E127,0)</f>
        <v>0.43022415039768619</v>
      </c>
      <c r="AF127">
        <f>IFERROR(AD127/E127,0)</f>
        <v>3.0594360086767893</v>
      </c>
      <c r="AG127">
        <f>VLOOKUP($B127,[15]分省年度数据!$A$1:$IV$65536,7,FALSE)</f>
        <v>6223</v>
      </c>
      <c r="AH127">
        <f>VLOOKUP(B127,[4]分省年度数据!$A$1:$IV$65536,7,FALSE)</f>
        <v>23920</v>
      </c>
      <c r="AI127">
        <f>VLOOKUP(B127,[3]分省年度数据!$A$1:$IV$65536,7,FALSE)</f>
        <v>100.41</v>
      </c>
      <c r="AJ127">
        <f>VLOOKUP($B127,[18]分省年度数据!$A$1:$IS$65529,7,FALSE)</f>
        <v>100</v>
      </c>
      <c r="AK127">
        <f>VLOOKUP($B127,[19]分省年度数据!$A$1:$IS$65529,7,FALSE)</f>
        <v>100</v>
      </c>
      <c r="AL127">
        <f>VLOOKUP($B127,[20]分省年度数据!$A$1:$IS$65528,7,FALSE)</f>
        <v>11.93</v>
      </c>
      <c r="AM127">
        <f>VLOOKUP($B127,[21]分省年度数据!$A$1:$IS$65528,7,FALSE)</f>
        <v>1.07</v>
      </c>
      <c r="AN127">
        <f>VLOOKUP($B127,[22]分省年度数据!$A$1:$IS$65529,7,FALSE)</f>
        <v>9.3800000000000008</v>
      </c>
    </row>
    <row r="128" spans="1:40">
      <c r="A128">
        <v>13</v>
      </c>
      <c r="B128" t="s">
        <v>3</v>
      </c>
      <c r="C128">
        <v>2018</v>
      </c>
      <c r="D128" t="s">
        <v>32</v>
      </c>
      <c r="E128">
        <f>VLOOKUP(B128,[1]分省年度数据!$A$1:$IV$65536,7,FALSE)</f>
        <v>7426</v>
      </c>
      <c r="F128" s="4">
        <v>23446</v>
      </c>
      <c r="G128" s="2">
        <f>VLOOKUP(B128,[2]分省年度数据!$A$1:$IV$65536,7,FALSE)</f>
        <v>503.9</v>
      </c>
      <c r="H128" s="2">
        <f t="shared" si="4"/>
        <v>6.7856180985725822E-2</v>
      </c>
      <c r="N128">
        <v>10308.20454545455</v>
      </c>
      <c r="O128">
        <f>N128/F128</f>
        <v>0.43965727823315487</v>
      </c>
      <c r="Q128" t="s">
        <v>65</v>
      </c>
      <c r="R128">
        <f>VLOOKUP(B128,[5]分省年度数据!$A$1:$O$65536,7,FALSE)</f>
        <v>85088</v>
      </c>
      <c r="S128">
        <f>VLOOKUP($B128,[6]分省年度数据!$A$1:$IV$65536,7,FALSE)</f>
        <v>42.19</v>
      </c>
      <c r="T128">
        <f>VLOOKUP($B128,[7]分省年度数据!$A$1:$IV$65536,7,FALSE)</f>
        <v>61</v>
      </c>
      <c r="U128">
        <f>VLOOKUP($B128,[8]分省年度数据!$A$1:$IV$65536,7,FALSE)</f>
        <v>9</v>
      </c>
      <c r="V128">
        <f>VLOOKUP($B128,[9]分省年度数据!$A$1:$IV$65536,7,FALSE)</f>
        <v>691.33</v>
      </c>
      <c r="W128">
        <f>VLOOKUP($B128,[10]分省年度数据!$A$1:$IV$65536,7,FALSE)</f>
        <v>13.37</v>
      </c>
      <c r="X128">
        <f>VLOOKUP($B128,[11]分省年度数据!$A$1:$IV$65536,7,FALSE)</f>
        <v>14.17</v>
      </c>
      <c r="Y128">
        <f>VLOOKUP($B128,[12]分省年度数据!$A$1:$IV$65536,7,FALSE)</f>
        <v>17.32</v>
      </c>
      <c r="AA128">
        <f>VLOOKUP($B128,[13]分省年度数据!$A$1:$IV$65536,7,FALSE)</f>
        <v>17389625</v>
      </c>
      <c r="AB128">
        <f>VLOOKUP($B128,[14]分省年度数据!$A$1:$IV$65536,7,FALSE)</f>
        <v>1385.59</v>
      </c>
      <c r="AC128">
        <f>VLOOKUP($B128,[16]分省年度数据!$A$1:$IT$65532,7,FALSE)</f>
        <v>18</v>
      </c>
      <c r="AD128">
        <f>VLOOKUP($B128,[17]分省年度数据!$A$1:$IS$65525,7,FALSE)</f>
        <v>11973.9</v>
      </c>
      <c r="AE128">
        <f>IFERROR(AC128/E128,0)</f>
        <v>2.4239159709130084E-3</v>
      </c>
      <c r="AF128">
        <f>IFERROR(AD128/E128,0)</f>
        <v>1.6124293024508483</v>
      </c>
      <c r="AG128">
        <f>VLOOKUP($B128,[15]分省年度数据!$A$1:$IV$65536,7,FALSE)</f>
        <v>4923</v>
      </c>
      <c r="AH128">
        <f>VLOOKUP(B128,[4]分省年度数据!$A$1:$IV$65536,7,FALSE)</f>
        <v>40819</v>
      </c>
      <c r="AI128">
        <f>VLOOKUP(B128,[3]分省年度数据!$A$1:$IV$65536,7,FALSE)</f>
        <v>120.42</v>
      </c>
      <c r="AJ128">
        <f>VLOOKUP($B128,[18]分省年度数据!$A$1:$IS$65529,7,FALSE)</f>
        <v>99.7</v>
      </c>
      <c r="AK128">
        <f>VLOOKUP($B128,[19]分省年度数据!$A$1:$IS$65529,7,FALSE)</f>
        <v>99.28</v>
      </c>
      <c r="AL128">
        <f>VLOOKUP($B128,[20]分省年度数据!$A$1:$IS$65528,7,FALSE)</f>
        <v>14.62</v>
      </c>
      <c r="AM128">
        <f>VLOOKUP($B128,[21]分省年度数据!$A$1:$IS$65528,7,FALSE)</f>
        <v>3.18</v>
      </c>
      <c r="AN128">
        <f>VLOOKUP($B128,[22]分省年度数据!$A$1:$IS$65529,7,FALSE)</f>
        <v>14.23</v>
      </c>
    </row>
    <row r="129" spans="1:40">
      <c r="A129">
        <v>14</v>
      </c>
      <c r="B129" t="s">
        <v>4</v>
      </c>
      <c r="C129">
        <v>2018</v>
      </c>
      <c r="D129" t="s">
        <v>32</v>
      </c>
      <c r="E129">
        <f>VLOOKUP(B129,[1]分省年度数据!$A$1:$IV$65536,7,FALSE)</f>
        <v>3502</v>
      </c>
      <c r="F129" s="4">
        <v>21990</v>
      </c>
      <c r="G129" s="2">
        <f>VLOOKUP(B129,[2]分省年度数据!$A$1:$IV$65536,7,FALSE)</f>
        <v>619.1</v>
      </c>
      <c r="H129" s="2">
        <f t="shared" si="4"/>
        <v>0.17678469446030839</v>
      </c>
      <c r="N129">
        <v>5813.3409090909126</v>
      </c>
      <c r="O129">
        <f>N129/F129</f>
        <v>0.26436293356484369</v>
      </c>
      <c r="Q129" t="s">
        <v>59</v>
      </c>
      <c r="R129">
        <f>VLOOKUP(B129,[5]分省年度数据!$A$1:$O$65536,7,FALSE)</f>
        <v>42079</v>
      </c>
      <c r="S129">
        <f>VLOOKUP($B129,[6]分省年度数据!$A$1:$IV$65536,7,FALSE)</f>
        <v>20.83</v>
      </c>
      <c r="T129">
        <f>VLOOKUP($B129,[7]分省年度数据!$A$1:$IV$65536,7,FALSE)</f>
        <v>66</v>
      </c>
      <c r="U129">
        <f>VLOOKUP($B129,[8]分省年度数据!$A$1:$IV$65536,7,FALSE)</f>
        <v>10.5</v>
      </c>
      <c r="V129">
        <f>VLOOKUP($B129,[9]分省年度数据!$A$1:$IV$65536,7,FALSE)</f>
        <v>358.99</v>
      </c>
      <c r="W129">
        <f>VLOOKUP($B129,[10]分省年度数据!$A$1:$IV$65536,7,FALSE)</f>
        <v>10.63</v>
      </c>
      <c r="X129">
        <f>VLOOKUP($B129,[11]分省年度数据!$A$1:$IV$65536,7,FALSE)</f>
        <v>10.5</v>
      </c>
      <c r="Y129">
        <f>VLOOKUP($B129,[12]分省年度数据!$A$1:$IV$65536,7,FALSE)</f>
        <v>13.6</v>
      </c>
      <c r="AA129">
        <f>VLOOKUP($B129,[13]分省年度数据!$A$1:$IV$65536,7,FALSE)</f>
        <v>9134205</v>
      </c>
      <c r="AB129">
        <f>VLOOKUP($B129,[14]分省年度数据!$A$1:$IV$65536,7,FALSE)</f>
        <v>668.03</v>
      </c>
      <c r="AC129">
        <f>VLOOKUP($B129,[16]分省年度数据!$A$1:$IT$65532,7,FALSE)</f>
        <v>106</v>
      </c>
      <c r="AD129">
        <f>VLOOKUP($B129,[17]分省年度数据!$A$1:$IS$65525,7,FALSE)</f>
        <v>6523.3</v>
      </c>
      <c r="AE129">
        <f>IFERROR(AC129/E129,0)</f>
        <v>3.0268418046830382E-2</v>
      </c>
      <c r="AF129">
        <f>IFERROR(AD129/E129,0)</f>
        <v>1.8627355796687608</v>
      </c>
      <c r="AG129">
        <f>VLOOKUP($B129,[15]分省年度数据!$A$1:$IV$65536,7,FALSE)</f>
        <v>7636</v>
      </c>
      <c r="AH129">
        <f>VLOOKUP(B129,[4]分省年度数据!$A$1:$IV$65536,7,FALSE)</f>
        <v>19364</v>
      </c>
      <c r="AI129">
        <f>VLOOKUP(B129,[3]分省年度数据!$A$1:$IV$65536,7,FALSE)</f>
        <v>139.28</v>
      </c>
      <c r="AJ129">
        <f>VLOOKUP($B129,[18]分省年度数据!$A$1:$IS$65529,7,FALSE)</f>
        <v>99.7</v>
      </c>
      <c r="AK129">
        <f>VLOOKUP($B129,[19]分省年度数据!$A$1:$IS$65529,7,FALSE)</f>
        <v>98.3</v>
      </c>
      <c r="AL129">
        <f>VLOOKUP($B129,[20]分省年度数据!$A$1:$IS$65528,7,FALSE)</f>
        <v>10.57</v>
      </c>
      <c r="AM129">
        <f>VLOOKUP($B129,[21]分省年度数据!$A$1:$IS$65528,7,FALSE)</f>
        <v>2.12</v>
      </c>
      <c r="AN129">
        <f>VLOOKUP($B129,[22]分省年度数据!$A$1:$IS$65529,7,FALSE)</f>
        <v>12.28</v>
      </c>
    </row>
    <row r="130" spans="1:40">
      <c r="A130">
        <v>15</v>
      </c>
      <c r="B130" t="s">
        <v>5</v>
      </c>
      <c r="C130">
        <v>2018</v>
      </c>
      <c r="D130" t="s">
        <v>32</v>
      </c>
      <c r="E130">
        <f>VLOOKUP(B130,[1]分省年度数据!$A$1:$IV$65536,7,FALSE)</f>
        <v>2422</v>
      </c>
      <c r="F130" s="4">
        <v>28376</v>
      </c>
      <c r="G130" s="2">
        <f>VLOOKUP(B130,[2]分省年度数据!$A$1:$IV$65536,7,FALSE)</f>
        <v>484.2</v>
      </c>
      <c r="H130" s="2">
        <f t="shared" si="4"/>
        <v>0.19991742361684559</v>
      </c>
      <c r="N130">
        <v>6273.2222222222217</v>
      </c>
      <c r="O130">
        <f>N130/F130</f>
        <v>0.22107493030103686</v>
      </c>
      <c r="Q130" t="s">
        <v>59</v>
      </c>
      <c r="R130">
        <f>VLOOKUP(B130,[5]分省年度数据!$A$1:$O$65536,7,FALSE)</f>
        <v>24610</v>
      </c>
      <c r="S130">
        <f>VLOOKUP($B130,[6]分省年度数据!$A$1:$IV$65536,7,FALSE)</f>
        <v>15.9</v>
      </c>
      <c r="T130">
        <f>VLOOKUP($B130,[7]分省年度数据!$A$1:$IV$65536,7,FALSE)</f>
        <v>74</v>
      </c>
      <c r="U130">
        <f>VLOOKUP($B130,[8]分省年度数据!$A$1:$IV$65536,7,FALSE)</f>
        <v>9.6</v>
      </c>
      <c r="V130">
        <f>VLOOKUP($B130,[9]分省年度数据!$A$1:$IV$65536,7,FALSE)</f>
        <v>315.62</v>
      </c>
      <c r="W130">
        <f>VLOOKUP($B130,[10]分省年度数据!$A$1:$IV$65536,7,FALSE)</f>
        <v>11.6</v>
      </c>
      <c r="X130">
        <f>VLOOKUP($B130,[11]分省年度数据!$A$1:$IV$65536,7,FALSE)</f>
        <v>10.93</v>
      </c>
      <c r="Y130">
        <f>VLOOKUP($B130,[12]分省年度数据!$A$1:$IV$65536,7,FALSE)</f>
        <v>13.33</v>
      </c>
      <c r="AA130">
        <f>VLOOKUP($B130,[13]分省年度数据!$A$1:$IV$65536,7,FALSE)</f>
        <v>7759014</v>
      </c>
      <c r="AB130">
        <f>VLOOKUP($B130,[14]分省年度数据!$A$1:$IV$65536,7,FALSE)</f>
        <v>576.33000000000004</v>
      </c>
      <c r="AC130">
        <f>VLOOKUP($B130,[16]分省年度数据!$A$1:$IT$65532,7,FALSE)</f>
        <v>115</v>
      </c>
      <c r="AD130">
        <f>VLOOKUP($B130,[17]分省年度数据!$A$1:$IS$65525,7,FALSE)</f>
        <v>4852.3</v>
      </c>
      <c r="AE130">
        <f>IFERROR(AC130/E130,0)</f>
        <v>4.7481420313790254E-2</v>
      </c>
      <c r="AF130">
        <f>IFERROR(AD130/E130,0)</f>
        <v>2.0034269199009085</v>
      </c>
      <c r="AG130">
        <f>VLOOKUP($B130,[15]分省年度数据!$A$1:$IV$65536,7,FALSE)</f>
        <v>4230</v>
      </c>
      <c r="AH130">
        <f>VLOOKUP(B130,[4]分省年度数据!$A$1:$IV$65536,7,FALSE)</f>
        <v>16224</v>
      </c>
      <c r="AI130">
        <f>VLOOKUP(B130,[3]分省年度数据!$A$1:$IV$65536,7,FALSE)</f>
        <v>97.84</v>
      </c>
      <c r="AJ130">
        <f>VLOOKUP($B130,[18]分省年度数据!$A$1:$IS$65529,7,FALSE)</f>
        <v>99.23</v>
      </c>
      <c r="AK130">
        <f>VLOOKUP($B130,[19]分省年度数据!$A$1:$IS$65529,7,FALSE)</f>
        <v>94.76</v>
      </c>
      <c r="AL130">
        <f>VLOOKUP($B130,[20]分省年度数据!$A$1:$IS$65528,7,FALSE)</f>
        <v>10.18</v>
      </c>
      <c r="AM130">
        <f>VLOOKUP($B130,[21]分省年度数据!$A$1:$IS$65528,7,FALSE)</f>
        <v>8.15</v>
      </c>
      <c r="AN130">
        <f>VLOOKUP($B130,[22]分省年度数据!$A$1:$IS$65529,7,FALSE)</f>
        <v>18.52</v>
      </c>
    </row>
    <row r="131" spans="1:40">
      <c r="A131">
        <v>21</v>
      </c>
      <c r="B131" t="s">
        <v>6</v>
      </c>
      <c r="C131">
        <v>2018</v>
      </c>
      <c r="D131" t="s">
        <v>33</v>
      </c>
      <c r="E131">
        <f>VLOOKUP(B131,[1]分省年度数据!$A$1:$IV$65536,7,FALSE)</f>
        <v>4291</v>
      </c>
      <c r="F131" s="4">
        <v>29701</v>
      </c>
      <c r="G131" s="2">
        <f>VLOOKUP(B131,[2]分省年度数据!$A$1:$IV$65536,7,FALSE)</f>
        <v>680.3</v>
      </c>
      <c r="H131" s="2">
        <f t="shared" si="4"/>
        <v>0.1585411326031228</v>
      </c>
      <c r="N131">
        <v>5531.6607142857147</v>
      </c>
      <c r="O131">
        <f>N131/F131</f>
        <v>0.18624493162808373</v>
      </c>
      <c r="Q131" t="s">
        <v>64</v>
      </c>
      <c r="R131">
        <f>VLOOKUP(B131,[5]分省年度数据!$A$1:$O$65536,7,FALSE)</f>
        <v>36029</v>
      </c>
      <c r="S131">
        <f>VLOOKUP($B131,[6]分省年度数据!$A$1:$IV$65536,7,FALSE)</f>
        <v>31.44</v>
      </c>
      <c r="T131">
        <f>VLOOKUP($B131,[7]分省年度数据!$A$1:$IV$65536,7,FALSE)</f>
        <v>70</v>
      </c>
      <c r="U131">
        <f>VLOOKUP($B131,[8]分省年度数据!$A$1:$IV$65536,7,FALSE)</f>
        <v>10.3</v>
      </c>
      <c r="V131">
        <f>VLOOKUP($B131,[9]分省年度数据!$A$1:$IV$65536,7,FALSE)</f>
        <v>350.62</v>
      </c>
      <c r="W131">
        <f>VLOOKUP($B131,[10]分省年度数据!$A$1:$IV$65536,7,FALSE)</f>
        <v>11.75</v>
      </c>
      <c r="X131">
        <f>VLOOKUP($B131,[11]分省年度数据!$A$1:$IV$65536,7,FALSE)</f>
        <v>9.9600000000000009</v>
      </c>
      <c r="Y131">
        <f>VLOOKUP($B131,[12]分省年度数据!$A$1:$IV$65536,7,FALSE)</f>
        <v>14.27</v>
      </c>
      <c r="AA131">
        <f>VLOOKUP($B131,[13]分省年度数据!$A$1:$IV$65536,7,FALSE)</f>
        <v>9759379</v>
      </c>
      <c r="AB131">
        <f>VLOOKUP($B131,[14]分省年度数据!$A$1:$IV$65536,7,FALSE)</f>
        <v>653.88</v>
      </c>
      <c r="AC131">
        <f>VLOOKUP($B131,[16]分省年度数据!$A$1:$IT$65532,7,FALSE)</f>
        <v>952</v>
      </c>
      <c r="AD131">
        <f>VLOOKUP($B131,[17]分省年度数据!$A$1:$IS$65525,7,FALSE)</f>
        <v>9112.7999999999993</v>
      </c>
      <c r="AE131">
        <f>IFERROR(AC131/E131,0)</f>
        <v>0.22185970636215335</v>
      </c>
      <c r="AF131">
        <f>IFERROR(AD131/E131,0)</f>
        <v>2.1237007690515028</v>
      </c>
      <c r="AG131">
        <f>VLOOKUP($B131,[15]分省年度数据!$A$1:$IV$65536,7,FALSE)</f>
        <v>4554</v>
      </c>
      <c r="AH131">
        <f>VLOOKUP(B131,[4]分省年度数据!$A$1:$IV$65536,7,FALSE)</f>
        <v>28122</v>
      </c>
      <c r="AI131">
        <f>VLOOKUP(B131,[3]分省年度数据!$A$1:$IV$65536,7,FALSE)</f>
        <v>151.86000000000001</v>
      </c>
      <c r="AJ131">
        <f>VLOOKUP($B131,[18]分省年度数据!$A$1:$IS$65529,7,FALSE)</f>
        <v>99.16</v>
      </c>
      <c r="AK131">
        <f>VLOOKUP($B131,[19]分省年度数据!$A$1:$IS$65529,7,FALSE)</f>
        <v>97.52</v>
      </c>
      <c r="AL131">
        <f>VLOOKUP($B131,[20]分省年度数据!$A$1:$IS$65528,7,FALSE)</f>
        <v>11.72</v>
      </c>
      <c r="AM131">
        <f>VLOOKUP($B131,[21]分省年度数据!$A$1:$IS$65528,7,FALSE)</f>
        <v>1.8</v>
      </c>
      <c r="AN131">
        <f>VLOOKUP($B131,[22]分省年度数据!$A$1:$IS$65529,7,FALSE)</f>
        <v>12.04</v>
      </c>
    </row>
    <row r="132" spans="1:40">
      <c r="A132">
        <v>22</v>
      </c>
      <c r="B132" t="s">
        <v>7</v>
      </c>
      <c r="C132">
        <v>2018</v>
      </c>
      <c r="D132" t="s">
        <v>33</v>
      </c>
      <c r="E132">
        <f>VLOOKUP(B132,[1]分省年度数据!$A$1:$IV$65536,7,FALSE)</f>
        <v>2484</v>
      </c>
      <c r="F132" s="4">
        <v>22798</v>
      </c>
      <c r="G132" s="2">
        <f>VLOOKUP(B132,[2]分省年度数据!$A$1:$IV$65536,7,FALSE)</f>
        <v>383.7</v>
      </c>
      <c r="H132" s="2">
        <f t="shared" si="4"/>
        <v>0.15446859903381643</v>
      </c>
      <c r="N132">
        <v>5296.4270833333321</v>
      </c>
      <c r="O132">
        <f>N132/F132</f>
        <v>0.2323198124104453</v>
      </c>
      <c r="Q132" t="s">
        <v>64</v>
      </c>
      <c r="R132">
        <f>VLOOKUP(B132,[5]分省年度数据!$A$1:$O$65536,7,FALSE)</f>
        <v>22691</v>
      </c>
      <c r="S132">
        <f>VLOOKUP($B132,[6]分省年度数据!$A$1:$IV$65536,7,FALSE)</f>
        <v>16.7</v>
      </c>
      <c r="T132">
        <f>VLOOKUP($B132,[7]分省年度数据!$A$1:$IV$65536,7,FALSE)</f>
        <v>68</v>
      </c>
      <c r="U132">
        <f>VLOOKUP($B132,[8]分省年度数据!$A$1:$IV$65536,7,FALSE)</f>
        <v>9.3000000000000007</v>
      </c>
      <c r="V132">
        <f>VLOOKUP($B132,[9]分省年度数据!$A$1:$IV$65536,7,FALSE)</f>
        <v>281.22000000000003</v>
      </c>
      <c r="W132">
        <f>VLOOKUP($B132,[10]分省年度数据!$A$1:$IV$65536,7,FALSE)</f>
        <v>13.27</v>
      </c>
      <c r="X132">
        <f>VLOOKUP($B132,[11]分省年度数据!$A$1:$IV$65536,7,FALSE)</f>
        <v>10.039999999999999</v>
      </c>
      <c r="Y132">
        <f>VLOOKUP($B132,[12]分省年度数据!$A$1:$IV$65536,7,FALSE)</f>
        <v>11.27</v>
      </c>
      <c r="AA132">
        <f>VLOOKUP($B132,[13]分省年度数据!$A$1:$IV$65536,7,FALSE)</f>
        <v>6866495</v>
      </c>
      <c r="AB132">
        <f>VLOOKUP($B132,[14]分省年度数据!$A$1:$IV$65536,7,FALSE)</f>
        <v>513.82000000000005</v>
      </c>
      <c r="AC132">
        <f>VLOOKUP($B132,[16]分省年度数据!$A$1:$IT$65532,7,FALSE)</f>
        <v>16</v>
      </c>
      <c r="AD132">
        <f>VLOOKUP($B132,[17]分省年度数据!$A$1:$IS$65525,7,FALSE)</f>
        <v>4073.8</v>
      </c>
      <c r="AE132">
        <f>IFERROR(AC132/E132,0)</f>
        <v>6.4412238325281803E-3</v>
      </c>
      <c r="AF132">
        <f>IFERROR(AD132/E132,0)</f>
        <v>1.6400161030595815</v>
      </c>
      <c r="AG132">
        <f>VLOOKUP($B132,[15]分省年度数据!$A$1:$IV$65536,7,FALSE)</f>
        <v>4895</v>
      </c>
      <c r="AH132">
        <f>VLOOKUP(B132,[4]分省年度数据!$A$1:$IV$65536,7,FALSE)</f>
        <v>17188</v>
      </c>
      <c r="AI132">
        <f>VLOOKUP(B132,[3]分省年度数据!$A$1:$IV$65536,7,FALSE)</f>
        <v>117.54</v>
      </c>
      <c r="AJ132">
        <f>VLOOKUP($B132,[18]分省年度数据!$A$1:$IS$65529,7,FALSE)</f>
        <v>93.89</v>
      </c>
      <c r="AK132">
        <f>VLOOKUP($B132,[19]分省年度数据!$A$1:$IS$65529,7,FALSE)</f>
        <v>93.04</v>
      </c>
      <c r="AL132">
        <f>VLOOKUP($B132,[20]分省年度数据!$A$1:$IS$65528,7,FALSE)</f>
        <v>10.73</v>
      </c>
      <c r="AM132">
        <f>VLOOKUP($B132,[21]分省年度数据!$A$1:$IS$65528,7,FALSE)</f>
        <v>3.14</v>
      </c>
      <c r="AN132">
        <f>VLOOKUP($B132,[22]分省年度数据!$A$1:$IS$65529,7,FALSE)</f>
        <v>13.45</v>
      </c>
    </row>
    <row r="133" spans="1:40">
      <c r="A133">
        <v>23</v>
      </c>
      <c r="B133" t="s">
        <v>8</v>
      </c>
      <c r="C133">
        <v>2018</v>
      </c>
      <c r="D133" t="s">
        <v>33</v>
      </c>
      <c r="E133">
        <f>VLOOKUP(B133,[1]分省年度数据!$A$1:$IV$65536,7,FALSE)</f>
        <v>3327</v>
      </c>
      <c r="F133" s="4">
        <v>22726</v>
      </c>
      <c r="G133" s="2">
        <f>VLOOKUP(B133,[2]分省年度数据!$A$1:$IV$65536,7,FALSE)</f>
        <v>362.3</v>
      </c>
      <c r="H133" s="2">
        <f t="shared" si="4"/>
        <v>0.10889690411782386</v>
      </c>
      <c r="N133">
        <v>4519.4351851851861</v>
      </c>
      <c r="O133">
        <f>N133/F133</f>
        <v>0.19886628466008915</v>
      </c>
      <c r="Q133" t="s">
        <v>64</v>
      </c>
      <c r="R133">
        <f>VLOOKUP(B133,[5]分省年度数据!$A$1:$O$65536,7,FALSE)</f>
        <v>20349</v>
      </c>
      <c r="S133">
        <f>VLOOKUP($B133,[6]分省年度数据!$A$1:$IV$65536,7,FALSE)</f>
        <v>25.01</v>
      </c>
      <c r="T133">
        <f>VLOOKUP($B133,[7]分省年度数据!$A$1:$IV$65536,7,FALSE)</f>
        <v>61</v>
      </c>
      <c r="U133">
        <f>VLOOKUP($B133,[8]分省年度数据!$A$1:$IV$65536,7,FALSE)</f>
        <v>10.199999999999999</v>
      </c>
      <c r="V133">
        <f>VLOOKUP($B133,[9]分省年度数据!$A$1:$IV$65536,7,FALSE)</f>
        <v>301</v>
      </c>
      <c r="W133">
        <f>VLOOKUP($B133,[10]分省年度数据!$A$1:$IV$65536,7,FALSE)</f>
        <v>12.85</v>
      </c>
      <c r="X133">
        <f>VLOOKUP($B133,[11]分省年度数据!$A$1:$IV$65536,7,FALSE)</f>
        <v>10.48</v>
      </c>
      <c r="Y133">
        <f>VLOOKUP($B133,[12]分省年度数据!$A$1:$IV$65536,7,FALSE)</f>
        <v>11.93</v>
      </c>
      <c r="AA133">
        <f>VLOOKUP($B133,[13]分省年度数据!$A$1:$IV$65536,7,FALSE)</f>
        <v>7612173</v>
      </c>
      <c r="AB133">
        <f>VLOOKUP($B133,[14]分省年度数据!$A$1:$IV$65536,7,FALSE)</f>
        <v>544.38</v>
      </c>
      <c r="AC133">
        <f>VLOOKUP($B133,[16]分省年度数据!$A$1:$IT$65532,7,FALSE)</f>
        <v>71</v>
      </c>
      <c r="AD133">
        <f>VLOOKUP($B133,[17]分省年度数据!$A$1:$IS$65525,7,FALSE)</f>
        <v>5275</v>
      </c>
      <c r="AE133">
        <f>IFERROR(AC133/E133,0)</f>
        <v>2.1340547039374814E-2</v>
      </c>
      <c r="AF133">
        <f>IFERROR(AD133/E133,0)</f>
        <v>1.5855124737000301</v>
      </c>
      <c r="AG133">
        <f>VLOOKUP($B133,[15]分省年度数据!$A$1:$IV$65536,7,FALSE)</f>
        <v>5119</v>
      </c>
      <c r="AH133">
        <f>VLOOKUP(B133,[4]分省年度数据!$A$1:$IV$65536,7,FALSE)</f>
        <v>24198</v>
      </c>
      <c r="AI133">
        <f>VLOOKUP(B133,[3]分省年度数据!$A$1:$IV$65536,7,FALSE)</f>
        <v>125.46</v>
      </c>
      <c r="AJ133">
        <f>VLOOKUP($B133,[18]分省年度数据!$A$1:$IS$65529,7,FALSE)</f>
        <v>98.48</v>
      </c>
      <c r="AK133">
        <f>VLOOKUP($B133,[19]分省年度数据!$A$1:$IS$65529,7,FALSE)</f>
        <v>89.5</v>
      </c>
      <c r="AL133">
        <f>VLOOKUP($B133,[20]分省年度数据!$A$1:$IS$65528,7,FALSE)</f>
        <v>14.03</v>
      </c>
      <c r="AM133">
        <f>VLOOKUP($B133,[21]分省年度数据!$A$1:$IS$65528,7,FALSE)</f>
        <v>4.08</v>
      </c>
      <c r="AN133">
        <f>VLOOKUP($B133,[22]分省年度数据!$A$1:$IS$65529,7,FALSE)</f>
        <v>12.35</v>
      </c>
    </row>
    <row r="134" spans="1:40">
      <c r="A134">
        <v>31</v>
      </c>
      <c r="B134" t="s">
        <v>9</v>
      </c>
      <c r="C134">
        <v>2018</v>
      </c>
      <c r="D134" t="s">
        <v>34</v>
      </c>
      <c r="E134">
        <f>VLOOKUP(B134,[1]分省年度数据!$A$1:$IV$65536,7,FALSE)</f>
        <v>2475</v>
      </c>
      <c r="F134" s="4">
        <v>64183</v>
      </c>
      <c r="G134" s="2">
        <f>VLOOKUP(B134,[2]分省年度数据!$A$1:$IV$65536,7,FALSE)</f>
        <v>40.799999999999997</v>
      </c>
      <c r="H134" s="2">
        <f t="shared" si="4"/>
        <v>1.6484848484848484E-2</v>
      </c>
      <c r="N134">
        <v>50667</v>
      </c>
      <c r="O134">
        <f>N134/F134</f>
        <v>0.78941464250658278</v>
      </c>
      <c r="Q134" t="s">
        <v>56</v>
      </c>
      <c r="R134">
        <f>VLOOKUP(B134,[5]分省年度数据!$A$1:$O$65536,7,FALSE)</f>
        <v>5293</v>
      </c>
      <c r="S134">
        <f>VLOOKUP($B134,[6]分省年度数据!$A$1:$IV$65536,7,FALSE)</f>
        <v>13.9</v>
      </c>
      <c r="T134">
        <f>VLOOKUP($B134,[7]分省年度数据!$A$1:$IV$65536,7,FALSE)</f>
        <v>81</v>
      </c>
      <c r="U134">
        <f>VLOOKUP($B134,[8]分省年度数据!$A$1:$IV$65536,7,FALSE)</f>
        <v>10.199999999999999</v>
      </c>
      <c r="V134">
        <f>VLOOKUP($B134,[9]分省年度数据!$A$1:$IV$65536,7,FALSE)</f>
        <v>470.12</v>
      </c>
      <c r="W134">
        <f>VLOOKUP($B134,[10]分省年度数据!$A$1:$IV$65536,7,FALSE)</f>
        <v>8.6199999999999992</v>
      </c>
      <c r="X134">
        <f>VLOOKUP($B134,[11]分省年度数据!$A$1:$IV$65536,7,FALSE)</f>
        <v>10.55</v>
      </c>
      <c r="Y134">
        <f>VLOOKUP($B134,[12]分省年度数据!$A$1:$IV$65536,7,FALSE)</f>
        <v>14.09</v>
      </c>
      <c r="AA134">
        <f>VLOOKUP($B134,[13]分省年度数据!$A$1:$IV$65536,7,FALSE)</f>
        <v>13412840</v>
      </c>
      <c r="AB134">
        <f>VLOOKUP($B134,[14]分省年度数据!$A$1:$IV$65536,7,FALSE)</f>
        <v>917.99</v>
      </c>
      <c r="AC134">
        <f>VLOOKUP($B134,[16]分省年度数据!$A$1:$IT$65532,7,FALSE)</f>
        <v>6202</v>
      </c>
      <c r="AD134">
        <f>VLOOKUP($B134,[17]分省年度数据!$A$1:$IS$65525,7,FALSE)</f>
        <v>14874.8</v>
      </c>
      <c r="AE134">
        <f>IFERROR(AC134/E134,0)</f>
        <v>2.505858585858586</v>
      </c>
      <c r="AF134">
        <f>IFERROR(AD134/E134,0)</f>
        <v>6.0100202020202014</v>
      </c>
      <c r="AG134">
        <f>VLOOKUP($B134,[15]分省年度数据!$A$1:$IV$65536,7,FALSE)</f>
        <v>741</v>
      </c>
      <c r="AH134">
        <f>VLOOKUP(B134,[4]分省年度数据!$A$1:$IV$65536,7,FALSE)</f>
        <v>24504</v>
      </c>
      <c r="AI134">
        <f>VLOOKUP(B134,[3]分省年度数据!$A$1:$IV$65536,7,FALSE)</f>
        <v>203.3</v>
      </c>
      <c r="AJ134">
        <f>VLOOKUP($B134,[18]分省年度数据!$A$1:$IS$65529,7,FALSE)</f>
        <v>100</v>
      </c>
      <c r="AK134">
        <f>VLOOKUP($B134,[19]分省年度数据!$A$1:$IS$65529,7,FALSE)</f>
        <v>100</v>
      </c>
      <c r="AL134">
        <f>VLOOKUP($B134,[20]分省年度数据!$A$1:$IS$65528,7,FALSE)</f>
        <v>9.0399999999999991</v>
      </c>
      <c r="AM134">
        <f>VLOOKUP($B134,[21]分省年度数据!$A$1:$IS$65528,7,FALSE)</f>
        <v>2.5</v>
      </c>
      <c r="AN134">
        <f>VLOOKUP($B134,[22]分省年度数据!$A$1:$IS$65529,7,FALSE)</f>
        <v>8.49</v>
      </c>
    </row>
    <row r="135" spans="1:40">
      <c r="A135">
        <v>32</v>
      </c>
      <c r="B135" t="s">
        <v>10</v>
      </c>
      <c r="C135">
        <v>2018</v>
      </c>
      <c r="D135" t="s">
        <v>34</v>
      </c>
      <c r="E135">
        <f>VLOOKUP(B135,[1]分省年度数据!$A$1:$IV$65536,7,FALSE)</f>
        <v>8446</v>
      </c>
      <c r="F135" s="4">
        <v>38096</v>
      </c>
      <c r="G135" s="2">
        <f>VLOOKUP(B135,[2]分省年度数据!$A$1:$IV$65536,7,FALSE)</f>
        <v>348.3</v>
      </c>
      <c r="H135" s="2">
        <f t="shared" si="4"/>
        <v>4.123845607388113E-2</v>
      </c>
      <c r="N135">
        <v>11698.256410256399</v>
      </c>
      <c r="O135">
        <f>N135/F135</f>
        <v>0.30707308930744431</v>
      </c>
      <c r="Q135" t="s">
        <v>79</v>
      </c>
      <c r="R135">
        <f>VLOOKUP(B135,[5]分省年度数据!$A$1:$O$65536,7,FALSE)</f>
        <v>33254</v>
      </c>
      <c r="S135">
        <f>VLOOKUP($B135,[6]分省年度数据!$A$1:$IV$65536,7,FALSE)</f>
        <v>49.15</v>
      </c>
      <c r="T135">
        <f>VLOOKUP($B135,[7]分省年度数据!$A$1:$IV$65536,7,FALSE)</f>
        <v>73</v>
      </c>
      <c r="U135">
        <f>VLOOKUP($B135,[8]分省年度数据!$A$1:$IV$65536,7,FALSE)</f>
        <v>9.6</v>
      </c>
      <c r="V135">
        <f>VLOOKUP($B135,[9]分省年度数据!$A$1:$IV$65536,7,FALSE)</f>
        <v>845.32</v>
      </c>
      <c r="W135">
        <f>VLOOKUP($B135,[10]分省年度数据!$A$1:$IV$65536,7,FALSE)</f>
        <v>10.26</v>
      </c>
      <c r="X135">
        <f>VLOOKUP($B135,[11]分省年度数据!$A$1:$IV$65536,7,FALSE)</f>
        <v>11.83</v>
      </c>
      <c r="Y135">
        <f>VLOOKUP($B135,[12]分省年度数据!$A$1:$IV$65536,7,FALSE)</f>
        <v>17.73</v>
      </c>
      <c r="AA135">
        <f>VLOOKUP($B135,[13]分省年度数据!$A$1:$IV$65536,7,FALSE)</f>
        <v>28276374</v>
      </c>
      <c r="AB135">
        <f>VLOOKUP($B135,[14]分省年度数据!$A$1:$IV$65536,7,FALSE)</f>
        <v>2055.56</v>
      </c>
      <c r="AC135">
        <f>VLOOKUP($B135,[16]分省年度数据!$A$1:$IT$65532,7,FALSE)</f>
        <v>1707</v>
      </c>
      <c r="AD135">
        <f>VLOOKUP($B135,[17]分省年度数据!$A$1:$IS$65525,7,FALSE)</f>
        <v>35472.6</v>
      </c>
      <c r="AE135">
        <f>IFERROR(AC135/E135,0)</f>
        <v>0.20210750651195833</v>
      </c>
      <c r="AF135">
        <f>IFERROR(AD135/E135,0)</f>
        <v>4.1999289604546526</v>
      </c>
      <c r="AG135">
        <f>VLOOKUP($B135,[15]分省年度数据!$A$1:$IV$65536,7,FALSE)</f>
        <v>12978</v>
      </c>
      <c r="AH135">
        <f>VLOOKUP(B135,[4]分省年度数据!$A$1:$IV$65536,7,FALSE)</f>
        <v>79773</v>
      </c>
      <c r="AI135">
        <f>VLOOKUP(B135,[3]分省年度数据!$A$1:$IV$65536,7,FALSE)</f>
        <v>214.01</v>
      </c>
      <c r="AJ135">
        <f>VLOOKUP($B135,[18]分省年度数据!$A$1:$IS$65529,7,FALSE)</f>
        <v>99.98</v>
      </c>
      <c r="AK135">
        <f>VLOOKUP($B135,[19]分省年度数据!$A$1:$IS$65529,7,FALSE)</f>
        <v>99.81</v>
      </c>
      <c r="AL135">
        <f>VLOOKUP($B135,[20]分省年度数据!$A$1:$IS$65528,7,FALSE)</f>
        <v>15.63</v>
      </c>
      <c r="AM135">
        <f>VLOOKUP($B135,[21]分省年度数据!$A$1:$IS$65528,7,FALSE)</f>
        <v>4.13</v>
      </c>
      <c r="AN135">
        <f>VLOOKUP($B135,[22]分省年度数据!$A$1:$IS$65529,7,FALSE)</f>
        <v>14.66</v>
      </c>
    </row>
    <row r="136" spans="1:40">
      <c r="A136">
        <v>33</v>
      </c>
      <c r="B136" t="s">
        <v>11</v>
      </c>
      <c r="C136">
        <v>2018</v>
      </c>
      <c r="D136" t="s">
        <v>34</v>
      </c>
      <c r="E136">
        <f>VLOOKUP(B136,[1]分省年度数据!$A$1:$IV$65536,7,FALSE)</f>
        <v>6273</v>
      </c>
      <c r="F136" s="4">
        <v>45840</v>
      </c>
      <c r="G136" s="2">
        <f>VLOOKUP(B136,[2]分省年度数据!$A$1:$IV$65536,7,FALSE)</f>
        <v>139.9</v>
      </c>
      <c r="H136" s="2">
        <f t="shared" si="4"/>
        <v>2.2301928901641958E-2</v>
      </c>
      <c r="N136">
        <v>15421.492424242429</v>
      </c>
      <c r="O136">
        <f>N136/F136</f>
        <v>0.33641999180284532</v>
      </c>
      <c r="Q136" t="s">
        <v>56</v>
      </c>
      <c r="R136">
        <f>VLOOKUP(B136,[5]分省年度数据!$A$1:$O$65536,7,FALSE)</f>
        <v>32754</v>
      </c>
      <c r="S136">
        <f>VLOOKUP($B136,[6]分省年度数据!$A$1:$IV$65536,7,FALSE)</f>
        <v>33.21</v>
      </c>
      <c r="T136">
        <f>VLOOKUP($B136,[7]分省年度数据!$A$1:$IV$65536,7,FALSE)</f>
        <v>85</v>
      </c>
      <c r="U136">
        <f>VLOOKUP($B136,[8]分省年度数据!$A$1:$IV$65536,7,FALSE)</f>
        <v>9.6</v>
      </c>
      <c r="V136">
        <f>VLOOKUP($B136,[9]分省年度数据!$A$1:$IV$65536,7,FALSE)</f>
        <v>626.20000000000005</v>
      </c>
      <c r="W136">
        <f>VLOOKUP($B136,[10]分省年度数据!$A$1:$IV$65536,7,FALSE)</f>
        <v>10.93</v>
      </c>
      <c r="X136">
        <f>VLOOKUP($B136,[11]分省年度数据!$A$1:$IV$65536,7,FALSE)</f>
        <v>12.66</v>
      </c>
      <c r="Y136">
        <f>VLOOKUP($B136,[12]分省年度数据!$A$1:$IV$65536,7,FALSE)</f>
        <v>17.14</v>
      </c>
      <c r="AA136">
        <f>VLOOKUP($B136,[13]分省年度数据!$A$1:$IV$65536,7,FALSE)</f>
        <v>24009012</v>
      </c>
      <c r="AB136">
        <f>VLOOKUP($B136,[14]分省年度数据!$A$1:$IV$65536,7,FALSE)</f>
        <v>1572.47</v>
      </c>
      <c r="AC136">
        <f>VLOOKUP($B136,[16]分省年度数据!$A$1:$IT$65532,7,FALSE)</f>
        <v>2074</v>
      </c>
      <c r="AD136">
        <f>VLOOKUP($B136,[17]分省年度数据!$A$1:$IS$65525,7,FALSE)</f>
        <v>25161.9</v>
      </c>
      <c r="AE136">
        <f>IFERROR(AC136/E136,0)</f>
        <v>0.33062330623306235</v>
      </c>
      <c r="AF136">
        <f>IFERROR(AD136/E136,0)</f>
        <v>4.0111429937828795</v>
      </c>
      <c r="AG136">
        <f>VLOOKUP($B136,[15]分省年度数据!$A$1:$IV$65536,7,FALSE)</f>
        <v>12565</v>
      </c>
      <c r="AH136">
        <f>VLOOKUP(B136,[4]分省年度数据!$A$1:$IV$65536,7,FALSE)</f>
        <v>82863</v>
      </c>
      <c r="AI136">
        <f>VLOOKUP(B136,[3]分省年度数据!$A$1:$IV$65536,7,FALSE)</f>
        <v>204.36</v>
      </c>
      <c r="AJ136">
        <f>VLOOKUP($B136,[18]分省年度数据!$A$1:$IS$65529,7,FALSE)</f>
        <v>100</v>
      </c>
      <c r="AK136">
        <f>VLOOKUP($B136,[19]分省年度数据!$A$1:$IS$65529,7,FALSE)</f>
        <v>100</v>
      </c>
      <c r="AL136">
        <f>VLOOKUP($B136,[20]分省年度数据!$A$1:$IS$65528,7,FALSE)</f>
        <v>16.100000000000001</v>
      </c>
      <c r="AM136">
        <f>VLOOKUP($B136,[21]分省年度数据!$A$1:$IS$65528,7,FALSE)</f>
        <v>3.17</v>
      </c>
      <c r="AN136">
        <f>VLOOKUP($B136,[22]分省年度数据!$A$1:$IS$65529,7,FALSE)</f>
        <v>13.73</v>
      </c>
    </row>
    <row r="137" spans="1:40">
      <c r="A137">
        <v>34</v>
      </c>
      <c r="B137" t="s">
        <v>12</v>
      </c>
      <c r="C137">
        <v>2018</v>
      </c>
      <c r="D137" t="s">
        <v>34</v>
      </c>
      <c r="E137">
        <f>VLOOKUP(B137,[1]分省年度数据!$A$1:$IV$65536,7,FALSE)</f>
        <v>6076</v>
      </c>
      <c r="F137" s="4">
        <v>23984</v>
      </c>
      <c r="G137" s="2">
        <f>VLOOKUP(B137,[2]分省年度数据!$A$1:$IV$65536,7,FALSE)</f>
        <v>728.3</v>
      </c>
      <c r="H137" s="2">
        <f t="shared" ref="H137:H168" si="5">G137/E137</f>
        <v>0.11986504279131006</v>
      </c>
      <c r="N137">
        <v>7959.3593750000045</v>
      </c>
      <c r="O137">
        <f>N137/F137</f>
        <v>0.33186121476817898</v>
      </c>
      <c r="Q137" t="s">
        <v>79</v>
      </c>
      <c r="R137">
        <f>VLOOKUP(B137,[5]分省年度数据!$A$1:$O$65536,7,FALSE)</f>
        <v>24925</v>
      </c>
      <c r="S137">
        <f>VLOOKUP($B137,[6]分省年度数据!$A$1:$IV$65536,7,FALSE)</f>
        <v>32.81</v>
      </c>
      <c r="T137">
        <f>VLOOKUP($B137,[7]分省年度数据!$A$1:$IV$65536,7,FALSE)</f>
        <v>53</v>
      </c>
      <c r="U137">
        <f>VLOOKUP($B137,[8]分省年度数据!$A$1:$IV$65536,7,FALSE)</f>
        <v>8.6999999999999993</v>
      </c>
      <c r="V137">
        <f>VLOOKUP($B137,[9]分省年度数据!$A$1:$IV$65536,7,FALSE)</f>
        <v>627.1</v>
      </c>
      <c r="W137">
        <f>VLOOKUP($B137,[10]分省年度数据!$A$1:$IV$65536,7,FALSE)</f>
        <v>13.67</v>
      </c>
      <c r="X137">
        <f>VLOOKUP($B137,[11]分省年度数据!$A$1:$IV$65536,7,FALSE)</f>
        <v>13.16</v>
      </c>
      <c r="Y137">
        <f>VLOOKUP($B137,[12]分省年度数据!$A$1:$IV$65536,7,FALSE)</f>
        <v>18.32</v>
      </c>
      <c r="AA137">
        <f>VLOOKUP($B137,[13]分省年度数据!$A$1:$IV$65536,7,FALSE)</f>
        <v>15011779</v>
      </c>
      <c r="AB137">
        <f>VLOOKUP($B137,[14]分省年度数据!$A$1:$IV$65536,7,FALSE)</f>
        <v>1113.26</v>
      </c>
      <c r="AC137">
        <f>VLOOKUP($B137,[16]分省年度数据!$A$1:$IT$65532,7,FALSE)</f>
        <v>855</v>
      </c>
      <c r="AD137">
        <f>VLOOKUP($B137,[17]分省年度数据!$A$1:$IS$65525,7,FALSE)</f>
        <v>16156.2</v>
      </c>
      <c r="AE137">
        <f>IFERROR(AC137/E137,0)</f>
        <v>0.14071757735352206</v>
      </c>
      <c r="AF137">
        <f>IFERROR(AD137/E137,0)</f>
        <v>2.6590190915075711</v>
      </c>
      <c r="AG137">
        <f>VLOOKUP($B137,[15]分省年度数据!$A$1:$IV$65536,7,FALSE)</f>
        <v>10928</v>
      </c>
      <c r="AH137">
        <f>VLOOKUP(B137,[4]分省年度数据!$A$1:$IV$65536,7,FALSE)</f>
        <v>18784</v>
      </c>
      <c r="AI137">
        <f>VLOOKUP(B137,[3]分省年度数据!$A$1:$IV$65536,7,FALSE)</f>
        <v>190.68</v>
      </c>
      <c r="AJ137">
        <f>VLOOKUP($B137,[18]分省年度数据!$A$1:$IS$65529,7,FALSE)</f>
        <v>99.75</v>
      </c>
      <c r="AK137">
        <f>VLOOKUP($B137,[19]分省年度数据!$A$1:$IS$65529,7,FALSE)</f>
        <v>98.56</v>
      </c>
      <c r="AL137">
        <f>VLOOKUP($B137,[20]分省年度数据!$A$1:$IS$65528,7,FALSE)</f>
        <v>12.8</v>
      </c>
      <c r="AM137">
        <f>VLOOKUP($B137,[21]分省年度数据!$A$1:$IS$65528,7,FALSE)</f>
        <v>2.38</v>
      </c>
      <c r="AN137">
        <f>VLOOKUP($B137,[22]分省年度数据!$A$1:$IS$65529,7,FALSE)</f>
        <v>14.67</v>
      </c>
    </row>
    <row r="138" spans="1:40">
      <c r="A138">
        <v>35</v>
      </c>
      <c r="B138" t="s">
        <v>13</v>
      </c>
      <c r="C138">
        <v>2018</v>
      </c>
      <c r="D138" t="s">
        <v>34</v>
      </c>
      <c r="E138">
        <f>VLOOKUP(B138,[1]分省年度数据!$A$1:$IV$65536,7,FALSE)</f>
        <v>4104</v>
      </c>
      <c r="F138" s="4">
        <v>32644</v>
      </c>
      <c r="G138" s="2">
        <f>VLOOKUP(B138,[2]分省年度数据!$A$1:$IV$65536,7,FALSE)</f>
        <v>115.1</v>
      </c>
      <c r="H138" s="2">
        <f t="shared" si="5"/>
        <v>2.8045808966861596E-2</v>
      </c>
      <c r="N138">
        <v>16311.518518518529</v>
      </c>
      <c r="O138">
        <f>N138/F138</f>
        <v>0.49967891552868915</v>
      </c>
      <c r="Q138" t="s">
        <v>57</v>
      </c>
      <c r="R138">
        <f>VLOOKUP(B138,[5]分省年度数据!$A$1:$O$65536,7,FALSE)</f>
        <v>27590</v>
      </c>
      <c r="S138">
        <f>VLOOKUP($B138,[6]分省年度数据!$A$1:$IV$65536,7,FALSE)</f>
        <v>19.25</v>
      </c>
      <c r="T138">
        <f>VLOOKUP($B138,[7]分省年度数据!$A$1:$IV$65536,7,FALSE)</f>
        <v>63</v>
      </c>
      <c r="U138">
        <f>VLOOKUP($B138,[8]分省年度数据!$A$1:$IV$65536,7,FALSE)</f>
        <v>8.6</v>
      </c>
      <c r="V138">
        <f>VLOOKUP($B138,[9]分省年度数据!$A$1:$IV$65536,7,FALSE)</f>
        <v>441.7</v>
      </c>
      <c r="W138">
        <f>VLOOKUP($B138,[10]分省年度数据!$A$1:$IV$65536,7,FALSE)</f>
        <v>12.39</v>
      </c>
      <c r="X138">
        <f>VLOOKUP($B138,[11]分省年度数据!$A$1:$IV$65536,7,FALSE)</f>
        <v>12.64</v>
      </c>
      <c r="Y138">
        <f>VLOOKUP($B138,[12]分省年度数据!$A$1:$IV$65536,7,FALSE)</f>
        <v>18.68</v>
      </c>
      <c r="AA138">
        <f>VLOOKUP($B138,[13]分省年度数据!$A$1:$IV$65536,7,FALSE)</f>
        <v>12547951</v>
      </c>
      <c r="AB138">
        <f>VLOOKUP($B138,[14]分省年度数据!$A$1:$IV$65536,7,FALSE)</f>
        <v>925.06</v>
      </c>
      <c r="AC138">
        <f>VLOOKUP($B138,[16]分省年度数据!$A$1:$IT$65532,7,FALSE)</f>
        <v>732</v>
      </c>
      <c r="AD138">
        <f>VLOOKUP($B138,[17]分省年度数据!$A$1:$IS$65525,7,FALSE)</f>
        <v>17178.400000000001</v>
      </c>
      <c r="AE138">
        <f>IFERROR(AC138/E138,0)</f>
        <v>0.17836257309941519</v>
      </c>
      <c r="AF138">
        <f>IFERROR(AD138/E138,0)</f>
        <v>4.1857699805068229</v>
      </c>
      <c r="AG138">
        <f>VLOOKUP($B138,[15]分省年度数据!$A$1:$IV$65536,7,FALSE)</f>
        <v>9668</v>
      </c>
      <c r="AH138">
        <f>VLOOKUP(B138,[4]分省年度数据!$A$1:$IV$65536,7,FALSE)</f>
        <v>25985</v>
      </c>
      <c r="AI138">
        <f>VLOOKUP(B138,[3]分省年度数据!$A$1:$IV$65536,7,FALSE)</f>
        <v>210.1</v>
      </c>
      <c r="AJ138">
        <f>VLOOKUP($B138,[18]分省年度数据!$A$1:$IS$65529,7,FALSE)</f>
        <v>99.69</v>
      </c>
      <c r="AK138">
        <f>VLOOKUP($B138,[19]分省年度数据!$A$1:$IS$65529,7,FALSE)</f>
        <v>98.29</v>
      </c>
      <c r="AL138">
        <f>VLOOKUP($B138,[20]分省年度数据!$A$1:$IS$65528,7,FALSE)</f>
        <v>15.28</v>
      </c>
      <c r="AM138">
        <f>VLOOKUP($B138,[21]分省年度数据!$A$1:$IS$65528,7,FALSE)</f>
        <v>3.68</v>
      </c>
      <c r="AN138">
        <f>VLOOKUP($B138,[22]分省年度数据!$A$1:$IS$65529,7,FALSE)</f>
        <v>14.62</v>
      </c>
    </row>
    <row r="139" spans="1:40">
      <c r="A139">
        <v>36</v>
      </c>
      <c r="B139" t="s">
        <v>14</v>
      </c>
      <c r="C139">
        <v>2018</v>
      </c>
      <c r="D139" t="s">
        <v>34</v>
      </c>
      <c r="E139">
        <f>VLOOKUP(B139,[1]分省年度数据!$A$1:$IV$65536,7,FALSE)</f>
        <v>4513</v>
      </c>
      <c r="F139" s="4">
        <v>24080</v>
      </c>
      <c r="G139" s="2">
        <f>VLOOKUP(B139,[2]分省年度数据!$A$1:$IV$65536,7,FALSE)</f>
        <v>621.1</v>
      </c>
      <c r="H139" s="2">
        <f t="shared" si="5"/>
        <v>0.13762463992909374</v>
      </c>
      <c r="N139">
        <v>7334.8030303030246</v>
      </c>
      <c r="O139">
        <f>N139/F139</f>
        <v>0.30460145474680334</v>
      </c>
      <c r="Q139" t="s">
        <v>58</v>
      </c>
      <c r="R139">
        <f>VLOOKUP(B139,[5]分省年度数据!$A$1:$O$65536,7,FALSE)</f>
        <v>36545</v>
      </c>
      <c r="S139">
        <f>VLOOKUP($B139,[6]分省年度数据!$A$1:$IV$65536,7,FALSE)</f>
        <v>24.95</v>
      </c>
      <c r="T139">
        <f>VLOOKUP($B139,[7]分省年度数据!$A$1:$IV$65536,7,FALSE)</f>
        <v>53</v>
      </c>
      <c r="U139">
        <f>VLOOKUP($B139,[8]分省年度数据!$A$1:$IV$65536,7,FALSE)</f>
        <v>8.9</v>
      </c>
      <c r="V139">
        <f>VLOOKUP($B139,[9]分省年度数据!$A$1:$IV$65536,7,FALSE)</f>
        <v>585.47</v>
      </c>
      <c r="W139">
        <f>VLOOKUP($B139,[10]分省年度数据!$A$1:$IV$65536,7,FALSE)</f>
        <v>17.260000000000002</v>
      </c>
      <c r="X139">
        <f>VLOOKUP($B139,[11]分省年度数据!$A$1:$IV$65536,7,FALSE)</f>
        <v>16.07</v>
      </c>
      <c r="Y139">
        <f>VLOOKUP($B139,[12]分省年度数据!$A$1:$IV$65536,7,FALSE)</f>
        <v>17.95</v>
      </c>
      <c r="AA139">
        <f>VLOOKUP($B139,[13]分省年度数据!$A$1:$IV$65536,7,FALSE)</f>
        <v>13152969</v>
      </c>
      <c r="AB139">
        <f>VLOOKUP($B139,[14]分省年度数据!$A$1:$IV$65536,7,FALSE)</f>
        <v>1054.4100000000001</v>
      </c>
      <c r="AC139">
        <f>VLOOKUP($B139,[16]分省年度数据!$A$1:$IT$65532,7,FALSE)</f>
        <v>167</v>
      </c>
      <c r="AD139">
        <f>VLOOKUP($B139,[17]分省年度数据!$A$1:$IS$65525,7,FALSE)</f>
        <v>9045.7000000000007</v>
      </c>
      <c r="AE139">
        <f>IFERROR(AC139/E139,0)</f>
        <v>3.7004210059827167E-2</v>
      </c>
      <c r="AF139">
        <f>IFERROR(AD139/E139,0)</f>
        <v>2.0043651672944827</v>
      </c>
      <c r="AG139">
        <f>VLOOKUP($B139,[15]分省年度数据!$A$1:$IV$65536,7,FALSE)</f>
        <v>6925</v>
      </c>
      <c r="AH139">
        <f>VLOOKUP(B139,[4]分省年度数据!$A$1:$IV$65536,7,FALSE)</f>
        <v>20967</v>
      </c>
      <c r="AI139">
        <f>VLOOKUP(B139,[3]分省年度数据!$A$1:$IV$65536,7,FALSE)</f>
        <v>174.61</v>
      </c>
      <c r="AJ139">
        <f>VLOOKUP($B139,[18]分省年度数据!$A$1:$IS$65529,7,FALSE)</f>
        <v>98.31</v>
      </c>
      <c r="AK139">
        <f>VLOOKUP($B139,[19]分省年度数据!$A$1:$IS$65529,7,FALSE)</f>
        <v>97.4</v>
      </c>
      <c r="AL139">
        <f>VLOOKUP($B139,[20]分省年度数据!$A$1:$IS$65528,7,FALSE)</f>
        <v>9.7200000000000006</v>
      </c>
      <c r="AM139">
        <f>VLOOKUP($B139,[21]分省年度数据!$A$1:$IS$65528,7,FALSE)</f>
        <v>2.15</v>
      </c>
      <c r="AN139">
        <f>VLOOKUP($B139,[22]分省年度数据!$A$1:$IS$65529,7,FALSE)</f>
        <v>14.67</v>
      </c>
    </row>
    <row r="140" spans="1:40">
      <c r="A140">
        <v>37</v>
      </c>
      <c r="B140" t="s">
        <v>15</v>
      </c>
      <c r="C140">
        <v>2018</v>
      </c>
      <c r="D140" t="s">
        <v>34</v>
      </c>
      <c r="E140">
        <f>VLOOKUP(B140,[1]分省年度数据!$A$1:$IV$65536,7,FALSE)</f>
        <v>10077</v>
      </c>
      <c r="F140" s="4">
        <v>29205</v>
      </c>
      <c r="G140" s="2">
        <f>VLOOKUP(B140,[2]分省年度数据!$A$1:$IV$65536,7,FALSE)</f>
        <v>889.3</v>
      </c>
      <c r="H140" s="2">
        <f t="shared" si="5"/>
        <v>8.8250471370447545E-2</v>
      </c>
      <c r="N140">
        <v>9049.1718750000018</v>
      </c>
      <c r="O140">
        <f>N140/F140</f>
        <v>0.30985008988186963</v>
      </c>
      <c r="Q140" t="s">
        <v>65</v>
      </c>
      <c r="R140">
        <f>VLOOKUP(B140,[5]分省年度数据!$A$1:$O$65536,7,FALSE)</f>
        <v>81470</v>
      </c>
      <c r="S140">
        <f>VLOOKUP($B140,[6]分省年度数据!$A$1:$IV$65536,7,FALSE)</f>
        <v>60.85</v>
      </c>
      <c r="T140">
        <f>VLOOKUP($B140,[7]分省年度数据!$A$1:$IV$65536,7,FALSE)</f>
        <v>74</v>
      </c>
      <c r="U140">
        <f>VLOOKUP($B140,[8]分省年度数据!$A$1:$IV$65536,7,FALSE)</f>
        <v>8.8000000000000007</v>
      </c>
      <c r="V140">
        <f>VLOOKUP($B140,[9]分省年度数据!$A$1:$IV$65536,7,FALSE)</f>
        <v>885.15</v>
      </c>
      <c r="W140">
        <f>VLOOKUP($B140,[10]分省年度数据!$A$1:$IV$65536,7,FALSE)</f>
        <v>11.9</v>
      </c>
      <c r="X140">
        <f>VLOOKUP($B140,[11]分省年度数据!$A$1:$IV$65536,7,FALSE)</f>
        <v>12.26</v>
      </c>
      <c r="Y140">
        <f>VLOOKUP($B140,[12]分省年度数据!$A$1:$IV$65536,7,FALSE)</f>
        <v>16.86</v>
      </c>
      <c r="AA140">
        <f>VLOOKUP($B140,[13]分省年度数据!$A$1:$IV$65536,7,FALSE)</f>
        <v>26349273</v>
      </c>
      <c r="AB140">
        <f>VLOOKUP($B140,[14]分省年度数据!$A$1:$IV$65536,7,FALSE)</f>
        <v>2006.5</v>
      </c>
      <c r="AC140">
        <f>VLOOKUP($B140,[16]分省年度数据!$A$1:$IT$65532,7,FALSE)</f>
        <v>680</v>
      </c>
      <c r="AD140">
        <f>VLOOKUP($B140,[17]分省年度数据!$A$1:$IS$65525,7,FALSE)</f>
        <v>27480.3</v>
      </c>
      <c r="AE140">
        <f>IFERROR(AC140/E140,0)</f>
        <v>6.7480400912970126E-2</v>
      </c>
      <c r="AF140">
        <f>IFERROR(AD140/E140,0)</f>
        <v>2.7270318547186663</v>
      </c>
      <c r="AG140">
        <f>VLOOKUP($B140,[15]分省年度数据!$A$1:$IV$65536,7,FALSE)</f>
        <v>13226</v>
      </c>
      <c r="AH140">
        <f>VLOOKUP(B140,[4]分省年度数据!$A$1:$IV$65536,7,FALSE)</f>
        <v>105166</v>
      </c>
      <c r="AI140">
        <f>VLOOKUP(B140,[3]分省年度数据!$A$1:$IV$65536,7,FALSE)</f>
        <v>126.56</v>
      </c>
      <c r="AJ140">
        <f>VLOOKUP($B140,[18]分省年度数据!$A$1:$IS$65529,7,FALSE)</f>
        <v>99.4</v>
      </c>
      <c r="AK140">
        <f>VLOOKUP($B140,[19]分省年度数据!$A$1:$IS$65529,7,FALSE)</f>
        <v>99.2</v>
      </c>
      <c r="AL140">
        <f>VLOOKUP($B140,[20]分省年度数据!$A$1:$IS$65528,7,FALSE)</f>
        <v>15.13</v>
      </c>
      <c r="AM140">
        <f>VLOOKUP($B140,[21]分省年度数据!$A$1:$IS$65528,7,FALSE)</f>
        <v>1.92</v>
      </c>
      <c r="AN140">
        <f>VLOOKUP($B140,[22]分省年度数据!$A$1:$IS$65529,7,FALSE)</f>
        <v>17.64</v>
      </c>
    </row>
    <row r="141" spans="1:40">
      <c r="A141">
        <v>41</v>
      </c>
      <c r="B141" t="s">
        <v>16</v>
      </c>
      <c r="C141">
        <v>2018</v>
      </c>
      <c r="D141" t="s">
        <v>35</v>
      </c>
      <c r="E141">
        <f>VLOOKUP(B141,[1]分省年度数据!$A$1:$IV$65536,7,FALSE)</f>
        <v>9864</v>
      </c>
      <c r="F141" s="4">
        <v>21964</v>
      </c>
      <c r="G141" s="2">
        <f>VLOOKUP(B141,[2]分省年度数据!$A$1:$IV$65536,7,FALSE)</f>
        <v>1332.3</v>
      </c>
      <c r="H141" s="2">
        <f t="shared" si="5"/>
        <v>0.13506690997566909</v>
      </c>
      <c r="N141">
        <v>6335.7352941176487</v>
      </c>
      <c r="O141">
        <f>N141/F141</f>
        <v>0.28845999335811551</v>
      </c>
      <c r="Q141" t="s">
        <v>62</v>
      </c>
      <c r="R141">
        <f>VLOOKUP(B141,[5]分省年度数据!$A$1:$O$65536,7,FALSE)</f>
        <v>71351</v>
      </c>
      <c r="S141">
        <f>VLOOKUP($B141,[6]分省年度数据!$A$1:$IV$65536,7,FALSE)</f>
        <v>60.85</v>
      </c>
      <c r="T141">
        <f>VLOOKUP($B141,[7]分省年度数据!$A$1:$IV$65536,7,FALSE)</f>
        <v>65</v>
      </c>
      <c r="U141">
        <f>VLOOKUP($B141,[8]分省年度数据!$A$1:$IV$65536,7,FALSE)</f>
        <v>9.5</v>
      </c>
      <c r="V141">
        <f>VLOOKUP($B141,[9]分省年度数据!$A$1:$IV$65536,7,FALSE)</f>
        <v>928.95</v>
      </c>
      <c r="W141">
        <f>VLOOKUP($B141,[10]分省年度数据!$A$1:$IV$65536,7,FALSE)</f>
        <v>16.02</v>
      </c>
      <c r="X141">
        <f>VLOOKUP($B141,[11]分省年度数据!$A$1:$IV$65536,7,FALSE)</f>
        <v>14.38</v>
      </c>
      <c r="Y141">
        <f>VLOOKUP($B141,[12]分省年度数据!$A$1:$IV$65536,7,FALSE)</f>
        <v>18.18</v>
      </c>
      <c r="AA141">
        <f>VLOOKUP($B141,[13]分省年度数据!$A$1:$IV$65536,7,FALSE)</f>
        <v>24293502</v>
      </c>
      <c r="AB141">
        <f>VLOOKUP($B141,[14]分省年度数据!$A$1:$IV$65536,7,FALSE)</f>
        <v>1664.67</v>
      </c>
      <c r="AC141">
        <f>VLOOKUP($B141,[16]分省年度数据!$A$1:$IT$65532,7,FALSE)</f>
        <v>240</v>
      </c>
      <c r="AD141">
        <f>VLOOKUP($B141,[17]分省年度数据!$A$1:$IS$65525,7,FALSE)</f>
        <v>21268</v>
      </c>
      <c r="AE141">
        <f>IFERROR(AC141/E141,0)</f>
        <v>2.4330900243309004E-2</v>
      </c>
      <c r="AF141">
        <f>IFERROR(AD141/E141,0)</f>
        <v>2.1561232765612326</v>
      </c>
      <c r="AG141">
        <f>VLOOKUP($B141,[15]分省年度数据!$A$1:$IV$65536,7,FALSE)</f>
        <v>19059</v>
      </c>
      <c r="AH141">
        <f>VLOOKUP(B141,[4]分省年度数据!$A$1:$IV$65536,7,FALSE)</f>
        <v>23395</v>
      </c>
      <c r="AI141">
        <f>VLOOKUP(B141,[3]分省年度数据!$A$1:$IV$65536,7,FALSE)</f>
        <v>134.79</v>
      </c>
      <c r="AJ141">
        <f>VLOOKUP($B141,[18]分省年度数据!$A$1:$IS$65529,7,FALSE)</f>
        <v>96.65</v>
      </c>
      <c r="AK141">
        <f>VLOOKUP($B141,[19]分省年度数据!$A$1:$IS$65529,7,FALSE)</f>
        <v>96.3</v>
      </c>
      <c r="AL141">
        <f>VLOOKUP($B141,[20]分省年度数据!$A$1:$IS$65528,7,FALSE)</f>
        <v>12.59</v>
      </c>
      <c r="AM141">
        <f>VLOOKUP($B141,[21]分省年度数据!$A$1:$IS$65528,7,FALSE)</f>
        <v>3.92</v>
      </c>
      <c r="AN141">
        <f>VLOOKUP($B141,[22]分省年度数据!$A$1:$IS$65529,7,FALSE)</f>
        <v>12.69</v>
      </c>
    </row>
    <row r="142" spans="1:40">
      <c r="A142">
        <v>42</v>
      </c>
      <c r="B142" t="s">
        <v>17</v>
      </c>
      <c r="C142">
        <v>2018</v>
      </c>
      <c r="D142" t="s">
        <v>35</v>
      </c>
      <c r="E142">
        <f>VLOOKUP(B142,[1]分省年度数据!$A$1:$IV$65536,7,FALSE)</f>
        <v>5917</v>
      </c>
      <c r="F142" s="4">
        <v>25815</v>
      </c>
      <c r="G142" s="2">
        <f>VLOOKUP(B142,[2]分省年度数据!$A$1:$IV$65536,7,FALSE)</f>
        <v>1026.3</v>
      </c>
      <c r="H142" s="2">
        <f t="shared" si="5"/>
        <v>0.1734493831333446</v>
      </c>
      <c r="N142">
        <v>6963.4861111111104</v>
      </c>
      <c r="O142">
        <f>N142/F142</f>
        <v>0.26974573353132325</v>
      </c>
      <c r="Q142" t="s">
        <v>55</v>
      </c>
      <c r="R142">
        <f>VLOOKUP(B142,[5]分省年度数据!$A$1:$O$65536,7,FALSE)</f>
        <v>36486</v>
      </c>
      <c r="S142">
        <f>VLOOKUP($B142,[6]分省年度数据!$A$1:$IV$65536,7,FALSE)</f>
        <v>39.35</v>
      </c>
      <c r="T142">
        <f>VLOOKUP($B142,[7]分省年度数据!$A$1:$IV$65536,7,FALSE)</f>
        <v>69</v>
      </c>
      <c r="U142">
        <f>VLOOKUP($B142,[8]分省年度数据!$A$1:$IV$65536,7,FALSE)</f>
        <v>9.4</v>
      </c>
      <c r="V142">
        <f>VLOOKUP($B142,[9]分省年度数据!$A$1:$IV$65536,7,FALSE)</f>
        <v>575.74</v>
      </c>
      <c r="W142">
        <f>VLOOKUP($B142,[10]分省年度数据!$A$1:$IV$65536,7,FALSE)</f>
        <v>12.48</v>
      </c>
      <c r="X142">
        <f>VLOOKUP($B142,[11]分省年度数据!$A$1:$IV$65536,7,FALSE)</f>
        <v>12.24</v>
      </c>
      <c r="Y142">
        <f>VLOOKUP($B142,[12]分省年度数据!$A$1:$IV$65536,7,FALSE)</f>
        <v>18.010000000000002</v>
      </c>
      <c r="AA142">
        <f>VLOOKUP($B142,[13]分省年度数据!$A$1:$IV$65536,7,FALSE)</f>
        <v>14578340</v>
      </c>
      <c r="AB142">
        <f>VLOOKUP($B142,[14]分省年度数据!$A$1:$IV$65536,7,FALSE)</f>
        <v>1065.6400000000001</v>
      </c>
      <c r="AC142">
        <f>VLOOKUP($B142,[16]分省年度数据!$A$1:$IT$65532,7,FALSE)</f>
        <v>1354</v>
      </c>
      <c r="AD142">
        <f>VLOOKUP($B142,[17]分省年度数据!$A$1:$IS$65525,7,FALSE)</f>
        <v>20598.2</v>
      </c>
      <c r="AE142">
        <f>IFERROR(AC142/E142,0)</f>
        <v>0.22883217846881865</v>
      </c>
      <c r="AF142">
        <f>IFERROR(AD142/E142,0)</f>
        <v>3.4811897921243875</v>
      </c>
      <c r="AG142">
        <f>VLOOKUP($B142,[15]分省年度数据!$A$1:$IV$65536,7,FALSE)</f>
        <v>19207</v>
      </c>
      <c r="AH142">
        <f>VLOOKUP(B142,[4]分省年度数据!$A$1:$IV$65536,7,FALSE)</f>
        <v>22549</v>
      </c>
      <c r="AI142">
        <f>VLOOKUP(B142,[3]分省年度数据!$A$1:$IV$65536,7,FALSE)</f>
        <v>202.19</v>
      </c>
      <c r="AJ142">
        <f>VLOOKUP($B142,[18]分省年度数据!$A$1:$IS$65529,7,FALSE)</f>
        <v>99.37</v>
      </c>
      <c r="AK142">
        <f>VLOOKUP($B142,[19]分省年度数据!$A$1:$IS$65529,7,FALSE)</f>
        <v>97.64</v>
      </c>
      <c r="AL142">
        <f>VLOOKUP($B142,[20]分省年度数据!$A$1:$IS$65528,7,FALSE)</f>
        <v>10.98</v>
      </c>
      <c r="AM142">
        <f>VLOOKUP($B142,[21]分省年度数据!$A$1:$IS$65528,7,FALSE)</f>
        <v>2.4500000000000002</v>
      </c>
      <c r="AN142">
        <f>VLOOKUP($B142,[22]分省年度数据!$A$1:$IS$65529,7,FALSE)</f>
        <v>11.47</v>
      </c>
    </row>
    <row r="143" spans="1:40">
      <c r="A143">
        <v>43</v>
      </c>
      <c r="B143" t="s">
        <v>18</v>
      </c>
      <c r="C143">
        <v>2018</v>
      </c>
      <c r="D143" t="s">
        <v>35</v>
      </c>
      <c r="E143">
        <f>VLOOKUP(B143,[1]分省年度数据!$A$1:$IV$65536,7,FALSE)</f>
        <v>6635</v>
      </c>
      <c r="F143" s="4">
        <v>25241</v>
      </c>
      <c r="G143" s="2">
        <f>VLOOKUP(B143,[2]分省年度数据!$A$1:$IV$65536,7,FALSE)</f>
        <v>698.5</v>
      </c>
      <c r="H143" s="2">
        <f t="shared" si="5"/>
        <v>0.1052750565184627</v>
      </c>
      <c r="N143">
        <v>6207.7884615384583</v>
      </c>
      <c r="O143">
        <f>N143/F143</f>
        <v>0.245940670398893</v>
      </c>
      <c r="Q143" t="s">
        <v>53</v>
      </c>
      <c r="R143">
        <f>VLOOKUP(B143,[5]分省年度数据!$A$1:$O$65536,7,FALSE)</f>
        <v>56239</v>
      </c>
      <c r="S143">
        <f>VLOOKUP($B143,[6]分省年度数据!$A$1:$IV$65536,7,FALSE)</f>
        <v>48.24</v>
      </c>
      <c r="T143">
        <f>VLOOKUP($B143,[7]分省年度数据!$A$1:$IV$65536,7,FALSE)</f>
        <v>63</v>
      </c>
      <c r="U143">
        <f>VLOOKUP($B143,[8]分省年度数据!$A$1:$IV$65536,7,FALSE)</f>
        <v>9.1999999999999993</v>
      </c>
      <c r="V143">
        <f>VLOOKUP($B143,[9]分省年度数据!$A$1:$IV$65536,7,FALSE)</f>
        <v>627.1</v>
      </c>
      <c r="W143">
        <f>VLOOKUP($B143,[10]分省年度数据!$A$1:$IV$65536,7,FALSE)</f>
        <v>14.7</v>
      </c>
      <c r="X143">
        <f>VLOOKUP($B143,[11]分省年度数据!$A$1:$IV$65536,7,FALSE)</f>
        <v>13.71</v>
      </c>
      <c r="Y143">
        <f>VLOOKUP($B143,[12]分省年度数据!$A$1:$IV$65536,7,FALSE)</f>
        <v>19.010000000000002</v>
      </c>
      <c r="AA143">
        <f>VLOOKUP($B143,[13]分省年度数据!$A$1:$IV$65536,7,FALSE)</f>
        <v>16300603</v>
      </c>
      <c r="AB143">
        <f>VLOOKUP($B143,[14]分省年度数据!$A$1:$IV$65536,7,FALSE)</f>
        <v>1186.72</v>
      </c>
      <c r="AC143">
        <f>VLOOKUP($B143,[16]分省年度数据!$A$1:$IT$65532,7,FALSE)</f>
        <v>978</v>
      </c>
      <c r="AD143">
        <f>VLOOKUP($B143,[17]分省年度数据!$A$1:$IS$65525,7,FALSE)</f>
        <v>15134.3</v>
      </c>
      <c r="AE143">
        <f>IFERROR(AC143/E143,0)</f>
        <v>0.14740015071590054</v>
      </c>
      <c r="AF143">
        <f>IFERROR(AD143/E143,0)</f>
        <v>2.2809796533534286</v>
      </c>
      <c r="AG143">
        <f>VLOOKUP($B143,[15]分省年度数据!$A$1:$IV$65536,7,FALSE)</f>
        <v>4618</v>
      </c>
      <c r="AH143">
        <f>VLOOKUP(B143,[4]分省年度数据!$A$1:$IV$65536,7,FALSE)</f>
        <v>21683</v>
      </c>
      <c r="AI143">
        <f>VLOOKUP(B143,[3]分省年度数据!$A$1:$IV$65536,7,FALSE)</f>
        <v>210.73</v>
      </c>
      <c r="AJ143">
        <f>VLOOKUP($B143,[18]分省年度数据!$A$1:$IS$65529,7,FALSE)</f>
        <v>96.35</v>
      </c>
      <c r="AK143">
        <f>VLOOKUP($B143,[19]分省年度数据!$A$1:$IS$65529,7,FALSE)</f>
        <v>93.64</v>
      </c>
      <c r="AL143">
        <f>VLOOKUP($B143,[20]分省年度数据!$A$1:$IS$65528,7,FALSE)</f>
        <v>15.49</v>
      </c>
      <c r="AM143">
        <f>VLOOKUP($B143,[21]分省年度数据!$A$1:$IS$65528,7,FALSE)</f>
        <v>2.5</v>
      </c>
      <c r="AN143">
        <f>VLOOKUP($B143,[22]分省年度数据!$A$1:$IS$65529,7,FALSE)</f>
        <v>10.99</v>
      </c>
    </row>
    <row r="144" spans="1:40">
      <c r="A144">
        <v>44</v>
      </c>
      <c r="B144" t="s">
        <v>19</v>
      </c>
      <c r="C144">
        <v>2018</v>
      </c>
      <c r="D144" t="s">
        <v>35</v>
      </c>
      <c r="E144">
        <f>VLOOKUP(B144,[1]分省年度数据!$A$1:$IV$65536,7,FALSE)</f>
        <v>12348</v>
      </c>
      <c r="F144" s="4">
        <v>35810</v>
      </c>
      <c r="G144" s="2">
        <f>VLOOKUP(B144,[2]分省年度数据!$A$1:$IV$65536,7,FALSE)</f>
        <v>675.2</v>
      </c>
      <c r="H144" s="2">
        <f t="shared" si="5"/>
        <v>5.4680919987042442E-2</v>
      </c>
      <c r="N144">
        <v>11962.4126984127</v>
      </c>
      <c r="O144">
        <f>N144/F144</f>
        <v>0.33405229540387321</v>
      </c>
      <c r="Q144" t="s">
        <v>54</v>
      </c>
      <c r="R144">
        <f>VLOOKUP(B144,[5]分省年度数据!$A$1:$O$65536,7,FALSE)</f>
        <v>51451</v>
      </c>
      <c r="S144">
        <f>VLOOKUP($B144,[6]分省年度数据!$A$1:$IV$65536,7,FALSE)</f>
        <v>51.69</v>
      </c>
      <c r="T144">
        <f>VLOOKUP($B144,[7]分省年度数据!$A$1:$IV$65536,7,FALSE)</f>
        <v>67</v>
      </c>
      <c r="U144">
        <f>VLOOKUP($B144,[8]分省年度数据!$A$1:$IV$65536,7,FALSE)</f>
        <v>8.9</v>
      </c>
      <c r="V144">
        <f>VLOOKUP($B144,[9]分省年度数据!$A$1:$IV$65536,7,FALSE)</f>
        <v>1407.51</v>
      </c>
      <c r="W144">
        <f>VLOOKUP($B144,[10]分省年度数据!$A$1:$IV$65536,7,FALSE)</f>
        <v>12.25</v>
      </c>
      <c r="X144">
        <f>VLOOKUP($B144,[11]分省年度数据!$A$1:$IV$65536,7,FALSE)</f>
        <v>13</v>
      </c>
      <c r="Y144">
        <f>VLOOKUP($B144,[12]分省年度数据!$A$1:$IV$65536,7,FALSE)</f>
        <v>18.64</v>
      </c>
      <c r="AA144">
        <f>VLOOKUP($B144,[13]分省年度数据!$A$1:$IV$65536,7,FALSE)</f>
        <v>42684258</v>
      </c>
      <c r="AB144">
        <f>VLOOKUP($B144,[14]分省年度数据!$A$1:$IV$65536,7,FALSE)</f>
        <v>2792.9</v>
      </c>
      <c r="AC144">
        <f>VLOOKUP($B144,[16]分省年度数据!$A$1:$IT$65532,7,FALSE)</f>
        <v>4532</v>
      </c>
      <c r="AD144">
        <f>VLOOKUP($B144,[17]分省年度数据!$A$1:$IS$65525,7,FALSE)</f>
        <v>39767.1</v>
      </c>
      <c r="AE144">
        <f>IFERROR(AC144/E144,0)</f>
        <v>0.36702299967606089</v>
      </c>
      <c r="AF144">
        <f>IFERROR(AD144/E144,0)</f>
        <v>3.2205296404275994</v>
      </c>
      <c r="AG144">
        <f>VLOOKUP($B144,[15]分省年度数据!$A$1:$IV$65536,7,FALSE)</f>
        <v>24133</v>
      </c>
      <c r="AH144">
        <f>VLOOKUP(B144,[4]分省年度数据!$A$1:$IV$65536,7,FALSE)</f>
        <v>110606</v>
      </c>
      <c r="AI144">
        <f>VLOOKUP(B144,[3]分省年度数据!$A$1:$IV$65536,7,FALSE)</f>
        <v>254.37</v>
      </c>
      <c r="AJ144">
        <f>VLOOKUP($B144,[18]分省年度数据!$A$1:$IS$65529,7,FALSE)</f>
        <v>97.3</v>
      </c>
      <c r="AK144">
        <f>VLOOKUP($B144,[19]分省年度数据!$A$1:$IS$65529,7,FALSE)</f>
        <v>96.66</v>
      </c>
      <c r="AL144">
        <f>VLOOKUP($B144,[20]分省年度数据!$A$1:$IS$65528,7,FALSE)</f>
        <v>12.74</v>
      </c>
      <c r="AM144">
        <f>VLOOKUP($B144,[21]分省年度数据!$A$1:$IS$65528,7,FALSE)</f>
        <v>1.87</v>
      </c>
      <c r="AN144">
        <f>VLOOKUP($B144,[22]分省年度数据!$A$1:$IS$65529,7,FALSE)</f>
        <v>18.34</v>
      </c>
    </row>
    <row r="145" spans="1:40">
      <c r="A145">
        <v>45</v>
      </c>
      <c r="B145" t="s">
        <v>20</v>
      </c>
      <c r="C145">
        <v>2018</v>
      </c>
      <c r="D145" t="s">
        <v>35</v>
      </c>
      <c r="E145">
        <f>VLOOKUP(B145,[1]分省年度数据!$A$1:$IV$65536,7,FALSE)</f>
        <v>4947</v>
      </c>
      <c r="F145" s="4">
        <v>21485</v>
      </c>
      <c r="G145" s="2">
        <f>VLOOKUP(B145,[2]分省年度数据!$A$1:$IV$65536,7,FALSE)</f>
        <v>224.6</v>
      </c>
      <c r="H145" s="2">
        <f t="shared" si="5"/>
        <v>4.5401253284819081E-2</v>
      </c>
      <c r="N145">
        <v>6025.452380952378</v>
      </c>
      <c r="O145">
        <f>N145/F145</f>
        <v>0.28044926138945209</v>
      </c>
      <c r="Q145" t="s">
        <v>55</v>
      </c>
      <c r="R145">
        <f>VLOOKUP(B145,[5]分省年度数据!$A$1:$O$65536,7,FALSE)</f>
        <v>33742</v>
      </c>
      <c r="S145">
        <f>VLOOKUP($B145,[6]分省年度数据!$A$1:$IV$65536,7,FALSE)</f>
        <v>25.59</v>
      </c>
      <c r="T145">
        <f>VLOOKUP($B145,[7]分省年度数据!$A$1:$IV$65536,7,FALSE)</f>
        <v>65</v>
      </c>
      <c r="U145">
        <f>VLOOKUP($B145,[8]分省年度数据!$A$1:$IV$65536,7,FALSE)</f>
        <v>8.6999999999999993</v>
      </c>
      <c r="V145">
        <f>VLOOKUP($B145,[9]分省年度数据!$A$1:$IV$65536,7,FALSE)</f>
        <v>546.52</v>
      </c>
      <c r="W145">
        <f>VLOOKUP($B145,[10]分省年度数据!$A$1:$IV$65536,7,FALSE)</f>
        <v>17.399999999999999</v>
      </c>
      <c r="X145">
        <f>VLOOKUP($B145,[11]分省年度数据!$A$1:$IV$65536,7,FALSE)</f>
        <v>15.48</v>
      </c>
      <c r="Y145">
        <f>VLOOKUP($B145,[12]分省年度数据!$A$1:$IV$65536,7,FALSE)</f>
        <v>18.5</v>
      </c>
      <c r="AA145">
        <f>VLOOKUP($B145,[13]分省年度数据!$A$1:$IV$65536,7,FALSE)</f>
        <v>12836618</v>
      </c>
      <c r="AB145">
        <f>VLOOKUP($B145,[14]分省年度数据!$A$1:$IV$65536,7,FALSE)</f>
        <v>933.22</v>
      </c>
      <c r="AC145">
        <f>VLOOKUP($B145,[16]分省年度数据!$A$1:$IT$65532,7,FALSE)</f>
        <v>317</v>
      </c>
      <c r="AD145">
        <f>VLOOKUP($B145,[17]分省年度数据!$A$1:$IS$65525,7,FALSE)</f>
        <v>7663.5</v>
      </c>
      <c r="AE145">
        <f>IFERROR(AC145/E145,0)</f>
        <v>6.4079239943400035E-2</v>
      </c>
      <c r="AF145">
        <f>IFERROR(AD145/E145,0)</f>
        <v>1.5491206791995149</v>
      </c>
      <c r="AG145">
        <f>VLOOKUP($B145,[15]分省年度数据!$A$1:$IV$65536,7,FALSE)</f>
        <v>17034</v>
      </c>
      <c r="AH145">
        <f>VLOOKUP(B145,[4]分省年度数据!$A$1:$IV$65536,7,FALSE)</f>
        <v>16555</v>
      </c>
      <c r="AI145">
        <f>VLOOKUP(B145,[3]分省年度数据!$A$1:$IV$65536,7,FALSE)</f>
        <v>266.14</v>
      </c>
      <c r="AJ145">
        <f>VLOOKUP($B145,[18]分省年度数据!$A$1:$IS$65529,7,FALSE)</f>
        <v>97.8</v>
      </c>
      <c r="AK145">
        <f>VLOOKUP($B145,[19]分省年度数据!$A$1:$IS$65529,7,FALSE)</f>
        <v>98.15</v>
      </c>
      <c r="AL145">
        <f>VLOOKUP($B145,[20]分省年度数据!$A$1:$IS$65528,7,FALSE)</f>
        <v>10.78</v>
      </c>
      <c r="AM145">
        <f>VLOOKUP($B145,[21]分省年度数据!$A$1:$IS$65528,7,FALSE)</f>
        <v>1.4</v>
      </c>
      <c r="AN145">
        <f>VLOOKUP($B145,[22]分省年度数据!$A$1:$IS$65529,7,FALSE)</f>
        <v>13.05</v>
      </c>
    </row>
    <row r="146" spans="1:40">
      <c r="A146">
        <v>46</v>
      </c>
      <c r="B146" t="s">
        <v>21</v>
      </c>
      <c r="C146">
        <v>2018</v>
      </c>
      <c r="D146" t="s">
        <v>35</v>
      </c>
      <c r="E146">
        <f>VLOOKUP(B146,[1]分省年度数据!$A$1:$IV$65536,7,FALSE)</f>
        <v>982</v>
      </c>
      <c r="F146" s="4">
        <v>24579</v>
      </c>
      <c r="G146" s="2">
        <f>VLOOKUP(B146,[2]分省年度数据!$A$1:$IV$65536,7,FALSE)</f>
        <v>60.2</v>
      </c>
      <c r="H146" s="2">
        <f t="shared" si="5"/>
        <v>6.1303462321792263E-2</v>
      </c>
      <c r="N146">
        <v>22679.29166666665</v>
      </c>
      <c r="O146">
        <f>N146/F146</f>
        <v>0.92271010483203753</v>
      </c>
      <c r="Q146" t="s">
        <v>57</v>
      </c>
      <c r="R146">
        <f>VLOOKUP(B146,[5]分省年度数据!$A$1:$O$65536,7,FALSE)</f>
        <v>5325</v>
      </c>
      <c r="S146">
        <f>VLOOKUP($B146,[6]分省年度数据!$A$1:$IV$65536,7,FALSE)</f>
        <v>4.4800000000000004</v>
      </c>
      <c r="T146">
        <f>VLOOKUP($B146,[7]分省年度数据!$A$1:$IV$65536,7,FALSE)</f>
        <v>68</v>
      </c>
      <c r="U146">
        <f>VLOOKUP($B146,[8]分省年度数据!$A$1:$IV$65536,7,FALSE)</f>
        <v>8.9</v>
      </c>
      <c r="V146">
        <f>VLOOKUP($B146,[9]分省年度数据!$A$1:$IV$65536,7,FALSE)</f>
        <v>144.46</v>
      </c>
      <c r="W146">
        <f>VLOOKUP($B146,[10]分省年度数据!$A$1:$IV$65536,7,FALSE)</f>
        <v>12.66</v>
      </c>
      <c r="X146">
        <f>VLOOKUP($B146,[11]分省年度数据!$A$1:$IV$65536,7,FALSE)</f>
        <v>13.44</v>
      </c>
      <c r="Y146">
        <f>VLOOKUP($B146,[12]分省年度数据!$A$1:$IV$65536,7,FALSE)</f>
        <v>16.399999999999999</v>
      </c>
      <c r="AA146">
        <f>VLOOKUP($B146,[13]分省年度数据!$A$1:$IV$65536,7,FALSE)</f>
        <v>3777479</v>
      </c>
      <c r="AB146">
        <f>VLOOKUP($B146,[14]分省年度数据!$A$1:$IV$65536,7,FALSE)</f>
        <v>248.98</v>
      </c>
      <c r="AC146">
        <f>VLOOKUP($B146,[16]分省年度数据!$A$1:$IT$65532,7,FALSE)</f>
        <v>7</v>
      </c>
      <c r="AD146">
        <f>VLOOKUP($B146,[17]分省年度数据!$A$1:$IS$65525,7,FALSE)</f>
        <v>1852.7</v>
      </c>
      <c r="AE146">
        <f>IFERROR(AC146/E146,0)</f>
        <v>7.1283095723014261E-3</v>
      </c>
      <c r="AF146">
        <f>IFERROR(AD146/E146,0)</f>
        <v>1.8866598778004073</v>
      </c>
      <c r="AG146">
        <f>VLOOKUP($B146,[15]分省年度数据!$A$1:$IV$65536,7,FALSE)</f>
        <v>2684</v>
      </c>
      <c r="AH146">
        <f>VLOOKUP(B146,[4]分省年度数据!$A$1:$IV$65536,7,FALSE)</f>
        <v>7302</v>
      </c>
      <c r="AI146">
        <f>VLOOKUP(B146,[3]分省年度数据!$A$1:$IV$65536,7,FALSE)</f>
        <v>197.61</v>
      </c>
      <c r="AJ146">
        <f>VLOOKUP($B146,[18]分省年度数据!$A$1:$IS$65529,7,FALSE)</f>
        <v>97.04</v>
      </c>
      <c r="AK146">
        <f>VLOOKUP($B146,[19]分省年度数据!$A$1:$IS$65529,7,FALSE)</f>
        <v>96.74</v>
      </c>
      <c r="AL146">
        <f>VLOOKUP($B146,[20]分省年度数据!$A$1:$IS$65528,7,FALSE)</f>
        <v>12.67</v>
      </c>
      <c r="AM146">
        <f>VLOOKUP($B146,[21]分省年度数据!$A$1:$IS$65528,7,FALSE)</f>
        <v>2.69</v>
      </c>
      <c r="AN146">
        <f>VLOOKUP($B146,[22]分省年度数据!$A$1:$IS$65529,7,FALSE)</f>
        <v>10.23</v>
      </c>
    </row>
    <row r="147" spans="1:40">
      <c r="A147">
        <v>50</v>
      </c>
      <c r="B147" t="s">
        <v>22</v>
      </c>
      <c r="C147">
        <v>2018</v>
      </c>
      <c r="D147" t="s">
        <v>36</v>
      </c>
      <c r="E147">
        <f>VLOOKUP(B147,[1]分省年度数据!$A$1:$IV$65536,7,FALSE)</f>
        <v>3163</v>
      </c>
      <c r="F147" s="4">
        <v>26386</v>
      </c>
      <c r="G147" s="2">
        <f>VLOOKUP(B147,[2]分省年度数据!$A$1:$IV$65536,7,FALSE)</f>
        <v>148.19999999999999</v>
      </c>
      <c r="H147" s="2">
        <f t="shared" si="5"/>
        <v>4.6854252292127724E-2</v>
      </c>
      <c r="N147">
        <v>11820.166666666701</v>
      </c>
      <c r="O147">
        <f>N147/F147</f>
        <v>0.44797114631496632</v>
      </c>
      <c r="Q147" t="s">
        <v>55</v>
      </c>
      <c r="R147">
        <f>VLOOKUP(B147,[5]分省年度数据!$A$1:$O$65536,7,FALSE)</f>
        <v>20524</v>
      </c>
      <c r="S147">
        <f>VLOOKUP($B147,[6]分省年度数据!$A$1:$IV$65536,7,FALSE)</f>
        <v>22.01</v>
      </c>
      <c r="T147">
        <f>VLOOKUP($B147,[7]分省年度数据!$A$1:$IV$65536,7,FALSE)</f>
        <v>67</v>
      </c>
      <c r="U147">
        <f>VLOOKUP($B147,[8]分省年度数据!$A$1:$IV$65536,7,FALSE)</f>
        <v>9.4</v>
      </c>
      <c r="V147">
        <f>VLOOKUP($B147,[9]分省年度数据!$A$1:$IV$65536,7,FALSE)</f>
        <v>372.79</v>
      </c>
      <c r="W147">
        <f>VLOOKUP($B147,[10]分省年度数据!$A$1:$IV$65536,7,FALSE)</f>
        <v>15.46</v>
      </c>
      <c r="X147">
        <f>VLOOKUP($B147,[11]分省年度数据!$A$1:$IV$65536,7,FALSE)</f>
        <v>13.43</v>
      </c>
      <c r="Y147">
        <f>VLOOKUP($B147,[12]分省年度数据!$A$1:$IV$65536,7,FALSE)</f>
        <v>16.559999999999999</v>
      </c>
      <c r="AA147">
        <f>VLOOKUP($B147,[13]分省年度数据!$A$1:$IV$65536,7,FALSE)</f>
        <v>10216274</v>
      </c>
      <c r="AB147">
        <f>VLOOKUP($B147,[14]分省年度数据!$A$1:$IV$65536,7,FALSE)</f>
        <v>680.99</v>
      </c>
      <c r="AC147">
        <f>VLOOKUP($B147,[16]分省年度数据!$A$1:$IT$65532,7,FALSE)</f>
        <v>1628</v>
      </c>
      <c r="AD147">
        <f>VLOOKUP($B147,[17]分省年度数据!$A$1:$IS$65525,7,FALSE)</f>
        <v>10705.2</v>
      </c>
      <c r="AE147">
        <f>IFERROR(AC147/E147,0)</f>
        <v>0.51470123300663928</v>
      </c>
      <c r="AF147">
        <f>IFERROR(AD147/E147,0)</f>
        <v>3.3845083781220362</v>
      </c>
      <c r="AG147">
        <f>VLOOKUP($B147,[15]分省年度数据!$A$1:$IV$65536,7,FALSE)</f>
        <v>4511</v>
      </c>
      <c r="AH147">
        <f>VLOOKUP(B147,[4]分省年度数据!$A$1:$IV$65536,7,FALSE)</f>
        <v>16394</v>
      </c>
      <c r="AI147">
        <f>VLOOKUP(B147,[3]分省年度数据!$A$1:$IV$65536,7,FALSE)</f>
        <v>165.53</v>
      </c>
      <c r="AJ147">
        <f>VLOOKUP($B147,[18]分省年度数据!$A$1:$IS$65529,7,FALSE)</f>
        <v>98.28</v>
      </c>
      <c r="AK147">
        <f>VLOOKUP($B147,[19]分省年度数据!$A$1:$IS$65529,7,FALSE)</f>
        <v>97.39</v>
      </c>
      <c r="AL147">
        <f>VLOOKUP($B147,[20]分省年度数据!$A$1:$IS$65528,7,FALSE)</f>
        <v>9.51</v>
      </c>
      <c r="AM147">
        <f>VLOOKUP($B147,[21]分省年度数据!$A$1:$IS$65528,7,FALSE)</f>
        <v>2.81</v>
      </c>
      <c r="AN147">
        <f>VLOOKUP($B147,[22]分省年度数据!$A$1:$IS$65529,7,FALSE)</f>
        <v>17.14</v>
      </c>
    </row>
    <row r="148" spans="1:40">
      <c r="A148">
        <v>51</v>
      </c>
      <c r="B148" t="s">
        <v>23</v>
      </c>
      <c r="C148">
        <v>2018</v>
      </c>
      <c r="D148" t="s">
        <v>36</v>
      </c>
      <c r="E148">
        <f>VLOOKUP(B148,[1]分省年度数据!$A$1:$IV$65536,7,FALSE)</f>
        <v>8321</v>
      </c>
      <c r="F148" s="4">
        <v>22461</v>
      </c>
      <c r="G148" s="2">
        <f>VLOOKUP(B148,[2]分省年度数据!$A$1:$IV$65536,7,FALSE)</f>
        <v>836.8</v>
      </c>
      <c r="H148" s="2">
        <f t="shared" si="5"/>
        <v>0.10056483595721667</v>
      </c>
      <c r="N148">
        <v>6648.6527777777783</v>
      </c>
      <c r="O148">
        <f>N148/F148</f>
        <v>0.29600876086451083</v>
      </c>
      <c r="Q148" t="s">
        <v>55</v>
      </c>
      <c r="R148">
        <f>VLOOKUP(B148,[5]分省年度数据!$A$1:$O$65536,7,FALSE)</f>
        <v>81537</v>
      </c>
      <c r="S148">
        <f>VLOOKUP($B148,[6]分省年度数据!$A$1:$IV$65536,7,FALSE)</f>
        <v>59.89</v>
      </c>
      <c r="T148">
        <f>VLOOKUP($B148,[7]分省年度数据!$A$1:$IV$65536,7,FALSE)</f>
        <v>67</v>
      </c>
      <c r="U148">
        <f>VLOOKUP($B148,[8]分省年度数据!$A$1:$IV$65536,7,FALSE)</f>
        <v>10.5</v>
      </c>
      <c r="V148">
        <f>VLOOKUP($B148,[9]分省年度数据!$A$1:$IV$65536,7,FALSE)</f>
        <v>880.89</v>
      </c>
      <c r="W148">
        <f>VLOOKUP($B148,[10]分省年度数据!$A$1:$IV$65536,7,FALSE)</f>
        <v>13.94</v>
      </c>
      <c r="X148">
        <f>VLOOKUP($B148,[11]分省年度数据!$A$1:$IV$65536,7,FALSE)</f>
        <v>12.78</v>
      </c>
      <c r="Y148">
        <f>VLOOKUP($B148,[12]分省年度数据!$A$1:$IV$65536,7,FALSE)</f>
        <v>16.84</v>
      </c>
      <c r="AA148">
        <f>VLOOKUP($B148,[13]分省年度数据!$A$1:$IV$65536,7,FALSE)</f>
        <v>20767987</v>
      </c>
      <c r="AB148">
        <f>VLOOKUP($B148,[14]分省年度数据!$A$1:$IV$65536,7,FALSE)</f>
        <v>1461.78</v>
      </c>
      <c r="AC148">
        <f>VLOOKUP($B148,[16]分省年度数据!$A$1:$IT$65532,7,FALSE)</f>
        <v>1162</v>
      </c>
      <c r="AD148">
        <f>VLOOKUP($B148,[17]分省年度数据!$A$1:$IS$65525,7,FALSE)</f>
        <v>19340.7</v>
      </c>
      <c r="AE148">
        <f>IFERROR(AC148/E148,0)</f>
        <v>0.13964667708208148</v>
      </c>
      <c r="AF148">
        <f>IFERROR(AD148/E148,0)</f>
        <v>2.3243239995192888</v>
      </c>
      <c r="AG148">
        <f>VLOOKUP($B148,[15]分省年度数据!$A$1:$IV$65536,7,FALSE)</f>
        <v>8804</v>
      </c>
      <c r="AH148">
        <f>VLOOKUP(B148,[4]分省年度数据!$A$1:$IV$65536,7,FALSE)</f>
        <v>34213</v>
      </c>
      <c r="AI148">
        <f>VLOOKUP(B148,[3]分省年度数据!$A$1:$IV$65536,7,FALSE)</f>
        <v>181.36</v>
      </c>
      <c r="AJ148">
        <f>VLOOKUP($B148,[18]分省年度数据!$A$1:$IS$65529,7,FALSE)</f>
        <v>95.7</v>
      </c>
      <c r="AK148">
        <f>VLOOKUP($B148,[19]分省年度数据!$A$1:$IS$65529,7,FALSE)</f>
        <v>93.7</v>
      </c>
      <c r="AL148">
        <f>VLOOKUP($B148,[20]分省年度数据!$A$1:$IS$65528,7,FALSE)</f>
        <v>13.18</v>
      </c>
      <c r="AM148">
        <f>VLOOKUP($B148,[21]分省年度数据!$A$1:$IS$65528,7,FALSE)</f>
        <v>2.36</v>
      </c>
      <c r="AN148">
        <f>VLOOKUP($B148,[22]分省年度数据!$A$1:$IS$65529,7,FALSE)</f>
        <v>12.97</v>
      </c>
    </row>
    <row r="149" spans="1:40">
      <c r="A149">
        <v>52</v>
      </c>
      <c r="B149" t="s">
        <v>24</v>
      </c>
      <c r="C149">
        <v>2018</v>
      </c>
      <c r="D149" t="s">
        <v>36</v>
      </c>
      <c r="E149">
        <f>VLOOKUP(B149,[1]分省年度数据!$A$1:$IV$65536,7,FALSE)</f>
        <v>3822</v>
      </c>
      <c r="F149" s="4">
        <v>18430</v>
      </c>
      <c r="G149" s="2">
        <f>VLOOKUP(B149,[2]分省年度数据!$A$1:$IV$65536,7,FALSE)</f>
        <v>508.2</v>
      </c>
      <c r="H149" s="2">
        <f t="shared" si="5"/>
        <v>0.13296703296703297</v>
      </c>
      <c r="N149">
        <v>5799.8981481481487</v>
      </c>
      <c r="O149">
        <f>N149/F149</f>
        <v>0.31469876007314967</v>
      </c>
      <c r="Q149" t="s">
        <v>55</v>
      </c>
      <c r="R149">
        <f>VLOOKUP(B149,[5]分省年度数据!$A$1:$O$65536,7,FALSE)</f>
        <v>28066</v>
      </c>
      <c r="S149">
        <f>VLOOKUP($B149,[6]分省年度数据!$A$1:$IV$65536,7,FALSE)</f>
        <v>24.56</v>
      </c>
      <c r="T149">
        <f>VLOOKUP($B149,[7]分省年度数据!$A$1:$IV$65536,7,FALSE)</f>
        <v>68</v>
      </c>
      <c r="U149">
        <f>VLOOKUP($B149,[8]分省年度数据!$A$1:$IV$65536,7,FALSE)</f>
        <v>8.1</v>
      </c>
      <c r="V149">
        <f>VLOOKUP($B149,[9]分省年度数据!$A$1:$IV$65536,7,FALSE)</f>
        <v>481.8</v>
      </c>
      <c r="W149">
        <f>VLOOKUP($B149,[10]分省年度数据!$A$1:$IV$65536,7,FALSE)</f>
        <v>15.13</v>
      </c>
      <c r="X149">
        <f>VLOOKUP($B149,[11]分省年度数据!$A$1:$IV$65536,7,FALSE)</f>
        <v>14.1</v>
      </c>
      <c r="Y149">
        <f>VLOOKUP($B149,[12]分省年度数据!$A$1:$IV$65536,7,FALSE)</f>
        <v>17.89</v>
      </c>
      <c r="AA149">
        <f>VLOOKUP($B149,[13]分省年度数据!$A$1:$IV$65536,7,FALSE)</f>
        <v>12732768</v>
      </c>
      <c r="AB149">
        <f>VLOOKUP($B149,[14]分省年度数据!$A$1:$IV$65536,7,FALSE)</f>
        <v>985.95</v>
      </c>
      <c r="AC149">
        <f>VLOOKUP($B149,[16]分省年度数据!$A$1:$IT$65532,7,FALSE)</f>
        <v>16</v>
      </c>
      <c r="AD149">
        <f>VLOOKUP($B149,[17]分省年度数据!$A$1:$IS$65525,7,FALSE)</f>
        <v>7105</v>
      </c>
      <c r="AE149">
        <f>IFERROR(AC149/E149,0)</f>
        <v>4.1862899005756151E-3</v>
      </c>
      <c r="AF149">
        <f>IFERROR(AD149/E149,0)</f>
        <v>1.858974358974359</v>
      </c>
      <c r="AG149">
        <f>VLOOKUP($B149,[15]分省年度数据!$A$1:$IV$65536,7,FALSE)</f>
        <v>12199</v>
      </c>
      <c r="AH149">
        <f>VLOOKUP(B149,[4]分省年度数据!$A$1:$IV$65536,7,FALSE)</f>
        <v>11767</v>
      </c>
      <c r="AI149">
        <f>VLOOKUP(B149,[3]分省年度数据!$A$1:$IV$65536,7,FALSE)</f>
        <v>185.86</v>
      </c>
      <c r="AJ149">
        <f>VLOOKUP($B149,[18]分省年度数据!$A$1:$IS$65529,7,FALSE)</f>
        <v>96.68</v>
      </c>
      <c r="AK149">
        <f>VLOOKUP($B149,[19]分省年度数据!$A$1:$IS$65529,7,FALSE)</f>
        <v>87.25</v>
      </c>
      <c r="AL149">
        <f>VLOOKUP($B149,[20]分省年度数据!$A$1:$IS$65528,7,FALSE)</f>
        <v>10.96</v>
      </c>
      <c r="AM149">
        <f>VLOOKUP($B149,[21]分省年度数据!$A$1:$IS$65528,7,FALSE)</f>
        <v>2.86</v>
      </c>
      <c r="AN149">
        <f>VLOOKUP($B149,[22]分省年度数据!$A$1:$IS$65529,7,FALSE)</f>
        <v>15.51</v>
      </c>
    </row>
    <row r="150" spans="1:40">
      <c r="A150">
        <v>53</v>
      </c>
      <c r="B150" t="s">
        <v>25</v>
      </c>
      <c r="C150">
        <v>2018</v>
      </c>
      <c r="D150" t="s">
        <v>36</v>
      </c>
      <c r="E150">
        <f>VLOOKUP(B150,[1]分省年度数据!$A$1:$IV$65536,7,FALSE)</f>
        <v>4703</v>
      </c>
      <c r="F150" s="4">
        <v>20084</v>
      </c>
      <c r="G150" s="2">
        <f>VLOOKUP(B150,[2]分省年度数据!$A$1:$IV$65536,7,FALSE)</f>
        <v>480.2</v>
      </c>
      <c r="H150" s="2">
        <f t="shared" si="5"/>
        <v>0.10210503933659366</v>
      </c>
      <c r="N150">
        <v>6674.4062499999964</v>
      </c>
      <c r="O150">
        <f>N150/F150</f>
        <v>0.33232454939255113</v>
      </c>
      <c r="Q150" t="s">
        <v>55</v>
      </c>
      <c r="R150">
        <f>VLOOKUP(B150,[5]分省年度数据!$A$1:$O$65536,7,FALSE)</f>
        <v>24954</v>
      </c>
      <c r="S150">
        <f>VLOOKUP($B150,[6]分省年度数据!$A$1:$IV$65536,7,FALSE)</f>
        <v>29.12</v>
      </c>
      <c r="T150">
        <f>VLOOKUP($B150,[7]分省年度数据!$A$1:$IV$65536,7,FALSE)</f>
        <v>62</v>
      </c>
      <c r="U150">
        <f>VLOOKUP($B150,[8]分省年度数据!$A$1:$IV$65536,7,FALSE)</f>
        <v>8.6</v>
      </c>
      <c r="V150">
        <f>VLOOKUP($B150,[9]分省年度数据!$A$1:$IV$65536,7,FALSE)</f>
        <v>575.41999999999996</v>
      </c>
      <c r="W150">
        <f>VLOOKUP($B150,[10]分省年度数据!$A$1:$IV$65536,7,FALSE)</f>
        <v>14.62</v>
      </c>
      <c r="X150">
        <f>VLOOKUP($B150,[11]分省年度数据!$A$1:$IV$65536,7,FALSE)</f>
        <v>14.07</v>
      </c>
      <c r="Y150">
        <f>VLOOKUP($B150,[12]分省年度数据!$A$1:$IV$65536,7,FALSE)</f>
        <v>16.62</v>
      </c>
      <c r="AA150">
        <f>VLOOKUP($B150,[13]分省年度数据!$A$1:$IV$65536,7,FALSE)</f>
        <v>14543783</v>
      </c>
      <c r="AB150">
        <f>VLOOKUP($B150,[14]分省年度数据!$A$1:$IV$65536,7,FALSE)</f>
        <v>1077.43</v>
      </c>
      <c r="AC150">
        <f>VLOOKUP($B150,[16]分省年度数据!$A$1:$IT$65532,7,FALSE)</f>
        <v>243</v>
      </c>
      <c r="AD150">
        <f>VLOOKUP($B150,[17]分省年度数据!$A$1:$IS$65525,7,FALSE)</f>
        <v>9197.2999999999993</v>
      </c>
      <c r="AE150">
        <f>IFERROR(AC150/E150,0)</f>
        <v>5.1669147352753561E-2</v>
      </c>
      <c r="AF150">
        <f>IFERROR(AD150/E150,0)</f>
        <v>1.9556240697427172</v>
      </c>
      <c r="AG150">
        <f>VLOOKUP($B150,[15]分省年度数据!$A$1:$IV$65536,7,FALSE)</f>
        <v>6067</v>
      </c>
      <c r="AH150">
        <f>VLOOKUP(B150,[4]分省年度数据!$A$1:$IV$65536,7,FALSE)</f>
        <v>20532</v>
      </c>
      <c r="AI150">
        <f>VLOOKUP(B150,[3]分省年度数据!$A$1:$IV$65536,7,FALSE)</f>
        <v>138.96</v>
      </c>
      <c r="AJ150">
        <f>VLOOKUP($B150,[18]分省年度数据!$A$1:$IS$65529,7,FALSE)</f>
        <v>96.6</v>
      </c>
      <c r="AK150">
        <f>VLOOKUP($B150,[19]分省年度数据!$A$1:$IS$65529,7,FALSE)</f>
        <v>77.31</v>
      </c>
      <c r="AL150">
        <f>VLOOKUP($B150,[20]分省年度数据!$A$1:$IS$65528,7,FALSE)</f>
        <v>12.97</v>
      </c>
      <c r="AM150">
        <f>VLOOKUP($B150,[21]分省年度数据!$A$1:$IS$65528,7,FALSE)</f>
        <v>6.4</v>
      </c>
      <c r="AN150">
        <f>VLOOKUP($B150,[22]分省年度数据!$A$1:$IS$65529,7,FALSE)</f>
        <v>11.85</v>
      </c>
    </row>
    <row r="151" spans="1:40">
      <c r="A151">
        <v>54</v>
      </c>
      <c r="B151" t="s">
        <v>26</v>
      </c>
      <c r="C151">
        <v>2018</v>
      </c>
      <c r="D151" t="s">
        <v>36</v>
      </c>
      <c r="E151">
        <f>VLOOKUP(B151,[1]分省年度数据!$A$1:$IV$65536,7,FALSE)</f>
        <v>354</v>
      </c>
      <c r="F151" s="4">
        <v>17286</v>
      </c>
      <c r="G151" s="2">
        <f>VLOOKUP(B151,[2]分省年度数据!$A$1:$IV$65536,7,FALSE)</f>
        <v>23.5</v>
      </c>
      <c r="H151" s="2">
        <f t="shared" si="5"/>
        <v>6.6384180790960451E-2</v>
      </c>
      <c r="N151">
        <v>10278.166666666701</v>
      </c>
      <c r="O151">
        <f>N151/F151</f>
        <v>0.59459485518145905</v>
      </c>
      <c r="Q151" t="s">
        <v>75</v>
      </c>
      <c r="R151">
        <f>VLOOKUP(B151,[5]分省年度数据!$A$1:$O$65536,7,FALSE)</f>
        <v>6844</v>
      </c>
      <c r="S151">
        <f>VLOOKUP($B151,[6]分省年度数据!$A$1:$IV$65536,7,FALSE)</f>
        <v>1.68</v>
      </c>
      <c r="T151">
        <f>VLOOKUP($B151,[7]分省年度数据!$A$1:$IV$65536,7,FALSE)</f>
        <v>55</v>
      </c>
      <c r="U151">
        <f>VLOOKUP($B151,[8]分省年度数据!$A$1:$IV$65536,7,FALSE)</f>
        <v>8.9</v>
      </c>
      <c r="V151">
        <f>VLOOKUP($B151,[9]分省年度数据!$A$1:$IV$65536,7,FALSE)</f>
        <v>106.93</v>
      </c>
      <c r="W151">
        <f>VLOOKUP($B151,[10]分省年度数据!$A$1:$IV$65536,7,FALSE)</f>
        <v>10.75</v>
      </c>
      <c r="X151">
        <f>VLOOKUP($B151,[11]分省年度数据!$A$1:$IV$65536,7,FALSE)</f>
        <v>12.01</v>
      </c>
      <c r="Y151">
        <f>VLOOKUP($B151,[12]分省年度数据!$A$1:$IV$65536,7,FALSE)</f>
        <v>14.54</v>
      </c>
      <c r="AA151">
        <f>VLOOKUP($B151,[13]分省年度数据!$A$1:$IV$65536,7,FALSE)</f>
        <v>2562958</v>
      </c>
      <c r="AB151">
        <f>VLOOKUP($B151,[14]分省年度数据!$A$1:$IV$65536,7,FALSE)</f>
        <v>232.15</v>
      </c>
      <c r="AC151">
        <f>VLOOKUP($B151,[16]分省年度数据!$A$1:$IT$65532,7,FALSE)</f>
        <v>2</v>
      </c>
      <c r="AD151">
        <f>VLOOKUP($B151,[17]分省年度数据!$A$1:$IS$65525,7,FALSE)</f>
        <v>711.8</v>
      </c>
      <c r="AE151">
        <f>IFERROR(AC151/E151,0)</f>
        <v>5.6497175141242938E-3</v>
      </c>
      <c r="AF151">
        <f>IFERROR(AD151/E151,0)</f>
        <v>2.0107344632768362</v>
      </c>
      <c r="AG151">
        <f>VLOOKUP($B151,[15]分省年度数据!$A$1:$IV$65536,7,FALSE)</f>
        <v>363</v>
      </c>
      <c r="AH151">
        <f>VLOOKUP(B151,[4]分省年度数据!$A$1:$IV$65536,7,FALSE)</f>
        <v>1848</v>
      </c>
      <c r="AI151">
        <f>VLOOKUP(B151,[3]分省年度数据!$A$1:$IV$65536,7,FALSE)</f>
        <v>162.97</v>
      </c>
      <c r="AJ151">
        <f>VLOOKUP($B151,[18]分省年度数据!$A$1:$IS$65529,7,FALSE)</f>
        <v>85.9</v>
      </c>
      <c r="AK151">
        <f>VLOOKUP($B151,[19]分省年度数据!$A$1:$IS$65529,7,FALSE)</f>
        <v>55.05</v>
      </c>
      <c r="AL151">
        <f>VLOOKUP($B151,[20]分省年度数据!$A$1:$IS$65528,7,FALSE)</f>
        <v>7.72</v>
      </c>
      <c r="AM151">
        <f>VLOOKUP($B151,[21]分省年度数据!$A$1:$IS$65528,7,FALSE)</f>
        <v>3.94</v>
      </c>
      <c r="AN151">
        <f>VLOOKUP($B151,[22]分省年度数据!$A$1:$IS$65529,7,FALSE)</f>
        <v>8.7100000000000009</v>
      </c>
    </row>
    <row r="152" spans="1:40">
      <c r="A152">
        <v>61</v>
      </c>
      <c r="B152" t="s">
        <v>27</v>
      </c>
      <c r="C152">
        <v>2018</v>
      </c>
      <c r="D152" t="s">
        <v>37</v>
      </c>
      <c r="E152">
        <f>VLOOKUP(B152,[1]分省年度数据!$A$1:$IV$65536,7,FALSE)</f>
        <v>3931</v>
      </c>
      <c r="F152" s="4">
        <v>22528</v>
      </c>
      <c r="G152" s="2">
        <f>VLOOKUP(B152,[2]分省年度数据!$A$1:$IV$65536,7,FALSE)</f>
        <v>330.7</v>
      </c>
      <c r="H152" s="2">
        <f t="shared" si="5"/>
        <v>8.4126176545408285E-2</v>
      </c>
      <c r="N152">
        <v>5876.9515151515152</v>
      </c>
      <c r="O152">
        <f>N152/F152</f>
        <v>0.26087320290977961</v>
      </c>
      <c r="Q152" t="s">
        <v>62</v>
      </c>
      <c r="R152">
        <f>VLOOKUP(B152,[5]分省年度数据!$A$1:$O$65536,7,FALSE)</f>
        <v>35300</v>
      </c>
      <c r="S152">
        <f>VLOOKUP($B152,[6]分省年度数据!$A$1:$IV$65536,7,FALSE)</f>
        <v>25.37</v>
      </c>
      <c r="T152">
        <f>VLOOKUP($B152,[7]分省年度数据!$A$1:$IV$65536,7,FALSE)</f>
        <v>85</v>
      </c>
      <c r="U152">
        <f>VLOOKUP($B152,[8]分省年度数据!$A$1:$IV$65536,7,FALSE)</f>
        <v>8.9</v>
      </c>
      <c r="V152">
        <f>VLOOKUP($B152,[9]分省年度数据!$A$1:$IV$65536,7,FALSE)</f>
        <v>455.31</v>
      </c>
      <c r="W152">
        <f>VLOOKUP($B152,[10]分省年度数据!$A$1:$IV$65536,7,FALSE)</f>
        <v>12.59</v>
      </c>
      <c r="X152">
        <f>VLOOKUP($B152,[11]分省年度数据!$A$1:$IV$65536,7,FALSE)</f>
        <v>11.02</v>
      </c>
      <c r="Y152">
        <f>VLOOKUP($B152,[12]分省年度数据!$A$1:$IV$65536,7,FALSE)</f>
        <v>16.18</v>
      </c>
      <c r="AA152">
        <f>VLOOKUP($B152,[13]分省年度数据!$A$1:$IV$65536,7,FALSE)</f>
        <v>11375081</v>
      </c>
      <c r="AB152">
        <f>VLOOKUP($B152,[14]分省年度数据!$A$1:$IV$65536,7,FALSE)</f>
        <v>871.44</v>
      </c>
      <c r="AC152">
        <f>VLOOKUP($B152,[16]分省年度数据!$A$1:$IT$65532,7,FALSE)</f>
        <v>413</v>
      </c>
      <c r="AD152">
        <f>VLOOKUP($B152,[17]分省年度数据!$A$1:$IS$65525,7,FALSE)</f>
        <v>9510.2999999999993</v>
      </c>
      <c r="AE152">
        <f>IFERROR(AC152/E152,0)</f>
        <v>0.10506232510811499</v>
      </c>
      <c r="AF152">
        <f>IFERROR(AD152/E152,0)</f>
        <v>2.4193080641058251</v>
      </c>
      <c r="AG152">
        <f>VLOOKUP($B152,[15]分省年度数据!$A$1:$IV$65536,7,FALSE)</f>
        <v>6122</v>
      </c>
      <c r="AH152">
        <f>VLOOKUP(B152,[4]分省年度数据!$A$1:$IV$65536,7,FALSE)</f>
        <v>12370</v>
      </c>
      <c r="AI152">
        <f>VLOOKUP(B152,[3]分省年度数据!$A$1:$IV$65536,7,FALSE)</f>
        <v>163.38999999999999</v>
      </c>
      <c r="AJ152">
        <f>VLOOKUP($B152,[18]分省年度数据!$A$1:$IS$65529,7,FALSE)</f>
        <v>95.49</v>
      </c>
      <c r="AK152">
        <f>VLOOKUP($B152,[19]分省年度数据!$A$1:$IS$65529,7,FALSE)</f>
        <v>96.19</v>
      </c>
      <c r="AL152">
        <f>VLOOKUP($B152,[20]分省年度数据!$A$1:$IS$65528,7,FALSE)</f>
        <v>13.72</v>
      </c>
      <c r="AM152">
        <f>VLOOKUP($B152,[21]分省年度数据!$A$1:$IS$65528,7,FALSE)</f>
        <v>5.28</v>
      </c>
      <c r="AN152">
        <f>VLOOKUP($B152,[22]分省年度数据!$A$1:$IS$65529,7,FALSE)</f>
        <v>11.76</v>
      </c>
    </row>
    <row r="153" spans="1:40">
      <c r="A153">
        <v>62</v>
      </c>
      <c r="B153" t="s">
        <v>28</v>
      </c>
      <c r="C153">
        <v>2018</v>
      </c>
      <c r="D153" t="s">
        <v>37</v>
      </c>
      <c r="E153">
        <f>VLOOKUP(B153,[1]分省年度数据!$A$1:$IV$65536,7,FALSE)</f>
        <v>2515</v>
      </c>
      <c r="F153" s="4">
        <v>17488</v>
      </c>
      <c r="G153" s="2">
        <f>VLOOKUP(B153,[2]分省年度数据!$A$1:$IV$65536,7,FALSE)</f>
        <v>922.8</v>
      </c>
      <c r="H153" s="2">
        <f t="shared" si="5"/>
        <v>0.36691848906560637</v>
      </c>
      <c r="N153">
        <v>6287.9092592592624</v>
      </c>
      <c r="O153">
        <f>N153/F153</f>
        <v>0.35955565297685627</v>
      </c>
      <c r="Q153" t="s">
        <v>61</v>
      </c>
      <c r="R153">
        <f>VLOOKUP(B153,[5]分省年度数据!$A$1:$O$65536,7,FALSE)</f>
        <v>27897</v>
      </c>
      <c r="S153">
        <f>VLOOKUP($B153,[6]分省年度数据!$A$1:$IV$65536,7,FALSE)</f>
        <v>16.27</v>
      </c>
      <c r="T153">
        <f>VLOOKUP($B153,[7]分省年度数据!$A$1:$IV$65536,7,FALSE)</f>
        <v>60</v>
      </c>
      <c r="U153">
        <f>VLOOKUP($B153,[8]分省年度数据!$A$1:$IV$65536,7,FALSE)</f>
        <v>8.4</v>
      </c>
      <c r="V153">
        <f>VLOOKUP($B153,[9]分省年度数据!$A$1:$IV$65536,7,FALSE)</f>
        <v>313.52999999999997</v>
      </c>
      <c r="W153">
        <f>VLOOKUP($B153,[10]分省年度数据!$A$1:$IV$65536,7,FALSE)</f>
        <v>12.01</v>
      </c>
      <c r="X153">
        <f>VLOOKUP($B153,[11]分省年度数据!$A$1:$IV$65536,7,FALSE)</f>
        <v>10.88</v>
      </c>
      <c r="Y153">
        <f>VLOOKUP($B153,[12]分省年度数据!$A$1:$IV$65536,7,FALSE)</f>
        <v>13.24</v>
      </c>
      <c r="AA153">
        <f>VLOOKUP($B153,[13]分省年度数据!$A$1:$IV$65536,7,FALSE)</f>
        <v>7404892</v>
      </c>
      <c r="AB153">
        <f>VLOOKUP($B153,[14]分省年度数据!$A$1:$IV$65536,7,FALSE)</f>
        <v>592.96</v>
      </c>
      <c r="AC153">
        <f>VLOOKUP($B153,[16]分省年度数据!$A$1:$IT$65532,7,FALSE)</f>
        <v>49</v>
      </c>
      <c r="AD153">
        <f>VLOOKUP($B153,[17]分省年度数据!$A$1:$IS$65525,7,FALSE)</f>
        <v>3435.6</v>
      </c>
      <c r="AE153">
        <f>IFERROR(AC153/E153,0)</f>
        <v>1.94831013916501E-2</v>
      </c>
      <c r="AF153">
        <f>IFERROR(AD153/E153,0)</f>
        <v>1.3660437375745527</v>
      </c>
      <c r="AG153">
        <f>VLOOKUP($B153,[15]分省年度数据!$A$1:$IV$65536,7,FALSE)</f>
        <v>3086</v>
      </c>
      <c r="AH153">
        <f>VLOOKUP(B153,[4]分省年度数据!$A$1:$IV$65536,7,FALSE)</f>
        <v>9914</v>
      </c>
      <c r="AI153">
        <f>VLOOKUP(B153,[3]分省年度数据!$A$1:$IV$65536,7,FALSE)</f>
        <v>137.16999999999999</v>
      </c>
      <c r="AJ153">
        <f>VLOOKUP($B153,[18]分省年度数据!$A$1:$IS$65529,7,FALSE)</f>
        <v>97.9</v>
      </c>
      <c r="AK153">
        <f>VLOOKUP($B153,[19]分省年度数据!$A$1:$IS$65529,7,FALSE)</f>
        <v>90.91</v>
      </c>
      <c r="AL153">
        <f>VLOOKUP($B153,[20]分省年度数据!$A$1:$IS$65528,7,FALSE)</f>
        <v>11.87</v>
      </c>
      <c r="AM153">
        <f>VLOOKUP($B153,[21]分省年度数据!$A$1:$IS$65528,7,FALSE)</f>
        <v>3.1</v>
      </c>
      <c r="AN153">
        <f>VLOOKUP($B153,[22]分省年度数据!$A$1:$IS$65529,7,FALSE)</f>
        <v>13.65</v>
      </c>
    </row>
    <row r="154" spans="1:40">
      <c r="A154">
        <v>63</v>
      </c>
      <c r="B154" t="s">
        <v>29</v>
      </c>
      <c r="C154">
        <v>2018</v>
      </c>
      <c r="D154" t="s">
        <v>37</v>
      </c>
      <c r="E154">
        <f>VLOOKUP(B154,[1]分省年度数据!$A$1:$IV$65536,7,FALSE)</f>
        <v>587</v>
      </c>
      <c r="F154" s="4">
        <v>20757</v>
      </c>
      <c r="G154" s="2">
        <f>VLOOKUP(B154,[2]分省年度数据!$A$1:$IV$65536,7,FALSE)</f>
        <v>72.900000000000006</v>
      </c>
      <c r="H154" s="2">
        <f t="shared" si="5"/>
        <v>0.12419080068143101</v>
      </c>
      <c r="N154">
        <v>8646.7083333333358</v>
      </c>
      <c r="O154">
        <f>N154/F154</f>
        <v>0.41656830627418873</v>
      </c>
      <c r="Q154" t="s">
        <v>62</v>
      </c>
      <c r="R154">
        <f>VLOOKUP(B154,[5]分省年度数据!$A$1:$O$65536,7,FALSE)</f>
        <v>6396</v>
      </c>
      <c r="S154">
        <f>VLOOKUP($B154,[6]分省年度数据!$A$1:$IV$65536,7,FALSE)</f>
        <v>3.91</v>
      </c>
      <c r="T154">
        <f>VLOOKUP($B154,[7]分省年度数据!$A$1:$IV$65536,7,FALSE)</f>
        <v>74</v>
      </c>
      <c r="U154">
        <f>VLOOKUP($B154,[8]分省年度数据!$A$1:$IV$65536,7,FALSE)</f>
        <v>9</v>
      </c>
      <c r="V154">
        <f>VLOOKUP($B154,[9]分省年度数据!$A$1:$IV$65536,7,FALSE)</f>
        <v>141.6</v>
      </c>
      <c r="W154">
        <f>VLOOKUP($B154,[10]分省年度数据!$A$1:$IV$65536,7,FALSE)</f>
        <v>13.03</v>
      </c>
      <c r="X154">
        <f>VLOOKUP($B154,[11]分省年度数据!$A$1:$IV$65536,7,FALSE)</f>
        <v>13.62</v>
      </c>
      <c r="Y154">
        <f>VLOOKUP($B154,[12]分省年度数据!$A$1:$IV$65536,7,FALSE)</f>
        <v>17.68</v>
      </c>
      <c r="AA154">
        <f>VLOOKUP($B154,[13]分省年度数据!$A$1:$IV$65536,7,FALSE)</f>
        <v>2640309</v>
      </c>
      <c r="AB154">
        <f>VLOOKUP($B154,[14]分省年度数据!$A$1:$IV$65536,7,FALSE)</f>
        <v>199.1</v>
      </c>
      <c r="AC154" t="str">
        <f>VLOOKUP($B154,[16]分省年度数据!$A$1:$IT$65532,7,FALSE)</f>
        <v/>
      </c>
      <c r="AD154">
        <f>VLOOKUP($B154,[17]分省年度数据!$A$1:$IS$65525,7,FALSE)</f>
        <v>899.9</v>
      </c>
      <c r="AE154">
        <f>IFERROR(AC154/E154,0)</f>
        <v>0</v>
      </c>
      <c r="AF154">
        <f>IFERROR(AD154/E154,0)</f>
        <v>1.5330494037478706</v>
      </c>
      <c r="AG154">
        <f>VLOOKUP($B154,[15]分省年度数据!$A$1:$IV$65536,7,FALSE)</f>
        <v>1281</v>
      </c>
      <c r="AH154">
        <f>VLOOKUP(B154,[4]分省年度数据!$A$1:$IV$65536,7,FALSE)</f>
        <v>3261</v>
      </c>
      <c r="AI154">
        <f>VLOOKUP(B154,[3]分省年度数据!$A$1:$IV$65536,7,FALSE)</f>
        <v>178.51</v>
      </c>
      <c r="AJ154">
        <f>VLOOKUP($B154,[18]分省年度数据!$A$1:$IS$65529,7,FALSE)</f>
        <v>99</v>
      </c>
      <c r="AK154">
        <f>VLOOKUP($B154,[19]分省年度数据!$A$1:$IS$65529,7,FALSE)</f>
        <v>94.69</v>
      </c>
      <c r="AL154">
        <f>VLOOKUP($B154,[20]分省年度数据!$A$1:$IS$65528,7,FALSE)</f>
        <v>14.57</v>
      </c>
      <c r="AM154">
        <f>VLOOKUP($B154,[21]分省年度数据!$A$1:$IS$65528,7,FALSE)</f>
        <v>3.69</v>
      </c>
      <c r="AN154">
        <f>VLOOKUP($B154,[22]分省年度数据!$A$1:$IS$65529,7,FALSE)</f>
        <v>11.45</v>
      </c>
    </row>
    <row r="155" spans="1:40">
      <c r="A155">
        <v>64</v>
      </c>
      <c r="B155" t="s">
        <v>30</v>
      </c>
      <c r="C155">
        <v>2018</v>
      </c>
      <c r="D155" t="s">
        <v>37</v>
      </c>
      <c r="E155">
        <f>VLOOKUP(B155,[1]分省年度数据!$A$1:$IV$65536,7,FALSE)</f>
        <v>710</v>
      </c>
      <c r="F155" s="4">
        <v>22400</v>
      </c>
      <c r="G155" s="2">
        <f>VLOOKUP(B155,[2]分省年度数据!$A$1:$IV$65536,7,FALSE)</f>
        <v>42.6</v>
      </c>
      <c r="H155" s="2">
        <f t="shared" si="5"/>
        <v>6.0000000000000005E-2</v>
      </c>
      <c r="N155">
        <v>4268.5333333333319</v>
      </c>
      <c r="O155">
        <f>N155/F155</f>
        <v>0.19055952380952373</v>
      </c>
      <c r="Q155" t="s">
        <v>61</v>
      </c>
      <c r="R155">
        <f>VLOOKUP(B155,[5]分省年度数据!$A$1:$O$65536,7,FALSE)</f>
        <v>4450</v>
      </c>
      <c r="S155">
        <f>VLOOKUP($B155,[6]分省年度数据!$A$1:$IV$65536,7,FALSE)</f>
        <v>4.0999999999999996</v>
      </c>
      <c r="T155">
        <f>VLOOKUP($B155,[7]分省年度数据!$A$1:$IV$65536,7,FALSE)</f>
        <v>77</v>
      </c>
      <c r="U155">
        <f>VLOOKUP($B155,[8]分省年度数据!$A$1:$IV$65536,7,FALSE)</f>
        <v>8.9</v>
      </c>
      <c r="V155">
        <f>VLOOKUP($B155,[9]分省年度数据!$A$1:$IV$65536,7,FALSE)</f>
        <v>105.55</v>
      </c>
      <c r="W155">
        <f>VLOOKUP($B155,[10]分省年度数据!$A$1:$IV$65536,7,FALSE)</f>
        <v>13.06</v>
      </c>
      <c r="X155">
        <f>VLOOKUP($B155,[11]分省年度数据!$A$1:$IV$65536,7,FALSE)</f>
        <v>14.19</v>
      </c>
      <c r="Y155">
        <f>VLOOKUP($B155,[12]分省年度数据!$A$1:$IV$65536,7,FALSE)</f>
        <v>16.86</v>
      </c>
      <c r="AA155">
        <f>VLOOKUP($B155,[13]分省年度数据!$A$1:$IV$65536,7,FALSE)</f>
        <v>2346978</v>
      </c>
      <c r="AB155">
        <f>VLOOKUP($B155,[14]分省年度数据!$A$1:$IV$65536,7,FALSE)</f>
        <v>170.47</v>
      </c>
      <c r="AC155" t="str">
        <f>VLOOKUP($B155,[16]分省年度数据!$A$1:$IT$65532,7,FALSE)</f>
        <v/>
      </c>
      <c r="AD155">
        <f>VLOOKUP($B155,[17]分省年度数据!$A$1:$IS$65525,7,FALSE)</f>
        <v>1330.1</v>
      </c>
      <c r="AE155">
        <f>IFERROR(AC155/E155,0)</f>
        <v>0</v>
      </c>
      <c r="AF155">
        <f>IFERROR(AD155/E155,0)</f>
        <v>1.8733802816901408</v>
      </c>
      <c r="AG155">
        <f>VLOOKUP($B155,[15]分省年度数据!$A$1:$IV$65536,7,FALSE)</f>
        <v>1735</v>
      </c>
      <c r="AH155">
        <f>VLOOKUP(B155,[4]分省年度数据!$A$1:$IV$65536,7,FALSE)</f>
        <v>5870</v>
      </c>
      <c r="AI155">
        <f>VLOOKUP(B155,[3]分省年度数据!$A$1:$IV$65536,7,FALSE)</f>
        <v>147.28</v>
      </c>
      <c r="AJ155">
        <f>VLOOKUP($B155,[18]分省年度数据!$A$1:$IS$65529,7,FALSE)</f>
        <v>98.4</v>
      </c>
      <c r="AK155">
        <f>VLOOKUP($B155,[19]分省年度数据!$A$1:$IS$65529,7,FALSE)</f>
        <v>93.85</v>
      </c>
      <c r="AL155">
        <f>VLOOKUP($B155,[20]分省年度数据!$A$1:$IS$65528,7,FALSE)</f>
        <v>13.35</v>
      </c>
      <c r="AM155">
        <f>VLOOKUP($B155,[21]分省年度数据!$A$1:$IS$65528,7,FALSE)</f>
        <v>2.65</v>
      </c>
      <c r="AN155">
        <f>VLOOKUP($B155,[22]分省年度数据!$A$1:$IS$65529,7,FALSE)</f>
        <v>20.38</v>
      </c>
    </row>
    <row r="156" spans="1:40">
      <c r="A156">
        <v>65</v>
      </c>
      <c r="B156" t="s">
        <v>31</v>
      </c>
      <c r="C156">
        <v>2018</v>
      </c>
      <c r="D156" t="s">
        <v>37</v>
      </c>
      <c r="E156">
        <f>VLOOKUP(B156,[1]分省年度数据!$A$1:$IV$65536,7,FALSE)</f>
        <v>2520</v>
      </c>
      <c r="F156" s="4">
        <v>21500</v>
      </c>
      <c r="G156" s="2">
        <f>VLOOKUP(B156,[2]分省年度数据!$A$1:$IV$65536,7,FALSE)</f>
        <v>228</v>
      </c>
      <c r="H156" s="2">
        <f t="shared" si="5"/>
        <v>9.0476190476190474E-2</v>
      </c>
      <c r="N156">
        <v>5420.0555555555566</v>
      </c>
      <c r="O156">
        <f>N156/F156</f>
        <v>0.25209560723514218</v>
      </c>
      <c r="Q156" t="s">
        <v>75</v>
      </c>
      <c r="R156">
        <f>VLOOKUP(B156,[5]分省年度数据!$A$1:$O$65536,7,FALSE)</f>
        <v>18450</v>
      </c>
      <c r="S156">
        <f>VLOOKUP($B156,[6]分省年度数据!$A$1:$IV$65536,7,FALSE)</f>
        <v>17.89</v>
      </c>
      <c r="T156">
        <f>VLOOKUP($B156,[7]分省年度数据!$A$1:$IV$65536,7,FALSE)</f>
        <v>71</v>
      </c>
      <c r="U156">
        <f>VLOOKUP($B156,[8]分省年度数据!$A$1:$IV$65536,7,FALSE)</f>
        <v>8.5</v>
      </c>
      <c r="V156">
        <f>VLOOKUP($B156,[9]分省年度数据!$A$1:$IV$65536,7,FALSE)</f>
        <v>286.14</v>
      </c>
      <c r="W156">
        <f>VLOOKUP($B156,[10]分省年度数据!$A$1:$IV$65536,7,FALSE)</f>
        <v>12.29</v>
      </c>
      <c r="X156">
        <f>VLOOKUP($B156,[11]分省年度数据!$A$1:$IV$65536,7,FALSE)</f>
        <v>10.75</v>
      </c>
      <c r="Y156">
        <f>VLOOKUP($B156,[12]分省年度数据!$A$1:$IV$65536,7,FALSE)</f>
        <v>15.3</v>
      </c>
      <c r="AA156">
        <f>VLOOKUP($B156,[13]分省年度数据!$A$1:$IV$65536,7,FALSE)</f>
        <v>9522617</v>
      </c>
      <c r="AB156">
        <f>VLOOKUP($B156,[14]分省年度数据!$A$1:$IV$65536,7,FALSE)</f>
        <v>812.88</v>
      </c>
      <c r="AC156">
        <f>VLOOKUP($B156,[16]分省年度数据!$A$1:$IT$65532,7,FALSE)</f>
        <v>146</v>
      </c>
      <c r="AD156">
        <f>VLOOKUP($B156,[17]分省年度数据!$A$1:$IS$65525,7,FALSE)</f>
        <v>3429.1</v>
      </c>
      <c r="AE156">
        <f>IFERROR(AC156/E156,0)</f>
        <v>5.7936507936507939E-2</v>
      </c>
      <c r="AF156">
        <f>IFERROR(AD156/E156,0)</f>
        <v>1.3607539682539682</v>
      </c>
      <c r="AG156">
        <f>VLOOKUP($B156,[15]分省年度数据!$A$1:$IV$65536,7,FALSE)</f>
        <v>6181</v>
      </c>
      <c r="AH156">
        <f>VLOOKUP(B156,[4]分省年度数据!$A$1:$IV$65536,7,FALSE)</f>
        <v>11269</v>
      </c>
      <c r="AI156">
        <f>VLOOKUP(B156,[3]分省年度数据!$A$1:$IV$65536,7,FALSE)</f>
        <v>191.41</v>
      </c>
      <c r="AJ156">
        <f>VLOOKUP($B156,[18]分省年度数据!$A$1:$IS$65529,7,FALSE)</f>
        <v>97.66</v>
      </c>
      <c r="AK156">
        <f>VLOOKUP($B156,[19]分省年度数据!$A$1:$IS$65529,7,FALSE)</f>
        <v>98.01</v>
      </c>
      <c r="AL156">
        <f>VLOOKUP($B156,[20]分省年度数据!$A$1:$IS$65528,7,FALSE)</f>
        <v>14.44</v>
      </c>
      <c r="AM156">
        <f>VLOOKUP($B156,[21]分省年度数据!$A$1:$IS$65528,7,FALSE)</f>
        <v>3.03</v>
      </c>
      <c r="AN156">
        <f>VLOOKUP($B156,[22]分省年度数据!$A$1:$IS$65529,7,FALSE)</f>
        <v>14.31</v>
      </c>
    </row>
    <row r="157" spans="1:40">
      <c r="A157">
        <v>11</v>
      </c>
      <c r="B157" t="s">
        <v>1</v>
      </c>
      <c r="C157">
        <v>2020</v>
      </c>
      <c r="D157" t="s">
        <v>32</v>
      </c>
      <c r="E157">
        <f>VLOOKUP(B157,[1]分省年度数据!$A$1:$IV$65536,5,FALSE)</f>
        <v>2189</v>
      </c>
      <c r="F157" s="4">
        <v>69434</v>
      </c>
      <c r="G157" s="2">
        <f>VLOOKUP(B157,[2]分省年度数据!$A$1:$IV$65536,5,FALSE)</f>
        <v>1.8</v>
      </c>
      <c r="H157" s="2">
        <f t="shared" si="5"/>
        <v>8.2229328460484239E-4</v>
      </c>
      <c r="N157">
        <v>58072.916666666701</v>
      </c>
      <c r="O157">
        <f>N157/F157</f>
        <v>0.83637579091895475</v>
      </c>
      <c r="Q157" t="s">
        <v>63</v>
      </c>
      <c r="R157">
        <v>10599</v>
      </c>
      <c r="S157">
        <f>VLOOKUP($B57,[6]分省年度数据!$A$1:$IV$65536,5,FALSE)</f>
        <v>32.520000000000003</v>
      </c>
      <c r="T157">
        <f>VLOOKUP($B57,[7]分省年度数据!$A$1:$IV$65536,5,FALSE)</f>
        <v>78</v>
      </c>
      <c r="U157">
        <f>VLOOKUP($B57,[8]分省年度数据!$A$1:$IV$65536,5,FALSE)</f>
        <v>8.6999999999999993</v>
      </c>
      <c r="V157">
        <f>VLOOKUP($B57,[9]分省年度数据!$A$1:$IV$65536,5,FALSE)</f>
        <v>711.34</v>
      </c>
      <c r="W157">
        <f>VLOOKUP($B57,[10]分省年度数据!$A$1:$IV$65536,5,FALSE)</f>
        <v>13.31</v>
      </c>
      <c r="X157">
        <f>VLOOKUP($B57,[11]分省年度数据!$A$1:$IV$65536,5,FALSE)</f>
        <v>13.09</v>
      </c>
      <c r="Y157">
        <f>VLOOKUP($B57,[12]分省年度数据!$A$1:$IV$65536,5,FALSE)</f>
        <v>16.399999999999999</v>
      </c>
      <c r="AA157">
        <f>VLOOKUP($B57,[13]分省年度数据!$A$1:$IV$65536,5,FALSE)</f>
        <v>16571342</v>
      </c>
      <c r="AB157">
        <f>VLOOKUP($B57,[14]分省年度数据!$A$1:$IV$65536,5,FALSE)</f>
        <v>1162.02</v>
      </c>
      <c r="AC157">
        <f>VLOOKUP($B157,[16]分省年度数据!$A$1:$IT$65532,5,FALSE)</f>
        <v>6141</v>
      </c>
      <c r="AD157">
        <f>VLOOKUP($B157,[17]分省年度数据!$A$1:$IS$65525,5,FALSE)</f>
        <v>13716.4</v>
      </c>
      <c r="AE157">
        <f>IFERROR(AC157/E157,0)</f>
        <v>2.8053905893101874</v>
      </c>
      <c r="AF157">
        <f>IFERROR(AD157/E157,0)</f>
        <v>6.266057560529922</v>
      </c>
      <c r="AG157">
        <f>VLOOKUP($B57,[15]分省年度数据!$A$1:$IV$65536,5,FALSE)</f>
        <v>6344</v>
      </c>
      <c r="AH157">
        <f>VLOOKUP(B157,[4]分省年度数据!$A$1:$IV$65536,5,FALSE)</f>
        <v>28418</v>
      </c>
      <c r="AI157">
        <f>VLOOKUP(B157,[3]分省年度数据!$A$1:$IV$65536,5,FALSE)</f>
        <v>154.19</v>
      </c>
      <c r="AJ157">
        <f>VLOOKUP($B57,[18]分省年度数据!$A$1:$IS$65529,5,FALSE)</f>
        <v>98.1</v>
      </c>
      <c r="AK157">
        <f>VLOOKUP($B57,[19]分省年度数据!$A$1:$IS$65529,5,FALSE)</f>
        <v>78.650000000000006</v>
      </c>
      <c r="AL157">
        <f>VLOOKUP($B57,[20]分省年度数据!$A$1:$IS$65528,5,FALSE)</f>
        <v>12.9</v>
      </c>
      <c r="AM157">
        <f>VLOOKUP($B57,[21]分省年度数据!$A$1:$IS$65528,5,FALSE)</f>
        <v>5.0199999999999996</v>
      </c>
      <c r="AN157">
        <f>VLOOKUP($B57,[22]分省年度数据!$A$1:$IS$65529,5,FALSE)</f>
        <v>12.27</v>
      </c>
    </row>
    <row r="158" spans="1:40">
      <c r="A158">
        <v>12</v>
      </c>
      <c r="B158" t="s">
        <v>2</v>
      </c>
      <c r="C158">
        <v>2020</v>
      </c>
      <c r="D158" t="s">
        <v>32</v>
      </c>
      <c r="E158">
        <f>VLOOKUP(B158,[1]分省年度数据!$A$1:$IV$65536,5,FALSE)</f>
        <v>1387</v>
      </c>
      <c r="F158" s="4">
        <v>43854</v>
      </c>
      <c r="G158" s="2">
        <f>VLOOKUP(B158,[2]分省年度数据!$A$1:$IV$65536,5,FALSE)</f>
        <v>12.9</v>
      </c>
      <c r="H158" s="2">
        <f t="shared" si="5"/>
        <v>9.3006488824801739E-3</v>
      </c>
      <c r="N158">
        <v>20326.166666666701</v>
      </c>
      <c r="O158">
        <f>N158/F158</f>
        <v>0.46349629832322481</v>
      </c>
      <c r="Q158" t="s">
        <v>65</v>
      </c>
      <c r="R158">
        <v>10599</v>
      </c>
      <c r="S158">
        <f>VLOOKUP($B58,[6]分省年度数据!$A$1:$IV$65536,5,FALSE)</f>
        <v>1.86</v>
      </c>
      <c r="T158">
        <f>VLOOKUP($B58,[7]分省年度数据!$A$1:$IV$65536,5,FALSE)</f>
        <v>62</v>
      </c>
      <c r="U158">
        <f>VLOOKUP($B58,[8]分省年度数据!$A$1:$IV$65536,5,FALSE)</f>
        <v>7.7</v>
      </c>
      <c r="V158">
        <f>VLOOKUP($B58,[9]分省年度数据!$A$1:$IV$65536,5,FALSE)</f>
        <v>144.37</v>
      </c>
      <c r="W158">
        <f>VLOOKUP($B58,[10]分省年度数据!$A$1:$IV$65536,5,FALSE)</f>
        <v>12.34</v>
      </c>
      <c r="X158">
        <f>VLOOKUP($B58,[11]分省年度数据!$A$1:$IV$65536,5,FALSE)</f>
        <v>11.55</v>
      </c>
      <c r="Y158">
        <f>VLOOKUP($B58,[12]分省年度数据!$A$1:$IV$65536,5,FALSE)</f>
        <v>14.41</v>
      </c>
      <c r="AA158">
        <f>VLOOKUP($B58,[13]分省年度数据!$A$1:$IV$65536,5,FALSE)</f>
        <v>3164861</v>
      </c>
      <c r="AB158">
        <f>VLOOKUP($B58,[14]分省年度数据!$A$1:$IV$65536,5,FALSE)</f>
        <v>273.89</v>
      </c>
      <c r="AC158">
        <f>VLOOKUP($B158,[16]分省年度数据!$A$1:$IT$65532,5,FALSE)</f>
        <v>862</v>
      </c>
      <c r="AD158">
        <f>VLOOKUP($B158,[17]分省年度数据!$A$1:$IS$65525,5,FALSE)</f>
        <v>3582.9</v>
      </c>
      <c r="AE158">
        <f>IFERROR(AC158/E158,0)</f>
        <v>0.62148521989906269</v>
      </c>
      <c r="AF158">
        <f>IFERROR(AD158/E158,0)</f>
        <v>2.5832011535688535</v>
      </c>
      <c r="AG158">
        <f>VLOOKUP($B58,[15]分省年度数据!$A$1:$IV$65536,5,FALSE)</f>
        <v>482</v>
      </c>
      <c r="AH158">
        <f>VLOOKUP(B158,[4]分省年度数据!$A$1:$IV$65536,5,FALSE)</f>
        <v>27143</v>
      </c>
      <c r="AI158">
        <f>VLOOKUP(B158,[3]分省年度数据!$A$1:$IV$65536,5,FALSE)</f>
        <v>115.69</v>
      </c>
      <c r="AJ158">
        <f>VLOOKUP($B58,[18]分省年度数据!$A$1:$IS$65529,5,FALSE)</f>
        <v>98.78</v>
      </c>
      <c r="AK158">
        <f>VLOOKUP($B58,[19]分省年度数据!$A$1:$IS$65529,5,FALSE)</f>
        <v>63.2</v>
      </c>
      <c r="AL158">
        <f>VLOOKUP($B58,[20]分省年度数据!$A$1:$IS$65528,5,FALSE)</f>
        <v>8.3000000000000007</v>
      </c>
      <c r="AM158">
        <f>VLOOKUP($B58,[21]分省年度数据!$A$1:$IS$65528,5,FALSE)</f>
        <v>7.77</v>
      </c>
      <c r="AN158">
        <f>VLOOKUP($B58,[22]分省年度数据!$A$1:$IS$65529,5,FALSE)</f>
        <v>12.02</v>
      </c>
    </row>
    <row r="159" spans="1:40">
      <c r="A159">
        <v>13</v>
      </c>
      <c r="B159" t="s">
        <v>3</v>
      </c>
      <c r="C159">
        <v>2020</v>
      </c>
      <c r="D159" t="s">
        <v>32</v>
      </c>
      <c r="E159">
        <f>VLOOKUP(B159,[1]分省年度数据!$A$1:$IV$65536,5,FALSE)</f>
        <v>7464</v>
      </c>
      <c r="F159" s="4">
        <v>27136</v>
      </c>
      <c r="G159" s="2">
        <f>VLOOKUP(B159,[2]分省年度数据!$A$1:$IV$65536,5,FALSE)</f>
        <v>286.10000000000002</v>
      </c>
      <c r="H159" s="2">
        <f t="shared" si="5"/>
        <v>3.8330653804930337E-2</v>
      </c>
      <c r="N159">
        <v>10683.886363636349</v>
      </c>
      <c r="O159">
        <f>N159/F159</f>
        <v>0.39371633120711785</v>
      </c>
      <c r="Q159" t="s">
        <v>65</v>
      </c>
      <c r="R159">
        <v>10599</v>
      </c>
      <c r="S159">
        <f>VLOOKUP($B59,[6]分省年度数据!$A$1:$IV$65536,5,FALSE)</f>
        <v>27.24</v>
      </c>
      <c r="T159">
        <f>VLOOKUP($B59,[7]分省年度数据!$A$1:$IV$65536,5,FALSE)</f>
        <v>92</v>
      </c>
      <c r="U159">
        <f>VLOOKUP($B59,[8]分省年度数据!$A$1:$IV$65536,5,FALSE)</f>
        <v>9.1</v>
      </c>
      <c r="V159">
        <f>VLOOKUP($B59,[9]分省年度数据!$A$1:$IV$65536,5,FALSE)</f>
        <v>509.17</v>
      </c>
      <c r="W159">
        <f>VLOOKUP($B59,[10]分省年度数据!$A$1:$IV$65536,5,FALSE)</f>
        <v>11.44</v>
      </c>
      <c r="X159">
        <f>VLOOKUP($B59,[11]分省年度数据!$A$1:$IV$65536,5,FALSE)</f>
        <v>11.55</v>
      </c>
      <c r="Y159">
        <f>VLOOKUP($B59,[12]分省年度数据!$A$1:$IV$65536,5,FALSE)</f>
        <v>16.329999999999998</v>
      </c>
      <c r="AA159">
        <f>VLOOKUP($B59,[13]分省年度数据!$A$1:$IV$65536,5,FALSE)</f>
        <v>13169806</v>
      </c>
      <c r="AB159">
        <f>VLOOKUP($B59,[14]分省年度数据!$A$1:$IV$65536,5,FALSE)</f>
        <v>998.58</v>
      </c>
      <c r="AC159">
        <f>VLOOKUP($B159,[16]分省年度数据!$A$1:$IT$65532,5,FALSE)</f>
        <v>29</v>
      </c>
      <c r="AD159">
        <f>VLOOKUP($B159,[17]分省年度数据!$A$1:$IS$65525,5,FALSE)</f>
        <v>12705</v>
      </c>
      <c r="AE159">
        <f>IFERROR(AC159/E159,0)</f>
        <v>3.8853161843515542E-3</v>
      </c>
      <c r="AF159">
        <f>IFERROR(AD159/E159,0)</f>
        <v>1.7021704180064308</v>
      </c>
      <c r="AG159">
        <f>VLOOKUP($B59,[15]分省年度数据!$A$1:$IV$65536,5,FALSE)</f>
        <v>4871</v>
      </c>
      <c r="AH159">
        <f>VLOOKUP(B159,[4]分省年度数据!$A$1:$IV$65536,5,FALSE)</f>
        <v>43252</v>
      </c>
      <c r="AI159">
        <f>VLOOKUP(B159,[3]分省年度数据!$A$1:$IV$65536,5,FALSE)</f>
        <v>127.34</v>
      </c>
      <c r="AJ159">
        <f>VLOOKUP($B59,[18]分省年度数据!$A$1:$IS$65529,5,FALSE)</f>
        <v>97.88</v>
      </c>
      <c r="AK159">
        <f>VLOOKUP($B59,[19]分省年度数据!$A$1:$IS$65529,5,FALSE)</f>
        <v>98.62</v>
      </c>
      <c r="AL159">
        <f>VLOOKUP($B59,[20]分省年度数据!$A$1:$IS$65528,5,FALSE)</f>
        <v>14.07</v>
      </c>
      <c r="AM159">
        <f>VLOOKUP($B59,[21]分省年度数据!$A$1:$IS$65528,5,FALSE)</f>
        <v>4.8600000000000003</v>
      </c>
      <c r="AN159">
        <f>VLOOKUP($B59,[22]分省年度数据!$A$1:$IS$65529,5,FALSE)</f>
        <v>12.79</v>
      </c>
    </row>
    <row r="160" spans="1:40">
      <c r="A160">
        <v>14</v>
      </c>
      <c r="B160" t="s">
        <v>4</v>
      </c>
      <c r="C160">
        <v>2020</v>
      </c>
      <c r="D160" t="s">
        <v>32</v>
      </c>
      <c r="E160">
        <f>VLOOKUP(B160,[1]分省年度数据!$A$1:$IV$65536,5,FALSE)</f>
        <v>3490</v>
      </c>
      <c r="F160" s="4">
        <v>25214</v>
      </c>
      <c r="G160" s="2">
        <f>VLOOKUP(B160,[2]分省年度数据!$A$1:$IV$65536,5,FALSE)</f>
        <v>607.29999999999995</v>
      </c>
      <c r="H160" s="2">
        <f t="shared" si="5"/>
        <v>0.17401146131805156</v>
      </c>
      <c r="N160">
        <v>6684.1818181818207</v>
      </c>
      <c r="O160">
        <f>N160/F160</f>
        <v>0.26509803355999922</v>
      </c>
      <c r="Q160" t="s">
        <v>59</v>
      </c>
      <c r="R160">
        <v>10599</v>
      </c>
      <c r="S160">
        <f>VLOOKUP($B60,[6]分省年度数据!$A$1:$IV$65536,5,FALSE)</f>
        <v>17.190000000000001</v>
      </c>
      <c r="T160">
        <f>VLOOKUP($B60,[7]分省年度数据!$A$1:$IV$65536,5,FALSE)</f>
        <v>72</v>
      </c>
      <c r="U160">
        <f>VLOOKUP($B60,[8]分省年度数据!$A$1:$IV$65536,5,FALSE)</f>
        <v>8.6999999999999993</v>
      </c>
      <c r="V160">
        <f>VLOOKUP($B60,[9]分省年度数据!$A$1:$IV$65536,5,FALSE)</f>
        <v>370.24</v>
      </c>
      <c r="W160">
        <f>VLOOKUP($B60,[10]分省年度数据!$A$1:$IV$65536,5,FALSE)</f>
        <v>11.21</v>
      </c>
      <c r="X160">
        <f>VLOOKUP($B60,[11]分省年度数据!$A$1:$IV$65536,5,FALSE)</f>
        <v>10.76</v>
      </c>
      <c r="Y160">
        <f>VLOOKUP($B60,[12]分省年度数据!$A$1:$IV$65536,5,FALSE)</f>
        <v>13.32</v>
      </c>
      <c r="AA160">
        <f>VLOOKUP($B60,[13]分省年度数据!$A$1:$IV$65536,5,FALSE)</f>
        <v>8440554</v>
      </c>
      <c r="AB160">
        <f>VLOOKUP($B60,[14]分省年度数据!$A$1:$IV$65536,5,FALSE)</f>
        <v>662.99</v>
      </c>
      <c r="AC160">
        <f>VLOOKUP($B160,[16]分省年度数据!$A$1:$IT$65532,5,FALSE)</f>
        <v>169</v>
      </c>
      <c r="AD160">
        <f>VLOOKUP($B160,[17]分省年度数据!$A$1:$IS$65525,5,FALSE)</f>
        <v>6746.3</v>
      </c>
      <c r="AE160">
        <f>IFERROR(AC160/E160,0)</f>
        <v>4.8424068767908307E-2</v>
      </c>
      <c r="AF160">
        <f>IFERROR(AD160/E160,0)</f>
        <v>1.9330372492836676</v>
      </c>
      <c r="AG160">
        <f>VLOOKUP($B60,[15]分省年度数据!$A$1:$IV$65536,5,FALSE)</f>
        <v>2778</v>
      </c>
      <c r="AH160">
        <f>VLOOKUP(B160,[4]分省年度数据!$A$1:$IV$65536,5,FALSE)</f>
        <v>20255</v>
      </c>
      <c r="AI160">
        <f>VLOOKUP(B160,[3]分省年度数据!$A$1:$IV$65536,5,FALSE)</f>
        <v>133.86000000000001</v>
      </c>
      <c r="AJ160">
        <f>VLOOKUP($B60,[18]分省年度数据!$A$1:$IS$65529,5,FALSE)</f>
        <v>98.15</v>
      </c>
      <c r="AK160">
        <f>VLOOKUP($B60,[19]分省年度数据!$A$1:$IS$65529,5,FALSE)</f>
        <v>94.8</v>
      </c>
      <c r="AL160">
        <f>VLOOKUP($B60,[20]分省年度数据!$A$1:$IS$65528,5,FALSE)</f>
        <v>13.33</v>
      </c>
      <c r="AM160">
        <f>VLOOKUP($B60,[21]分省年度数据!$A$1:$IS$65528,5,FALSE)</f>
        <v>3.26</v>
      </c>
      <c r="AN160">
        <f>VLOOKUP($B60,[22]分省年度数据!$A$1:$IS$65529,5,FALSE)</f>
        <v>15.15</v>
      </c>
    </row>
    <row r="161" spans="1:40">
      <c r="A161">
        <v>15</v>
      </c>
      <c r="B161" t="s">
        <v>5</v>
      </c>
      <c r="C161">
        <v>2020</v>
      </c>
      <c r="D161" t="s">
        <v>32</v>
      </c>
      <c r="E161">
        <f>VLOOKUP(B161,[1]分省年度数据!$A$1:$IV$65536,5,FALSE)</f>
        <v>2403</v>
      </c>
      <c r="F161" s="4">
        <v>31497</v>
      </c>
      <c r="G161" s="2">
        <f>VLOOKUP(B161,[2]分省年度数据!$A$1:$IV$65536,5,FALSE)</f>
        <v>416.1</v>
      </c>
      <c r="H161" s="2">
        <f t="shared" si="5"/>
        <v>0.1731585518102372</v>
      </c>
      <c r="N161">
        <v>7070.222222222219</v>
      </c>
      <c r="O161">
        <f>N161/F161</f>
        <v>0.22447287748745021</v>
      </c>
      <c r="Q161" t="s">
        <v>59</v>
      </c>
      <c r="R161">
        <v>10599</v>
      </c>
      <c r="S161">
        <f>VLOOKUP($B61,[6]分省年度数据!$A$1:$IV$65536,5,FALSE)</f>
        <v>4.13</v>
      </c>
      <c r="T161">
        <f>VLOOKUP($B61,[7]分省年度数据!$A$1:$IV$65536,5,FALSE)</f>
        <v>83</v>
      </c>
      <c r="U161">
        <f>VLOOKUP($B61,[8]分省年度数据!$A$1:$IV$65536,5,FALSE)</f>
        <v>9</v>
      </c>
      <c r="V161">
        <f>VLOOKUP($B61,[9]分省年度数据!$A$1:$IV$65536,5,FALSE)</f>
        <v>172.09</v>
      </c>
      <c r="W161">
        <f>VLOOKUP($B61,[10]分省年度数据!$A$1:$IV$65536,5,FALSE)</f>
        <v>12.45</v>
      </c>
      <c r="X161">
        <f>VLOOKUP($B61,[11]分省年度数据!$A$1:$IV$65536,5,FALSE)</f>
        <v>13.34</v>
      </c>
      <c r="Y161">
        <f>VLOOKUP($B61,[12]分省年度数据!$A$1:$IV$65536,5,FALSE)</f>
        <v>17.63</v>
      </c>
      <c r="AA161">
        <f>VLOOKUP($B61,[13]分省年度数据!$A$1:$IV$65536,5,FALSE)</f>
        <v>2931351</v>
      </c>
      <c r="AB161">
        <f>VLOOKUP($B61,[14]分省年度数据!$A$1:$IV$65536,5,FALSE)</f>
        <v>218.14</v>
      </c>
      <c r="AC161">
        <f>VLOOKUP($B161,[16]分省年度数据!$A$1:$IT$65532,5,FALSE)</f>
        <v>111</v>
      </c>
      <c r="AD161">
        <f>VLOOKUP($B161,[17]分省年度数据!$A$1:$IS$65525,5,FALSE)</f>
        <v>4760.5</v>
      </c>
      <c r="AE161">
        <f>IFERROR(AC161/E161,0)</f>
        <v>4.6192259675405745E-2</v>
      </c>
      <c r="AF161">
        <f>IFERROR(AD161/E161,0)</f>
        <v>1.9810653349979193</v>
      </c>
      <c r="AG161">
        <f>VLOOKUP($B61,[15]分省年度数据!$A$1:$IV$65536,5,FALSE)</f>
        <v>1582</v>
      </c>
      <c r="AH161">
        <f>VLOOKUP(B161,[4]分省年度数据!$A$1:$IV$65536,5,FALSE)</f>
        <v>20266</v>
      </c>
      <c r="AI161">
        <f>VLOOKUP(B161,[3]分省年度数据!$A$1:$IV$65536,5,FALSE)</f>
        <v>101.25</v>
      </c>
      <c r="AJ161">
        <f>VLOOKUP($B61,[18]分省年度数据!$A$1:$IS$65529,5,FALSE)</f>
        <v>98.69</v>
      </c>
      <c r="AK161">
        <f>VLOOKUP($B61,[19]分省年度数据!$A$1:$IS$65529,5,FALSE)</f>
        <v>93.81</v>
      </c>
      <c r="AL161">
        <f>VLOOKUP($B61,[20]分省年度数据!$A$1:$IS$65528,5,FALSE)</f>
        <v>13.87</v>
      </c>
      <c r="AM161">
        <f>VLOOKUP($B61,[21]分省年度数据!$A$1:$IS$65528,5,FALSE)</f>
        <v>3.44</v>
      </c>
      <c r="AN161">
        <f>VLOOKUP($B61,[22]分省年度数据!$A$1:$IS$65529,5,FALSE)</f>
        <v>12.45</v>
      </c>
    </row>
    <row r="162" spans="1:40">
      <c r="A162">
        <v>21</v>
      </c>
      <c r="B162" t="s">
        <v>6</v>
      </c>
      <c r="C162">
        <v>2020</v>
      </c>
      <c r="D162" t="s">
        <v>33</v>
      </c>
      <c r="E162">
        <f>VLOOKUP(B162,[1]分省年度数据!$A$1:$IV$65536,5,FALSE)</f>
        <v>4255</v>
      </c>
      <c r="F162" s="4">
        <v>32738</v>
      </c>
      <c r="G162" s="2">
        <f>VLOOKUP(B162,[2]分省年度数据!$A$1:$IV$65536,5,FALSE)</f>
        <v>612.79999999999995</v>
      </c>
      <c r="H162" s="2">
        <f t="shared" si="5"/>
        <v>0.14401880141010576</v>
      </c>
      <c r="N162">
        <v>6092.2321428571386</v>
      </c>
      <c r="O162">
        <f>N162/F162</f>
        <v>0.186090541354302</v>
      </c>
      <c r="Q162" t="s">
        <v>64</v>
      </c>
      <c r="R162">
        <v>10599</v>
      </c>
      <c r="S162">
        <f>VLOOKUP($B62,[6]分省年度数据!$A$1:$IV$65536,5,FALSE)</f>
        <v>4.13</v>
      </c>
      <c r="T162">
        <f>VLOOKUP($B62,[7]分省年度数据!$A$1:$IV$65536,5,FALSE)</f>
        <v>81</v>
      </c>
      <c r="U162">
        <f>VLOOKUP($B62,[8]分省年度数据!$A$1:$IV$65536,5,FALSE)</f>
        <v>8.6999999999999993</v>
      </c>
      <c r="V162">
        <f>VLOOKUP($B62,[9]分省年度数据!$A$1:$IV$65536,5,FALSE)</f>
        <v>118.57</v>
      </c>
      <c r="W162">
        <f>VLOOKUP($B62,[10]分省年度数据!$A$1:$IV$65536,5,FALSE)</f>
        <v>13.84</v>
      </c>
      <c r="X162">
        <f>VLOOKUP($B62,[11]分省年度数据!$A$1:$IV$65536,5,FALSE)</f>
        <v>14.15</v>
      </c>
      <c r="Y162">
        <f>VLOOKUP($B62,[12]分省年度数据!$A$1:$IV$65536,5,FALSE)</f>
        <v>17.52</v>
      </c>
      <c r="AA162">
        <f>VLOOKUP($B62,[13]分省年度数据!$A$1:$IV$65536,5,FALSE)</f>
        <v>2791933</v>
      </c>
      <c r="AB162">
        <f>VLOOKUP($B62,[14]分省年度数据!$A$1:$IV$65536,5,FALSE)</f>
        <v>208.42</v>
      </c>
      <c r="AC162">
        <f>VLOOKUP($B162,[16]分省年度数据!$A$1:$IT$65532,5,FALSE)</f>
        <v>1104</v>
      </c>
      <c r="AD162">
        <f>VLOOKUP($B162,[17]分省年度数据!$A$1:$IS$65525,5,FALSE)</f>
        <v>8960.9</v>
      </c>
      <c r="AE162">
        <f>IFERROR(AC162/E162,0)</f>
        <v>0.25945945945945947</v>
      </c>
      <c r="AF162">
        <f>IFERROR(AD162/E162,0)</f>
        <v>2.1059694477085782</v>
      </c>
      <c r="AG162">
        <f>VLOOKUP($B62,[15]分省年度数据!$A$1:$IV$65536,5,FALSE)</f>
        <v>1939</v>
      </c>
      <c r="AH162">
        <f>VLOOKUP(B162,[4]分省年度数据!$A$1:$IV$65536,5,FALSE)</f>
        <v>31195</v>
      </c>
      <c r="AI162">
        <f>VLOOKUP(B162,[3]分省年度数据!$A$1:$IV$65536,5,FALSE)</f>
        <v>149.97999999999999</v>
      </c>
      <c r="AJ162">
        <f>VLOOKUP($B62,[18]分省年度数据!$A$1:$IS$65529,5,FALSE)</f>
        <v>98.87</v>
      </c>
      <c r="AK162">
        <f>VLOOKUP($B62,[19]分省年度数据!$A$1:$IS$65529,5,FALSE)</f>
        <v>97.52</v>
      </c>
      <c r="AL162">
        <f>VLOOKUP($B62,[20]分省年度数据!$A$1:$IS$65528,5,FALSE)</f>
        <v>11.85</v>
      </c>
      <c r="AM162">
        <f>VLOOKUP($B62,[21]分省年度数据!$A$1:$IS$65528,5,FALSE)</f>
        <v>2.99</v>
      </c>
      <c r="AN162">
        <f>VLOOKUP($B62,[22]分省年度数据!$A$1:$IS$65529,5,FALSE)</f>
        <v>21.02</v>
      </c>
    </row>
    <row r="163" spans="1:40">
      <c r="A163">
        <v>22</v>
      </c>
      <c r="B163" t="s">
        <v>7</v>
      </c>
      <c r="C163">
        <v>2020</v>
      </c>
      <c r="D163" t="s">
        <v>33</v>
      </c>
      <c r="E163">
        <f>VLOOKUP(B163,[1]分省年度数据!$A$1:$IV$65536,5,FALSE)</f>
        <v>2399</v>
      </c>
      <c r="F163" s="4">
        <v>25751</v>
      </c>
      <c r="G163" s="2">
        <f>VLOOKUP(B163,[2]分省年度数据!$A$1:$IV$65536,5,FALSE)</f>
        <v>475.1</v>
      </c>
      <c r="H163" s="2">
        <f t="shared" si="5"/>
        <v>0.19804085035431432</v>
      </c>
      <c r="N163">
        <v>5751.6979166666679</v>
      </c>
      <c r="O163">
        <f>N163/F163</f>
        <v>0.2233582352788889</v>
      </c>
      <c r="Q163" t="s">
        <v>64</v>
      </c>
      <c r="R163">
        <v>10599</v>
      </c>
      <c r="S163">
        <f>VLOOKUP($B63,[6]分省年度数据!$A$1:$IV$65536,5,FALSE)</f>
        <v>18.149999999999999</v>
      </c>
      <c r="T163">
        <f>VLOOKUP($B63,[7]分省年度数据!$A$1:$IV$65536,5,FALSE)</f>
        <v>74</v>
      </c>
      <c r="U163">
        <f>VLOOKUP($B63,[8]分省年度数据!$A$1:$IV$65536,5,FALSE)</f>
        <v>8.8000000000000007</v>
      </c>
      <c r="V163">
        <f>VLOOKUP($B63,[9]分省年度数据!$A$1:$IV$65536,5,FALSE)</f>
        <v>471.66</v>
      </c>
      <c r="W163">
        <f>VLOOKUP($B63,[10]分省年度数据!$A$1:$IV$65536,5,FALSE)</f>
        <v>11.76</v>
      </c>
      <c r="X163">
        <f>VLOOKUP($B63,[11]分省年度数据!$A$1:$IV$65536,5,FALSE)</f>
        <v>11.61</v>
      </c>
      <c r="Y163">
        <f>VLOOKUP($B63,[12]分省年度数据!$A$1:$IV$65536,5,FALSE)</f>
        <v>16.34</v>
      </c>
      <c r="AA163">
        <f>VLOOKUP($B63,[13]分省年度数据!$A$1:$IV$65536,5,FALSE)</f>
        <v>11029496</v>
      </c>
      <c r="AB163">
        <f>VLOOKUP($B63,[14]分省年度数据!$A$1:$IV$65536,5,FALSE)</f>
        <v>908.11</v>
      </c>
      <c r="AC163">
        <f>VLOOKUP($B163,[16]分省年度数据!$A$1:$IT$65532,5,FALSE)</f>
        <v>11</v>
      </c>
      <c r="AD163">
        <f>VLOOKUP($B163,[17]分省年度数据!$A$1:$IS$65525,5,FALSE)</f>
        <v>3824</v>
      </c>
      <c r="AE163">
        <f>IFERROR(AC163/E163,0)</f>
        <v>4.5852438516048354E-3</v>
      </c>
      <c r="AF163">
        <f>IFERROR(AD163/E163,0)</f>
        <v>1.5939974989578991</v>
      </c>
      <c r="AG163">
        <f>VLOOKUP($B63,[15]分省年度数据!$A$1:$IV$65536,5,FALSE)</f>
        <v>4437</v>
      </c>
      <c r="AH163">
        <f>VLOOKUP(B163,[4]分省年度数据!$A$1:$IV$65536,5,FALSE)</f>
        <v>20508</v>
      </c>
      <c r="AI163">
        <f>VLOOKUP(B163,[3]分省年度数据!$A$1:$IV$65536,5,FALSE)</f>
        <v>121.79</v>
      </c>
      <c r="AJ163">
        <f>VLOOKUP($B63,[18]分省年度数据!$A$1:$IS$65529,5,FALSE)</f>
        <v>99.52</v>
      </c>
      <c r="AK163">
        <f>VLOOKUP($B63,[19]分省年度数据!$A$1:$IS$65529,5,FALSE)</f>
        <v>98.39</v>
      </c>
      <c r="AL163">
        <f>VLOOKUP($B63,[20]分省年度数据!$A$1:$IS$65528,5,FALSE)</f>
        <v>13.06</v>
      </c>
      <c r="AM163">
        <f>VLOOKUP($B63,[21]分省年度数据!$A$1:$IS$65528,5,FALSE)</f>
        <v>2.67</v>
      </c>
      <c r="AN163">
        <f>VLOOKUP($B63,[22]分省年度数据!$A$1:$IS$65529,5,FALSE)</f>
        <v>14.02</v>
      </c>
    </row>
    <row r="164" spans="1:40">
      <c r="A164">
        <v>23</v>
      </c>
      <c r="B164" t="s">
        <v>8</v>
      </c>
      <c r="C164">
        <v>2020</v>
      </c>
      <c r="D164" t="s">
        <v>33</v>
      </c>
      <c r="E164">
        <f>VLOOKUP(B164,[1]分省年度数据!$A$1:$IV$65536,5,FALSE)</f>
        <v>3171</v>
      </c>
      <c r="F164" s="4">
        <v>24902</v>
      </c>
      <c r="G164" s="2">
        <f>VLOOKUP(B164,[2]分省年度数据!$A$1:$IV$65536,5,FALSE)</f>
        <v>528.6</v>
      </c>
      <c r="H164" s="2">
        <f t="shared" si="5"/>
        <v>0.16669820245979186</v>
      </c>
      <c r="N164">
        <v>4739.3819444444416</v>
      </c>
      <c r="O164">
        <f>N164/F164</f>
        <v>0.19032133742046589</v>
      </c>
      <c r="Q164" t="s">
        <v>64</v>
      </c>
      <c r="R164">
        <v>10599</v>
      </c>
      <c r="S164">
        <f>VLOOKUP($B64,[6]分省年度数据!$A$1:$IV$65536,5,FALSE)</f>
        <v>12.7</v>
      </c>
      <c r="T164">
        <f>VLOOKUP($B64,[7]分省年度数据!$A$1:$IV$65536,5,FALSE)</f>
        <v>126</v>
      </c>
      <c r="U164">
        <f>VLOOKUP($B64,[8]分省年度数据!$A$1:$IV$65536,5,FALSE)</f>
        <v>9.9</v>
      </c>
      <c r="V164">
        <f>VLOOKUP($B64,[9]分省年度数据!$A$1:$IV$65536,5,FALSE)</f>
        <v>605.64</v>
      </c>
      <c r="W164">
        <f>VLOOKUP($B64,[10]分省年度数据!$A$1:$IV$65536,5,FALSE)</f>
        <v>7.62</v>
      </c>
      <c r="X164">
        <f>VLOOKUP($B64,[11]分省年度数据!$A$1:$IV$65536,5,FALSE)</f>
        <v>8.68</v>
      </c>
      <c r="Y164">
        <f>VLOOKUP($B64,[12]分省年度数据!$A$1:$IV$65536,5,FALSE)</f>
        <v>14.01</v>
      </c>
      <c r="AA164">
        <f>VLOOKUP($B64,[13]分省年度数据!$A$1:$IV$65536,5,FALSE)</f>
        <v>15085043</v>
      </c>
      <c r="AB164">
        <f>VLOOKUP($B64,[14]分省年度数据!$A$1:$IV$65536,5,FALSE)</f>
        <v>1138.29</v>
      </c>
      <c r="AC164">
        <f>VLOOKUP($B164,[16]分省年度数据!$A$1:$IT$65532,5,FALSE)</f>
        <v>126</v>
      </c>
      <c r="AD164">
        <f>VLOOKUP($B164,[17]分省年度数据!$A$1:$IS$65525,5,FALSE)</f>
        <v>5092.3</v>
      </c>
      <c r="AE164">
        <f>IFERROR(AC164/E164,0)</f>
        <v>3.9735099337748346E-2</v>
      </c>
      <c r="AF164">
        <f>IFERROR(AD164/E164,0)</f>
        <v>1.6058971933144119</v>
      </c>
      <c r="AG164">
        <f>VLOOKUP($B64,[15]分省年度数据!$A$1:$IV$65536,5,FALSE)</f>
        <v>3872</v>
      </c>
      <c r="AH164">
        <f>VLOOKUP(B164,[4]分省年度数据!$A$1:$IV$65536,5,FALSE)</f>
        <v>29406</v>
      </c>
      <c r="AI164">
        <f>VLOOKUP(B164,[3]分省年度数据!$A$1:$IV$65536,5,FALSE)</f>
        <v>129.47</v>
      </c>
      <c r="AJ164">
        <f>VLOOKUP($B64,[18]分省年度数据!$A$1:$IS$65529,5,FALSE)</f>
        <v>98.39</v>
      </c>
      <c r="AK164">
        <f>VLOOKUP($B64,[19]分省年度数据!$A$1:$IS$65529,5,FALSE)</f>
        <v>100</v>
      </c>
      <c r="AL164">
        <f>VLOOKUP($B64,[20]分省年度数据!$A$1:$IS$65528,5,FALSE)</f>
        <v>17.02</v>
      </c>
      <c r="AM164">
        <f>VLOOKUP($B64,[21]分省年度数据!$A$1:$IS$65528,5,FALSE)</f>
        <v>3.22</v>
      </c>
      <c r="AN164">
        <f>VLOOKUP($B64,[22]分省年度数据!$A$1:$IS$65529,5,FALSE)</f>
        <v>16.59</v>
      </c>
    </row>
    <row r="165" spans="1:40">
      <c r="A165">
        <v>31</v>
      </c>
      <c r="B165" t="s">
        <v>9</v>
      </c>
      <c r="C165">
        <v>2020</v>
      </c>
      <c r="D165" t="s">
        <v>34</v>
      </c>
      <c r="E165">
        <f>VLOOKUP(B165,[1]分省年度数据!$A$1:$IV$65536,5,FALSE)</f>
        <v>2488</v>
      </c>
      <c r="F165" s="4">
        <v>72232</v>
      </c>
      <c r="G165" s="2">
        <f>VLOOKUP(B165,[2]分省年度数据!$A$1:$IV$65536,5,FALSE)</f>
        <v>0.8</v>
      </c>
      <c r="H165" s="2">
        <f t="shared" si="5"/>
        <v>3.2154340836012862E-4</v>
      </c>
      <c r="N165">
        <v>51620.416666666701</v>
      </c>
      <c r="O165">
        <f>N165/F165</f>
        <v>0.71464747849521959</v>
      </c>
      <c r="Q165" t="s">
        <v>56</v>
      </c>
      <c r="R165">
        <v>10599</v>
      </c>
      <c r="S165">
        <f>VLOOKUP($B65,[6]分省年度数据!$A$1:$IV$65536,5,FALSE)</f>
        <v>6.83</v>
      </c>
      <c r="T165">
        <f>VLOOKUP($B65,[7]分省年度数据!$A$1:$IV$65536,5,FALSE)</f>
        <v>82</v>
      </c>
      <c r="U165">
        <f>VLOOKUP($B65,[8]分省年度数据!$A$1:$IV$65536,5,FALSE)</f>
        <v>9.6</v>
      </c>
      <c r="V165">
        <f>VLOOKUP($B65,[9]分省年度数据!$A$1:$IV$65536,5,FALSE)</f>
        <v>175.49</v>
      </c>
      <c r="W165">
        <f>VLOOKUP($B65,[10]分省年度数据!$A$1:$IV$65536,5,FALSE)</f>
        <v>10.039999999999999</v>
      </c>
      <c r="X165">
        <f>VLOOKUP($B65,[11]分省年度数据!$A$1:$IV$65536,5,FALSE)</f>
        <v>11.02</v>
      </c>
      <c r="Y165">
        <f>VLOOKUP($B65,[12]分省年度数据!$A$1:$IV$65536,5,FALSE)</f>
        <v>15.38</v>
      </c>
      <c r="AA165">
        <f>VLOOKUP($B65,[13]分省年度数据!$A$1:$IV$65536,5,FALSE)</f>
        <v>6031844</v>
      </c>
      <c r="AB165">
        <f>VLOOKUP($B65,[14]分省年度数据!$A$1:$IV$65536,5,FALSE)</f>
        <v>442.91</v>
      </c>
      <c r="AC165">
        <f>VLOOKUP($B165,[16]分省年度数据!$A$1:$IT$65532,5,FALSE)</f>
        <v>7378</v>
      </c>
      <c r="AD165">
        <f>VLOOKUP($B165,[17]分省年度数据!$A$1:$IS$65525,5,FALSE)</f>
        <v>15932.5</v>
      </c>
      <c r="AE165">
        <f>IFERROR(AC165/E165,0)</f>
        <v>2.965434083601286</v>
      </c>
      <c r="AF165">
        <f>IFERROR(AD165/E165,0)</f>
        <v>6.4037379421221861</v>
      </c>
      <c r="AG165">
        <f>VLOOKUP($B65,[15]分省年度数据!$A$1:$IV$65536,5,FALSE)</f>
        <v>6552</v>
      </c>
      <c r="AH165">
        <f>VLOOKUP(B165,[4]分省年度数据!$A$1:$IV$65536,5,FALSE)</f>
        <v>24945</v>
      </c>
      <c r="AI165">
        <f>VLOOKUP(B165,[3]分省年度数据!$A$1:$IV$65536,5,FALSE)</f>
        <v>203.92</v>
      </c>
      <c r="AJ165">
        <f>VLOOKUP($B65,[18]分省年度数据!$A$1:$IS$65529,5,FALSE)</f>
        <v>100</v>
      </c>
      <c r="AK165">
        <f>VLOOKUP($B65,[19]分省年度数据!$A$1:$IS$65529,5,FALSE)</f>
        <v>100</v>
      </c>
      <c r="AL165">
        <f>VLOOKUP($B65,[20]分省年度数据!$A$1:$IS$65528,5,FALSE)</f>
        <v>11.54</v>
      </c>
      <c r="AM165">
        <f>VLOOKUP($B65,[21]分省年度数据!$A$1:$IS$65528,5,FALSE)</f>
        <v>3.63</v>
      </c>
      <c r="AN165">
        <f>VLOOKUP($B65,[22]分省年度数据!$A$1:$IS$65529,5,FALSE)</f>
        <v>10.31</v>
      </c>
    </row>
    <row r="166" spans="1:40">
      <c r="A166">
        <v>32</v>
      </c>
      <c r="B166" t="s">
        <v>10</v>
      </c>
      <c r="C166">
        <v>2020</v>
      </c>
      <c r="D166" t="s">
        <v>34</v>
      </c>
      <c r="E166">
        <f>VLOOKUP(B166,[1]分省年度数据!$A$1:$IV$65536,5,FALSE)</f>
        <v>8477</v>
      </c>
      <c r="F166" s="4">
        <v>43390</v>
      </c>
      <c r="G166" s="2">
        <f>VLOOKUP(B166,[2]分省年度数据!$A$1:$IV$65536,5,FALSE)</f>
        <v>108.2</v>
      </c>
      <c r="H166" s="2">
        <f t="shared" si="5"/>
        <v>1.2763949510440015E-2</v>
      </c>
      <c r="N166">
        <v>13456.32051282051</v>
      </c>
      <c r="O166">
        <f>N166/F166</f>
        <v>0.31012492539342035</v>
      </c>
      <c r="Q166" t="s">
        <v>79</v>
      </c>
      <c r="R166">
        <v>10599</v>
      </c>
      <c r="S166">
        <f>VLOOKUP($B66,[6]分省年度数据!$A$1:$IV$65536,5,FALSE)</f>
        <v>44.2</v>
      </c>
      <c r="T166">
        <f>VLOOKUP($B66,[7]分省年度数据!$A$1:$IV$65536,5,FALSE)</f>
        <v>70</v>
      </c>
      <c r="U166">
        <f>VLOOKUP($B66,[8]分省年度数据!$A$1:$IV$65536,5,FALSE)</f>
        <v>9.3000000000000007</v>
      </c>
      <c r="V166">
        <f>VLOOKUP($B66,[9]分省年度数据!$A$1:$IV$65536,5,FALSE)</f>
        <v>817.27</v>
      </c>
      <c r="W166">
        <f>VLOOKUP($B66,[10]分省年度数据!$A$1:$IV$65536,5,FALSE)</f>
        <v>13.18</v>
      </c>
      <c r="X166">
        <f>VLOOKUP($B66,[11]分省年度数据!$A$1:$IV$65536,5,FALSE)</f>
        <v>13.72</v>
      </c>
      <c r="Y166">
        <f>VLOOKUP($B66,[12]分省年度数据!$A$1:$IV$65536,5,FALSE)</f>
        <v>17.07</v>
      </c>
      <c r="AA166">
        <f>VLOOKUP($B66,[13]分省年度数据!$A$1:$IV$65536,5,FALSE)</f>
        <v>21282804</v>
      </c>
      <c r="AB166">
        <f>VLOOKUP($B66,[14]分省年度数据!$A$1:$IV$65536,5,FALSE)</f>
        <v>1596.26</v>
      </c>
      <c r="AC166">
        <f>VLOOKUP($B166,[16]分省年度数据!$A$1:$IT$65532,5,FALSE)</f>
        <v>1835</v>
      </c>
      <c r="AD166">
        <f>VLOOKUP($B166,[17]分省年度数据!$A$1:$IS$65525,5,FALSE)</f>
        <v>37086.1</v>
      </c>
      <c r="AE166">
        <f>IFERROR(AC166/E166,0)</f>
        <v>0.21646809012622389</v>
      </c>
      <c r="AF166">
        <f>IFERROR(AD166/E166,0)</f>
        <v>4.374908576147222</v>
      </c>
      <c r="AG166">
        <f>VLOOKUP($B66,[15]分省年度数据!$A$1:$IV$65536,5,FALSE)</f>
        <v>4567</v>
      </c>
      <c r="AH166">
        <f>VLOOKUP(B166,[4]分省年度数据!$A$1:$IV$65536,5,FALSE)</f>
        <v>83541</v>
      </c>
      <c r="AI166">
        <f>VLOOKUP(B166,[3]分省年度数据!$A$1:$IV$65536,5,FALSE)</f>
        <v>220.69</v>
      </c>
      <c r="AJ166">
        <f>VLOOKUP($B66,[18]分省年度数据!$A$1:$IS$65529,5,FALSE)</f>
        <v>100</v>
      </c>
      <c r="AK166">
        <f>VLOOKUP($B66,[19]分省年度数据!$A$1:$IS$65529,5,FALSE)</f>
        <v>99.72</v>
      </c>
      <c r="AL166">
        <f>VLOOKUP($B66,[20]分省年度数据!$A$1:$IS$65528,5,FALSE)</f>
        <v>13.29</v>
      </c>
      <c r="AM166">
        <f>VLOOKUP($B66,[21]分省年度数据!$A$1:$IS$65528,5,FALSE)</f>
        <v>3.39</v>
      </c>
      <c r="AN166">
        <f>VLOOKUP($B66,[22]分省年度数据!$A$1:$IS$65529,5,FALSE)</f>
        <v>15.3</v>
      </c>
    </row>
    <row r="167" spans="1:40">
      <c r="A167">
        <v>33</v>
      </c>
      <c r="B167" t="s">
        <v>11</v>
      </c>
      <c r="C167">
        <v>2020</v>
      </c>
      <c r="D167" t="s">
        <v>34</v>
      </c>
      <c r="E167">
        <f>VLOOKUP(B167,[1]分省年度数据!$A$1:$IV$65536,5,FALSE)</f>
        <v>6468</v>
      </c>
      <c r="F167" s="4">
        <v>52397</v>
      </c>
      <c r="G167" s="2">
        <f>VLOOKUP(B167,[2]分省年度数据!$A$1:$IV$65536,5,FALSE)</f>
        <v>230.7</v>
      </c>
      <c r="H167" s="2">
        <f t="shared" si="5"/>
        <v>3.5667903525046382E-2</v>
      </c>
      <c r="N167">
        <v>16795.522727272739</v>
      </c>
      <c r="O167">
        <f>N167/F167</f>
        <v>0.32054359461940068</v>
      </c>
      <c r="Q167" t="s">
        <v>56</v>
      </c>
      <c r="R167">
        <v>10599</v>
      </c>
      <c r="S167">
        <f>VLOOKUP($B67,[6]分省年度数据!$A$1:$IV$65536,5,FALSE)</f>
        <v>22.37</v>
      </c>
      <c r="T167">
        <f>VLOOKUP($B67,[7]分省年度数据!$A$1:$IV$65536,5,FALSE)</f>
        <v>77</v>
      </c>
      <c r="U167">
        <f>VLOOKUP($B67,[8]分省年度数据!$A$1:$IV$65536,5,FALSE)</f>
        <v>10.3</v>
      </c>
      <c r="V167">
        <f>VLOOKUP($B67,[9]分省年度数据!$A$1:$IV$65536,5,FALSE)</f>
        <v>433.55</v>
      </c>
      <c r="W167">
        <f>VLOOKUP($B67,[10]分省年度数据!$A$1:$IV$65536,5,FALSE)</f>
        <v>10.17</v>
      </c>
      <c r="X167">
        <f>VLOOKUP($B67,[11]分省年度数据!$A$1:$IV$65536,5,FALSE)</f>
        <v>10.27</v>
      </c>
      <c r="Y167">
        <f>VLOOKUP($B67,[12]分省年度数据!$A$1:$IV$65536,5,FALSE)</f>
        <v>13.98</v>
      </c>
      <c r="AA167">
        <f>VLOOKUP($B67,[13]分省年度数据!$A$1:$IV$65536,5,FALSE)</f>
        <v>10071575</v>
      </c>
      <c r="AB167">
        <f>VLOOKUP($B67,[14]分省年度数据!$A$1:$IV$65536,5,FALSE)</f>
        <v>733.36</v>
      </c>
      <c r="AC167">
        <f>VLOOKUP($B167,[16]分省年度数据!$A$1:$IT$65532,5,FALSE)</f>
        <v>2241</v>
      </c>
      <c r="AD167">
        <f>VLOOKUP($B167,[17]分省年度数据!$A$1:$IS$65525,5,FALSE)</f>
        <v>26629.8</v>
      </c>
      <c r="AE167">
        <f>IFERROR(AC167/E167,0)</f>
        <v>0.34647495361781078</v>
      </c>
      <c r="AF167">
        <f>IFERROR(AD167/E167,0)</f>
        <v>4.1171614100185527</v>
      </c>
      <c r="AG167">
        <f>VLOOKUP($B67,[15]分省年度数据!$A$1:$IV$65536,5,FALSE)</f>
        <v>9204</v>
      </c>
      <c r="AH167">
        <f>VLOOKUP(B167,[4]分省年度数据!$A$1:$IV$65536,5,FALSE)</f>
        <v>107849</v>
      </c>
      <c r="AI167">
        <f>VLOOKUP(B167,[3]分省年度数据!$A$1:$IV$65536,5,FALSE)</f>
        <v>220.06</v>
      </c>
      <c r="AJ167">
        <f>VLOOKUP($B67,[18]分省年度数据!$A$1:$IS$65529,5,FALSE)</f>
        <v>99.6</v>
      </c>
      <c r="AK167">
        <f>VLOOKUP($B67,[19]分省年度数据!$A$1:$IS$65529,5,FALSE)</f>
        <v>98.7</v>
      </c>
      <c r="AL167">
        <f>VLOOKUP($B67,[20]分省年度数据!$A$1:$IS$65528,5,FALSE)</f>
        <v>11.01</v>
      </c>
      <c r="AM167">
        <f>VLOOKUP($B67,[21]分省年度数据!$A$1:$IS$65528,5,FALSE)</f>
        <v>2.4900000000000002</v>
      </c>
      <c r="AN167">
        <f>VLOOKUP($B67,[22]分省年度数据!$A$1:$IS$65529,5,FALSE)</f>
        <v>13.51</v>
      </c>
    </row>
    <row r="168" spans="1:40">
      <c r="A168">
        <v>34</v>
      </c>
      <c r="B168" t="s">
        <v>12</v>
      </c>
      <c r="C168">
        <v>2020</v>
      </c>
      <c r="D168" t="s">
        <v>34</v>
      </c>
      <c r="E168">
        <f>VLOOKUP(B168,[1]分省年度数据!$A$1:$IV$65536,5,FALSE)</f>
        <v>6105</v>
      </c>
      <c r="F168" s="4">
        <v>28103</v>
      </c>
      <c r="G168" s="2">
        <f>VLOOKUP(B168,[2]分省年度数据!$A$1:$IV$65536,5,FALSE)</f>
        <v>1064.0999999999999</v>
      </c>
      <c r="H168" s="2">
        <f t="shared" si="5"/>
        <v>0.17429975429975428</v>
      </c>
      <c r="N168">
        <v>8103.6302083333321</v>
      </c>
      <c r="O168">
        <f>N168/F168</f>
        <v>0.28835463147469426</v>
      </c>
      <c r="Q168" t="s">
        <v>79</v>
      </c>
      <c r="R168">
        <v>10599</v>
      </c>
      <c r="S168">
        <f>VLOOKUP($B68,[6]分省年度数据!$A$1:$IV$65536,5,FALSE)</f>
        <v>16.21</v>
      </c>
      <c r="T168">
        <f>VLOOKUP($B68,[7]分省年度数据!$A$1:$IV$65536,5,FALSE)</f>
        <v>84</v>
      </c>
      <c r="U168">
        <f>VLOOKUP($B68,[8]分省年度数据!$A$1:$IV$65536,5,FALSE)</f>
        <v>9.6</v>
      </c>
      <c r="V168">
        <f>VLOOKUP($B68,[9]分省年度数据!$A$1:$IV$65536,5,FALSE)</f>
        <v>375.05</v>
      </c>
      <c r="W168">
        <f>VLOOKUP($B68,[10]分省年度数据!$A$1:$IV$65536,5,FALSE)</f>
        <v>10.82</v>
      </c>
      <c r="X168">
        <f>VLOOKUP($B68,[11]分省年度数据!$A$1:$IV$65536,5,FALSE)</f>
        <v>10.87</v>
      </c>
      <c r="Y168">
        <f>VLOOKUP($B68,[12]分省年度数据!$A$1:$IV$65536,5,FALSE)</f>
        <v>13.13</v>
      </c>
      <c r="AA168">
        <f>VLOOKUP($B68,[13]分省年度数据!$A$1:$IV$65536,5,FALSE)</f>
        <v>8510492</v>
      </c>
      <c r="AB168">
        <f>VLOOKUP($B68,[14]分省年度数据!$A$1:$IV$65536,5,FALSE)</f>
        <v>642.16999999999996</v>
      </c>
      <c r="AC168">
        <f>VLOOKUP($B168,[16]分省年度数据!$A$1:$IT$65532,5,FALSE)</f>
        <v>1135</v>
      </c>
      <c r="AD168">
        <f>VLOOKUP($B168,[17]分省年度数据!$A$1:$IS$65525,5,FALSE)</f>
        <v>18334</v>
      </c>
      <c r="AE168">
        <f>IFERROR(AC168/E168,0)</f>
        <v>0.18591318591318592</v>
      </c>
      <c r="AF168">
        <f>IFERROR(AD168/E168,0)</f>
        <v>3.0031122031122033</v>
      </c>
      <c r="AG168">
        <f>VLOOKUP($B68,[15]分省年度数据!$A$1:$IV$65536,5,FALSE)</f>
        <v>3027</v>
      </c>
      <c r="AH168">
        <f>VLOOKUP(B168,[4]分省年度数据!$A$1:$IV$65536,5,FALSE)</f>
        <v>27725</v>
      </c>
      <c r="AI168">
        <f>VLOOKUP(B168,[3]分省年度数据!$A$1:$IV$65536,5,FALSE)</f>
        <v>197.37</v>
      </c>
      <c r="AJ168">
        <f>VLOOKUP($B68,[18]分省年度数据!$A$1:$IS$65529,5,FALSE)</f>
        <v>99.5</v>
      </c>
      <c r="AK168">
        <f>VLOOKUP($B68,[19]分省年度数据!$A$1:$IS$65529,5,FALSE)</f>
        <v>97.26</v>
      </c>
      <c r="AL168">
        <f>VLOOKUP($B68,[20]分省年度数据!$A$1:$IS$65528,5,FALSE)</f>
        <v>11.51</v>
      </c>
      <c r="AM168">
        <f>VLOOKUP($B68,[21]分省年度数据!$A$1:$IS$65528,5,FALSE)</f>
        <v>7.85</v>
      </c>
      <c r="AN168">
        <f>VLOOKUP($B68,[22]分省年度数据!$A$1:$IS$65529,5,FALSE)</f>
        <v>19.2</v>
      </c>
    </row>
    <row r="169" spans="1:40">
      <c r="A169">
        <v>35</v>
      </c>
      <c r="B169" t="s">
        <v>13</v>
      </c>
      <c r="C169">
        <v>2020</v>
      </c>
      <c r="D169" t="s">
        <v>34</v>
      </c>
      <c r="E169">
        <f>VLOOKUP(B169,[1]分省年度数据!$A$1:$IV$65536,5,FALSE)</f>
        <v>4161</v>
      </c>
      <c r="F169" s="4">
        <v>37202</v>
      </c>
      <c r="G169" s="2">
        <f>VLOOKUP(B169,[2]分省年度数据!$A$1:$IV$65536,5,FALSE)</f>
        <v>59.3</v>
      </c>
      <c r="H169" s="2">
        <f t="shared" ref="H169:H200" si="6">G169/E169</f>
        <v>1.4251381879355924E-2</v>
      </c>
      <c r="N169">
        <v>16826.074074074069</v>
      </c>
      <c r="O169">
        <f>N169/F169</f>
        <v>0.45228950255561717</v>
      </c>
      <c r="Q169" t="s">
        <v>57</v>
      </c>
      <c r="R169">
        <v>10599</v>
      </c>
      <c r="S169">
        <f>VLOOKUP($B69,[6]分省年度数据!$A$1:$IV$65536,5,FALSE)</f>
        <v>31.45</v>
      </c>
      <c r="T169">
        <f>VLOOKUP($B69,[7]分省年度数据!$A$1:$IV$65536,5,FALSE)</f>
        <v>74</v>
      </c>
      <c r="U169">
        <f>VLOOKUP($B69,[8]分省年度数据!$A$1:$IV$65536,5,FALSE)</f>
        <v>10.4</v>
      </c>
      <c r="V169">
        <f>VLOOKUP($B69,[9]分省年度数据!$A$1:$IV$65536,5,FALSE)</f>
        <v>413.52</v>
      </c>
      <c r="W169">
        <f>VLOOKUP($B69,[10]分省年度数据!$A$1:$IV$65536,5,FALSE)</f>
        <v>11.33</v>
      </c>
      <c r="X169">
        <f>VLOOKUP($B69,[11]分省年度数据!$A$1:$IV$65536,5,FALSE)</f>
        <v>10.14</v>
      </c>
      <c r="Y169">
        <f>VLOOKUP($B69,[12]分省年度数据!$A$1:$IV$65536,5,FALSE)</f>
        <v>14.28</v>
      </c>
      <c r="AA169">
        <f>VLOOKUP($B69,[13]分省年度数据!$A$1:$IV$65536,5,FALSE)</f>
        <v>10988599</v>
      </c>
      <c r="AB169">
        <f>VLOOKUP($B69,[14]分省年度数据!$A$1:$IV$65536,5,FALSE)</f>
        <v>741.15</v>
      </c>
      <c r="AC169">
        <f>VLOOKUP($B169,[16]分省年度数据!$A$1:$IT$65532,5,FALSE)</f>
        <v>1057</v>
      </c>
      <c r="AD169">
        <f>VLOOKUP($B169,[17]分省年度数据!$A$1:$IS$65525,5,FALSE)</f>
        <v>18626.5</v>
      </c>
      <c r="AE169">
        <f>IFERROR(AC169/E169,0)</f>
        <v>0.25402547464551789</v>
      </c>
      <c r="AF169">
        <f>IFERROR(AD169/E169,0)</f>
        <v>4.4764479692381638</v>
      </c>
      <c r="AG169">
        <f>VLOOKUP($B69,[15]分省年度数据!$A$1:$IV$65536,5,FALSE)</f>
        <v>4942</v>
      </c>
      <c r="AH169">
        <f>VLOOKUP(B169,[4]分省年度数据!$A$1:$IV$65536,5,FALSE)</f>
        <v>30924</v>
      </c>
      <c r="AI169">
        <f>VLOOKUP(B169,[3]分省年度数据!$A$1:$IV$65536,5,FALSE)</f>
        <v>214.47</v>
      </c>
      <c r="AJ169">
        <f>VLOOKUP($B69,[18]分省年度数据!$A$1:$IS$65529,5,FALSE)</f>
        <v>99.71</v>
      </c>
      <c r="AK169">
        <f>VLOOKUP($B69,[19]分省年度数据!$A$1:$IS$65529,5,FALSE)</f>
        <v>98.75</v>
      </c>
      <c r="AL169">
        <f>VLOOKUP($B69,[20]分省年度数据!$A$1:$IS$65528,5,FALSE)</f>
        <v>12.3</v>
      </c>
      <c r="AM169">
        <f>VLOOKUP($B69,[21]分省年度数据!$A$1:$IS$65528,5,FALSE)</f>
        <v>2.0699999999999998</v>
      </c>
      <c r="AN169">
        <f>VLOOKUP($B69,[22]分省年度数据!$A$1:$IS$65529,5,FALSE)</f>
        <v>13.4</v>
      </c>
    </row>
    <row r="170" spans="1:40">
      <c r="A170">
        <v>36</v>
      </c>
      <c r="B170" t="s">
        <v>14</v>
      </c>
      <c r="C170">
        <v>2020</v>
      </c>
      <c r="D170" t="s">
        <v>34</v>
      </c>
      <c r="E170">
        <f>VLOOKUP(B170,[1]分省年度数据!$A$1:$IV$65536,5,FALSE)</f>
        <v>4519</v>
      </c>
      <c r="F170" s="4">
        <v>28017</v>
      </c>
      <c r="G170" s="2">
        <f>VLOOKUP(B170,[2]分省年度数据!$A$1:$IV$65536,5,FALSE)</f>
        <v>954.7</v>
      </c>
      <c r="H170" s="2">
        <f t="shared" si="6"/>
        <v>0.21126355388360257</v>
      </c>
      <c r="N170">
        <v>7517.8181818181774</v>
      </c>
      <c r="O170">
        <f>N170/F170</f>
        <v>0.26833059149152932</v>
      </c>
      <c r="Q170" t="s">
        <v>58</v>
      </c>
      <c r="R170">
        <v>10599</v>
      </c>
      <c r="S170">
        <f>VLOOKUP($B70,[6]分省年度数据!$A$1:$IV$65536,5,FALSE)</f>
        <v>17.309999999999999</v>
      </c>
      <c r="T170">
        <f>VLOOKUP($B70,[7]分省年度数据!$A$1:$IV$65536,5,FALSE)</f>
        <v>88</v>
      </c>
      <c r="U170">
        <f>VLOOKUP($B70,[8]分省年度数据!$A$1:$IV$65536,5,FALSE)</f>
        <v>10</v>
      </c>
      <c r="V170">
        <f>VLOOKUP($B70,[9]分省年度数据!$A$1:$IV$65536,5,FALSE)</f>
        <v>300.2</v>
      </c>
      <c r="W170">
        <f>VLOOKUP($B70,[10]分省年度数据!$A$1:$IV$65536,5,FALSE)</f>
        <v>13.12</v>
      </c>
      <c r="X170">
        <f>VLOOKUP($B70,[11]分省年度数据!$A$1:$IV$65536,5,FALSE)</f>
        <v>9.27</v>
      </c>
      <c r="Y170">
        <f>VLOOKUP($B70,[12]分省年度数据!$A$1:$IV$65536,5,FALSE)</f>
        <v>11.28</v>
      </c>
      <c r="AA170">
        <f>VLOOKUP($B70,[13]分省年度数据!$A$1:$IV$65536,5,FALSE)</f>
        <v>7204781</v>
      </c>
      <c r="AB170">
        <f>VLOOKUP($B70,[14]分省年度数据!$A$1:$IV$65536,5,FALSE)</f>
        <v>526.69000000000005</v>
      </c>
      <c r="AC170">
        <f>VLOOKUP($B170,[16]分省年度数据!$A$1:$IT$65532,5,FALSE)</f>
        <v>196</v>
      </c>
      <c r="AD170">
        <f>VLOOKUP($B170,[17]分省年度数据!$A$1:$IS$65525,5,FALSE)</f>
        <v>10371.799999999999</v>
      </c>
      <c r="AE170">
        <f>IFERROR(AC170/E170,0)</f>
        <v>4.3372427528214207E-2</v>
      </c>
      <c r="AF170">
        <f>IFERROR(AD170/E170,0)</f>
        <v>2.2951537950874084</v>
      </c>
      <c r="AG170">
        <f>VLOOKUP($B70,[15]分省年度数据!$A$1:$IV$65536,5,FALSE)</f>
        <v>10503</v>
      </c>
      <c r="AH170">
        <f>VLOOKUP(B170,[4]分省年度数据!$A$1:$IV$65536,5,FALSE)</f>
        <v>25969</v>
      </c>
      <c r="AI170">
        <f>VLOOKUP(B170,[3]分省年度数据!$A$1:$IV$65536,5,FALSE)</f>
        <v>176.68</v>
      </c>
      <c r="AJ170">
        <f>VLOOKUP($B70,[18]分省年度数据!$A$1:$IS$65529,5,FALSE)</f>
        <v>95.6</v>
      </c>
      <c r="AK170">
        <f>VLOOKUP($B70,[19]分省年度数据!$A$1:$IS$65529,5,FALSE)</f>
        <v>92.93</v>
      </c>
      <c r="AL170">
        <f>VLOOKUP($B70,[20]分省年度数据!$A$1:$IS$65528,5,FALSE)</f>
        <v>10.07</v>
      </c>
      <c r="AM170">
        <f>VLOOKUP($B70,[21]分省年度数据!$A$1:$IS$65528,5,FALSE)</f>
        <v>3.55</v>
      </c>
      <c r="AN170">
        <f>VLOOKUP($B70,[22]分省年度数据!$A$1:$IS$65529,5,FALSE)</f>
        <v>12.94</v>
      </c>
    </row>
    <row r="171" spans="1:40">
      <c r="A171">
        <v>37</v>
      </c>
      <c r="B171" t="s">
        <v>15</v>
      </c>
      <c r="C171">
        <v>2020</v>
      </c>
      <c r="D171" t="s">
        <v>34</v>
      </c>
      <c r="E171">
        <f>VLOOKUP(B171,[1]分省年度数据!$A$1:$IV$65536,5,FALSE)</f>
        <v>10165</v>
      </c>
      <c r="F171" s="4">
        <v>32886</v>
      </c>
      <c r="G171" s="2">
        <f>VLOOKUP(B171,[2]分省年度数据!$A$1:$IV$65536,5,FALSE)</f>
        <v>395.7</v>
      </c>
      <c r="H171" s="2">
        <f t="shared" si="6"/>
        <v>3.8927693064436789E-2</v>
      </c>
      <c r="N171">
        <v>9684.5364583333358</v>
      </c>
      <c r="O171">
        <f>N171/F171</f>
        <v>0.29448812437916849</v>
      </c>
      <c r="Q171" t="s">
        <v>65</v>
      </c>
      <c r="R171">
        <v>10599</v>
      </c>
      <c r="S171">
        <f>VLOOKUP($B71,[6]分省年度数据!$A$1:$IV$65536,5,FALSE)</f>
        <v>25.33</v>
      </c>
      <c r="T171">
        <f>VLOOKUP($B71,[7]分省年度数据!$A$1:$IV$65536,5,FALSE)</f>
        <v>76</v>
      </c>
      <c r="U171">
        <f>VLOOKUP($B71,[8]分省年度数据!$A$1:$IV$65536,5,FALSE)</f>
        <v>10.7</v>
      </c>
      <c r="V171">
        <f>VLOOKUP($B71,[9]分省年度数据!$A$1:$IV$65536,5,FALSE)</f>
        <v>401.19</v>
      </c>
      <c r="W171">
        <f>VLOOKUP($B71,[10]分省年度数据!$A$1:$IV$65536,5,FALSE)</f>
        <v>12.92</v>
      </c>
      <c r="X171">
        <f>VLOOKUP($B71,[11]分省年度数据!$A$1:$IV$65536,5,FALSE)</f>
        <v>9.9600000000000009</v>
      </c>
      <c r="Y171">
        <f>VLOOKUP($B71,[12]分省年度数据!$A$1:$IV$65536,5,FALSE)</f>
        <v>12</v>
      </c>
      <c r="AA171">
        <f>VLOOKUP($B71,[13]分省年度数据!$A$1:$IV$65536,5,FALSE)</f>
        <v>8422728</v>
      </c>
      <c r="AB171">
        <f>VLOOKUP($B71,[14]分省年度数据!$A$1:$IV$65536,5,FALSE)</f>
        <v>562.41999999999996</v>
      </c>
      <c r="AC171">
        <f>VLOOKUP($B171,[16]分省年度数据!$A$1:$IT$65532,5,FALSE)</f>
        <v>813</v>
      </c>
      <c r="AD171">
        <f>VLOOKUP($B171,[17]分省年度数据!$A$1:$IS$65525,5,FALSE)</f>
        <v>29248</v>
      </c>
      <c r="AE171">
        <f>IFERROR(AC171/E171,0)</f>
        <v>7.9980324643384157E-2</v>
      </c>
      <c r="AF171">
        <f>IFERROR(AD171/E171,0)</f>
        <v>2.8773241515002459</v>
      </c>
      <c r="AG171">
        <f>VLOOKUP($B71,[15]分省年度数据!$A$1:$IV$65536,5,FALSE)</f>
        <v>4669</v>
      </c>
      <c r="AH171">
        <f>VLOOKUP(B171,[4]分省年度数据!$A$1:$IV$65536,5,FALSE)</f>
        <v>127200</v>
      </c>
      <c r="AI171">
        <f>VLOOKUP(B171,[3]分省年度数据!$A$1:$IV$65536,5,FALSE)</f>
        <v>119.35</v>
      </c>
      <c r="AJ171">
        <f>VLOOKUP($B71,[18]分省年度数据!$A$1:$IS$65529,5,FALSE)</f>
        <v>98.99</v>
      </c>
      <c r="AK171">
        <f>VLOOKUP($B71,[19]分省年度数据!$A$1:$IS$65529,5,FALSE)</f>
        <v>90.82</v>
      </c>
      <c r="AL171">
        <f>VLOOKUP($B71,[20]分省年度数据!$A$1:$IS$65528,5,FALSE)</f>
        <v>13.99</v>
      </c>
      <c r="AM171">
        <f>VLOOKUP($B71,[21]分省年度数据!$A$1:$IS$65528,5,FALSE)</f>
        <v>4.2699999999999996</v>
      </c>
      <c r="AN171">
        <f>VLOOKUP($B71,[22]分省年度数据!$A$1:$IS$65529,5,FALSE)</f>
        <v>12.77</v>
      </c>
    </row>
    <row r="172" spans="1:40">
      <c r="A172">
        <v>41</v>
      </c>
      <c r="B172" t="s">
        <v>16</v>
      </c>
      <c r="C172">
        <v>2020</v>
      </c>
      <c r="D172" t="s">
        <v>35</v>
      </c>
      <c r="E172">
        <f>VLOOKUP(B172,[1]分省年度数据!$A$1:$IV$65536,5,FALSE)</f>
        <v>9941</v>
      </c>
      <c r="F172" s="4">
        <v>24810</v>
      </c>
      <c r="G172" s="2">
        <f>VLOOKUP(B172,[2]分省年度数据!$A$1:$IV$65536,5,FALSE)</f>
        <v>814.5</v>
      </c>
      <c r="H172" s="2">
        <f t="shared" si="6"/>
        <v>8.1933407101901223E-2</v>
      </c>
      <c r="N172">
        <v>7083.1176470588216</v>
      </c>
      <c r="O172">
        <f>N172/F172</f>
        <v>0.28549446380728827</v>
      </c>
      <c r="Q172" t="s">
        <v>62</v>
      </c>
      <c r="R172">
        <v>10599</v>
      </c>
      <c r="S172">
        <f>VLOOKUP($B72,[6]分省年度数据!$A$1:$IV$65536,5,FALSE)</f>
        <v>15.22</v>
      </c>
      <c r="T172">
        <f>VLOOKUP($B72,[7]分省年度数据!$A$1:$IV$65536,5,FALSE)</f>
        <v>86</v>
      </c>
      <c r="U172">
        <f>VLOOKUP($B72,[8]分省年度数据!$A$1:$IV$65536,5,FALSE)</f>
        <v>10.7</v>
      </c>
      <c r="V172">
        <f>VLOOKUP($B72,[9]分省年度数据!$A$1:$IV$65536,5,FALSE)</f>
        <v>545.05999999999995</v>
      </c>
      <c r="W172">
        <f>VLOOKUP($B72,[10]分省年度数据!$A$1:$IV$65536,5,FALSE)</f>
        <v>8.74</v>
      </c>
      <c r="X172">
        <f>VLOOKUP($B72,[11]分省年度数据!$A$1:$IV$65536,5,FALSE)</f>
        <v>10.47</v>
      </c>
      <c r="Y172">
        <f>VLOOKUP($B72,[12]分省年度数据!$A$1:$IV$65536,5,FALSE)</f>
        <v>14.01</v>
      </c>
      <c r="AA172">
        <f>VLOOKUP($B72,[13]分省年度数据!$A$1:$IV$65536,5,FALSE)</f>
        <v>14427631</v>
      </c>
      <c r="AB172">
        <f>VLOOKUP($B72,[14]分省年度数据!$A$1:$IV$65536,5,FALSE)</f>
        <v>1000.59</v>
      </c>
      <c r="AC172">
        <f>VLOOKUP($B172,[16]分省年度数据!$A$1:$IT$65532,5,FALSE)</f>
        <v>286</v>
      </c>
      <c r="AD172">
        <f>VLOOKUP($B172,[17]分省年度数据!$A$1:$IS$65525,5,FALSE)</f>
        <v>22502.799999999999</v>
      </c>
      <c r="AE172">
        <f>IFERROR(AC172/E172,0)</f>
        <v>2.8769741474700735E-2</v>
      </c>
      <c r="AF172">
        <f>IFERROR(AD172/E172,0)</f>
        <v>2.263635449149985</v>
      </c>
      <c r="AG172">
        <f>VLOOKUP($B72,[15]分省年度数据!$A$1:$IV$65536,5,FALSE)</f>
        <v>862</v>
      </c>
      <c r="AH172">
        <f>VLOOKUP(B172,[4]分省年度数据!$A$1:$IV$65536,5,FALSE)</f>
        <v>30085</v>
      </c>
      <c r="AI172">
        <f>VLOOKUP(B172,[3]分省年度数据!$A$1:$IV$65536,5,FALSE)</f>
        <v>128.99</v>
      </c>
      <c r="AJ172">
        <f>VLOOKUP($B72,[18]分省年度数据!$A$1:$IS$65529,5,FALSE)</f>
        <v>100</v>
      </c>
      <c r="AK172">
        <f>VLOOKUP($B72,[19]分省年度数据!$A$1:$IS$65529,5,FALSE)</f>
        <v>100</v>
      </c>
      <c r="AL172">
        <f>VLOOKUP($B72,[20]分省年度数据!$A$1:$IS$65528,5,FALSE)</f>
        <v>9.2100000000000009</v>
      </c>
      <c r="AM172">
        <f>VLOOKUP($B72,[21]分省年度数据!$A$1:$IS$65528,5,FALSE)</f>
        <v>2.34</v>
      </c>
      <c r="AN172">
        <f>VLOOKUP($B72,[22]分省年度数据!$A$1:$IS$65529,5,FALSE)</f>
        <v>9.0500000000000007</v>
      </c>
    </row>
    <row r="173" spans="1:40">
      <c r="A173">
        <v>42</v>
      </c>
      <c r="B173" t="s">
        <v>17</v>
      </c>
      <c r="C173">
        <v>2020</v>
      </c>
      <c r="D173" t="s">
        <v>35</v>
      </c>
      <c r="E173">
        <f>VLOOKUP(B173,[1]分省年度数据!$A$1:$IV$65536,5,FALSE)</f>
        <v>5745</v>
      </c>
      <c r="F173" s="4">
        <v>27881</v>
      </c>
      <c r="G173" s="2">
        <f>VLOOKUP(B173,[2]分省年度数据!$A$1:$IV$65536,5,FALSE)</f>
        <v>1575.1</v>
      </c>
      <c r="H173" s="2">
        <f t="shared" si="6"/>
        <v>0.27416884247171452</v>
      </c>
      <c r="N173">
        <v>7189.7222222222217</v>
      </c>
      <c r="O173">
        <f>N173/F173</f>
        <v>0.25787174858226825</v>
      </c>
      <c r="Q173" t="s">
        <v>55</v>
      </c>
      <c r="R173">
        <v>10599</v>
      </c>
      <c r="S173">
        <f>VLOOKUP($B73,[6]分省年度数据!$A$1:$IV$65536,5,FALSE)</f>
        <v>53.5</v>
      </c>
      <c r="T173">
        <f>VLOOKUP($B73,[7]分省年度数据!$A$1:$IV$65536,5,FALSE)</f>
        <v>79</v>
      </c>
      <c r="U173">
        <f>VLOOKUP($B73,[8]分省年度数据!$A$1:$IV$65536,5,FALSE)</f>
        <v>9.6999999999999993</v>
      </c>
      <c r="V173">
        <f>VLOOKUP($B73,[9]分省年度数据!$A$1:$IV$65536,5,FALSE)</f>
        <v>1007.47</v>
      </c>
      <c r="W173">
        <f>VLOOKUP($B73,[10]分省年度数据!$A$1:$IV$65536,5,FALSE)</f>
        <v>10.96</v>
      </c>
      <c r="X173">
        <f>VLOOKUP($B73,[11]分省年度数据!$A$1:$IV$65536,5,FALSE)</f>
        <v>11.96</v>
      </c>
      <c r="Y173">
        <f>VLOOKUP($B73,[12]分省年度数据!$A$1:$IV$65536,5,FALSE)</f>
        <v>16.79</v>
      </c>
      <c r="AA173">
        <f>VLOOKUP($B73,[13]分省年度数据!$A$1:$IV$65536,5,FALSE)</f>
        <v>33717331</v>
      </c>
      <c r="AB173">
        <f>VLOOKUP($B73,[14]分省年度数据!$A$1:$IV$65536,5,FALSE)</f>
        <v>2406.5300000000002</v>
      </c>
      <c r="AC173">
        <f>VLOOKUP($B173,[16]分省年度数据!$A$1:$IT$65532,5,FALSE)</f>
        <v>1836</v>
      </c>
      <c r="AD173">
        <f>VLOOKUP($B173,[17]分省年度数据!$A$1:$IS$65525,5,FALSE)</f>
        <v>17984.900000000001</v>
      </c>
      <c r="AE173">
        <f>IFERROR(AC173/E173,0)</f>
        <v>0.31958224543080938</v>
      </c>
      <c r="AF173">
        <f>IFERROR(AD173/E173,0)</f>
        <v>3.1305308964316798</v>
      </c>
      <c r="AG173">
        <f>VLOOKUP($B73,[15]分省年度数据!$A$1:$IV$65536,5,FALSE)</f>
        <v>10747</v>
      </c>
      <c r="AH173">
        <f>VLOOKUP(B173,[4]分省年度数据!$A$1:$IV$65536,5,FALSE)</f>
        <v>27088</v>
      </c>
      <c r="AI173">
        <f>VLOOKUP(B173,[3]分省年度数据!$A$1:$IV$65536,5,FALSE)</f>
        <v>192.85</v>
      </c>
      <c r="AJ173">
        <f>VLOOKUP($B73,[18]分省年度数据!$A$1:$IS$65529,5,FALSE)</f>
        <v>100</v>
      </c>
      <c r="AK173">
        <f>VLOOKUP($B73,[19]分省年度数据!$A$1:$IS$65529,5,FALSE)</f>
        <v>99.92</v>
      </c>
      <c r="AL173">
        <f>VLOOKUP($B73,[20]分省年度数据!$A$1:$IS$65528,5,FALSE)</f>
        <v>15.61</v>
      </c>
      <c r="AM173">
        <f>VLOOKUP($B73,[21]分省年度数据!$A$1:$IS$65528,5,FALSE)</f>
        <v>4.2300000000000004</v>
      </c>
      <c r="AN173">
        <f>VLOOKUP($B73,[22]分省年度数据!$A$1:$IS$65529,5,FALSE)</f>
        <v>15.34</v>
      </c>
    </row>
    <row r="174" spans="1:40">
      <c r="A174">
        <v>43</v>
      </c>
      <c r="B174" t="s">
        <v>18</v>
      </c>
      <c r="C174">
        <v>2020</v>
      </c>
      <c r="D174" t="s">
        <v>35</v>
      </c>
      <c r="E174">
        <f>VLOOKUP(B174,[1]分省年度数据!$A$1:$IV$65536,5,FALSE)</f>
        <v>6645</v>
      </c>
      <c r="F174" s="4">
        <v>29380</v>
      </c>
      <c r="G174" s="2">
        <f>VLOOKUP(B174,[2]分省年度数据!$A$1:$IV$65536,5,FALSE)</f>
        <v>907.8</v>
      </c>
      <c r="H174" s="2">
        <f t="shared" si="6"/>
        <v>0.13661399548532729</v>
      </c>
      <c r="N174">
        <v>6449.2820512820526</v>
      </c>
      <c r="O174">
        <f>N174/F174</f>
        <v>0.21951266342008349</v>
      </c>
      <c r="Q174" t="s">
        <v>53</v>
      </c>
      <c r="R174">
        <v>10599</v>
      </c>
      <c r="S174">
        <f>VLOOKUP($B74,[6]分省年度数据!$A$1:$IV$65536,5,FALSE)</f>
        <v>36.130000000000003</v>
      </c>
      <c r="T174">
        <f>VLOOKUP($B74,[7]分省年度数据!$A$1:$IV$65536,5,FALSE)</f>
        <v>85</v>
      </c>
      <c r="U174">
        <f>VLOOKUP($B74,[8]分省年度数据!$A$1:$IV$65536,5,FALSE)</f>
        <v>9.5</v>
      </c>
      <c r="V174">
        <f>VLOOKUP($B74,[9]分省年度数据!$A$1:$IV$65536,5,FALSE)</f>
        <v>838.85</v>
      </c>
      <c r="W174">
        <f>VLOOKUP($B74,[10]分省年度数据!$A$1:$IV$65536,5,FALSE)</f>
        <v>10.98</v>
      </c>
      <c r="X174">
        <f>VLOOKUP($B74,[11]分省年度数据!$A$1:$IV$65536,5,FALSE)</f>
        <v>12.29</v>
      </c>
      <c r="Y174">
        <f>VLOOKUP($B74,[12]分省年度数据!$A$1:$IV$65536,5,FALSE)</f>
        <v>16.79</v>
      </c>
      <c r="AA174">
        <f>VLOOKUP($B74,[13]分省年度数据!$A$1:$IV$65536,5,FALSE)</f>
        <v>28846115</v>
      </c>
      <c r="AB174">
        <f>VLOOKUP($B74,[14]分省年度数据!$A$1:$IV$65536,5,FALSE)</f>
        <v>1881.09</v>
      </c>
      <c r="AC174">
        <f>VLOOKUP($B174,[16]分省年度数据!$A$1:$IT$65532,5,FALSE)</f>
        <v>1107</v>
      </c>
      <c r="AD174">
        <f>VLOOKUP($B174,[17]分省年度数据!$A$1:$IS$65525,5,FALSE)</f>
        <v>16258.1</v>
      </c>
      <c r="AE174">
        <f>IFERROR(AC174/E174,0)</f>
        <v>0.16659142212189615</v>
      </c>
      <c r="AF174">
        <f>IFERROR(AD174/E174,0)</f>
        <v>2.4466666666666668</v>
      </c>
      <c r="AG174">
        <f>VLOOKUP($B74,[15]分省年度数据!$A$1:$IV$65536,5,FALSE)</f>
        <v>11066</v>
      </c>
      <c r="AH174">
        <f>VLOOKUP(B174,[4]分省年度数据!$A$1:$IV$65536,5,FALSE)</f>
        <v>28682</v>
      </c>
      <c r="AI174">
        <f>VLOOKUP(B174,[3]分省年度数据!$A$1:$IV$65536,5,FALSE)</f>
        <v>211.47</v>
      </c>
      <c r="AJ174">
        <f>VLOOKUP($B74,[18]分省年度数据!$A$1:$IS$65529,5,FALSE)</f>
        <v>100</v>
      </c>
      <c r="AK174">
        <f>VLOOKUP($B74,[19]分省年度数据!$A$1:$IS$65529,5,FALSE)</f>
        <v>100</v>
      </c>
      <c r="AL174">
        <f>VLOOKUP($B74,[20]分省年度数据!$A$1:$IS$65528,5,FALSE)</f>
        <v>14.75</v>
      </c>
      <c r="AM174">
        <f>VLOOKUP($B74,[21]分省年度数据!$A$1:$IS$65528,5,FALSE)</f>
        <v>3.05</v>
      </c>
      <c r="AN174">
        <f>VLOOKUP($B74,[22]分省年度数据!$A$1:$IS$65529,5,FALSE)</f>
        <v>13.59</v>
      </c>
    </row>
    <row r="175" spans="1:40">
      <c r="A175">
        <v>44</v>
      </c>
      <c r="B175" t="s">
        <v>19</v>
      </c>
      <c r="C175">
        <v>2020</v>
      </c>
      <c r="D175" t="s">
        <v>35</v>
      </c>
      <c r="E175">
        <f>VLOOKUP(B175,[1]分省年度数据!$A$1:$IV$65536,5,FALSE)</f>
        <v>12624</v>
      </c>
      <c r="F175" s="4">
        <v>41029</v>
      </c>
      <c r="G175" s="2">
        <f>VLOOKUP(B175,[2]分省年度数据!$A$1:$IV$65536,5,FALSE)</f>
        <v>119</v>
      </c>
      <c r="H175" s="2">
        <f t="shared" si="6"/>
        <v>9.4264892268694552E-3</v>
      </c>
      <c r="N175">
        <v>12274.12301587301</v>
      </c>
      <c r="O175">
        <f>N175/F175</f>
        <v>0.29915725501165052</v>
      </c>
      <c r="Q175" t="s">
        <v>54</v>
      </c>
      <c r="R175">
        <v>10599</v>
      </c>
      <c r="S175">
        <f>VLOOKUP($B75,[6]分省年度数据!$A$1:$IV$65536,5,FALSE)</f>
        <v>40.78</v>
      </c>
      <c r="T175">
        <f>VLOOKUP($B75,[7]分省年度数据!$A$1:$IV$65536,5,FALSE)</f>
        <v>68</v>
      </c>
      <c r="U175">
        <f>VLOOKUP($B75,[8]分省年度数据!$A$1:$IV$65536,5,FALSE)</f>
        <v>9.6999999999999993</v>
      </c>
      <c r="V175">
        <f>VLOOKUP($B75,[9]分省年度数据!$A$1:$IV$65536,5,FALSE)</f>
        <v>761.62</v>
      </c>
      <c r="W175">
        <f>VLOOKUP($B75,[10]分省年度数据!$A$1:$IV$65536,5,FALSE)</f>
        <v>13.82</v>
      </c>
      <c r="X175">
        <f>VLOOKUP($B75,[11]分省年度数据!$A$1:$IV$65536,5,FALSE)</f>
        <v>13.53</v>
      </c>
      <c r="Y175">
        <f>VLOOKUP($B75,[12]分省年度数据!$A$1:$IV$65536,5,FALSE)</f>
        <v>17.98</v>
      </c>
      <c r="AA175">
        <f>VLOOKUP($B75,[13]分省年度数据!$A$1:$IV$65536,5,FALSE)</f>
        <v>17478565</v>
      </c>
      <c r="AB175">
        <f>VLOOKUP($B75,[14]分省年度数据!$A$1:$IV$65536,5,FALSE)</f>
        <v>1261.8599999999999</v>
      </c>
      <c r="AC175">
        <f>VLOOKUP($B175,[16]分省年度数据!$A$1:$IT$65532,5,FALSE)</f>
        <v>5953</v>
      </c>
      <c r="AD175">
        <f>VLOOKUP($B175,[17]分省年度数据!$A$1:$IS$65525,5,FALSE)</f>
        <v>40207.9</v>
      </c>
      <c r="AE175">
        <f>IFERROR(AC175/E175,0)</f>
        <v>0.47156210392902409</v>
      </c>
      <c r="AF175">
        <f>IFERROR(AD175/E175,0)</f>
        <v>3.1850364385297847</v>
      </c>
      <c r="AG175">
        <f>VLOOKUP($B75,[15]分省年度数据!$A$1:$IV$65536,5,FALSE)</f>
        <v>9412</v>
      </c>
      <c r="AH175">
        <f>VLOOKUP(B175,[4]分省年度数据!$A$1:$IV$65536,5,FALSE)</f>
        <v>117919</v>
      </c>
      <c r="AI175">
        <f>VLOOKUP(B175,[3]分省年度数据!$A$1:$IV$65536,5,FALSE)</f>
        <v>236.78</v>
      </c>
      <c r="AJ175">
        <f>VLOOKUP($B75,[18]分省年度数据!$A$1:$IS$65529,5,FALSE)</f>
        <v>99.6</v>
      </c>
      <c r="AK175">
        <f>VLOOKUP($B75,[19]分省年度数据!$A$1:$IS$65529,5,FALSE)</f>
        <v>99.24</v>
      </c>
      <c r="AL175">
        <f>VLOOKUP($B75,[20]分省年度数据!$A$1:$IS$65528,5,FALSE)</f>
        <v>13.02</v>
      </c>
      <c r="AM175">
        <f>VLOOKUP($B75,[21]分省年度数据!$A$1:$IS$65528,5,FALSE)</f>
        <v>2.68</v>
      </c>
      <c r="AN175">
        <f>VLOOKUP($B75,[22]分省年度数据!$A$1:$IS$65529,5,FALSE)</f>
        <v>14.88</v>
      </c>
    </row>
    <row r="176" spans="1:40">
      <c r="A176">
        <v>45</v>
      </c>
      <c r="B176" t="s">
        <v>20</v>
      </c>
      <c r="C176">
        <v>2020</v>
      </c>
      <c r="D176" t="s">
        <v>35</v>
      </c>
      <c r="E176">
        <f>VLOOKUP(B176,[1]分省年度数据!$A$1:$IV$65536,5,FALSE)</f>
        <v>5019</v>
      </c>
      <c r="F176" s="4">
        <v>24562</v>
      </c>
      <c r="G176" s="2">
        <f>VLOOKUP(B176,[2]分省年度数据!$A$1:$IV$65536,5,FALSE)</f>
        <v>336.9</v>
      </c>
      <c r="H176" s="2">
        <f t="shared" si="6"/>
        <v>6.7124925283921097E-2</v>
      </c>
      <c r="N176">
        <v>6155.3333333333348</v>
      </c>
      <c r="O176">
        <f>N176/F176</f>
        <v>0.25060391390494807</v>
      </c>
      <c r="Q176" t="s">
        <v>55</v>
      </c>
      <c r="R176">
        <v>10599</v>
      </c>
      <c r="S176">
        <f>VLOOKUP($B76,[6]分省年度数据!$A$1:$IV$65536,5,FALSE)</f>
        <v>21.68</v>
      </c>
      <c r="T176">
        <f>VLOOKUP($B76,[7]分省年度数据!$A$1:$IV$65536,5,FALSE)</f>
        <v>67</v>
      </c>
      <c r="U176">
        <f>VLOOKUP($B76,[8]分省年度数据!$A$1:$IV$65536,5,FALSE)</f>
        <v>8.6999999999999993</v>
      </c>
      <c r="V176">
        <f>VLOOKUP($B76,[9]分省年度数据!$A$1:$IV$65536,5,FALSE)</f>
        <v>521.96</v>
      </c>
      <c r="W176">
        <f>VLOOKUP($B76,[10]分省年度数据!$A$1:$IV$65536,5,FALSE)</f>
        <v>12.59</v>
      </c>
      <c r="X176">
        <f>VLOOKUP($B76,[11]分省年度数据!$A$1:$IV$65536,5,FALSE)</f>
        <v>13.46</v>
      </c>
      <c r="Y176">
        <f>VLOOKUP($B76,[12]分省年度数据!$A$1:$IV$65536,5,FALSE)</f>
        <v>18.82</v>
      </c>
      <c r="AA176">
        <f>VLOOKUP($B76,[13]分省年度数据!$A$1:$IV$65536,5,FALSE)</f>
        <v>14160989</v>
      </c>
      <c r="AB176">
        <f>VLOOKUP($B76,[14]分省年度数据!$A$1:$IV$65536,5,FALSE)</f>
        <v>1031.57</v>
      </c>
      <c r="AC176">
        <f>VLOOKUP($B176,[16]分省年度数据!$A$1:$IT$65532,5,FALSE)</f>
        <v>443</v>
      </c>
      <c r="AD176">
        <f>VLOOKUP($B176,[17]分省年度数据!$A$1:$IS$65525,5,FALSE)</f>
        <v>7831</v>
      </c>
      <c r="AE176">
        <f>IFERROR(AC176/E176,0)</f>
        <v>8.8264594540745173E-2</v>
      </c>
      <c r="AF176">
        <f>IFERROR(AD176/E176,0)</f>
        <v>1.5602709703128113</v>
      </c>
      <c r="AG176">
        <f>VLOOKUP($B76,[15]分省年度数据!$A$1:$IV$65536,5,FALSE)</f>
        <v>9752</v>
      </c>
      <c r="AH176">
        <f>VLOOKUP(B176,[4]分省年度数据!$A$1:$IV$65536,5,FALSE)</f>
        <v>17897</v>
      </c>
      <c r="AI176">
        <f>VLOOKUP(B176,[3]分省年度数据!$A$1:$IV$65536,5,FALSE)</f>
        <v>263.48</v>
      </c>
      <c r="AJ176">
        <f>VLOOKUP($B76,[18]分省年度数据!$A$1:$IS$65529,5,FALSE)</f>
        <v>99.9</v>
      </c>
      <c r="AK176">
        <f>VLOOKUP($B76,[19]分省年度数据!$A$1:$IS$65529,5,FALSE)</f>
        <v>99.21</v>
      </c>
      <c r="AL176">
        <f>VLOOKUP($B76,[20]分省年度数据!$A$1:$IS$65528,5,FALSE)</f>
        <v>14.18</v>
      </c>
      <c r="AM176">
        <f>VLOOKUP($B76,[21]分省年度数据!$A$1:$IS$65528,5,FALSE)</f>
        <v>4.57</v>
      </c>
      <c r="AN176">
        <f>VLOOKUP($B76,[22]分省年度数据!$A$1:$IS$65529,5,FALSE)</f>
        <v>14.94</v>
      </c>
    </row>
    <row r="177" spans="1:40">
      <c r="A177">
        <v>46</v>
      </c>
      <c r="B177" t="s">
        <v>21</v>
      </c>
      <c r="C177">
        <v>2020</v>
      </c>
      <c r="D177" t="s">
        <v>35</v>
      </c>
      <c r="E177">
        <f>VLOOKUP(B177,[1]分省年度数据!$A$1:$IV$65536,5,FALSE)</f>
        <v>1012</v>
      </c>
      <c r="F177" s="4">
        <v>27904</v>
      </c>
      <c r="G177" s="2">
        <f>VLOOKUP(B177,[2]分省年度数据!$A$1:$IV$65536,5,FALSE)</f>
        <v>26.7</v>
      </c>
      <c r="H177" s="2">
        <f t="shared" si="6"/>
        <v>2.6383399209486166E-2</v>
      </c>
      <c r="N177">
        <v>21446.833333333299</v>
      </c>
      <c r="O177">
        <f>N177/F177</f>
        <v>0.76859351108562568</v>
      </c>
      <c r="Q177" t="s">
        <v>57</v>
      </c>
      <c r="R177">
        <v>10599</v>
      </c>
      <c r="S177">
        <f>VLOOKUP($B77,[6]分省年度数据!$A$1:$IV$65536,5,FALSE)</f>
        <v>28.58</v>
      </c>
      <c r="T177">
        <f>VLOOKUP($B77,[7]分省年度数据!$A$1:$IV$65536,5,FALSE)</f>
        <v>63</v>
      </c>
      <c r="U177">
        <f>VLOOKUP($B77,[8]分省年度数据!$A$1:$IV$65536,5,FALSE)</f>
        <v>9</v>
      </c>
      <c r="V177">
        <f>VLOOKUP($B77,[9]分省年度数据!$A$1:$IV$65536,5,FALSE)</f>
        <v>642.36</v>
      </c>
      <c r="W177">
        <f>VLOOKUP($B77,[10]分省年度数据!$A$1:$IV$65536,5,FALSE)</f>
        <v>16.940000000000001</v>
      </c>
      <c r="X177">
        <f>VLOOKUP($B77,[11]分省年度数据!$A$1:$IV$65536,5,FALSE)</f>
        <v>15.15</v>
      </c>
      <c r="Y177">
        <f>VLOOKUP($B77,[12]分省年度数据!$A$1:$IV$65536,5,FALSE)</f>
        <v>16.77</v>
      </c>
      <c r="AA177">
        <f>VLOOKUP($B77,[13]分省年度数据!$A$1:$IV$65536,5,FALSE)</f>
        <v>15772884</v>
      </c>
      <c r="AB177">
        <f>VLOOKUP($B77,[14]分省年度数据!$A$1:$IV$65536,5,FALSE)</f>
        <v>1223.5899999999999</v>
      </c>
      <c r="AC177">
        <f>VLOOKUP($B177,[16]分省年度数据!$A$1:$IT$65532,5,FALSE)</f>
        <v>8</v>
      </c>
      <c r="AD177">
        <f>VLOOKUP($B177,[17]分省年度数据!$A$1:$IS$65525,5,FALSE)</f>
        <v>1974.6</v>
      </c>
      <c r="AE177">
        <f>IFERROR(AC177/E177,0)</f>
        <v>7.9051383399209481E-3</v>
      </c>
      <c r="AF177">
        <f>IFERROR(AD177/E177,0)</f>
        <v>1.9511857707509881</v>
      </c>
      <c r="AG177">
        <f>VLOOKUP($B77,[15]分省年度数据!$A$1:$IV$65536,5,FALSE)</f>
        <v>5535</v>
      </c>
      <c r="AH177">
        <f>VLOOKUP(B177,[4]分省年度数据!$A$1:$IV$65536,5,FALSE)</f>
        <v>9212</v>
      </c>
      <c r="AI177">
        <f>VLOOKUP(B177,[3]分省年度数据!$A$1:$IV$65536,5,FALSE)</f>
        <v>275.27</v>
      </c>
      <c r="AJ177">
        <f>VLOOKUP($B77,[18]分省年度数据!$A$1:$IS$65529,5,FALSE)</f>
        <v>98.62</v>
      </c>
      <c r="AK177">
        <f>VLOOKUP($B77,[19]分省年度数据!$A$1:$IS$65529,5,FALSE)</f>
        <v>97.59</v>
      </c>
      <c r="AL177">
        <f>VLOOKUP($B77,[20]分省年度数据!$A$1:$IS$65528,5,FALSE)</f>
        <v>9.73</v>
      </c>
      <c r="AM177">
        <f>VLOOKUP($B77,[21]分省年度数据!$A$1:$IS$65528,5,FALSE)</f>
        <v>3.27</v>
      </c>
      <c r="AN177">
        <f>VLOOKUP($B77,[22]分省年度数据!$A$1:$IS$65529,5,FALSE)</f>
        <v>14.8</v>
      </c>
    </row>
    <row r="178" spans="1:40">
      <c r="A178">
        <v>50</v>
      </c>
      <c r="B178" t="s">
        <v>22</v>
      </c>
      <c r="C178">
        <v>2020</v>
      </c>
      <c r="D178" t="s">
        <v>36</v>
      </c>
      <c r="E178">
        <f>VLOOKUP(B178,[1]分省年度数据!$A$1:$IV$65536,5,FALSE)</f>
        <v>3209</v>
      </c>
      <c r="F178" s="4">
        <v>30824</v>
      </c>
      <c r="G178" s="2">
        <f>VLOOKUP(B178,[2]分省年度数据!$A$1:$IV$65536,5,FALSE)</f>
        <v>401.8</v>
      </c>
      <c r="H178" s="2">
        <f t="shared" si="6"/>
        <v>0.12521034590215022</v>
      </c>
      <c r="N178">
        <v>11311.5</v>
      </c>
      <c r="O178">
        <f>N178/F178</f>
        <v>0.36697054243446664</v>
      </c>
      <c r="Q178" t="s">
        <v>55</v>
      </c>
      <c r="R178">
        <v>10599</v>
      </c>
      <c r="S178">
        <f>VLOOKUP($B78,[6]分省年度数据!$A$1:$IV$65536,5,FALSE)</f>
        <v>64.69</v>
      </c>
      <c r="T178">
        <f>VLOOKUP($B78,[7]分省年度数据!$A$1:$IV$65536,5,FALSE)</f>
        <v>80</v>
      </c>
      <c r="U178">
        <f>VLOOKUP($B78,[8]分省年度数据!$A$1:$IV$65536,5,FALSE)</f>
        <v>8.9</v>
      </c>
      <c r="V178">
        <f>VLOOKUP($B78,[9]分省年度数据!$A$1:$IV$65536,5,FALSE)</f>
        <v>1045.5</v>
      </c>
      <c r="W178">
        <f>VLOOKUP($B78,[10]分省年度数据!$A$1:$IV$65536,5,FALSE)</f>
        <v>11.81</v>
      </c>
      <c r="X178">
        <f>VLOOKUP($B78,[11]分省年度数据!$A$1:$IV$65536,5,FALSE)</f>
        <v>12.24</v>
      </c>
      <c r="Y178">
        <f>VLOOKUP($B78,[12]分省年度数据!$A$1:$IV$65536,5,FALSE)</f>
        <v>16.36</v>
      </c>
      <c r="AA178">
        <f>VLOOKUP($B78,[13]分省年度数据!$A$1:$IV$65536,5,FALSE)</f>
        <v>31022594</v>
      </c>
      <c r="AB178">
        <f>VLOOKUP($B78,[14]分省年度数据!$A$1:$IV$65536,5,FALSE)</f>
        <v>2283.84</v>
      </c>
      <c r="AC178">
        <f>VLOOKUP($B178,[16]分省年度数据!$A$1:$IT$65532,5,FALSE)</f>
        <v>1177</v>
      </c>
      <c r="AD178">
        <f>VLOOKUP($B178,[17]分省年度数据!$A$1:$IS$65525,5,FALSE)</f>
        <v>11787.2</v>
      </c>
      <c r="AE178">
        <f>IFERROR(AC178/E178,0)</f>
        <v>0.36678092863820505</v>
      </c>
      <c r="AF178">
        <f>IFERROR(AD178/E178,0)</f>
        <v>3.6731692115923966</v>
      </c>
      <c r="AG178">
        <f>VLOOKUP($B78,[15]分省年度数据!$A$1:$IV$65536,5,FALSE)</f>
        <v>12566</v>
      </c>
      <c r="AH178">
        <f>VLOOKUP(B178,[4]分省年度数据!$A$1:$IV$65536,5,FALSE)</f>
        <v>27219</v>
      </c>
      <c r="AI178">
        <f>VLOOKUP(B178,[3]分省年度数据!$A$1:$IV$65536,5,FALSE)</f>
        <v>179.8</v>
      </c>
      <c r="AJ178">
        <f>VLOOKUP($B78,[18]分省年度数据!$A$1:$IS$65529,5,FALSE)</f>
        <v>99.84</v>
      </c>
      <c r="AK178">
        <f>VLOOKUP($B78,[19]分省年度数据!$A$1:$IS$65529,5,FALSE)</f>
        <v>99.31</v>
      </c>
      <c r="AL178">
        <f>VLOOKUP($B78,[20]分省年度数据!$A$1:$IS$65528,5,FALSE)</f>
        <v>15.56</v>
      </c>
      <c r="AM178">
        <f>VLOOKUP($B78,[21]分省年度数据!$A$1:$IS$65528,5,FALSE)</f>
        <v>2.0099999999999998</v>
      </c>
      <c r="AN178">
        <f>VLOOKUP($B78,[22]分省年度数据!$A$1:$IS$65529,5,FALSE)</f>
        <v>17.68</v>
      </c>
    </row>
    <row r="179" spans="1:40">
      <c r="A179">
        <v>51</v>
      </c>
      <c r="B179" t="s">
        <v>23</v>
      </c>
      <c r="C179">
        <v>2020</v>
      </c>
      <c r="D179" t="s">
        <v>36</v>
      </c>
      <c r="E179">
        <f>VLOOKUP(B179,[1]分省年度数据!$A$1:$IV$65536,5,FALSE)</f>
        <v>8371</v>
      </c>
      <c r="F179" s="4">
        <v>26522</v>
      </c>
      <c r="G179" s="2">
        <f>VLOOKUP(B179,[2]分省年度数据!$A$1:$IV$65536,5,FALSE)</f>
        <v>1152.3</v>
      </c>
      <c r="H179" s="2">
        <f t="shared" si="6"/>
        <v>0.13765380480229364</v>
      </c>
      <c r="N179">
        <v>6640.8611111111131</v>
      </c>
      <c r="O179">
        <f>N179/F179</f>
        <v>0.25039066100260587</v>
      </c>
      <c r="Q179" t="s">
        <v>55</v>
      </c>
      <c r="R179">
        <v>10599</v>
      </c>
      <c r="S179">
        <f>VLOOKUP($B79,[6]分省年度数据!$A$1:$IV$65536,5,FALSE)</f>
        <v>66.72</v>
      </c>
      <c r="T179">
        <f>VLOOKUP($B79,[7]分省年度数据!$A$1:$IV$65536,5,FALSE)</f>
        <v>71</v>
      </c>
      <c r="U179">
        <f>VLOOKUP($B79,[8]分省年度数据!$A$1:$IV$65536,5,FALSE)</f>
        <v>9.5</v>
      </c>
      <c r="V179">
        <f>VLOOKUP($B79,[9]分省年度数据!$A$1:$IV$65536,5,FALSE)</f>
        <v>1085.3900000000001</v>
      </c>
      <c r="W179">
        <f>VLOOKUP($B79,[10]分省年度数据!$A$1:$IV$65536,5,FALSE)</f>
        <v>15.18</v>
      </c>
      <c r="X179">
        <f>VLOOKUP($B79,[11]分省年度数据!$A$1:$IV$65536,5,FALSE)</f>
        <v>13.87</v>
      </c>
      <c r="Y179">
        <f>VLOOKUP($B79,[12]分省年度数据!$A$1:$IV$65536,5,FALSE)</f>
        <v>17.420000000000002</v>
      </c>
      <c r="AA179">
        <f>VLOOKUP($B79,[13]分省年度数据!$A$1:$IV$65536,5,FALSE)</f>
        <v>28022275</v>
      </c>
      <c r="AB179">
        <f>VLOOKUP($B79,[14]分省年度数据!$A$1:$IV$65536,5,FALSE)</f>
        <v>1882.56</v>
      </c>
      <c r="AC179">
        <f>VLOOKUP($B179,[16]分省年度数据!$A$1:$IT$65532,5,FALSE)</f>
        <v>1955</v>
      </c>
      <c r="AD179">
        <f>VLOOKUP($B179,[17]分省年度数据!$A$1:$IS$65525,5,FALSE)</f>
        <v>20824.900000000001</v>
      </c>
      <c r="AE179">
        <f>IFERROR(AC179/E179,0)</f>
        <v>0.23354437940508899</v>
      </c>
      <c r="AF179">
        <f>IFERROR(AD179/E179,0)</f>
        <v>2.4877433998327563</v>
      </c>
      <c r="AG179">
        <f>VLOOKUP($B79,[15]分省年度数据!$A$1:$IV$65536,5,FALSE)</f>
        <v>12257</v>
      </c>
      <c r="AH179">
        <f>VLOOKUP(B179,[4]分省年度数据!$A$1:$IV$65536,5,FALSE)</f>
        <v>42064</v>
      </c>
      <c r="AI179">
        <f>VLOOKUP(B179,[3]分省年度数据!$A$1:$IV$65536,5,FALSE)</f>
        <v>196.39</v>
      </c>
      <c r="AJ179">
        <f>VLOOKUP($B79,[18]分省年度数据!$A$1:$IS$65529,5,FALSE)</f>
        <v>98.19</v>
      </c>
      <c r="AK179">
        <f>VLOOKUP($B79,[19]分省年度数据!$A$1:$IS$65529,5,FALSE)</f>
        <v>96.83</v>
      </c>
      <c r="AL179">
        <f>VLOOKUP($B79,[20]分省年度数据!$A$1:$IS$65528,5,FALSE)</f>
        <v>12.2</v>
      </c>
      <c r="AM179">
        <f>VLOOKUP($B79,[21]分省年度数据!$A$1:$IS$65528,5,FALSE)</f>
        <v>4.0599999999999996</v>
      </c>
      <c r="AN179">
        <f>VLOOKUP($B79,[22]分省年度数据!$A$1:$IS$65529,5,FALSE)</f>
        <v>14.43</v>
      </c>
    </row>
    <row r="180" spans="1:40">
      <c r="A180">
        <v>52</v>
      </c>
      <c r="B180" t="s">
        <v>24</v>
      </c>
      <c r="C180">
        <v>2020</v>
      </c>
      <c r="D180" t="s">
        <v>36</v>
      </c>
      <c r="E180">
        <f>VLOOKUP(B180,[1]分省年度数据!$A$1:$IV$65536,5,FALSE)</f>
        <v>3858</v>
      </c>
      <c r="F180" s="4">
        <v>21795</v>
      </c>
      <c r="G180" s="2">
        <f>VLOOKUP(B180,[2]分省年度数据!$A$1:$IV$65536,5,FALSE)</f>
        <v>475.2</v>
      </c>
      <c r="H180" s="2">
        <f t="shared" si="6"/>
        <v>0.12317262830482115</v>
      </c>
      <c r="N180">
        <v>5847.9027777777756</v>
      </c>
      <c r="O180">
        <f>N180/F180</f>
        <v>0.26831396089826914</v>
      </c>
      <c r="Q180" t="s">
        <v>55</v>
      </c>
      <c r="R180">
        <v>10599</v>
      </c>
      <c r="S180">
        <f>VLOOKUP($B80,[6]分省年度数据!$A$1:$IV$65536,5,FALSE)</f>
        <v>41.14</v>
      </c>
      <c r="T180">
        <f>VLOOKUP($B80,[7]分省年度数据!$A$1:$IV$65536,5,FALSE)</f>
        <v>74</v>
      </c>
      <c r="U180">
        <f>VLOOKUP($B80,[8]分省年度数据!$A$1:$IV$65536,5,FALSE)</f>
        <v>10.1</v>
      </c>
      <c r="V180">
        <f>VLOOKUP($B80,[9]分省年度数据!$A$1:$IV$65536,5,FALSE)</f>
        <v>1019.71</v>
      </c>
      <c r="W180">
        <f>VLOOKUP($B80,[10]分省年度数据!$A$1:$IV$65536,5,FALSE)</f>
        <v>13.02</v>
      </c>
      <c r="X180">
        <f>VLOOKUP($B80,[11]分省年度数据!$A$1:$IV$65536,5,FALSE)</f>
        <v>12.65</v>
      </c>
      <c r="Y180">
        <f>VLOOKUP($B80,[12]分省年度数据!$A$1:$IV$65536,5,FALSE)</f>
        <v>18.149999999999999</v>
      </c>
      <c r="AA180">
        <f>VLOOKUP($B80,[13]分省年度数据!$A$1:$IV$65536,5,FALSE)</f>
        <v>16783125</v>
      </c>
      <c r="AB180">
        <f>VLOOKUP($B80,[14]分省年度数据!$A$1:$IV$65536,5,FALSE)</f>
        <v>1192.02</v>
      </c>
      <c r="AC180">
        <f>VLOOKUP($B180,[16]分省年度数据!$A$1:$IT$65532,5,FALSE)</f>
        <v>15</v>
      </c>
      <c r="AD180">
        <f>VLOOKUP($B180,[17]分省年度数据!$A$1:$IS$65525,5,FALSE)</f>
        <v>7833.4</v>
      </c>
      <c r="AE180">
        <f>IFERROR(AC180/E180,0)</f>
        <v>3.8880248833592537E-3</v>
      </c>
      <c r="AF180">
        <f>IFERROR(AD180/E180,0)</f>
        <v>2.0304302747537584</v>
      </c>
      <c r="AG180">
        <f>VLOOKUP($B80,[15]分省年度数据!$A$1:$IV$65536,5,FALSE)</f>
        <v>23052</v>
      </c>
      <c r="AH180">
        <f>VLOOKUP(B180,[4]分省年度数据!$A$1:$IV$65536,5,FALSE)</f>
        <v>14085</v>
      </c>
      <c r="AI180">
        <f>VLOOKUP(B180,[3]分省年度数据!$A$1:$IV$65536,5,FALSE)</f>
        <v>169.78</v>
      </c>
      <c r="AJ180">
        <f>VLOOKUP($B80,[18]分省年度数据!$A$1:$IS$65529,5,FALSE)</f>
        <v>99.56</v>
      </c>
      <c r="AK180">
        <f>VLOOKUP($B80,[19]分省年度数据!$A$1:$IS$65529,5,FALSE)</f>
        <v>98.4</v>
      </c>
      <c r="AL180">
        <f>VLOOKUP($B80,[20]分省年度数据!$A$1:$IS$65528,5,FALSE)</f>
        <v>11.36</v>
      </c>
      <c r="AM180">
        <f>VLOOKUP($B80,[21]分省年度数据!$A$1:$IS$65528,5,FALSE)</f>
        <v>2.71</v>
      </c>
      <c r="AN180">
        <f>VLOOKUP($B80,[22]分省年度数据!$A$1:$IS$65529,5,FALSE)</f>
        <v>13.83</v>
      </c>
    </row>
    <row r="181" spans="1:40">
      <c r="A181">
        <v>53</v>
      </c>
      <c r="B181" t="s">
        <v>25</v>
      </c>
      <c r="C181">
        <v>2020</v>
      </c>
      <c r="D181" t="s">
        <v>36</v>
      </c>
      <c r="E181">
        <f>VLOOKUP(B181,[1]分省年度数据!$A$1:$IV$65536,5,FALSE)</f>
        <v>4722</v>
      </c>
      <c r="F181" s="4">
        <v>23295</v>
      </c>
      <c r="G181" s="2">
        <f>VLOOKUP(B181,[2]分省年度数据!$A$1:$IV$65536,5,FALSE)</f>
        <v>1128.5</v>
      </c>
      <c r="H181" s="2">
        <f t="shared" si="6"/>
        <v>0.23898771706903854</v>
      </c>
      <c r="N181">
        <v>8009.8437499999991</v>
      </c>
      <c r="O181">
        <f>N181/F181</f>
        <v>0.34384390427130279</v>
      </c>
      <c r="Q181" t="s">
        <v>55</v>
      </c>
      <c r="R181">
        <v>10599</v>
      </c>
      <c r="S181">
        <f>VLOOKUP($B81,[6]分省年度数据!$A$1:$IV$65536,5,FALSE)</f>
        <v>51.99</v>
      </c>
      <c r="T181">
        <f>VLOOKUP($B81,[7]分省年度数据!$A$1:$IV$65536,5,FALSE)</f>
        <v>75</v>
      </c>
      <c r="U181">
        <f>VLOOKUP($B81,[8]分省年度数据!$A$1:$IV$65536,5,FALSE)</f>
        <v>9.5</v>
      </c>
      <c r="V181">
        <f>VLOOKUP($B81,[9]分省年度数据!$A$1:$IV$65536,5,FALSE)</f>
        <v>737.62</v>
      </c>
      <c r="W181">
        <f>VLOOKUP($B81,[10]分省年度数据!$A$1:$IV$65536,5,FALSE)</f>
        <v>14.16</v>
      </c>
      <c r="X181">
        <f>VLOOKUP($B81,[11]分省年度数据!$A$1:$IV$65536,5,FALSE)</f>
        <v>13.33</v>
      </c>
      <c r="Y181">
        <f>VLOOKUP($B81,[12]分省年度数据!$A$1:$IV$65536,5,FALSE)</f>
        <v>17.809999999999999</v>
      </c>
      <c r="AA181">
        <f>VLOOKUP($B81,[13]分省年度数据!$A$1:$IV$65536,5,FALSE)</f>
        <v>18852587</v>
      </c>
      <c r="AB181">
        <f>VLOOKUP($B81,[14]分省年度数据!$A$1:$IV$65536,5,FALSE)</f>
        <v>1325.25</v>
      </c>
      <c r="AC181">
        <f>VLOOKUP($B181,[16]分省年度数据!$A$1:$IT$65532,5,FALSE)</f>
        <v>278</v>
      </c>
      <c r="AD181">
        <f>VLOOKUP($B181,[17]分省年度数据!$A$1:$IS$65525,5,FALSE)</f>
        <v>9792.9</v>
      </c>
      <c r="AE181">
        <f>IFERROR(AC181/E181,0)</f>
        <v>5.8873358746293944E-2</v>
      </c>
      <c r="AF181">
        <f>IFERROR(AD181/E181,0)</f>
        <v>2.0738881829733162</v>
      </c>
      <c r="AG181">
        <f>VLOOKUP($B81,[15]分省年度数据!$A$1:$IV$65536,5,FALSE)</f>
        <v>6462</v>
      </c>
      <c r="AH181">
        <f>VLOOKUP(B181,[4]分省年度数据!$A$1:$IV$65536,5,FALSE)</f>
        <v>25619</v>
      </c>
      <c r="AI181">
        <f>VLOOKUP(B181,[3]分省年度数据!$A$1:$IV$65536,5,FALSE)</f>
        <v>155.13</v>
      </c>
      <c r="AJ181">
        <f>VLOOKUP($B81,[18]分省年度数据!$A$1:$IS$65529,5,FALSE)</f>
        <v>98.94</v>
      </c>
      <c r="AK181">
        <f>VLOOKUP($B81,[19]分省年度数据!$A$1:$IS$65529,5,FALSE)</f>
        <v>97.29</v>
      </c>
      <c r="AL181">
        <f>VLOOKUP($B81,[20]分省年度数据!$A$1:$IS$65528,5,FALSE)</f>
        <v>17.25</v>
      </c>
      <c r="AM181">
        <f>VLOOKUP($B81,[21]分省年度数据!$A$1:$IS$65528,5,FALSE)</f>
        <v>2.4900000000000002</v>
      </c>
      <c r="AN181">
        <f>VLOOKUP($B81,[22]分省年度数据!$A$1:$IS$65529,5,FALSE)</f>
        <v>12.16</v>
      </c>
    </row>
    <row r="182" spans="1:40">
      <c r="A182">
        <v>54</v>
      </c>
      <c r="B182" t="s">
        <v>26</v>
      </c>
      <c r="C182">
        <v>2020</v>
      </c>
      <c r="D182" t="s">
        <v>36</v>
      </c>
      <c r="E182">
        <f>VLOOKUP(B182,[1]分省年度数据!$A$1:$IV$65536,5,FALSE)</f>
        <v>366</v>
      </c>
      <c r="F182" s="4">
        <v>21744</v>
      </c>
      <c r="G182" s="2">
        <f>VLOOKUP(B182,[2]分省年度数据!$A$1:$IV$65536,5,FALSE)</f>
        <v>16.5</v>
      </c>
      <c r="H182" s="2">
        <f t="shared" si="6"/>
        <v>4.5081967213114756E-2</v>
      </c>
      <c r="N182">
        <v>9046.5833333333339</v>
      </c>
      <c r="O182">
        <f>N182/F182</f>
        <v>0.41604963821437335</v>
      </c>
      <c r="Q182" t="s">
        <v>75</v>
      </c>
      <c r="R182">
        <v>10599</v>
      </c>
      <c r="S182">
        <f>VLOOKUP($B82,[6]分省年度数据!$A$1:$IV$65536,5,FALSE)</f>
        <v>56.48</v>
      </c>
      <c r="T182">
        <f>VLOOKUP($B82,[7]分省年度数据!$A$1:$IV$65536,5,FALSE)</f>
        <v>66</v>
      </c>
      <c r="U182">
        <f>VLOOKUP($B82,[8]分省年度数据!$A$1:$IV$65536,5,FALSE)</f>
        <v>8.6999999999999993</v>
      </c>
      <c r="V182">
        <f>VLOOKUP($B82,[9]分省年度数据!$A$1:$IV$65536,5,FALSE)</f>
        <v>1772.99</v>
      </c>
      <c r="W182">
        <f>VLOOKUP($B82,[10]分省年度数据!$A$1:$IV$65536,5,FALSE)</f>
        <v>12.54</v>
      </c>
      <c r="X182">
        <f>VLOOKUP($B82,[11]分省年度数据!$A$1:$IV$65536,5,FALSE)</f>
        <v>13.47</v>
      </c>
      <c r="Y182">
        <f>VLOOKUP($B82,[12]分省年度数据!$A$1:$IV$65536,5,FALSE)</f>
        <v>18.43</v>
      </c>
      <c r="AA182">
        <f>VLOOKUP($B82,[13]分省年度数据!$A$1:$IV$65536,5,FALSE)</f>
        <v>53869558</v>
      </c>
      <c r="AB182">
        <f>VLOOKUP($B82,[14]分省年度数据!$A$1:$IV$65536,5,FALSE)</f>
        <v>3510.56</v>
      </c>
      <c r="AC182">
        <f>VLOOKUP($B182,[16]分省年度数据!$A$1:$IT$65532,5,FALSE)</f>
        <v>6</v>
      </c>
      <c r="AD182">
        <f>VLOOKUP($B182,[17]分省年度数据!$A$1:$IS$65525,5,FALSE)</f>
        <v>745.8</v>
      </c>
      <c r="AE182">
        <f>IFERROR(AC182/E182,0)</f>
        <v>1.6393442622950821E-2</v>
      </c>
      <c r="AF182">
        <f>IFERROR(AD182/E182,0)</f>
        <v>2.0377049180327869</v>
      </c>
      <c r="AG182">
        <f>VLOOKUP($B82,[15]分省年度数据!$A$1:$IV$65536,5,FALSE)</f>
        <v>25414</v>
      </c>
      <c r="AH182">
        <f>VLOOKUP(B182,[4]分省年度数据!$A$1:$IV$65536,5,FALSE)</f>
        <v>2716</v>
      </c>
      <c r="AI182">
        <f>VLOOKUP(B182,[3]分省年度数据!$A$1:$IV$65536,5,FALSE)</f>
        <v>290.86</v>
      </c>
      <c r="AJ182">
        <f>VLOOKUP($B82,[18]分省年度数据!$A$1:$IS$65529,5,FALSE)</f>
        <v>98.49</v>
      </c>
      <c r="AK182">
        <f>VLOOKUP($B82,[19]分省年度数据!$A$1:$IS$65529,5,FALSE)</f>
        <v>98.99</v>
      </c>
      <c r="AL182">
        <f>VLOOKUP($B82,[20]分省年度数据!$A$1:$IS$65528,5,FALSE)</f>
        <v>11.85</v>
      </c>
      <c r="AM182">
        <f>VLOOKUP($B82,[21]分省年度数据!$A$1:$IS$65528,5,FALSE)</f>
        <v>1.94</v>
      </c>
      <c r="AN182">
        <f>VLOOKUP($B82,[22]分省年度数据!$A$1:$IS$65529,5,FALSE)</f>
        <v>18.14</v>
      </c>
    </row>
    <row r="183" spans="1:40">
      <c r="A183">
        <v>61</v>
      </c>
      <c r="B183" t="s">
        <v>27</v>
      </c>
      <c r="C183">
        <v>2020</v>
      </c>
      <c r="D183" t="s">
        <v>37</v>
      </c>
      <c r="E183">
        <f>VLOOKUP(B183,[1]分省年度数据!$A$1:$IV$65536,5,FALSE)</f>
        <v>3955</v>
      </c>
      <c r="F183" s="4">
        <v>26226</v>
      </c>
      <c r="G183" s="2">
        <f>VLOOKUP(B183,[2]分省年度数据!$A$1:$IV$65536,5,FALSE)</f>
        <v>409.7</v>
      </c>
      <c r="H183" s="2">
        <f t="shared" si="6"/>
        <v>0.10359039190897598</v>
      </c>
      <c r="N183">
        <v>6503.0750000000044</v>
      </c>
      <c r="O183">
        <f>N183/F183</f>
        <v>0.24796289941279662</v>
      </c>
      <c r="Q183" t="s">
        <v>62</v>
      </c>
      <c r="R183">
        <v>10599</v>
      </c>
      <c r="S183">
        <f>VLOOKUP($B83,[6]分省年度数据!$A$1:$IV$65536,5,FALSE)</f>
        <v>29.56</v>
      </c>
      <c r="T183">
        <f>VLOOKUP($B83,[7]分省年度数据!$A$1:$IV$65536,5,FALSE)</f>
        <v>74</v>
      </c>
      <c r="U183">
        <f>VLOOKUP($B83,[8]分省年度数据!$A$1:$IV$65536,5,FALSE)</f>
        <v>9.1</v>
      </c>
      <c r="V183">
        <f>VLOOKUP($B83,[9]分省年度数据!$A$1:$IV$65536,5,FALSE)</f>
        <v>624.84</v>
      </c>
      <c r="W183">
        <f>VLOOKUP($B83,[10]分省年度数据!$A$1:$IV$65536,5,FALSE)</f>
        <v>16.21</v>
      </c>
      <c r="X183">
        <f>VLOOKUP($B83,[11]分省年度数据!$A$1:$IV$65536,5,FALSE)</f>
        <v>14.83</v>
      </c>
      <c r="Y183">
        <f>VLOOKUP($B83,[12]分省年度数据!$A$1:$IV$65536,5,FALSE)</f>
        <v>18</v>
      </c>
      <c r="AA183">
        <f>VLOOKUP($B83,[13]分省年度数据!$A$1:$IV$65536,5,FALSE)</f>
        <v>15418302</v>
      </c>
      <c r="AB183">
        <f>VLOOKUP($B83,[14]分省年度数据!$A$1:$IV$65536,5,FALSE)</f>
        <v>1061.0999999999999</v>
      </c>
      <c r="AC183">
        <f>VLOOKUP($B183,[16]分省年度数据!$A$1:$IT$65532,5,FALSE)</f>
        <v>711</v>
      </c>
      <c r="AD183">
        <f>VLOOKUP($B183,[17]分省年度数据!$A$1:$IS$65525,5,FALSE)</f>
        <v>9605.9</v>
      </c>
      <c r="AE183">
        <f>IFERROR(AC183/E183,0)</f>
        <v>0.1797724399494311</v>
      </c>
      <c r="AF183">
        <f>IFERROR(AD183/E183,0)</f>
        <v>2.4287989886219972</v>
      </c>
      <c r="AG183">
        <f>VLOOKUP($B83,[15]分省年度数据!$A$1:$IV$65536,5,FALSE)</f>
        <v>18336</v>
      </c>
      <c r="AH183">
        <f>VLOOKUP(B183,[4]分省年度数据!$A$1:$IV$65536,5,FALSE)</f>
        <v>16090</v>
      </c>
      <c r="AI183">
        <f>VLOOKUP(B183,[3]分省年度数据!$A$1:$IV$65536,5,FALSE)</f>
        <v>155.71</v>
      </c>
      <c r="AJ183">
        <f>VLOOKUP($B83,[18]分省年度数据!$A$1:$IS$65529,5,FALSE)</f>
        <v>99.68</v>
      </c>
      <c r="AK183">
        <f>VLOOKUP($B83,[19]分省年度数据!$A$1:$IS$65529,5,FALSE)</f>
        <v>99.36</v>
      </c>
      <c r="AL183">
        <f>VLOOKUP($B83,[20]分省年度数据!$A$1:$IS$65528,5,FALSE)</f>
        <v>9.41</v>
      </c>
      <c r="AM183">
        <f>VLOOKUP($B83,[21]分省年度数据!$A$1:$IS$65528,5,FALSE)</f>
        <v>1.52</v>
      </c>
      <c r="AN183">
        <f>VLOOKUP($B83,[22]分省年度数据!$A$1:$IS$65529,5,FALSE)</f>
        <v>12.85</v>
      </c>
    </row>
    <row r="184" spans="1:40">
      <c r="A184">
        <v>62</v>
      </c>
      <c r="B184" t="s">
        <v>28</v>
      </c>
      <c r="C184">
        <v>2020</v>
      </c>
      <c r="D184" t="s">
        <v>37</v>
      </c>
      <c r="E184">
        <f>VLOOKUP(B184,[1]分省年度数据!$A$1:$IV$65536,5,FALSE)</f>
        <v>2501</v>
      </c>
      <c r="F184" s="4">
        <v>20335</v>
      </c>
      <c r="G184" s="2">
        <f>VLOOKUP(B184,[2]分省年度数据!$A$1:$IV$65536,5,FALSE)</f>
        <v>485.3</v>
      </c>
      <c r="H184" s="2">
        <f t="shared" si="6"/>
        <v>0.19404238304678129</v>
      </c>
      <c r="N184">
        <v>6753.2291666666679</v>
      </c>
      <c r="O184">
        <f>N184/F184</f>
        <v>0.33209880337677244</v>
      </c>
      <c r="Q184" t="s">
        <v>61</v>
      </c>
      <c r="R184">
        <v>10599</v>
      </c>
      <c r="S184">
        <f>VLOOKUP($B84,[6]分省年度数据!$A$1:$IV$65536,5,FALSE)</f>
        <v>5.85</v>
      </c>
      <c r="T184">
        <f>VLOOKUP($B84,[7]分省年度数据!$A$1:$IV$65536,5,FALSE)</f>
        <v>74</v>
      </c>
      <c r="U184">
        <f>VLOOKUP($B84,[8]分省年度数据!$A$1:$IV$65536,5,FALSE)</f>
        <v>9.3000000000000007</v>
      </c>
      <c r="V184">
        <f>VLOOKUP($B84,[9]分省年度数据!$A$1:$IV$65536,5,FALSE)</f>
        <v>220.09</v>
      </c>
      <c r="W184">
        <f>VLOOKUP($B84,[10]分省年度数据!$A$1:$IV$65536,5,FALSE)</f>
        <v>12.71</v>
      </c>
      <c r="X184">
        <f>VLOOKUP($B84,[11]分省年度数据!$A$1:$IV$65536,5,FALSE)</f>
        <v>13.63</v>
      </c>
      <c r="Y184">
        <f>VLOOKUP($B84,[12]分省年度数据!$A$1:$IV$65536,5,FALSE)</f>
        <v>15.87</v>
      </c>
      <c r="AA184">
        <f>VLOOKUP($B84,[13]分省年度数据!$A$1:$IV$65536,5,FALSE)</f>
        <v>4632077</v>
      </c>
      <c r="AB184">
        <f>VLOOKUP($B84,[14]分省年度数据!$A$1:$IV$65536,5,FALSE)</f>
        <v>295.83999999999997</v>
      </c>
      <c r="AC184">
        <f>VLOOKUP($B184,[16]分省年度数据!$A$1:$IT$65532,5,FALSE)</f>
        <v>78</v>
      </c>
      <c r="AD184">
        <f>VLOOKUP($B184,[17]分省年度数据!$A$1:$IS$65525,5,FALSE)</f>
        <v>3632.4</v>
      </c>
      <c r="AE184">
        <f>IFERROR(AC184/E184,0)</f>
        <v>3.1187524990004E-2</v>
      </c>
      <c r="AF184">
        <f>IFERROR(AD184/E184,0)</f>
        <v>1.4523790483806478</v>
      </c>
      <c r="AG184">
        <f>VLOOKUP($B84,[15]分省年度数据!$A$1:$IV$65536,5,FALSE)</f>
        <v>2105</v>
      </c>
      <c r="AH184">
        <f>VLOOKUP(B184,[4]分省年度数据!$A$1:$IV$65536,5,FALSE)</f>
        <v>13590</v>
      </c>
      <c r="AI184">
        <f>VLOOKUP(B184,[3]分省年度数据!$A$1:$IV$65536,5,FALSE)</f>
        <v>139.97999999999999</v>
      </c>
      <c r="AJ184">
        <f>VLOOKUP($B84,[18]分省年度数据!$A$1:$IS$65529,5,FALSE)</f>
        <v>98.02</v>
      </c>
      <c r="AK184">
        <f>VLOOKUP($B84,[19]分省年度数据!$A$1:$IS$65529,5,FALSE)</f>
        <v>98.95</v>
      </c>
      <c r="AL184">
        <f>VLOOKUP($B84,[20]分省年度数据!$A$1:$IS$65528,5,FALSE)</f>
        <v>12.53</v>
      </c>
      <c r="AM184">
        <f>VLOOKUP($B84,[21]分省年度数据!$A$1:$IS$65528,5,FALSE)</f>
        <v>3.68</v>
      </c>
      <c r="AN184">
        <f>VLOOKUP($B84,[22]分省年度数据!$A$1:$IS$65529,5,FALSE)</f>
        <v>11.62</v>
      </c>
    </row>
    <row r="185" spans="1:40">
      <c r="A185">
        <v>63</v>
      </c>
      <c r="B185" t="s">
        <v>29</v>
      </c>
      <c r="C185">
        <v>2020</v>
      </c>
      <c r="D185" t="s">
        <v>37</v>
      </c>
      <c r="E185">
        <f>VLOOKUP(B185,[1]分省年度数据!$A$1:$IV$65536,5,FALSE)</f>
        <v>593</v>
      </c>
      <c r="F185" s="4">
        <v>24037</v>
      </c>
      <c r="G185" s="2">
        <f>VLOOKUP(B185,[2]分省年度数据!$A$1:$IV$65536,5,FALSE)</f>
        <v>48.3</v>
      </c>
      <c r="H185" s="2">
        <f t="shared" si="6"/>
        <v>8.1450252951096119E-2</v>
      </c>
      <c r="N185">
        <v>9513.25</v>
      </c>
      <c r="O185">
        <f>N185/F185</f>
        <v>0.39577526313599865</v>
      </c>
      <c r="Q185" t="s">
        <v>62</v>
      </c>
      <c r="R185">
        <v>10599</v>
      </c>
      <c r="S185">
        <f>VLOOKUP($B85,[6]分省年度数据!$A$1:$IV$65536,5,FALSE)</f>
        <v>23.55</v>
      </c>
      <c r="T185">
        <f>VLOOKUP($B85,[7]分省年度数据!$A$1:$IV$65536,5,FALSE)</f>
        <v>74</v>
      </c>
      <c r="U185">
        <f>VLOOKUP($B85,[8]分省年度数据!$A$1:$IV$65536,5,FALSE)</f>
        <v>10</v>
      </c>
      <c r="V185">
        <f>VLOOKUP($B85,[9]分省年度数据!$A$1:$IV$65536,5,FALSE)</f>
        <v>434.45</v>
      </c>
      <c r="W185">
        <f>VLOOKUP($B85,[10]分省年度数据!$A$1:$IV$65536,5,FALSE)</f>
        <v>15.34</v>
      </c>
      <c r="X185">
        <f>VLOOKUP($B85,[11]分省年度数据!$A$1:$IV$65536,5,FALSE)</f>
        <v>13.77</v>
      </c>
      <c r="Y185">
        <f>VLOOKUP($B85,[12]分省年度数据!$A$1:$IV$65536,5,FALSE)</f>
        <v>15.5</v>
      </c>
      <c r="AA185">
        <f>VLOOKUP($B85,[13]分省年度数据!$A$1:$IV$65536,5,FALSE)</f>
        <v>11823943</v>
      </c>
      <c r="AB185">
        <f>VLOOKUP($B85,[14]分省年度数据!$A$1:$IV$65536,5,FALSE)</f>
        <v>754.97</v>
      </c>
      <c r="AC185" t="str">
        <f>VLOOKUP($B185,[16]分省年度数据!$A$1:$IT$65532,5,FALSE)</f>
        <v/>
      </c>
      <c r="AD185">
        <f>VLOOKUP($B185,[17]分省年度数据!$A$1:$IS$65525,5,FALSE)</f>
        <v>877.3</v>
      </c>
      <c r="AE185">
        <f>IFERROR(AC185/E185,0)</f>
        <v>0</v>
      </c>
      <c r="AF185">
        <f>IFERROR(AD185/E185,0)</f>
        <v>1.4794266441821247</v>
      </c>
      <c r="AG185">
        <f>VLOOKUP($B85,[15]分省年度数据!$A$1:$IV$65536,5,FALSE)</f>
        <v>4042</v>
      </c>
      <c r="AH185">
        <f>VLOOKUP(B185,[4]分省年度数据!$A$1:$IV$65536,5,FALSE)</f>
        <v>3311</v>
      </c>
      <c r="AI185">
        <f>VLOOKUP(B185,[3]分省年度数据!$A$1:$IV$65536,5,FALSE)</f>
        <v>138.19</v>
      </c>
      <c r="AJ185">
        <f>VLOOKUP($B85,[18]分省年度数据!$A$1:$IS$65529,5,FALSE)</f>
        <v>94.69</v>
      </c>
      <c r="AK185">
        <f>VLOOKUP($B85,[19]分省年度数据!$A$1:$IS$65529,5,FALSE)</f>
        <v>96.16</v>
      </c>
      <c r="AL185">
        <f>VLOOKUP($B85,[20]分省年度数据!$A$1:$IS$65528,5,FALSE)</f>
        <v>10.050000000000001</v>
      </c>
      <c r="AM185">
        <f>VLOOKUP($B85,[21]分省年度数据!$A$1:$IS$65528,5,FALSE)</f>
        <v>2.98</v>
      </c>
      <c r="AN185">
        <f>VLOOKUP($B85,[22]分省年度数据!$A$1:$IS$65529,5,FALSE)</f>
        <v>16.5</v>
      </c>
    </row>
    <row r="186" spans="1:40">
      <c r="A186">
        <v>64</v>
      </c>
      <c r="B186" t="s">
        <v>30</v>
      </c>
      <c r="C186">
        <v>2020</v>
      </c>
      <c r="D186" t="s">
        <v>37</v>
      </c>
      <c r="E186">
        <f>VLOOKUP(B186,[1]分省年度数据!$A$1:$IV$65536,5,FALSE)</f>
        <v>721</v>
      </c>
      <c r="F186" s="4">
        <v>25735</v>
      </c>
      <c r="G186" s="2">
        <f>VLOOKUP(B186,[2]分省年度数据!$A$1:$IV$65536,5,FALSE)</f>
        <v>93.2</v>
      </c>
      <c r="H186" s="2">
        <f t="shared" si="6"/>
        <v>0.12926490984743413</v>
      </c>
      <c r="N186">
        <v>4551.2000000000025</v>
      </c>
      <c r="O186">
        <f>N186/F186</f>
        <v>0.1768486496988538</v>
      </c>
      <c r="Q186" t="s">
        <v>61</v>
      </c>
      <c r="R186">
        <v>10599</v>
      </c>
      <c r="S186">
        <f>VLOOKUP($B86,[6]分省年度数据!$A$1:$IV$65536,5,FALSE)</f>
        <v>64.98</v>
      </c>
      <c r="T186">
        <f>VLOOKUP($B86,[7]分省年度数据!$A$1:$IV$65536,5,FALSE)</f>
        <v>76</v>
      </c>
      <c r="U186">
        <f>VLOOKUP($B86,[8]分省年度数据!$A$1:$IV$65536,5,FALSE)</f>
        <v>10.6</v>
      </c>
      <c r="V186">
        <f>VLOOKUP($B86,[9]分省年度数据!$A$1:$IV$65536,5,FALSE)</f>
        <v>1030.52</v>
      </c>
      <c r="W186">
        <f>VLOOKUP($B86,[10]分省年度数据!$A$1:$IV$65536,5,FALSE)</f>
        <v>13.68</v>
      </c>
      <c r="X186">
        <f>VLOOKUP($B86,[11]分省年度数据!$A$1:$IV$65536,5,FALSE)</f>
        <v>12.81</v>
      </c>
      <c r="Y186">
        <f>VLOOKUP($B86,[12]分省年度数据!$A$1:$IV$65536,5,FALSE)</f>
        <v>16.03</v>
      </c>
      <c r="AA186">
        <f>VLOOKUP($B86,[13]分省年度数据!$A$1:$IV$65536,5,FALSE)</f>
        <v>24660021</v>
      </c>
      <c r="AB186">
        <f>VLOOKUP($B86,[14]分省年度数据!$A$1:$IV$65536,5,FALSE)</f>
        <v>1686.16</v>
      </c>
      <c r="AC186" t="str">
        <f>VLOOKUP($B186,[16]分省年度数据!$A$1:$IT$65532,5,FALSE)</f>
        <v/>
      </c>
      <c r="AD186">
        <f>VLOOKUP($B186,[17]分省年度数据!$A$1:$IS$65525,5,FALSE)</f>
        <v>1301.4000000000001</v>
      </c>
      <c r="AE186">
        <f>IFERROR(AC186/E186,0)</f>
        <v>0</v>
      </c>
      <c r="AF186">
        <f>IFERROR(AD186/E186,0)</f>
        <v>1.8049930651872401</v>
      </c>
      <c r="AG186">
        <f>VLOOKUP($B86,[15]分省年度数据!$A$1:$IV$65536,5,FALSE)</f>
        <v>9334</v>
      </c>
      <c r="AH186">
        <f>VLOOKUP(B186,[4]分省年度数据!$A$1:$IV$65536,5,FALSE)</f>
        <v>6533</v>
      </c>
      <c r="AI186">
        <f>VLOOKUP(B186,[3]分省年度数据!$A$1:$IV$65536,5,FALSE)</f>
        <v>162.57</v>
      </c>
      <c r="AJ186">
        <f>VLOOKUP($B86,[18]分省年度数据!$A$1:$IS$65529,5,FALSE)</f>
        <v>98.28</v>
      </c>
      <c r="AK186">
        <f>VLOOKUP($B86,[19]分省年度数据!$A$1:$IS$65529,5,FALSE)</f>
        <v>97.41</v>
      </c>
      <c r="AL186">
        <f>VLOOKUP($B86,[20]分省年度数据!$A$1:$IS$65528,5,FALSE)</f>
        <v>12.1</v>
      </c>
      <c r="AM186">
        <f>VLOOKUP($B86,[21]分省年度数据!$A$1:$IS$65528,5,FALSE)</f>
        <v>2.68</v>
      </c>
      <c r="AN186">
        <f>VLOOKUP($B86,[22]分省年度数据!$A$1:$IS$65529,5,FALSE)</f>
        <v>14.4</v>
      </c>
    </row>
    <row r="187" spans="1:40">
      <c r="A187">
        <v>65</v>
      </c>
      <c r="B187" t="s">
        <v>31</v>
      </c>
      <c r="C187">
        <v>2020</v>
      </c>
      <c r="D187" t="s">
        <v>37</v>
      </c>
      <c r="E187">
        <f>VLOOKUP(B187,[1]分省年度数据!$A$1:$IV$65536,5,FALSE)</f>
        <v>2590</v>
      </c>
      <c r="F187" s="4">
        <v>23845</v>
      </c>
      <c r="G187" s="2">
        <f>VLOOKUP(B187,[2]分省年度数据!$A$1:$IV$65536,5,FALSE)</f>
        <v>84.7</v>
      </c>
      <c r="H187" s="2">
        <f t="shared" si="6"/>
        <v>3.2702702702702702E-2</v>
      </c>
      <c r="N187">
        <v>5213.8541666666652</v>
      </c>
      <c r="O187">
        <f>N187/F187</f>
        <v>0.21865607744460747</v>
      </c>
      <c r="Q187" t="s">
        <v>75</v>
      </c>
      <c r="R187">
        <v>10599</v>
      </c>
      <c r="S187">
        <f>VLOOKUP($B87,[6]分省年度数据!$A$1:$IV$65536,5,FALSE)</f>
        <v>27.64</v>
      </c>
      <c r="T187">
        <f>VLOOKUP($B87,[7]分省年度数据!$A$1:$IV$65536,5,FALSE)</f>
        <v>75</v>
      </c>
      <c r="U187">
        <f>VLOOKUP($B87,[8]分省年度数据!$A$1:$IV$65536,5,FALSE)</f>
        <v>8.4</v>
      </c>
      <c r="V187">
        <f>VLOOKUP($B87,[9]分省年度数据!$A$1:$IV$65536,5,FALSE)</f>
        <v>565.66</v>
      </c>
      <c r="W187">
        <f>VLOOKUP($B87,[10]分省年度数据!$A$1:$IV$65536,5,FALSE)</f>
        <v>14.12</v>
      </c>
      <c r="X187">
        <f>VLOOKUP($B87,[11]分省年度数据!$A$1:$IV$65536,5,FALSE)</f>
        <v>13.8</v>
      </c>
      <c r="Y187">
        <f>VLOOKUP($B87,[12]分省年度数据!$A$1:$IV$65536,5,FALSE)</f>
        <v>18.48</v>
      </c>
      <c r="AA187">
        <f>VLOOKUP($B87,[13]分省年度数据!$A$1:$IV$65536,5,FALSE)</f>
        <v>14479368</v>
      </c>
      <c r="AB187">
        <f>VLOOKUP($B87,[14]分省年度数据!$A$1:$IV$65536,5,FALSE)</f>
        <v>1073.3399999999999</v>
      </c>
      <c r="AC187">
        <f>VLOOKUP($B187,[16]分省年度数据!$A$1:$IT$65532,5,FALSE)</f>
        <v>156</v>
      </c>
      <c r="AD187">
        <f>VLOOKUP($B187,[17]分省年度数据!$A$1:$IS$65525,5,FALSE)</f>
        <v>3062.5</v>
      </c>
      <c r="AE187">
        <f>IFERROR(AC187/E187,0)</f>
        <v>6.0231660231660232E-2</v>
      </c>
      <c r="AF187">
        <f>IFERROR(AD187/E187,0)</f>
        <v>1.1824324324324325</v>
      </c>
      <c r="AG187">
        <f>VLOOKUP($B87,[15]分省年度数据!$A$1:$IV$65536,5,FALSE)</f>
        <v>13963</v>
      </c>
      <c r="AH187">
        <f>VLOOKUP(B187,[4]分省年度数据!$A$1:$IV$65536,5,FALSE)</f>
        <v>11642</v>
      </c>
      <c r="AI187">
        <f>VLOOKUP(B187,[3]分省年度数据!$A$1:$IV$65536,5,FALSE)</f>
        <v>163.87</v>
      </c>
      <c r="AJ187">
        <f>VLOOKUP($B87,[18]分省年度数据!$A$1:$IS$65529,5,FALSE)</f>
        <v>98.9</v>
      </c>
      <c r="AK187">
        <f>VLOOKUP($B87,[19]分省年度数据!$A$1:$IS$65529,5,FALSE)</f>
        <v>94.55</v>
      </c>
      <c r="AL187">
        <f>VLOOKUP($B87,[20]分省年度数据!$A$1:$IS$65528,5,FALSE)</f>
        <v>11.29</v>
      </c>
      <c r="AM187">
        <f>VLOOKUP($B87,[21]分省年度数据!$A$1:$IS$65528,5,FALSE)</f>
        <v>2.92</v>
      </c>
      <c r="AN187">
        <f>VLOOKUP($B87,[22]分省年度数据!$A$1:$IS$65529,5,FALSE)</f>
        <v>17.04</v>
      </c>
    </row>
    <row r="188" spans="1:40">
      <c r="A188">
        <v>11</v>
      </c>
      <c r="B188" t="s">
        <v>1</v>
      </c>
      <c r="C188">
        <v>2022</v>
      </c>
      <c r="D188" t="s">
        <v>32</v>
      </c>
      <c r="E188">
        <f>VLOOKUP(B188,[1]分省年度数据!$A$1:$IV$65536,3,FALSE)</f>
        <v>2184</v>
      </c>
      <c r="F188" s="4">
        <v>77415</v>
      </c>
      <c r="G188" s="2">
        <f>VLOOKUP(B188,[2]分省年度数据!$A$1:$IV$65536,3,FALSE)</f>
        <v>9.1999999999999993</v>
      </c>
      <c r="H188" s="2">
        <f t="shared" si="6"/>
        <v>4.2124542124542122E-3</v>
      </c>
      <c r="N188">
        <v>60347</v>
      </c>
      <c r="O188">
        <f>N188/F188</f>
        <v>0.77952593166698958</v>
      </c>
      <c r="Q188" t="s">
        <v>63</v>
      </c>
      <c r="R188">
        <f>VLOOKUP(B188,[5]分省年度数据!$A$1:$O$65536,3,FALSE)</f>
        <v>10897</v>
      </c>
      <c r="S188">
        <f>VLOOKUP($B188,[6]分省年度数据!$A$1:$IV$65536,3,FALSE)</f>
        <v>13.39</v>
      </c>
      <c r="T188">
        <f>VLOOKUP($B188,[7]分省年度数据!$A$1:$IV$65536,3,FALSE)</f>
        <v>135</v>
      </c>
      <c r="U188">
        <f>VLOOKUP($B188,[8]分省年度数据!$A$1:$IV$65536,3,FALSE)</f>
        <v>8.8000000000000007</v>
      </c>
      <c r="V188">
        <f>VLOOKUP($B188,[9]分省年度数据!$A$1:$IV$65536,3,FALSE)</f>
        <v>775.82</v>
      </c>
      <c r="W188">
        <f>VLOOKUP($B188,[10]分省年度数据!$A$1:$IV$65536,3,FALSE)</f>
        <v>8.73</v>
      </c>
      <c r="X188">
        <f>VLOOKUP($B188,[11]分省年度数据!$A$1:$IV$65536,3,FALSE)</f>
        <v>8.8800000000000008</v>
      </c>
      <c r="Y188">
        <f>VLOOKUP($B188,[12]分省年度数据!$A$1:$IV$65536,3,FALSE)</f>
        <v>14.13</v>
      </c>
      <c r="AA188">
        <f>VLOOKUP($B188,[13]分省年度数据!$A$1:$IV$65536,3,FALSE)</f>
        <v>15854348</v>
      </c>
      <c r="AB188">
        <f>VLOOKUP($B188,[14]分省年度数据!$A$1:$IV$65536,3,FALSE)</f>
        <v>1171.1199999999999</v>
      </c>
      <c r="AC188">
        <f>VLOOKUP($B188,[16]分省年度数据!$A$1:$IT$65532,3,FALSE)</f>
        <v>7260</v>
      </c>
      <c r="AD188">
        <f>VLOOKUP($B188,[17]分省年度数据!$A$1:$IS$65525,3,FALSE)</f>
        <v>13794.2</v>
      </c>
      <c r="AE188">
        <f>IFERROR(AC188/E188,0)</f>
        <v>3.3241758241758244</v>
      </c>
      <c r="AF188">
        <f>IFERROR(AD188/E188,0)</f>
        <v>6.3160256410256412</v>
      </c>
      <c r="AG188">
        <f>VLOOKUP($B188,[15]分省年度数据!$A$1:$IV$65536,3,FALSE)</f>
        <v>5251</v>
      </c>
      <c r="AH188">
        <f>VLOOKUP(B188,[4]分省年度数据!$A$1:$IV$65536,3,FALSE)</f>
        <v>30174</v>
      </c>
      <c r="AI188">
        <f>VLOOKUP(B188,[3]分省年度数据!$A$1:$IV$65536,3,FALSE)</f>
        <v>163.22</v>
      </c>
      <c r="AJ188">
        <f>VLOOKUP($B188,[18]分省年度数据!$A$1:$IS$65529,3,FALSE)</f>
        <v>99.81</v>
      </c>
      <c r="AK188">
        <f>VLOOKUP($B188,[19]分省年度数据!$A$1:$IS$65529,3,FALSE)</f>
        <v>100</v>
      </c>
      <c r="AL188">
        <f>VLOOKUP($B188,[20]分省年度数据!$A$1:$IS$65528,3,FALSE)</f>
        <v>16.34</v>
      </c>
      <c r="AM188">
        <f>VLOOKUP($B188,[21]分省年度数据!$A$1:$IS$65528,3,FALSE)</f>
        <v>3.36</v>
      </c>
      <c r="AN188">
        <f>VLOOKUP($B188,[22]分省年度数据!$A$1:$IS$65529,3,FALSE)</f>
        <v>16.63</v>
      </c>
    </row>
    <row r="189" spans="1:40">
      <c r="A189">
        <v>12</v>
      </c>
      <c r="B189" t="s">
        <v>2</v>
      </c>
      <c r="C189">
        <v>2022</v>
      </c>
      <c r="D189" t="s">
        <v>32</v>
      </c>
      <c r="E189">
        <f>VLOOKUP(B189,[1]分省年度数据!$A$1:$IV$65536,3,FALSE)</f>
        <v>1363</v>
      </c>
      <c r="F189" s="4">
        <v>48976</v>
      </c>
      <c r="G189" s="2">
        <f>VLOOKUP(B189,[2]分省年度数据!$A$1:$IV$65536,3,FALSE)</f>
        <v>0.5</v>
      </c>
      <c r="H189" s="2">
        <f t="shared" si="6"/>
        <v>3.6683785766691124E-4</v>
      </c>
      <c r="N189">
        <v>16845</v>
      </c>
      <c r="O189">
        <f>N189/F189</f>
        <v>0.34394397255798759</v>
      </c>
      <c r="Q189" t="s">
        <v>65</v>
      </c>
      <c r="R189">
        <f>VLOOKUP(B189,[5]分省年度数据!$A$1:$O$65536,3,FALSE)</f>
        <v>6282</v>
      </c>
      <c r="S189">
        <f>VLOOKUP($B189,[6]分省年度数据!$A$1:$IV$65536,3,FALSE)</f>
        <v>6.85</v>
      </c>
      <c r="T189">
        <f>VLOOKUP($B189,[7]分省年度数据!$A$1:$IV$65536,3,FALSE)</f>
        <v>91</v>
      </c>
      <c r="U189">
        <f>VLOOKUP($B189,[8]分省年度数据!$A$1:$IV$65536,3,FALSE)</f>
        <v>8</v>
      </c>
      <c r="V189">
        <f>VLOOKUP($B189,[9]分省年度数据!$A$1:$IV$65536,3,FALSE)</f>
        <v>176.61</v>
      </c>
      <c r="W189">
        <f>VLOOKUP($B189,[10]分省年度数据!$A$1:$IV$65536,3,FALSE)</f>
        <v>11.64</v>
      </c>
      <c r="X189">
        <f>VLOOKUP($B189,[11]分省年度数据!$A$1:$IV$65536,3,FALSE)</f>
        <v>11.78</v>
      </c>
      <c r="Y189">
        <f>VLOOKUP($B189,[12]分省年度数据!$A$1:$IV$65536,3,FALSE)</f>
        <v>15.59</v>
      </c>
      <c r="AA189">
        <f>VLOOKUP($B189,[13]分省年度数据!$A$1:$IV$65536,3,FALSE)</f>
        <v>6565887</v>
      </c>
      <c r="AB189">
        <f>VLOOKUP($B189,[14]分省年度数据!$A$1:$IV$65536,3,FALSE)</f>
        <v>478.94</v>
      </c>
      <c r="AC189">
        <f>VLOOKUP($B189,[16]分省年度数据!$A$1:$IT$65532,3,FALSE)</f>
        <v>1117</v>
      </c>
      <c r="AD189">
        <f>VLOOKUP($B189,[17]分省年度数据!$A$1:$IS$65525,3,FALSE)</f>
        <v>3572</v>
      </c>
      <c r="AE189">
        <f>IFERROR(AC189/E189,0)</f>
        <v>0.81951577402787967</v>
      </c>
      <c r="AF189">
        <f>IFERROR(AD189/E189,0)</f>
        <v>2.6206896551724137</v>
      </c>
      <c r="AG189">
        <f>VLOOKUP($B189,[15]分省年度数据!$A$1:$IV$65536,3,FALSE)</f>
        <v>6562</v>
      </c>
      <c r="AH189">
        <f>VLOOKUP(B189,[4]分省年度数据!$A$1:$IV$65536,3,FALSE)</f>
        <v>27865</v>
      </c>
      <c r="AI189">
        <f>VLOOKUP(B189,[3]分省年度数据!$A$1:$IV$65536,3,FALSE)</f>
        <v>122.81</v>
      </c>
      <c r="AJ189">
        <f>VLOOKUP($B189,[18]分省年度数据!$A$1:$IS$65529,3,FALSE)</f>
        <v>100</v>
      </c>
      <c r="AK189">
        <f>VLOOKUP($B189,[19]分省年度数据!$A$1:$IS$65529,3,FALSE)</f>
        <v>100</v>
      </c>
      <c r="AL189">
        <f>VLOOKUP($B189,[20]分省年度数据!$A$1:$IS$65528,3,FALSE)</f>
        <v>11.25</v>
      </c>
      <c r="AM189">
        <f>VLOOKUP($B189,[21]分省年度数据!$A$1:$IS$65528,3,FALSE)</f>
        <v>3.93</v>
      </c>
      <c r="AN189">
        <f>VLOOKUP($B189,[22]分省年度数据!$A$1:$IS$65529,3,FALSE)</f>
        <v>9.98</v>
      </c>
    </row>
    <row r="190" spans="1:40">
      <c r="A190">
        <v>13</v>
      </c>
      <c r="B190" t="s">
        <v>3</v>
      </c>
      <c r="C190">
        <v>2022</v>
      </c>
      <c r="D190" t="s">
        <v>32</v>
      </c>
      <c r="E190">
        <f>VLOOKUP(B190,[1]分省年度数据!$A$1:$IV$65536,3,FALSE)</f>
        <v>7420</v>
      </c>
      <c r="F190" s="4">
        <v>30867</v>
      </c>
      <c r="G190" s="2">
        <f>VLOOKUP(B190,[2]分省年度数据!$A$1:$IV$65536,3,FALSE)</f>
        <v>94.2</v>
      </c>
      <c r="H190" s="2">
        <f t="shared" si="6"/>
        <v>1.2695417789757413E-2</v>
      </c>
      <c r="N190">
        <v>9743.636363636364</v>
      </c>
      <c r="O190">
        <f>N190/F190</f>
        <v>0.31566515578567284</v>
      </c>
      <c r="Q190" t="s">
        <v>65</v>
      </c>
      <c r="R190">
        <f>VLOOKUP(B190,[5]分省年度数据!$A$1:$O$65536,3,FALSE)</f>
        <v>90194</v>
      </c>
      <c r="S190">
        <f>VLOOKUP($B190,[6]分省年度数据!$A$1:$IV$65536,3,FALSE)</f>
        <v>48.57</v>
      </c>
      <c r="T190">
        <f>VLOOKUP($B190,[7]分省年度数据!$A$1:$IV$65536,3,FALSE)</f>
        <v>79</v>
      </c>
      <c r="U190">
        <f>VLOOKUP($B190,[8]分省年度数据!$A$1:$IV$65536,3,FALSE)</f>
        <v>9.1</v>
      </c>
      <c r="V190">
        <f>VLOOKUP($B190,[9]分省年度数据!$A$1:$IV$65536,3,FALSE)</f>
        <v>925.3</v>
      </c>
      <c r="W190">
        <f>VLOOKUP($B190,[10]分省年度数据!$A$1:$IV$65536,3,FALSE)</f>
        <v>13.07</v>
      </c>
      <c r="X190">
        <f>VLOOKUP($B190,[11]分省年度数据!$A$1:$IV$65536,3,FALSE)</f>
        <v>13.57</v>
      </c>
      <c r="Y190">
        <f>VLOOKUP($B190,[12]分省年度数据!$A$1:$IV$65536,3,FALSE)</f>
        <v>16.25</v>
      </c>
      <c r="AA190">
        <f>VLOOKUP($B190,[13]分省年度数据!$A$1:$IV$65536,3,FALSE)</f>
        <v>24395755</v>
      </c>
      <c r="AB190">
        <f>VLOOKUP($B190,[14]分省年度数据!$A$1:$IV$65536,3,FALSE)</f>
        <v>1771.15</v>
      </c>
      <c r="AC190">
        <f>VLOOKUP($B190,[16]分省年度数据!$A$1:$IT$65532,3,FALSE)</f>
        <v>34</v>
      </c>
      <c r="AD190">
        <f>VLOOKUP($B190,[17]分省年度数据!$A$1:$IS$65525,3,FALSE)</f>
        <v>13720.1</v>
      </c>
      <c r="AE190">
        <f>IFERROR(AC190/E190,0)</f>
        <v>4.5822102425876008E-3</v>
      </c>
      <c r="AF190">
        <f>IFERROR(AD190/E190,0)</f>
        <v>1.8490700808625338</v>
      </c>
      <c r="AG190">
        <f>VLOOKUP($B190,[15]分省年度数据!$A$1:$IV$65536,3,FALSE)</f>
        <v>4080</v>
      </c>
      <c r="AH190">
        <f>VLOOKUP(B190,[4]分省年度数据!$A$1:$IV$65536,3,FALSE)</f>
        <v>86512</v>
      </c>
      <c r="AI190">
        <f>VLOOKUP(B190,[3]分省年度数据!$A$1:$IV$65536,3,FALSE)</f>
        <v>123.31</v>
      </c>
      <c r="AJ190">
        <f>VLOOKUP($B190,[18]分省年度数据!$A$1:$IS$65529,3,FALSE)</f>
        <v>100</v>
      </c>
      <c r="AK190">
        <f>VLOOKUP($B190,[19]分省年度数据!$A$1:$IS$65529,3,FALSE)</f>
        <v>99.55</v>
      </c>
      <c r="AL190">
        <f>VLOOKUP($B190,[20]分省年度数据!$A$1:$IS$65528,3,FALSE)</f>
        <v>17.579999999999998</v>
      </c>
      <c r="AM190">
        <f>VLOOKUP($B190,[21]分省年度数据!$A$1:$IS$65528,3,FALSE)</f>
        <v>4.12</v>
      </c>
      <c r="AN190">
        <f>VLOOKUP($B190,[22]分省年度数据!$A$1:$IS$65529,3,FALSE)</f>
        <v>15.35</v>
      </c>
    </row>
    <row r="191" spans="1:40">
      <c r="A191">
        <v>14</v>
      </c>
      <c r="B191" t="s">
        <v>4</v>
      </c>
      <c r="C191">
        <v>2022</v>
      </c>
      <c r="D191" t="s">
        <v>32</v>
      </c>
      <c r="E191">
        <f>VLOOKUP(B191,[1]分省年度数据!$A$1:$IV$65536,3,FALSE)</f>
        <v>3481</v>
      </c>
      <c r="F191" s="4">
        <v>29178</v>
      </c>
      <c r="G191" s="2">
        <f>VLOOKUP(B191,[2]分省年度数据!$A$1:$IV$65536,3,FALSE)</f>
        <v>214.2</v>
      </c>
      <c r="H191" s="2">
        <f t="shared" si="6"/>
        <v>6.1534041941970694E-2</v>
      </c>
      <c r="N191">
        <v>6726.818181818182</v>
      </c>
      <c r="O191">
        <f>N191/F191</f>
        <v>0.23054418335109267</v>
      </c>
      <c r="Q191" t="s">
        <v>59</v>
      </c>
      <c r="R191">
        <f>VLOOKUP(B191,[5]分省年度数据!$A$1:$O$65536,3,FALSE)</f>
        <v>39661</v>
      </c>
      <c r="S191">
        <f>VLOOKUP($B191,[6]分省年度数据!$A$1:$IV$65536,3,FALSE)</f>
        <v>22.84</v>
      </c>
      <c r="T191">
        <f>VLOOKUP($B191,[7]分省年度数据!$A$1:$IV$65536,3,FALSE)</f>
        <v>82</v>
      </c>
      <c r="U191">
        <f>VLOOKUP($B191,[8]分省年度数据!$A$1:$IV$65536,3,FALSE)</f>
        <v>10.1</v>
      </c>
      <c r="V191">
        <f>VLOOKUP($B191,[9]分省年度数据!$A$1:$IV$65536,3,FALSE)</f>
        <v>495.05</v>
      </c>
      <c r="W191">
        <f>VLOOKUP($B191,[10]分省年度数据!$A$1:$IV$65536,3,FALSE)</f>
        <v>10.57</v>
      </c>
      <c r="X191">
        <f>VLOOKUP($B191,[11]分省年度数据!$A$1:$IV$65536,3,FALSE)</f>
        <v>10.56</v>
      </c>
      <c r="Y191">
        <f>VLOOKUP($B191,[12]分省年度数据!$A$1:$IV$65536,3,FALSE)</f>
        <v>13.7</v>
      </c>
      <c r="AA191">
        <f>VLOOKUP($B191,[13]分省年度数据!$A$1:$IV$65536,3,FALSE)</f>
        <v>12125465</v>
      </c>
      <c r="AB191">
        <f>VLOOKUP($B191,[14]分省年度数据!$A$1:$IV$65536,3,FALSE)</f>
        <v>861.35</v>
      </c>
      <c r="AC191">
        <f>VLOOKUP($B191,[16]分省年度数据!$A$1:$IT$65532,3,FALSE)</f>
        <v>237</v>
      </c>
      <c r="AD191">
        <f>VLOOKUP($B191,[17]分省年度数据!$A$1:$IS$65525,3,FALSE)</f>
        <v>7562.7</v>
      </c>
      <c r="AE191">
        <f>IFERROR(AC191/E191,0)</f>
        <v>6.8083883941396153E-2</v>
      </c>
      <c r="AF191">
        <f>IFERROR(AD191/E191,0)</f>
        <v>2.1725653547831083</v>
      </c>
      <c r="AG191">
        <f>VLOOKUP($B191,[15]分省年度数据!$A$1:$IV$65536,3,FALSE)</f>
        <v>7015</v>
      </c>
      <c r="AH191">
        <f>VLOOKUP(B191,[4]分省年度数据!$A$1:$IV$65536,3,FALSE)</f>
        <v>50510</v>
      </c>
      <c r="AI191">
        <f>VLOOKUP(B191,[3]分省年度数据!$A$1:$IV$65536,3,FALSE)</f>
        <v>136.52000000000001</v>
      </c>
      <c r="AJ191">
        <f>VLOOKUP($B191,[18]分省年度数据!$A$1:$IS$65529,3,FALSE)</f>
        <v>98.66</v>
      </c>
      <c r="AK191">
        <f>VLOOKUP($B191,[19]分省年度数据!$A$1:$IS$65529,3,FALSE)</f>
        <v>97.56</v>
      </c>
      <c r="AL191">
        <f>VLOOKUP($B191,[20]分省年度数据!$A$1:$IS$65528,3,FALSE)</f>
        <v>13.96</v>
      </c>
      <c r="AM191">
        <f>VLOOKUP($B191,[21]分省年度数据!$A$1:$IS$65528,3,FALSE)</f>
        <v>3.46</v>
      </c>
      <c r="AN191">
        <f>VLOOKUP($B191,[22]分省年度数据!$A$1:$IS$65529,3,FALSE)</f>
        <v>13.72</v>
      </c>
    </row>
    <row r="192" spans="1:40">
      <c r="A192">
        <v>15</v>
      </c>
      <c r="B192" t="s">
        <v>5</v>
      </c>
      <c r="C192">
        <v>2022</v>
      </c>
      <c r="D192" t="s">
        <v>32</v>
      </c>
      <c r="E192">
        <f>VLOOKUP(B192,[1]分省年度数据!$A$1:$IV$65536,3,FALSE)</f>
        <v>2401</v>
      </c>
      <c r="F192" s="4">
        <v>35921</v>
      </c>
      <c r="G192" s="2">
        <f>VLOOKUP(B192,[2]分省年度数据!$A$1:$IV$65536,3,FALSE)</f>
        <v>256.39999999999998</v>
      </c>
      <c r="H192" s="2">
        <f t="shared" si="6"/>
        <v>0.10678883798417325</v>
      </c>
      <c r="N192">
        <v>6734.5555555555557</v>
      </c>
      <c r="O192">
        <f>N192/F192</f>
        <v>0.18748240738163069</v>
      </c>
      <c r="Q192" t="s">
        <v>59</v>
      </c>
      <c r="R192">
        <f>VLOOKUP(B192,[5]分省年度数据!$A$1:$O$65536,3,FALSE)</f>
        <v>25062</v>
      </c>
      <c r="S192">
        <f>VLOOKUP($B192,[6]分省年度数据!$A$1:$IV$65536,3,FALSE)</f>
        <v>16.77</v>
      </c>
      <c r="T192">
        <f>VLOOKUP($B192,[7]分省年度数据!$A$1:$IV$65536,3,FALSE)</f>
        <v>90</v>
      </c>
      <c r="U192">
        <f>VLOOKUP($B192,[8]分省年度数据!$A$1:$IV$65536,3,FALSE)</f>
        <v>9.1</v>
      </c>
      <c r="V192">
        <f>VLOOKUP($B192,[9]分省年度数据!$A$1:$IV$65536,3,FALSE)</f>
        <v>433.78</v>
      </c>
      <c r="W192">
        <f>VLOOKUP($B192,[10]分省年度数据!$A$1:$IV$65536,3,FALSE)</f>
        <v>10.45</v>
      </c>
      <c r="X192">
        <f>VLOOKUP($B192,[11]分省年度数据!$A$1:$IV$65536,3,FALSE)</f>
        <v>10.44</v>
      </c>
      <c r="Y192">
        <f>VLOOKUP($B192,[12]分省年度数据!$A$1:$IV$65536,3,FALSE)</f>
        <v>12.59</v>
      </c>
      <c r="AA192">
        <f>VLOOKUP($B192,[13]分省年度数据!$A$1:$IV$65536,3,FALSE)</f>
        <v>9230537</v>
      </c>
      <c r="AB192">
        <f>VLOOKUP($B192,[14]分省年度数据!$A$1:$IV$65536,3,FALSE)</f>
        <v>692.38</v>
      </c>
      <c r="AC192">
        <f>VLOOKUP($B192,[16]分省年度数据!$A$1:$IT$65532,3,FALSE)</f>
        <v>103</v>
      </c>
      <c r="AD192">
        <f>VLOOKUP($B192,[17]分省年度数据!$A$1:$IS$65525,3,FALSE)</f>
        <v>4971.3999999999996</v>
      </c>
      <c r="AE192">
        <f>IFERROR(AC192/E192,0)</f>
        <v>4.2898792169929194E-2</v>
      </c>
      <c r="AF192">
        <f>IFERROR(AD192/E192,0)</f>
        <v>2.0705539358600582</v>
      </c>
      <c r="AG192">
        <f>VLOOKUP($B192,[15]分省年度数据!$A$1:$IV$65536,3,FALSE)</f>
        <v>3359</v>
      </c>
      <c r="AH192">
        <f>VLOOKUP(B192,[4]分省年度数据!$A$1:$IV$65536,3,FALSE)</f>
        <v>47229</v>
      </c>
      <c r="AI192">
        <f>VLOOKUP(B192,[3]分省年度数据!$A$1:$IV$65536,3,FALSE)</f>
        <v>119.25</v>
      </c>
      <c r="AJ192">
        <f>VLOOKUP($B192,[18]分省年度数据!$A$1:$IS$65529,3,FALSE)</f>
        <v>99.7</v>
      </c>
      <c r="AK192">
        <f>VLOOKUP($B192,[19]分省年度数据!$A$1:$IS$65529,3,FALSE)</f>
        <v>97.96</v>
      </c>
      <c r="AL192">
        <f>VLOOKUP($B192,[20]分省年度数据!$A$1:$IS$65528,3,FALSE)</f>
        <v>12.87</v>
      </c>
      <c r="AM192">
        <f>VLOOKUP($B192,[21]分省年度数据!$A$1:$IS$65528,3,FALSE)</f>
        <v>7.43</v>
      </c>
      <c r="AN192">
        <f>VLOOKUP($B192,[22]分省年度数据!$A$1:$IS$65529,3,FALSE)</f>
        <v>19.47</v>
      </c>
    </row>
    <row r="193" spans="1:40">
      <c r="A193">
        <v>21</v>
      </c>
      <c r="B193" t="s">
        <v>6</v>
      </c>
      <c r="C193">
        <v>2022</v>
      </c>
      <c r="D193" t="s">
        <v>33</v>
      </c>
      <c r="E193">
        <f>VLOOKUP(B193,[1]分省年度数据!$A$1:$IV$65536,3,FALSE)</f>
        <v>4197</v>
      </c>
      <c r="F193" s="4">
        <v>36089</v>
      </c>
      <c r="G193" s="2">
        <f>VLOOKUP(B193,[2]分省年度数据!$A$1:$IV$65536,3,FALSE)</f>
        <v>294.7</v>
      </c>
      <c r="H193" s="2">
        <f t="shared" si="6"/>
        <v>7.021682153919466E-2</v>
      </c>
      <c r="N193">
        <v>5844.5714285714284</v>
      </c>
      <c r="O193">
        <f>N193/F193</f>
        <v>0.16194883284578204</v>
      </c>
      <c r="Q193" t="s">
        <v>64</v>
      </c>
      <c r="R193">
        <f>VLOOKUP(B193,[5]分省年度数据!$A$1:$O$65536,3,FALSE)</f>
        <v>32679</v>
      </c>
      <c r="S193">
        <f>VLOOKUP($B193,[6]分省年度数据!$A$1:$IV$65536,3,FALSE)</f>
        <v>32.619999999999997</v>
      </c>
      <c r="T193">
        <f>VLOOKUP($B193,[7]分省年度数据!$A$1:$IV$65536,3,FALSE)</f>
        <v>81</v>
      </c>
      <c r="U193">
        <f>VLOOKUP($B193,[8]分省年度数据!$A$1:$IV$65536,3,FALSE)</f>
        <v>9.6</v>
      </c>
      <c r="V193">
        <f>VLOOKUP($B193,[9]分省年度数据!$A$1:$IV$65536,3,FALSE)</f>
        <v>466.59</v>
      </c>
      <c r="W193">
        <f>VLOOKUP($B193,[10]分省年度数据!$A$1:$IV$65536,3,FALSE)</f>
        <v>11.4</v>
      </c>
      <c r="X193">
        <f>VLOOKUP($B193,[11]分省年度数据!$A$1:$IV$65536,3,FALSE)</f>
        <v>9.66</v>
      </c>
      <c r="Y193">
        <f>VLOOKUP($B193,[12]分省年度数据!$A$1:$IV$65536,3,FALSE)</f>
        <v>14</v>
      </c>
      <c r="AA193">
        <f>VLOOKUP($B193,[13]分省年度数据!$A$1:$IV$65536,3,FALSE)</f>
        <v>11674506</v>
      </c>
      <c r="AB193">
        <f>VLOOKUP($B193,[14]分省年度数据!$A$1:$IV$65536,3,FALSE)</f>
        <v>745.91</v>
      </c>
      <c r="AC193">
        <f>VLOOKUP($B193,[16]分省年度数据!$A$1:$IT$65532,3,FALSE)</f>
        <v>1338</v>
      </c>
      <c r="AD193">
        <f>VLOOKUP($B193,[17]分省年度数据!$A$1:$IS$65525,3,FALSE)</f>
        <v>9526.2000000000007</v>
      </c>
      <c r="AE193">
        <f>IFERROR(AC193/E193,0)</f>
        <v>0.31879914224446032</v>
      </c>
      <c r="AF193">
        <f>IFERROR(AD193/E193,0)</f>
        <v>2.2697641172265905</v>
      </c>
      <c r="AG193">
        <f>VLOOKUP($B193,[15]分省年度数据!$A$1:$IV$65536,3,FALSE)</f>
        <v>4934</v>
      </c>
      <c r="AH193">
        <f>VLOOKUP(B193,[4]分省年度数据!$A$1:$IV$65536,3,FALSE)</f>
        <v>42584</v>
      </c>
      <c r="AI193">
        <f>VLOOKUP(B193,[3]分省年度数据!$A$1:$IV$65536,3,FALSE)</f>
        <v>155.81</v>
      </c>
      <c r="AJ193">
        <f>VLOOKUP($B193,[18]分省年度数据!$A$1:$IS$65529,3,FALSE)</f>
        <v>98.99</v>
      </c>
      <c r="AK193">
        <f>VLOOKUP($B193,[19]分省年度数据!$A$1:$IS$65529,3,FALSE)</f>
        <v>97.73</v>
      </c>
      <c r="AL193">
        <f>VLOOKUP($B193,[20]分省年度数据!$A$1:$IS$65528,3,FALSE)</f>
        <v>11.52</v>
      </c>
      <c r="AM193">
        <f>VLOOKUP($B193,[21]分省年度数据!$A$1:$IS$65528,3,FALSE)</f>
        <v>2.4500000000000002</v>
      </c>
      <c r="AN193">
        <f>VLOOKUP($B193,[22]分省年度数据!$A$1:$IS$65529,3,FALSE)</f>
        <v>13.39</v>
      </c>
    </row>
    <row r="194" spans="1:40">
      <c r="A194">
        <v>22</v>
      </c>
      <c r="B194" t="s">
        <v>7</v>
      </c>
      <c r="C194">
        <v>2022</v>
      </c>
      <c r="D194" t="s">
        <v>33</v>
      </c>
      <c r="E194">
        <f>VLOOKUP(B194,[1]分省年度数据!$A$1:$IV$65536,3,FALSE)</f>
        <v>2348</v>
      </c>
      <c r="F194" s="4">
        <v>27975</v>
      </c>
      <c r="G194" s="2">
        <f>VLOOKUP(B194,[2]分省年度数据!$A$1:$IV$65536,3,FALSE)</f>
        <v>80.900000000000006</v>
      </c>
      <c r="H194" s="2">
        <f t="shared" si="6"/>
        <v>3.4454855195911419E-2</v>
      </c>
      <c r="N194">
        <v>5398.625</v>
      </c>
      <c r="O194">
        <f>N194/F194</f>
        <v>0.19298033958891866</v>
      </c>
      <c r="Q194" t="s">
        <v>64</v>
      </c>
      <c r="R194">
        <f>VLOOKUP(B194,[5]分省年度数据!$A$1:$O$65536,3,FALSE)</f>
        <v>25031</v>
      </c>
      <c r="S194">
        <f>VLOOKUP($B194,[6]分省年度数据!$A$1:$IV$65536,3,FALSE)</f>
        <v>17.72</v>
      </c>
      <c r="T194">
        <f>VLOOKUP($B194,[7]分省年度数据!$A$1:$IV$65536,3,FALSE)</f>
        <v>93</v>
      </c>
      <c r="U194">
        <f>VLOOKUP($B194,[8]分省年度数据!$A$1:$IV$65536,3,FALSE)</f>
        <v>9.8000000000000007</v>
      </c>
      <c r="V194">
        <f>VLOOKUP($B194,[9]分省年度数据!$A$1:$IV$65536,3,FALSE)</f>
        <v>381.65</v>
      </c>
      <c r="W194">
        <f>VLOOKUP($B194,[10]分省年度数据!$A$1:$IV$65536,3,FALSE)</f>
        <v>12.8</v>
      </c>
      <c r="X194">
        <f>VLOOKUP($B194,[11]分省年度数据!$A$1:$IV$65536,3,FALSE)</f>
        <v>8.99</v>
      </c>
      <c r="Y194">
        <f>VLOOKUP($B194,[12]分省年度数据!$A$1:$IV$65536,3,FALSE)</f>
        <v>10.95</v>
      </c>
      <c r="AA194">
        <f>VLOOKUP($B194,[13]分省年度数据!$A$1:$IV$65536,3,FALSE)</f>
        <v>7484068</v>
      </c>
      <c r="AB194">
        <f>VLOOKUP($B194,[14]分省年度数据!$A$1:$IV$65536,3,FALSE)</f>
        <v>497.82</v>
      </c>
      <c r="AC194">
        <f>VLOOKUP($B194,[16]分省年度数据!$A$1:$IT$65532,3,FALSE)</f>
        <v>11</v>
      </c>
      <c r="AD194">
        <f>VLOOKUP($B194,[17]分省年度数据!$A$1:$IS$65525,3,FALSE)</f>
        <v>3807.7</v>
      </c>
      <c r="AE194">
        <f>IFERROR(AC194/E194,0)</f>
        <v>4.6848381601362864E-3</v>
      </c>
      <c r="AF194">
        <f>IFERROR(AD194/E194,0)</f>
        <v>1.6216780238500852</v>
      </c>
      <c r="AG194">
        <f>VLOOKUP($B194,[15]分省年度数据!$A$1:$IV$65536,3,FALSE)</f>
        <v>7541</v>
      </c>
      <c r="AH194">
        <f>VLOOKUP(B194,[4]分省年度数据!$A$1:$IV$65536,3,FALSE)</f>
        <v>37132</v>
      </c>
      <c r="AI194">
        <f>VLOOKUP(B194,[3]分省年度数据!$A$1:$IV$65536,3,FALSE)</f>
        <v>121.83</v>
      </c>
      <c r="AJ194">
        <f>VLOOKUP($B194,[18]分省年度数据!$A$1:$IS$65529,3,FALSE)</f>
        <v>96.46</v>
      </c>
      <c r="AK194">
        <f>VLOOKUP($B194,[19]分省年度数据!$A$1:$IS$65529,3,FALSE)</f>
        <v>96.54</v>
      </c>
      <c r="AL194">
        <f>VLOOKUP($B194,[20]分省年度数据!$A$1:$IS$65528,3,FALSE)</f>
        <v>11.23</v>
      </c>
      <c r="AM194">
        <f>VLOOKUP($B194,[21]分省年度数据!$A$1:$IS$65528,3,FALSE)</f>
        <v>4.01</v>
      </c>
      <c r="AN194">
        <f>VLOOKUP($B194,[22]分省年度数据!$A$1:$IS$65529,3,FALSE)</f>
        <v>14.45</v>
      </c>
    </row>
    <row r="195" spans="1:40">
      <c r="A195">
        <v>23</v>
      </c>
      <c r="B195" t="s">
        <v>8</v>
      </c>
      <c r="C195">
        <v>2022</v>
      </c>
      <c r="D195" t="s">
        <v>33</v>
      </c>
      <c r="E195">
        <f>VLOOKUP(B195,[1]分省年度数据!$A$1:$IV$65536,3,FALSE)</f>
        <v>3099</v>
      </c>
      <c r="F195" s="4">
        <v>28346</v>
      </c>
      <c r="G195" s="2">
        <f>VLOOKUP(B195,[2]分省年度数据!$A$1:$IV$65536,3,FALSE)</f>
        <v>18.100000000000001</v>
      </c>
      <c r="H195" s="2">
        <f t="shared" si="6"/>
        <v>5.8405937399161022E-3</v>
      </c>
      <c r="N195">
        <v>4575</v>
      </c>
      <c r="O195">
        <f>N195/F195</f>
        <v>0.16139843364143089</v>
      </c>
      <c r="Q195" t="s">
        <v>64</v>
      </c>
      <c r="R195">
        <f>VLOOKUP(B195,[5]分省年度数据!$A$1:$O$65536,3,FALSE)</f>
        <v>20599</v>
      </c>
      <c r="S195">
        <f>VLOOKUP($B195,[6]分省年度数据!$A$1:$IV$65536,3,FALSE)</f>
        <v>26.13</v>
      </c>
      <c r="T195">
        <f>VLOOKUP($B195,[7]分省年度数据!$A$1:$IV$65536,3,FALSE)</f>
        <v>82</v>
      </c>
      <c r="U195">
        <f>VLOOKUP($B195,[8]分省年度数据!$A$1:$IV$65536,3,FALSE)</f>
        <v>9.6</v>
      </c>
      <c r="V195">
        <f>VLOOKUP($B195,[9]分省年度数据!$A$1:$IV$65536,3,FALSE)</f>
        <v>436.55</v>
      </c>
      <c r="W195">
        <f>VLOOKUP($B195,[10]分省年度数据!$A$1:$IV$65536,3,FALSE)</f>
        <v>12.68</v>
      </c>
      <c r="X195">
        <f>VLOOKUP($B195,[11]分省年度数据!$A$1:$IV$65536,3,FALSE)</f>
        <v>9.4600000000000009</v>
      </c>
      <c r="Y195">
        <f>VLOOKUP($B195,[12]分省年度数据!$A$1:$IV$65536,3,FALSE)</f>
        <v>11.1</v>
      </c>
      <c r="AA195">
        <f>VLOOKUP($B195,[13]分省年度数据!$A$1:$IV$65536,3,FALSE)</f>
        <v>8806510</v>
      </c>
      <c r="AB195">
        <f>VLOOKUP($B195,[14]分省年度数据!$A$1:$IV$65536,3,FALSE)</f>
        <v>594.39</v>
      </c>
      <c r="AC195">
        <f>VLOOKUP($B195,[16]分省年度数据!$A$1:$IT$65532,3,FALSE)</f>
        <v>124</v>
      </c>
      <c r="AD195">
        <f>VLOOKUP($B195,[17]分省年度数据!$A$1:$IS$65525,3,FALSE)</f>
        <v>5210</v>
      </c>
      <c r="AE195">
        <f>IFERROR(AC195/E195,0)</f>
        <v>4.0012907389480476E-2</v>
      </c>
      <c r="AF195">
        <f>IFERROR(AD195/E195,0)</f>
        <v>1.681187479832204</v>
      </c>
      <c r="AG195">
        <f>VLOOKUP($B195,[15]分省年度数据!$A$1:$IV$65536,3,FALSE)</f>
        <v>4522</v>
      </c>
      <c r="AH195">
        <f>VLOOKUP(B195,[4]分省年度数据!$A$1:$IV$65536,3,FALSE)</f>
        <v>48757</v>
      </c>
      <c r="AI195">
        <f>VLOOKUP(B195,[3]分省年度数据!$A$1:$IV$65536,3,FALSE)</f>
        <v>127.28</v>
      </c>
      <c r="AJ195">
        <f>VLOOKUP($B195,[18]分省年度数据!$A$1:$IS$65529,3,FALSE)</f>
        <v>99.1</v>
      </c>
      <c r="AK195">
        <f>VLOOKUP($B195,[19]分省年度数据!$A$1:$IS$65529,3,FALSE)</f>
        <v>93.22</v>
      </c>
      <c r="AL195">
        <f>VLOOKUP($B195,[20]分省年度数据!$A$1:$IS$65528,3,FALSE)</f>
        <v>16.78</v>
      </c>
      <c r="AM195">
        <f>VLOOKUP($B195,[21]分省年度数据!$A$1:$IS$65528,3,FALSE)</f>
        <v>4.3499999999999996</v>
      </c>
      <c r="AN195">
        <f>VLOOKUP($B195,[22]分省年度数据!$A$1:$IS$65529,3,FALSE)</f>
        <v>14.04</v>
      </c>
    </row>
    <row r="196" spans="1:40">
      <c r="A196">
        <v>31</v>
      </c>
      <c r="B196" t="s">
        <v>9</v>
      </c>
      <c r="C196">
        <v>2022</v>
      </c>
      <c r="D196" t="s">
        <v>34</v>
      </c>
      <c r="E196">
        <f>VLOOKUP(B196,[1]分省年度数据!$A$1:$IV$65536,3,FALSE)</f>
        <v>2475</v>
      </c>
      <c r="F196" s="4">
        <v>79610</v>
      </c>
      <c r="G196" s="2">
        <f>VLOOKUP(B196,[2]分省年度数据!$A$1:$IV$65536,3,FALSE)</f>
        <v>42.9</v>
      </c>
      <c r="H196" s="2">
        <f t="shared" si="6"/>
        <v>1.7333333333333333E-2</v>
      </c>
      <c r="N196" s="6">
        <v>49046.913333333301</v>
      </c>
      <c r="O196">
        <f>N196/F196</f>
        <v>0.61608985470836952</v>
      </c>
      <c r="Q196" t="s">
        <v>56</v>
      </c>
      <c r="R196">
        <f>VLOOKUP(B196,[5]分省年度数据!$A$1:$O$65536,3,FALSE)</f>
        <v>6404</v>
      </c>
      <c r="S196">
        <f>VLOOKUP($B196,[6]分省年度数据!$A$1:$IV$65536,3,FALSE)</f>
        <v>16.53</v>
      </c>
      <c r="T196">
        <f>VLOOKUP($B196,[7]分省年度数据!$A$1:$IV$65536,3,FALSE)</f>
        <v>95</v>
      </c>
      <c r="U196">
        <f>VLOOKUP($B196,[8]分省年度数据!$A$1:$IV$65536,3,FALSE)</f>
        <v>17.2</v>
      </c>
      <c r="V196">
        <f>VLOOKUP($B196,[9]分省年度数据!$A$1:$IV$65536,3,FALSE)</f>
        <v>1308.26</v>
      </c>
      <c r="W196">
        <f>VLOOKUP($B196,[10]分省年度数据!$A$1:$IV$65536,3,FALSE)</f>
        <v>9.59</v>
      </c>
      <c r="X196">
        <f>VLOOKUP($B196,[11]分省年度数据!$A$1:$IV$65536,3,FALSE)</f>
        <v>11.09</v>
      </c>
      <c r="Y196">
        <f>VLOOKUP($B196,[12]分省年度数据!$A$1:$IV$65536,3,FALSE)</f>
        <v>14.02</v>
      </c>
      <c r="AA196">
        <f>VLOOKUP($B196,[13]分省年度数据!$A$1:$IV$65536,3,FALSE)</f>
        <v>16916927</v>
      </c>
      <c r="AB196">
        <f>VLOOKUP($B196,[14]分省年度数据!$A$1:$IV$65536,3,FALSE)</f>
        <v>1122.57</v>
      </c>
      <c r="AC196">
        <f>VLOOKUP($B196,[16]分省年度数据!$A$1:$IT$65532,3,FALSE)</f>
        <v>8731</v>
      </c>
      <c r="AD196">
        <f>VLOOKUP($B196,[17]分省年度数据!$A$1:$IS$65525,3,FALSE)</f>
        <v>16442.099999999999</v>
      </c>
      <c r="AE196">
        <f>IFERROR(AC196/E196,0)</f>
        <v>3.5276767676767675</v>
      </c>
      <c r="AF196">
        <f>IFERROR(AD196/E196,0)</f>
        <v>6.643272727272727</v>
      </c>
      <c r="AG196">
        <f>VLOOKUP($B196,[15]分省年度数据!$A$1:$IV$65536,3,FALSE)</f>
        <v>1242</v>
      </c>
      <c r="AH196">
        <f>VLOOKUP(B196,[4]分省年度数据!$A$1:$IV$65536,3,FALSE)</f>
        <v>24883</v>
      </c>
      <c r="AI196">
        <f>VLOOKUP(B196,[3]分省年度数据!$A$1:$IV$65536,3,FALSE)</f>
        <v>207.04</v>
      </c>
      <c r="AJ196">
        <f>VLOOKUP($B196,[18]分省年度数据!$A$1:$IS$65529,3,FALSE)</f>
        <v>100</v>
      </c>
      <c r="AK196">
        <f>VLOOKUP($B196,[19]分省年度数据!$A$1:$IS$65529,3,FALSE)</f>
        <v>100</v>
      </c>
      <c r="AL196">
        <f>VLOOKUP($B196,[20]分省年度数据!$A$1:$IS$65528,3,FALSE)</f>
        <v>8.84</v>
      </c>
      <c r="AM196">
        <f>VLOOKUP($B196,[21]分省年度数据!$A$1:$IS$65528,3,FALSE)</f>
        <v>2.5299999999999998</v>
      </c>
      <c r="AN196">
        <f>VLOOKUP($B196,[22]分省年度数据!$A$1:$IS$65529,3,FALSE)</f>
        <v>9.2799999999999994</v>
      </c>
    </row>
    <row r="197" spans="1:40">
      <c r="A197">
        <v>32</v>
      </c>
      <c r="B197" t="s">
        <v>10</v>
      </c>
      <c r="C197">
        <v>2022</v>
      </c>
      <c r="D197" t="s">
        <v>34</v>
      </c>
      <c r="E197">
        <f>VLOOKUP(B197,[1]分省年度数据!$A$1:$IV$65536,3,FALSE)</f>
        <v>8515</v>
      </c>
      <c r="F197" s="4">
        <v>49862</v>
      </c>
      <c r="G197" s="2">
        <f>VLOOKUP(B197,[2]分省年度数据!$A$1:$IV$65536,3,FALSE)</f>
        <v>45.2</v>
      </c>
      <c r="H197" s="2">
        <f t="shared" si="6"/>
        <v>5.3082795067527899E-3</v>
      </c>
      <c r="N197">
        <v>13639.30769230769</v>
      </c>
      <c r="O197">
        <f>N197/F197</f>
        <v>0.27354112735766095</v>
      </c>
      <c r="Q197" t="s">
        <v>79</v>
      </c>
      <c r="R197">
        <f>VLOOKUP(B197,[5]分省年度数据!$A$1:$O$65536,3,FALSE)</f>
        <v>37001</v>
      </c>
      <c r="S197">
        <f>VLOOKUP($B197,[6]分省年度数据!$A$1:$IV$65536,3,FALSE)</f>
        <v>56.3</v>
      </c>
      <c r="T197">
        <f>VLOOKUP($B197,[7]分省年度数据!$A$1:$IV$65536,3,FALSE)</f>
        <v>84</v>
      </c>
      <c r="U197">
        <f>VLOOKUP($B197,[8]分省年度数据!$A$1:$IV$65536,3,FALSE)</f>
        <v>8.9</v>
      </c>
      <c r="V197">
        <f>VLOOKUP($B197,[9]分省年度数据!$A$1:$IV$65536,3,FALSE)</f>
        <v>1442.51</v>
      </c>
      <c r="W197">
        <f>VLOOKUP($B197,[10]分省年度数据!$A$1:$IV$65536,3,FALSE)</f>
        <v>11.13</v>
      </c>
      <c r="X197">
        <f>VLOOKUP($B197,[11]分省年度数据!$A$1:$IV$65536,3,FALSE)</f>
        <v>11.83</v>
      </c>
      <c r="Y197">
        <f>VLOOKUP($B197,[12]分省年度数据!$A$1:$IV$65536,3,FALSE)</f>
        <v>16.16</v>
      </c>
      <c r="AA197">
        <f>VLOOKUP($B197,[13]分省年度数据!$A$1:$IV$65536,3,FALSE)</f>
        <v>38820349</v>
      </c>
      <c r="AB197">
        <f>VLOOKUP($B197,[14]分省年度数据!$A$1:$IV$65536,3,FALSE)</f>
        <v>2598.0500000000002</v>
      </c>
      <c r="AC197">
        <f>VLOOKUP($B197,[16]分省年度数据!$A$1:$IT$65532,3,FALSE)</f>
        <v>2446</v>
      </c>
      <c r="AD197">
        <f>VLOOKUP($B197,[17]分省年度数据!$A$1:$IS$65525,3,FALSE)</f>
        <v>42752.1</v>
      </c>
      <c r="AE197">
        <f>IFERROR(AC197/E197,0)</f>
        <v>0.2872577803875514</v>
      </c>
      <c r="AF197">
        <f>IFERROR(AD197/E197,0)</f>
        <v>5.0207985907222543</v>
      </c>
      <c r="AG197">
        <f>VLOOKUP($B197,[15]分省年度数据!$A$1:$IV$65536,3,FALSE)</f>
        <v>10529</v>
      </c>
      <c r="AH197">
        <f>VLOOKUP(B197,[4]分省年度数据!$A$1:$IV$65536,3,FALSE)</f>
        <v>119206</v>
      </c>
      <c r="AI197">
        <f>VLOOKUP(B197,[3]分省年度数据!$A$1:$IV$65536,3,FALSE)</f>
        <v>211.54</v>
      </c>
      <c r="AJ197">
        <f>VLOOKUP($B197,[18]分省年度数据!$A$1:$IS$65529,3,FALSE)</f>
        <v>100</v>
      </c>
      <c r="AK197">
        <f>VLOOKUP($B197,[19]分省年度数据!$A$1:$IS$65529,3,FALSE)</f>
        <v>99.92</v>
      </c>
      <c r="AL197">
        <f>VLOOKUP($B197,[20]分省年度数据!$A$1:$IS$65528,3,FALSE)</f>
        <v>16.510000000000002</v>
      </c>
      <c r="AM197">
        <f>VLOOKUP($B197,[21]分省年度数据!$A$1:$IS$65528,3,FALSE)</f>
        <v>3.95</v>
      </c>
      <c r="AN197">
        <f>VLOOKUP($B197,[22]分省年度数据!$A$1:$IS$65529,3,FALSE)</f>
        <v>16.02</v>
      </c>
    </row>
    <row r="198" spans="1:40">
      <c r="A198">
        <v>33</v>
      </c>
      <c r="B198" t="s">
        <v>11</v>
      </c>
      <c r="C198">
        <v>2022</v>
      </c>
      <c r="D198" t="s">
        <v>34</v>
      </c>
      <c r="E198">
        <f>VLOOKUP(B198,[1]分省年度数据!$A$1:$IV$65536,3,FALSE)</f>
        <v>6577</v>
      </c>
      <c r="F198" s="4">
        <v>60302</v>
      </c>
      <c r="G198" s="2">
        <f>VLOOKUP(B198,[2]分省年度数据!$A$1:$IV$65536,3,FALSE)</f>
        <v>203.7</v>
      </c>
      <c r="H198" s="2">
        <f t="shared" si="6"/>
        <v>3.0971567584004864E-2</v>
      </c>
      <c r="N198">
        <v>17976.727272727268</v>
      </c>
      <c r="O198">
        <f>N198/F198</f>
        <v>0.2981116260277813</v>
      </c>
      <c r="Q198" t="s">
        <v>56</v>
      </c>
      <c r="R198">
        <f>VLOOKUP(B198,[5]分省年度数据!$A$1:$O$65536,3,FALSE)</f>
        <v>35967</v>
      </c>
      <c r="S198">
        <f>VLOOKUP($B198,[6]分省年度数据!$A$1:$IV$65536,3,FALSE)</f>
        <v>38.17</v>
      </c>
      <c r="T198">
        <f>VLOOKUP($B198,[7]分省年度数据!$A$1:$IV$65536,3,FALSE)</f>
        <v>93</v>
      </c>
      <c r="U198">
        <f>VLOOKUP($B198,[8]分省年度数据!$A$1:$IV$65536,3,FALSE)</f>
        <v>8.5</v>
      </c>
      <c r="V198">
        <f>VLOOKUP($B198,[9]分省年度数据!$A$1:$IV$65536,3,FALSE)</f>
        <v>1236.08</v>
      </c>
      <c r="W198">
        <f>VLOOKUP($B198,[10]分省年度数据!$A$1:$IV$65536,3,FALSE)</f>
        <v>11.03</v>
      </c>
      <c r="X198">
        <f>VLOOKUP($B198,[11]分省年度数据!$A$1:$IV$65536,3,FALSE)</f>
        <v>12.38</v>
      </c>
      <c r="Y198">
        <f>VLOOKUP($B198,[12]分省年度数据!$A$1:$IV$65536,3,FALSE)</f>
        <v>16.93</v>
      </c>
      <c r="AA198">
        <f>VLOOKUP($B198,[13]分省年度数据!$A$1:$IV$65536,3,FALSE)</f>
        <v>34440066</v>
      </c>
      <c r="AB198">
        <f>VLOOKUP($B198,[14]分省年度数据!$A$1:$IV$65536,3,FALSE)</f>
        <v>2197.2600000000002</v>
      </c>
      <c r="AC198">
        <f>VLOOKUP($B198,[16]分省年度数据!$A$1:$IT$65532,3,FALSE)</f>
        <v>2823</v>
      </c>
      <c r="AD198">
        <f>VLOOKUP($B198,[17]分省年度数据!$A$1:$IS$65525,3,FALSE)</f>
        <v>30467.200000000001</v>
      </c>
      <c r="AE198">
        <f>IFERROR(AC198/E198,0)</f>
        <v>0.42922305002280675</v>
      </c>
      <c r="AF198">
        <f>IFERROR(AD198/E198,0)</f>
        <v>4.6323855861334957</v>
      </c>
      <c r="AG198">
        <f>VLOOKUP($B198,[15]分省年度数据!$A$1:$IV$65536,3,FALSE)</f>
        <v>10812</v>
      </c>
      <c r="AH198">
        <f>VLOOKUP(B198,[4]分省年度数据!$A$1:$IV$65536,3,FALSE)</f>
        <v>162339</v>
      </c>
      <c r="AI198">
        <f>VLOOKUP(B198,[3]分省年度数据!$A$1:$IV$65536,3,FALSE)</f>
        <v>215.05</v>
      </c>
      <c r="AJ198">
        <f>VLOOKUP($B198,[18]分省年度数据!$A$1:$IS$65529,3,FALSE)</f>
        <v>100</v>
      </c>
      <c r="AK198">
        <f>VLOOKUP($B198,[19]分省年度数据!$A$1:$IS$65529,3,FALSE)</f>
        <v>99.97</v>
      </c>
      <c r="AL198">
        <f>VLOOKUP($B198,[20]分省年度数据!$A$1:$IS$65528,3,FALSE)</f>
        <v>14.87</v>
      </c>
      <c r="AM198">
        <f>VLOOKUP($B198,[21]分省年度数据!$A$1:$IS$65528,3,FALSE)</f>
        <v>3.13</v>
      </c>
      <c r="AN198">
        <f>VLOOKUP($B198,[22]分省年度数据!$A$1:$IS$65529,3,FALSE)</f>
        <v>13.79</v>
      </c>
    </row>
    <row r="199" spans="1:40">
      <c r="A199">
        <v>34</v>
      </c>
      <c r="B199" t="s">
        <v>12</v>
      </c>
      <c r="C199">
        <v>2022</v>
      </c>
      <c r="D199" t="s">
        <v>34</v>
      </c>
      <c r="E199">
        <f>VLOOKUP(B199,[1]分省年度数据!$A$1:$IV$65536,3,FALSE)</f>
        <v>6127</v>
      </c>
      <c r="F199" s="4">
        <v>32745</v>
      </c>
      <c r="G199" s="2">
        <f>VLOOKUP(B199,[2]分省年度数据!$A$1:$IV$65536,3,FALSE)</f>
        <v>263.3</v>
      </c>
      <c r="H199" s="2">
        <f t="shared" si="6"/>
        <v>4.2973722866002942E-2</v>
      </c>
      <c r="N199">
        <v>8166</v>
      </c>
      <c r="O199">
        <f>N199/F199</f>
        <v>0.24938158497480531</v>
      </c>
      <c r="Q199" t="s">
        <v>79</v>
      </c>
      <c r="R199">
        <f>VLOOKUP(B199,[5]分省年度数据!$A$1:$O$65536,3,FALSE)</f>
        <v>30176</v>
      </c>
      <c r="S199">
        <f>VLOOKUP($B199,[6]分省年度数据!$A$1:$IV$65536,3,FALSE)</f>
        <v>44.4</v>
      </c>
      <c r="T199">
        <f>VLOOKUP($B199,[7]分省年度数据!$A$1:$IV$65536,3,FALSE)</f>
        <v>77</v>
      </c>
      <c r="U199">
        <f>VLOOKUP($B199,[8]分省年度数据!$A$1:$IV$65536,3,FALSE)</f>
        <v>8.8000000000000007</v>
      </c>
      <c r="V199">
        <f>VLOOKUP($B199,[9]分省年度数据!$A$1:$IV$65536,3,FALSE)</f>
        <v>808.08</v>
      </c>
      <c r="W199">
        <f>VLOOKUP($B199,[10]分省年度数据!$A$1:$IV$65536,3,FALSE)</f>
        <v>13.32</v>
      </c>
      <c r="X199">
        <f>VLOOKUP($B199,[11]分省年度数据!$A$1:$IV$65536,3,FALSE)</f>
        <v>13.37</v>
      </c>
      <c r="Y199">
        <f>VLOOKUP($B199,[12]分省年度数据!$A$1:$IV$65536,3,FALSE)</f>
        <v>17.440000000000001</v>
      </c>
      <c r="AA199">
        <f>VLOOKUP($B199,[13]分省年度数据!$A$1:$IV$65536,3,FALSE)</f>
        <v>20532087</v>
      </c>
      <c r="AB199">
        <f>VLOOKUP($B199,[14]分省年度数据!$A$1:$IV$65536,3,FALSE)</f>
        <v>1420.87</v>
      </c>
      <c r="AC199">
        <f>VLOOKUP($B199,[16]分省年度数据!$A$1:$IT$65532,3,FALSE)</f>
        <v>1290</v>
      </c>
      <c r="AD199">
        <f>VLOOKUP($B199,[17]分省年度数据!$A$1:$IS$65525,3,FALSE)</f>
        <v>21518.400000000001</v>
      </c>
      <c r="AE199">
        <f>IFERROR(AC199/E199,0)</f>
        <v>0.2105434960013057</v>
      </c>
      <c r="AF199">
        <f>IFERROR(AD199/E199,0)</f>
        <v>3.5120613677166643</v>
      </c>
      <c r="AG199">
        <f>VLOOKUP($B199,[15]分省年度数据!$A$1:$IV$65536,3,FALSE)</f>
        <v>8712</v>
      </c>
      <c r="AH199">
        <f>VLOOKUP(B199,[4]分省年度数据!$A$1:$IV$65536,3,FALSE)</f>
        <v>81143</v>
      </c>
      <c r="AI199">
        <f>VLOOKUP(B199,[3]分省年度数据!$A$1:$IV$65536,3,FALSE)</f>
        <v>194.31</v>
      </c>
      <c r="AJ199">
        <f>VLOOKUP($B199,[18]分省年度数据!$A$1:$IS$65529,3,FALSE)</f>
        <v>99.76</v>
      </c>
      <c r="AK199">
        <f>VLOOKUP($B199,[19]分省年度数据!$A$1:$IS$65529,3,FALSE)</f>
        <v>99.42</v>
      </c>
      <c r="AL199">
        <f>VLOOKUP($B199,[20]分省年度数据!$A$1:$IS$65528,3,FALSE)</f>
        <v>16.02</v>
      </c>
      <c r="AM199">
        <f>VLOOKUP($B199,[21]分省年度数据!$A$1:$IS$65528,3,FALSE)</f>
        <v>3.63</v>
      </c>
      <c r="AN199">
        <f>VLOOKUP($B199,[22]分省年度数据!$A$1:$IS$65529,3,FALSE)</f>
        <v>16.98</v>
      </c>
    </row>
    <row r="200" spans="1:40">
      <c r="A200">
        <v>35</v>
      </c>
      <c r="B200" t="s">
        <v>13</v>
      </c>
      <c r="C200">
        <v>2022</v>
      </c>
      <c r="D200" t="s">
        <v>34</v>
      </c>
      <c r="E200">
        <f>VLOOKUP(B200,[1]分省年度数据!$A$1:$IV$65536,3,FALSE)</f>
        <v>4188</v>
      </c>
      <c r="F200" s="4">
        <v>43118</v>
      </c>
      <c r="G200" s="2">
        <f>VLOOKUP(B200,[2]分省年度数据!$A$1:$IV$65536,3,FALSE)</f>
        <v>138.69999999999999</v>
      </c>
      <c r="H200" s="2">
        <f t="shared" si="6"/>
        <v>3.3118433619866279E-2</v>
      </c>
      <c r="N200">
        <v>17759.444444444449</v>
      </c>
      <c r="O200">
        <f>N200/F200</f>
        <v>0.41188006040271924</v>
      </c>
      <c r="Q200" t="s">
        <v>57</v>
      </c>
      <c r="R200">
        <f>VLOOKUP(B200,[5]分省年度数据!$A$1:$O$65536,3,FALSE)</f>
        <v>29116</v>
      </c>
      <c r="S200">
        <f>VLOOKUP($B200,[6]分省年度数据!$A$1:$IV$65536,3,FALSE)</f>
        <v>23.24</v>
      </c>
      <c r="T200">
        <f>VLOOKUP($B200,[7]分省年度数据!$A$1:$IV$65536,3,FALSE)</f>
        <v>74</v>
      </c>
      <c r="U200">
        <f>VLOOKUP($B200,[8]分省年度数据!$A$1:$IV$65536,3,FALSE)</f>
        <v>8.6999999999999993</v>
      </c>
      <c r="V200">
        <f>VLOOKUP($B200,[9]分省年度数据!$A$1:$IV$65536,3,FALSE)</f>
        <v>606.35</v>
      </c>
      <c r="W200">
        <f>VLOOKUP($B200,[10]分省年度数据!$A$1:$IV$65536,3,FALSE)</f>
        <v>12.94</v>
      </c>
      <c r="X200">
        <f>VLOOKUP($B200,[11]分省年度数据!$A$1:$IV$65536,3,FALSE)</f>
        <v>13.48</v>
      </c>
      <c r="Y200">
        <f>VLOOKUP($B200,[12]分省年度数据!$A$1:$IV$65536,3,FALSE)</f>
        <v>17.579999999999998</v>
      </c>
      <c r="AA200">
        <f>VLOOKUP($B200,[13]分省年度数据!$A$1:$IV$65536,3,FALSE)</f>
        <v>17625677</v>
      </c>
      <c r="AB200">
        <f>VLOOKUP($B200,[14]分省年度数据!$A$1:$IV$65536,3,FALSE)</f>
        <v>1217.26</v>
      </c>
      <c r="AC200">
        <f>VLOOKUP($B200,[16]分省年度数据!$A$1:$IT$65532,3,FALSE)</f>
        <v>1330</v>
      </c>
      <c r="AD200">
        <f>VLOOKUP($B200,[17]分省年度数据!$A$1:$IS$65525,3,FALSE)</f>
        <v>21050.1</v>
      </c>
      <c r="AE200">
        <f>IFERROR(AC200/E200,0)</f>
        <v>0.31757402101241644</v>
      </c>
      <c r="AF200">
        <f>IFERROR(AD200/E200,0)</f>
        <v>5.0262893982808023</v>
      </c>
      <c r="AG200">
        <f>VLOOKUP($B200,[15]分省年度数据!$A$1:$IV$65536,3,FALSE)</f>
        <v>7645</v>
      </c>
      <c r="AH200">
        <f>VLOOKUP(B200,[4]分省年度数据!$A$1:$IV$65536,3,FALSE)</f>
        <v>46228</v>
      </c>
      <c r="AI200">
        <f>VLOOKUP(B200,[3]分省年度数据!$A$1:$IV$65536,3,FALSE)</f>
        <v>228.88</v>
      </c>
      <c r="AJ200">
        <f>VLOOKUP($B200,[18]分省年度数据!$A$1:$IS$65529,3,FALSE)</f>
        <v>99.97</v>
      </c>
      <c r="AK200">
        <f>VLOOKUP($B200,[19]分省年度数据!$A$1:$IS$65529,3,FALSE)</f>
        <v>99.67</v>
      </c>
      <c r="AL200">
        <f>VLOOKUP($B200,[20]分省年度数据!$A$1:$IS$65528,3,FALSE)</f>
        <v>15.11</v>
      </c>
      <c r="AM200">
        <f>VLOOKUP($B200,[21]分省年度数据!$A$1:$IS$65528,3,FALSE)</f>
        <v>4.59</v>
      </c>
      <c r="AN200">
        <f>VLOOKUP($B200,[22]分省年度数据!$A$1:$IS$65529,3,FALSE)</f>
        <v>15.28</v>
      </c>
    </row>
    <row r="201" spans="1:40">
      <c r="A201">
        <v>36</v>
      </c>
      <c r="B201" t="s">
        <v>14</v>
      </c>
      <c r="C201">
        <v>2022</v>
      </c>
      <c r="D201" t="s">
        <v>34</v>
      </c>
      <c r="E201">
        <f>VLOOKUP(B201,[1]分省年度数据!$A$1:$IV$65536,3,FALSE)</f>
        <v>4528</v>
      </c>
      <c r="F201" s="4">
        <v>32419</v>
      </c>
      <c r="G201" s="2">
        <f>VLOOKUP(B201,[2]分省年度数据!$A$1:$IV$65536,3,FALSE)</f>
        <v>1109.7</v>
      </c>
      <c r="H201" s="2">
        <f t="shared" ref="H201:H218" si="7">G201/E201</f>
        <v>0.24507508833922262</v>
      </c>
      <c r="N201">
        <v>7698.090909090909</v>
      </c>
      <c r="O201">
        <f>N201/F201</f>
        <v>0.23745614945220114</v>
      </c>
      <c r="Q201" t="s">
        <v>58</v>
      </c>
      <c r="R201">
        <f>VLOOKUP(B201,[5]分省年度数据!$A$1:$O$65536,3,FALSE)</f>
        <v>35683</v>
      </c>
      <c r="S201">
        <f>VLOOKUP($B201,[6]分省年度数据!$A$1:$IV$65536,3,FALSE)</f>
        <v>31.45</v>
      </c>
      <c r="T201">
        <f>VLOOKUP($B201,[7]分省年度数据!$A$1:$IV$65536,3,FALSE)</f>
        <v>69</v>
      </c>
      <c r="U201">
        <f>VLOOKUP($B201,[8]分省年度数据!$A$1:$IV$65536,3,FALSE)</f>
        <v>9</v>
      </c>
      <c r="V201">
        <f>VLOOKUP($B201,[9]分省年度数据!$A$1:$IV$65536,3,FALSE)</f>
        <v>707.78</v>
      </c>
      <c r="W201">
        <f>VLOOKUP($B201,[10]分省年度数据!$A$1:$IV$65536,3,FALSE)</f>
        <v>14.79</v>
      </c>
      <c r="X201">
        <f>VLOOKUP($B201,[11]分省年度数据!$A$1:$IV$65536,3,FALSE)</f>
        <v>13.67</v>
      </c>
      <c r="Y201">
        <f>VLOOKUP($B201,[12]分省年度数据!$A$1:$IV$65536,3,FALSE)</f>
        <v>15.83</v>
      </c>
      <c r="AA201">
        <f>VLOOKUP($B201,[13]分省年度数据!$A$1:$IV$65536,3,FALSE)</f>
        <v>18915971</v>
      </c>
      <c r="AB201">
        <f>VLOOKUP($B201,[14]分省年度数据!$A$1:$IV$65536,3,FALSE)</f>
        <v>1320.01</v>
      </c>
      <c r="AC201">
        <f>VLOOKUP($B201,[16]分省年度数据!$A$1:$IT$65532,3,FALSE)</f>
        <v>238</v>
      </c>
      <c r="AD201">
        <f>VLOOKUP($B201,[17]分省年度数据!$A$1:$IS$65525,3,FALSE)</f>
        <v>12853.5</v>
      </c>
      <c r="AE201">
        <f>IFERROR(AC201/E201,0)</f>
        <v>5.2561837455830387E-2</v>
      </c>
      <c r="AF201">
        <f>IFERROR(AD201/E201,0)</f>
        <v>2.8386704946996466</v>
      </c>
      <c r="AG201">
        <f>VLOOKUP($B201,[15]分省年度数据!$A$1:$IV$65536,3,FALSE)</f>
        <v>3842</v>
      </c>
      <c r="AH201">
        <f>VLOOKUP(B201,[4]分省年度数据!$A$1:$IV$65536,3,FALSE)</f>
        <v>57691</v>
      </c>
      <c r="AI201">
        <f>VLOOKUP(B201,[3]分省年度数据!$A$1:$IV$65536,3,FALSE)</f>
        <v>222.48</v>
      </c>
      <c r="AJ201">
        <f>VLOOKUP($B201,[18]分省年度数据!$A$1:$IS$65529,3,FALSE)</f>
        <v>99.37</v>
      </c>
      <c r="AK201">
        <f>VLOOKUP($B201,[19]分省年度数据!$A$1:$IS$65529,3,FALSE)</f>
        <v>98.82</v>
      </c>
      <c r="AL201">
        <f>VLOOKUP($B201,[20]分省年度数据!$A$1:$IS$65528,3,FALSE)</f>
        <v>14.06</v>
      </c>
      <c r="AM201">
        <f>VLOOKUP($B201,[21]分省年度数据!$A$1:$IS$65528,3,FALSE)</f>
        <v>4.97</v>
      </c>
      <c r="AN201">
        <f>VLOOKUP($B201,[22]分省年度数据!$A$1:$IS$65529,3,FALSE)</f>
        <v>17.010000000000002</v>
      </c>
    </row>
    <row r="202" spans="1:40">
      <c r="A202">
        <v>37</v>
      </c>
      <c r="B202" t="s">
        <v>15</v>
      </c>
      <c r="C202">
        <v>2022</v>
      </c>
      <c r="D202" t="s">
        <v>34</v>
      </c>
      <c r="E202">
        <f>VLOOKUP(B202,[1]分省年度数据!$A$1:$IV$65536,3,FALSE)</f>
        <v>10163</v>
      </c>
      <c r="F202" s="4">
        <v>37560</v>
      </c>
      <c r="G202" s="2">
        <f>VLOOKUP(B202,[2]分省年度数据!$A$1:$IV$65536,3,FALSE)</f>
        <v>31.5</v>
      </c>
      <c r="H202" s="2">
        <f t="shared" si="7"/>
        <v>3.0994785004427828E-3</v>
      </c>
      <c r="N202">
        <v>9551.3125</v>
      </c>
      <c r="O202">
        <f>N202/F202</f>
        <v>0.25429479499467517</v>
      </c>
      <c r="Q202" t="s">
        <v>65</v>
      </c>
      <c r="R202">
        <f>VLOOKUP(B202,[5]分省年度数据!$A$1:$O$65536,3,FALSE)</f>
        <v>86026</v>
      </c>
      <c r="S202">
        <f>VLOOKUP($B202,[6]分省年度数据!$A$1:$IV$65536,3,FALSE)</f>
        <v>69.36</v>
      </c>
      <c r="T202">
        <f>VLOOKUP($B202,[7]分省年度数据!$A$1:$IV$65536,3,FALSE)</f>
        <v>86</v>
      </c>
      <c r="U202">
        <f>VLOOKUP($B202,[8]分省年度数据!$A$1:$IV$65536,3,FALSE)</f>
        <v>8.4</v>
      </c>
      <c r="V202">
        <f>VLOOKUP($B202,[9]分省年度数据!$A$1:$IV$65536,3,FALSE)</f>
        <v>1234.0999999999999</v>
      </c>
      <c r="W202">
        <f>VLOOKUP($B202,[10]分省年度数据!$A$1:$IV$65536,3,FALSE)</f>
        <v>11.76</v>
      </c>
      <c r="X202">
        <f>VLOOKUP($B202,[11]分省年度数据!$A$1:$IV$65536,3,FALSE)</f>
        <v>12.55</v>
      </c>
      <c r="Y202">
        <f>VLOOKUP($B202,[12]分省年度数据!$A$1:$IV$65536,3,FALSE)</f>
        <v>16.27</v>
      </c>
      <c r="AA202">
        <f>VLOOKUP($B202,[13]分省年度数据!$A$1:$IV$65536,3,FALSE)</f>
        <v>37144368</v>
      </c>
      <c r="AB202">
        <f>VLOOKUP($B202,[14]分省年度数据!$A$1:$IV$65536,3,FALSE)</f>
        <v>2626.48</v>
      </c>
      <c r="AC202">
        <f>VLOOKUP($B202,[16]分省年度数据!$A$1:$IT$65532,3,FALSE)</f>
        <v>1547</v>
      </c>
      <c r="AD202">
        <f>VLOOKUP($B202,[17]分省年度数据!$A$1:$IS$65525,3,FALSE)</f>
        <v>33236.199999999997</v>
      </c>
      <c r="AE202">
        <f>IFERROR(AC202/E202,0)</f>
        <v>0.15221883302174555</v>
      </c>
      <c r="AF202">
        <f>IFERROR(AD202/E202,0)</f>
        <v>3.270313883695759</v>
      </c>
      <c r="AG202">
        <f>VLOOKUP($B202,[15]分省年度数据!$A$1:$IV$65536,3,FALSE)</f>
        <v>12404</v>
      </c>
      <c r="AH202">
        <f>VLOOKUP(B202,[4]分省年度数据!$A$1:$IV$65536,3,FALSE)</f>
        <v>186163</v>
      </c>
      <c r="AI202">
        <f>VLOOKUP(B202,[3]分省年度数据!$A$1:$IV$65536,3,FALSE)</f>
        <v>126.22</v>
      </c>
      <c r="AJ202">
        <f>VLOOKUP($B202,[18]分省年度数据!$A$1:$IS$65529,3,FALSE)</f>
        <v>99.92</v>
      </c>
      <c r="AK202">
        <f>VLOOKUP($B202,[19]分省年度数据!$A$1:$IS$65529,3,FALSE)</f>
        <v>99.47</v>
      </c>
      <c r="AL202">
        <f>VLOOKUP($B202,[20]分省年度数据!$A$1:$IS$65528,3,FALSE)</f>
        <v>17.71</v>
      </c>
      <c r="AM202">
        <f>VLOOKUP($B202,[21]分省年度数据!$A$1:$IS$65528,3,FALSE)</f>
        <v>2.61</v>
      </c>
      <c r="AN202">
        <f>VLOOKUP($B202,[22]分省年度数据!$A$1:$IS$65529,3,FALSE)</f>
        <v>18.18</v>
      </c>
    </row>
    <row r="203" spans="1:40">
      <c r="A203">
        <v>41</v>
      </c>
      <c r="B203" t="s">
        <v>16</v>
      </c>
      <c r="C203">
        <v>2022</v>
      </c>
      <c r="D203" t="s">
        <v>35</v>
      </c>
      <c r="E203">
        <f>VLOOKUP(B203,[1]分省年度数据!$A$1:$IV$65536,3,FALSE)</f>
        <v>9872</v>
      </c>
      <c r="F203" s="4">
        <v>28222</v>
      </c>
      <c r="G203" s="2">
        <f>VLOOKUP(B203,[2]分省年度数据!$A$1:$IV$65536,3,FALSE)</f>
        <v>799.9</v>
      </c>
      <c r="H203" s="2">
        <f t="shared" si="7"/>
        <v>8.1027147487844411E-2</v>
      </c>
      <c r="N203">
        <v>7089.2352941176468</v>
      </c>
      <c r="O203">
        <f>N203/F203</f>
        <v>0.25119535447940072</v>
      </c>
      <c r="Q203" t="s">
        <v>62</v>
      </c>
      <c r="R203">
        <f>VLOOKUP(B203,[5]分省年度数据!$A$1:$O$65536,3,FALSE)</f>
        <v>81694</v>
      </c>
      <c r="S203">
        <f>VLOOKUP($B203,[6]分省年度数据!$A$1:$IV$65536,3,FALSE)</f>
        <v>75.22</v>
      </c>
      <c r="T203">
        <f>VLOOKUP($B203,[7]分省年度数据!$A$1:$IV$65536,3,FALSE)</f>
        <v>82</v>
      </c>
      <c r="U203">
        <f>VLOOKUP($B203,[8]分省年度数据!$A$1:$IV$65536,3,FALSE)</f>
        <v>9.3000000000000007</v>
      </c>
      <c r="V203">
        <f>VLOOKUP($B203,[9]分省年度数据!$A$1:$IV$65536,3,FALSE)</f>
        <v>1161.28</v>
      </c>
      <c r="W203">
        <f>VLOOKUP($B203,[10]分省年度数据!$A$1:$IV$65536,3,FALSE)</f>
        <v>13.59</v>
      </c>
      <c r="X203">
        <f>VLOOKUP($B203,[11]分省年度数据!$A$1:$IV$65536,3,FALSE)</f>
        <v>13.66</v>
      </c>
      <c r="Y203">
        <f>VLOOKUP($B203,[12]分省年度数据!$A$1:$IV$65536,3,FALSE)</f>
        <v>16.260000000000002</v>
      </c>
      <c r="AA203">
        <f>VLOOKUP($B203,[13]分省年度数据!$A$1:$IV$65536,3,FALSE)</f>
        <v>29695708</v>
      </c>
      <c r="AB203">
        <f>VLOOKUP($B203,[14]分省年度数据!$A$1:$IV$65536,3,FALSE)</f>
        <v>1895.57</v>
      </c>
      <c r="AC203">
        <f>VLOOKUP($B203,[16]分省年度数据!$A$1:$IT$65532,3,FALSE)</f>
        <v>326</v>
      </c>
      <c r="AD203">
        <f>VLOOKUP($B203,[17]分省年度数据!$A$1:$IS$65525,3,FALSE)</f>
        <v>24407.4</v>
      </c>
      <c r="AE203">
        <f>IFERROR(AC203/E203,0)</f>
        <v>3.3022690437601296E-2</v>
      </c>
      <c r="AF203">
        <f>IFERROR(AD203/E203,0)</f>
        <v>2.4723865478119937</v>
      </c>
      <c r="AG203">
        <f>VLOOKUP($B203,[15]分省年度数据!$A$1:$IV$65536,3,FALSE)</f>
        <v>23568</v>
      </c>
      <c r="AH203">
        <f>VLOOKUP(B203,[4]分省年度数据!$A$1:$IV$65536,3,FALSE)</f>
        <v>56554</v>
      </c>
      <c r="AI203">
        <f>VLOOKUP(B203,[3]分省年度数据!$A$1:$IV$65536,3,FALSE)</f>
        <v>139.88999999999999</v>
      </c>
      <c r="AJ203">
        <f>VLOOKUP($B203,[18]分省年度数据!$A$1:$IS$65529,3,FALSE)</f>
        <v>99.3</v>
      </c>
      <c r="AK203">
        <f>VLOOKUP($B203,[19]分省年度数据!$A$1:$IS$65529,3,FALSE)</f>
        <v>98.21</v>
      </c>
      <c r="AL203">
        <f>VLOOKUP($B203,[20]分省年度数据!$A$1:$IS$65528,3,FALSE)</f>
        <v>13.96</v>
      </c>
      <c r="AM203">
        <f>VLOOKUP($B203,[21]分省年度数据!$A$1:$IS$65528,3,FALSE)</f>
        <v>4.4400000000000004</v>
      </c>
      <c r="AN203">
        <f>VLOOKUP($B203,[22]分省年度数据!$A$1:$IS$65529,3,FALSE)</f>
        <v>15.6</v>
      </c>
    </row>
    <row r="204" spans="1:40">
      <c r="A204">
        <v>42</v>
      </c>
      <c r="B204" t="s">
        <v>17</v>
      </c>
      <c r="C204">
        <v>2022</v>
      </c>
      <c r="D204" t="s">
        <v>35</v>
      </c>
      <c r="E204">
        <f>VLOOKUP(B204,[1]分省年度数据!$A$1:$IV$65536,3,FALSE)</f>
        <v>5844</v>
      </c>
      <c r="F204" s="4">
        <v>32914</v>
      </c>
      <c r="G204" s="2">
        <f>VLOOKUP(B204,[2]分省年度数据!$A$1:$IV$65536,3,FALSE)</f>
        <v>1163.9000000000001</v>
      </c>
      <c r="H204" s="2">
        <f t="shared" si="7"/>
        <v>0.19916153319644081</v>
      </c>
      <c r="N204">
        <v>6960.916666666667</v>
      </c>
      <c r="O204">
        <f>N204/F204</f>
        <v>0.2114880192825748</v>
      </c>
      <c r="Q204" t="s">
        <v>55</v>
      </c>
      <c r="R204">
        <f>VLOOKUP(B204,[5]分省年度数据!$A$1:$O$65536,3,FALSE)</f>
        <v>36782</v>
      </c>
      <c r="S204">
        <f>VLOOKUP($B204,[6]分省年度数据!$A$1:$IV$65536,3,FALSE)</f>
        <v>45.03</v>
      </c>
      <c r="T204">
        <f>VLOOKUP($B204,[7]分省年度数据!$A$1:$IV$65536,3,FALSE)</f>
        <v>80</v>
      </c>
      <c r="U204">
        <f>VLOOKUP($B204,[8]分省年度数据!$A$1:$IV$65536,3,FALSE)</f>
        <v>9.1999999999999993</v>
      </c>
      <c r="V204">
        <f>VLOOKUP($B204,[9]分省年度数据!$A$1:$IV$65536,3,FALSE)</f>
        <v>799.47</v>
      </c>
      <c r="W204">
        <f>VLOOKUP($B204,[10]分省年度数据!$A$1:$IV$65536,3,FALSE)</f>
        <v>13.18</v>
      </c>
      <c r="X204">
        <f>VLOOKUP($B204,[11]分省年度数据!$A$1:$IV$65536,3,FALSE)</f>
        <v>12.72</v>
      </c>
      <c r="Y204">
        <f>VLOOKUP($B204,[12]分省年度数据!$A$1:$IV$65536,3,FALSE)</f>
        <v>17.32</v>
      </c>
      <c r="AA204">
        <f>VLOOKUP($B204,[13]分省年度数据!$A$1:$IV$65536,3,FALSE)</f>
        <v>19405534</v>
      </c>
      <c r="AB204">
        <f>VLOOKUP($B204,[14]分省年度数据!$A$1:$IV$65536,3,FALSE)</f>
        <v>1279.08</v>
      </c>
      <c r="AC204">
        <f>VLOOKUP($B204,[16]分省年度数据!$A$1:$IT$65532,3,FALSE)</f>
        <v>2528</v>
      </c>
      <c r="AD204">
        <f>VLOOKUP($B204,[17]分省年度数据!$A$1:$IS$65525,3,FALSE)</f>
        <v>22164.799999999999</v>
      </c>
      <c r="AE204">
        <f>IFERROR(AC204/E204,0)</f>
        <v>0.432580424366872</v>
      </c>
      <c r="AF204">
        <f>IFERROR(AD204/E204,0)</f>
        <v>3.7927446954141</v>
      </c>
      <c r="AG204">
        <f>VLOOKUP($B204,[15]分省年度数据!$A$1:$IV$65536,3,FALSE)</f>
        <v>30164</v>
      </c>
      <c r="AH204">
        <f>VLOOKUP(B204,[4]分省年度数据!$A$1:$IV$65536,3,FALSE)</f>
        <v>43272</v>
      </c>
      <c r="AI204">
        <f>VLOOKUP(B204,[3]分省年度数据!$A$1:$IV$65536,3,FALSE)</f>
        <v>199.93</v>
      </c>
      <c r="AJ204">
        <f>VLOOKUP($B204,[18]分省年度数据!$A$1:$IS$65529,3,FALSE)</f>
        <v>99.93</v>
      </c>
      <c r="AK204">
        <f>VLOOKUP($B204,[19]分省年度数据!$A$1:$IS$65529,3,FALSE)</f>
        <v>99.5</v>
      </c>
      <c r="AL204">
        <f>VLOOKUP($B204,[20]分省年度数据!$A$1:$IS$65528,3,FALSE)</f>
        <v>12.24</v>
      </c>
      <c r="AM204">
        <f>VLOOKUP($B204,[21]分省年度数据!$A$1:$IS$65528,3,FALSE)</f>
        <v>3.24</v>
      </c>
      <c r="AN204">
        <f>VLOOKUP($B204,[22]分省年度数据!$A$1:$IS$65529,3,FALSE)</f>
        <v>15.38</v>
      </c>
    </row>
    <row r="205" spans="1:40">
      <c r="A205">
        <v>43</v>
      </c>
      <c r="B205" t="s">
        <v>18</v>
      </c>
      <c r="C205">
        <v>2022</v>
      </c>
      <c r="D205" t="s">
        <v>35</v>
      </c>
      <c r="E205">
        <f>VLOOKUP(B205,[1]分省年度数据!$A$1:$IV$65536,3,FALSE)</f>
        <v>6604</v>
      </c>
      <c r="F205" s="4">
        <v>34036</v>
      </c>
      <c r="G205" s="2">
        <f>VLOOKUP(B205,[2]分省年度数据!$A$1:$IV$65536,3,FALSE)</f>
        <v>1183.7</v>
      </c>
      <c r="H205" s="2">
        <f t="shared" si="7"/>
        <v>0.17923985463355543</v>
      </c>
      <c r="N205">
        <v>6258</v>
      </c>
      <c r="O205">
        <f>N205/F205</f>
        <v>0.18386414384769068</v>
      </c>
      <c r="Q205" t="s">
        <v>53</v>
      </c>
      <c r="R205">
        <f>VLOOKUP(B205,[5]分省年度数据!$A$1:$O$65536,3,FALSE)</f>
        <v>55338</v>
      </c>
      <c r="S205">
        <f>VLOOKUP($B205,[6]分省年度数据!$A$1:$IV$65536,3,FALSE)</f>
        <v>54.45</v>
      </c>
      <c r="T205">
        <f>VLOOKUP($B205,[7]分省年度数据!$A$1:$IV$65536,3,FALSE)</f>
        <v>79</v>
      </c>
      <c r="U205">
        <f>VLOOKUP($B205,[8]分省年度数据!$A$1:$IV$65536,3,FALSE)</f>
        <v>9.5</v>
      </c>
      <c r="V205">
        <f>VLOOKUP($B205,[9]分省年度数据!$A$1:$IV$65536,3,FALSE)</f>
        <v>820.61</v>
      </c>
      <c r="W205">
        <f>VLOOKUP($B205,[10]分省年度数据!$A$1:$IV$65536,3,FALSE)</f>
        <v>13.91</v>
      </c>
      <c r="X205">
        <f>VLOOKUP($B205,[11]分省年度数据!$A$1:$IV$65536,3,FALSE)</f>
        <v>13.25</v>
      </c>
      <c r="Y205">
        <f>VLOOKUP($B205,[12]分省年度数据!$A$1:$IV$65536,3,FALSE)</f>
        <v>16.7</v>
      </c>
      <c r="AA205">
        <f>VLOOKUP($B205,[13]分省年度数据!$A$1:$IV$65536,3,FALSE)</f>
        <v>22100519</v>
      </c>
      <c r="AB205">
        <f>VLOOKUP($B205,[14]分省年度数据!$A$1:$IV$65536,3,FALSE)</f>
        <v>1500.39</v>
      </c>
      <c r="AC205">
        <f>VLOOKUP($B205,[16]分省年度数据!$A$1:$IT$65532,3,FALSE)</f>
        <v>2358</v>
      </c>
      <c r="AD205">
        <f>VLOOKUP($B205,[17]分省年度数据!$A$1:$IS$65525,3,FALSE)</f>
        <v>19050.7</v>
      </c>
      <c r="AE205">
        <f>IFERROR(AC205/E205,0)</f>
        <v>0.35705632949727439</v>
      </c>
      <c r="AF205">
        <f>IFERROR(AD205/E205,0)</f>
        <v>2.8847213809812238</v>
      </c>
      <c r="AG205">
        <f>VLOOKUP($B205,[15]分省年度数据!$A$1:$IV$65536,3,FALSE)</f>
        <v>11879</v>
      </c>
      <c r="AH205">
        <f>VLOOKUP(B205,[4]分省年度数据!$A$1:$IV$65536,3,FALSE)</f>
        <v>59522</v>
      </c>
      <c r="AI205">
        <f>VLOOKUP(B205,[3]分省年度数据!$A$1:$IV$65536,3,FALSE)</f>
        <v>217.07</v>
      </c>
      <c r="AJ205">
        <f>VLOOKUP($B205,[18]分省年度数据!$A$1:$IS$65529,3,FALSE)</f>
        <v>99.01</v>
      </c>
      <c r="AK205">
        <f>VLOOKUP($B205,[19]分省年度数据!$A$1:$IS$65529,3,FALSE)</f>
        <v>97.7</v>
      </c>
      <c r="AL205">
        <f>VLOOKUP($B205,[20]分省年度数据!$A$1:$IS$65528,3,FALSE)</f>
        <v>19.11</v>
      </c>
      <c r="AM205">
        <f>VLOOKUP($B205,[21]分省年度数据!$A$1:$IS$65528,3,FALSE)</f>
        <v>2.67</v>
      </c>
      <c r="AN205">
        <f>VLOOKUP($B205,[22]分省年度数据!$A$1:$IS$65529,3,FALSE)</f>
        <v>13.06</v>
      </c>
    </row>
    <row r="206" spans="1:40">
      <c r="A206">
        <v>44</v>
      </c>
      <c r="B206" t="s">
        <v>19</v>
      </c>
      <c r="C206">
        <v>2022</v>
      </c>
      <c r="D206" t="s">
        <v>35</v>
      </c>
      <c r="E206">
        <f>VLOOKUP(B206,[1]分省年度数据!$A$1:$IV$65536,3,FALSE)</f>
        <v>12657</v>
      </c>
      <c r="F206" s="4">
        <v>47065</v>
      </c>
      <c r="G206" s="2">
        <f>VLOOKUP(B206,[2]分省年度数据!$A$1:$IV$65536,3,FALSE)</f>
        <v>408.7</v>
      </c>
      <c r="H206" s="2">
        <f t="shared" si="7"/>
        <v>3.2290432171920673E-2</v>
      </c>
      <c r="N206">
        <v>12726.523809523809</v>
      </c>
      <c r="O206">
        <f>N206/F206</f>
        <v>0.27040314054018505</v>
      </c>
      <c r="Q206" t="s">
        <v>54</v>
      </c>
      <c r="R206">
        <f>VLOOKUP(B206,[5]分省年度数据!$A$1:$O$65536,3,FALSE)</f>
        <v>59531</v>
      </c>
      <c r="S206">
        <f>VLOOKUP($B206,[6]分省年度数据!$A$1:$IV$65536,3,FALSE)</f>
        <v>60.83</v>
      </c>
      <c r="T206">
        <f>VLOOKUP($B206,[7]分省年度数据!$A$1:$IV$65536,3,FALSE)</f>
        <v>72</v>
      </c>
      <c r="U206">
        <f>VLOOKUP($B206,[8]分省年度数据!$A$1:$IV$65536,3,FALSE)</f>
        <v>8.3000000000000007</v>
      </c>
      <c r="V206">
        <f>VLOOKUP($B206,[9]分省年度数据!$A$1:$IV$65536,3,FALSE)</f>
        <v>2081.25</v>
      </c>
      <c r="W206">
        <f>VLOOKUP($B206,[10]分省年度数据!$A$1:$IV$65536,3,FALSE)</f>
        <v>12.86</v>
      </c>
      <c r="X206">
        <f>VLOOKUP($B206,[11]分省年度数据!$A$1:$IV$65536,3,FALSE)</f>
        <v>13.83</v>
      </c>
      <c r="Y206">
        <f>VLOOKUP($B206,[12]分省年度数据!$A$1:$IV$65536,3,FALSE)</f>
        <v>18.010000000000002</v>
      </c>
      <c r="AA206">
        <f>VLOOKUP($B206,[13]分省年度数据!$A$1:$IV$65536,3,FALSE)</f>
        <v>61902003</v>
      </c>
      <c r="AB206">
        <f>VLOOKUP($B206,[14]分省年度数据!$A$1:$IV$65536,3,FALSE)</f>
        <v>3871.14</v>
      </c>
      <c r="AC206">
        <f>VLOOKUP($B206,[16]分省年度数据!$A$1:$IT$65532,3,FALSE)</f>
        <v>7929</v>
      </c>
      <c r="AD206">
        <f>VLOOKUP($B206,[17]分省年度数据!$A$1:$IS$65525,3,FALSE)</f>
        <v>44882.9</v>
      </c>
      <c r="AE206">
        <f>IFERROR(AC206/E206,0)</f>
        <v>0.6264517658212847</v>
      </c>
      <c r="AF206">
        <f>IFERROR(AD206/E206,0)</f>
        <v>3.5460930710278897</v>
      </c>
      <c r="AG206">
        <f>VLOOKUP($B206,[15]分省年度数据!$A$1:$IV$65536,3,FALSE)</f>
        <v>25353</v>
      </c>
      <c r="AH206">
        <f>VLOOKUP(B206,[4]分省年度数据!$A$1:$IV$65536,3,FALSE)</f>
        <v>127333</v>
      </c>
      <c r="AI206">
        <f>VLOOKUP(B206,[3]分省年度数据!$A$1:$IV$65536,3,FALSE)</f>
        <v>241.53</v>
      </c>
      <c r="AJ206">
        <f>VLOOKUP($B206,[18]分省年度数据!$A$1:$IS$65529,3,FALSE)</f>
        <v>99.74</v>
      </c>
      <c r="AK206">
        <f>VLOOKUP($B206,[19]分省年度数据!$A$1:$IS$65529,3,FALSE)</f>
        <v>98.61</v>
      </c>
      <c r="AL206">
        <f>VLOOKUP($B206,[20]分省年度数据!$A$1:$IS$65528,3,FALSE)</f>
        <v>11.21</v>
      </c>
      <c r="AM206">
        <f>VLOOKUP($B206,[21]分省年度数据!$A$1:$IS$65528,3,FALSE)</f>
        <v>2.0499999999999998</v>
      </c>
      <c r="AN206">
        <f>VLOOKUP($B206,[22]分省年度数据!$A$1:$IS$65529,3,FALSE)</f>
        <v>17.95</v>
      </c>
    </row>
    <row r="207" spans="1:40">
      <c r="A207">
        <v>45</v>
      </c>
      <c r="B207" t="s">
        <v>20</v>
      </c>
      <c r="C207">
        <v>2022</v>
      </c>
      <c r="D207" t="s">
        <v>35</v>
      </c>
      <c r="E207">
        <f>VLOOKUP(B207,[1]分省年度数据!$A$1:$IV$65536,3,FALSE)</f>
        <v>5047</v>
      </c>
      <c r="F207" s="4">
        <v>27981</v>
      </c>
      <c r="G207" s="2">
        <f>VLOOKUP(B207,[2]分省年度数据!$A$1:$IV$65536,3,FALSE)</f>
        <v>713.9</v>
      </c>
      <c r="H207" s="2">
        <f t="shared" si="7"/>
        <v>0.14145036655438875</v>
      </c>
      <c r="N207">
        <v>5722.5</v>
      </c>
      <c r="O207">
        <f>N207/F207</f>
        <v>0.2045137772059612</v>
      </c>
      <c r="Q207" t="s">
        <v>55</v>
      </c>
      <c r="R207">
        <f>VLOOKUP(B207,[5]分省年度数据!$A$1:$O$65536,3,FALSE)</f>
        <v>34500</v>
      </c>
      <c r="S207">
        <f>VLOOKUP($B207,[6]分省年度数据!$A$1:$IV$65536,3,FALSE)</f>
        <v>34.17</v>
      </c>
      <c r="T207">
        <f>VLOOKUP($B207,[7]分省年度数据!$A$1:$IV$65536,3,FALSE)</f>
        <v>82</v>
      </c>
      <c r="U207">
        <f>VLOOKUP($B207,[8]分省年度数据!$A$1:$IV$65536,3,FALSE)</f>
        <v>8.8000000000000007</v>
      </c>
      <c r="V207">
        <f>VLOOKUP($B207,[9]分省年度数据!$A$1:$IV$65536,3,FALSE)</f>
        <v>635.61</v>
      </c>
      <c r="W207">
        <f>VLOOKUP($B207,[10]分省年度数据!$A$1:$IV$65536,3,FALSE)</f>
        <v>15.07</v>
      </c>
      <c r="X207">
        <f>VLOOKUP($B207,[11]分省年度数据!$A$1:$IV$65536,3,FALSE)</f>
        <v>14.57</v>
      </c>
      <c r="Y207">
        <f>VLOOKUP($B207,[12]分省年度数据!$A$1:$IV$65536,3,FALSE)</f>
        <v>17.32</v>
      </c>
      <c r="AA207">
        <f>VLOOKUP($B207,[13]分省年度数据!$A$1:$IV$65536,3,FALSE)</f>
        <v>17038772</v>
      </c>
      <c r="AB207">
        <f>VLOOKUP($B207,[14]分省年度数据!$A$1:$IV$65536,3,FALSE)</f>
        <v>1141.72</v>
      </c>
      <c r="AC207">
        <f>VLOOKUP($B207,[16]分省年度数据!$A$1:$IT$65532,3,FALSE)</f>
        <v>653</v>
      </c>
      <c r="AD207">
        <f>VLOOKUP($B207,[17]分省年度数据!$A$1:$IS$65525,3,FALSE)</f>
        <v>8539.1</v>
      </c>
      <c r="AE207">
        <f>IFERROR(AC207/E207,0)</f>
        <v>0.12938379235189221</v>
      </c>
      <c r="AF207">
        <f>IFERROR(AD207/E207,0)</f>
        <v>1.6919159896968496</v>
      </c>
      <c r="AG207">
        <f>VLOOKUP($B207,[15]分省年度数据!$A$1:$IV$65536,3,FALSE)</f>
        <v>16185</v>
      </c>
      <c r="AH207">
        <f>VLOOKUP(B207,[4]分省年度数据!$A$1:$IV$65536,3,FALSE)</f>
        <v>40487</v>
      </c>
      <c r="AI207">
        <f>VLOOKUP(B207,[3]分省年度数据!$A$1:$IV$65536,3,FALSE)</f>
        <v>273.73</v>
      </c>
      <c r="AJ207">
        <f>VLOOKUP($B207,[18]分省年度数据!$A$1:$IS$65529,3,FALSE)</f>
        <v>99.91</v>
      </c>
      <c r="AK207">
        <f>VLOOKUP($B207,[19]分省年度数据!$A$1:$IS$65529,3,FALSE)</f>
        <v>99.44</v>
      </c>
      <c r="AL207">
        <f>VLOOKUP($B207,[20]分省年度数据!$A$1:$IS$65528,3,FALSE)</f>
        <v>11.56</v>
      </c>
      <c r="AM207">
        <f>VLOOKUP($B207,[21]分省年度数据!$A$1:$IS$65528,3,FALSE)</f>
        <v>2.2799999999999998</v>
      </c>
      <c r="AN207">
        <f>VLOOKUP($B207,[22]分省年度数据!$A$1:$IS$65529,3,FALSE)</f>
        <v>11.67</v>
      </c>
    </row>
    <row r="208" spans="1:40">
      <c r="A208">
        <v>46</v>
      </c>
      <c r="B208" t="s">
        <v>21</v>
      </c>
      <c r="C208">
        <v>2022</v>
      </c>
      <c r="D208" t="s">
        <v>35</v>
      </c>
      <c r="E208">
        <f>VLOOKUP(B208,[1]分省年度数据!$A$1:$IV$65536,3,FALSE)</f>
        <v>1027</v>
      </c>
      <c r="F208" s="4">
        <v>30957</v>
      </c>
      <c r="G208" s="2">
        <f>VLOOKUP(B208,[2]分省年度数据!$A$1:$IV$65536,3,FALSE)</f>
        <v>9.8000000000000007</v>
      </c>
      <c r="H208" s="2">
        <f t="shared" si="7"/>
        <v>9.5423563777994169E-3</v>
      </c>
      <c r="N208" s="6">
        <v>23323.906859846207</v>
      </c>
      <c r="O208">
        <f>N208/F208</f>
        <v>0.75342917142637233</v>
      </c>
      <c r="Q208" t="s">
        <v>57</v>
      </c>
      <c r="R208">
        <f>VLOOKUP(B208,[5]分省年度数据!$A$1:$O$65536,3,FALSE)</f>
        <v>6384</v>
      </c>
      <c r="S208">
        <f>VLOOKUP($B208,[6]分省年度数据!$A$1:$IV$65536,3,FALSE)</f>
        <v>6.12</v>
      </c>
      <c r="T208">
        <f>VLOOKUP($B208,[7]分省年度数据!$A$1:$IV$65536,3,FALSE)</f>
        <v>81</v>
      </c>
      <c r="U208">
        <f>VLOOKUP($B208,[8]分省年度数据!$A$1:$IV$65536,3,FALSE)</f>
        <v>9.3000000000000007</v>
      </c>
      <c r="V208">
        <f>VLOOKUP($B208,[9]分省年度数据!$A$1:$IV$65536,3,FALSE)</f>
        <v>251.52</v>
      </c>
      <c r="W208">
        <f>VLOOKUP($B208,[10]分省年度数据!$A$1:$IV$65536,3,FALSE)</f>
        <v>12.86</v>
      </c>
      <c r="X208">
        <f>VLOOKUP($B208,[11]分省年度数据!$A$1:$IV$65536,3,FALSE)</f>
        <v>13.39</v>
      </c>
      <c r="Y208">
        <f>VLOOKUP($B208,[12]分省年度数据!$A$1:$IV$65536,3,FALSE)</f>
        <v>15.07</v>
      </c>
      <c r="AA208">
        <f>VLOOKUP($B208,[13]分省年度数据!$A$1:$IV$65536,3,FALSE)</f>
        <v>4833662</v>
      </c>
      <c r="AB208">
        <f>VLOOKUP($B208,[14]分省年度数据!$A$1:$IV$65536,3,FALSE)</f>
        <v>313.91000000000003</v>
      </c>
      <c r="AC208">
        <f>VLOOKUP($B208,[16]分省年度数据!$A$1:$IT$65532,3,FALSE)</f>
        <v>133</v>
      </c>
      <c r="AD208">
        <f>VLOOKUP($B208,[17]分省年度数据!$A$1:$IS$65525,3,FALSE)</f>
        <v>2268.4</v>
      </c>
      <c r="AE208">
        <f>IFERROR(AC208/E208,0)</f>
        <v>0.12950340798442064</v>
      </c>
      <c r="AF208">
        <f>IFERROR(AD208/E208,0)</f>
        <v>2.2087633885102242</v>
      </c>
      <c r="AG208">
        <f>VLOOKUP($B208,[15]分省年度数据!$A$1:$IV$65536,3,FALSE)</f>
        <v>2664</v>
      </c>
      <c r="AH208">
        <f>VLOOKUP(B208,[4]分省年度数据!$A$1:$IV$65536,3,FALSE)</f>
        <v>13267</v>
      </c>
      <c r="AI208">
        <f>VLOOKUP(B208,[3]分省年度数据!$A$1:$IV$65536,3,FALSE)</f>
        <v>287.04000000000002</v>
      </c>
      <c r="AJ208">
        <f>VLOOKUP($B208,[18]分省年度数据!$A$1:$IS$65529,3,FALSE)</f>
        <v>99.95</v>
      </c>
      <c r="AK208">
        <f>VLOOKUP($B208,[19]分省年度数据!$A$1:$IS$65529,3,FALSE)</f>
        <v>99.53</v>
      </c>
      <c r="AL208">
        <f>VLOOKUP($B208,[20]分省年度数据!$A$1:$IS$65528,3,FALSE)</f>
        <v>15.21</v>
      </c>
      <c r="AM208">
        <f>VLOOKUP($B208,[21]分省年度数据!$A$1:$IS$65528,3,FALSE)</f>
        <v>4.43</v>
      </c>
      <c r="AN208">
        <f>VLOOKUP($B208,[22]分省年度数据!$A$1:$IS$65529,3,FALSE)</f>
        <v>12.23</v>
      </c>
    </row>
    <row r="209" spans="1:40">
      <c r="A209">
        <v>50</v>
      </c>
      <c r="B209" t="s">
        <v>22</v>
      </c>
      <c r="C209">
        <v>2022</v>
      </c>
      <c r="D209" t="s">
        <v>36</v>
      </c>
      <c r="E209">
        <f>VLOOKUP(B209,[1]分省年度数据!$A$1:$IV$65536,3,FALSE)</f>
        <v>3213</v>
      </c>
      <c r="F209" s="4">
        <v>35666</v>
      </c>
      <c r="G209" s="2">
        <f>VLOOKUP(B209,[2]分省年度数据!$A$1:$IV$65536,3,FALSE)</f>
        <v>372.3</v>
      </c>
      <c r="H209" s="2">
        <f t="shared" si="7"/>
        <v>0.11587301587301588</v>
      </c>
      <c r="N209">
        <v>11854</v>
      </c>
      <c r="O209">
        <f>N209/F209</f>
        <v>0.33236135254864579</v>
      </c>
      <c r="Q209" t="s">
        <v>55</v>
      </c>
      <c r="R209">
        <f>VLOOKUP(B209,[5]分省年度数据!$A$1:$O$65536,3,FALSE)</f>
        <v>22259</v>
      </c>
      <c r="S209">
        <f>VLOOKUP($B209,[6]分省年度数据!$A$1:$IV$65536,3,FALSE)</f>
        <v>25.08</v>
      </c>
      <c r="T209">
        <f>VLOOKUP($B209,[7]分省年度数据!$A$1:$IV$65536,3,FALSE)</f>
        <v>79</v>
      </c>
      <c r="U209">
        <f>VLOOKUP($B209,[8]分省年度数据!$A$1:$IV$65536,3,FALSE)</f>
        <v>9.6</v>
      </c>
      <c r="V209">
        <f>VLOOKUP($B209,[9]分省年度数据!$A$1:$IV$65536,3,FALSE)</f>
        <v>484.87</v>
      </c>
      <c r="W209">
        <f>VLOOKUP($B209,[10]分省年度数据!$A$1:$IV$65536,3,FALSE)</f>
        <v>15</v>
      </c>
      <c r="X209">
        <f>VLOOKUP($B209,[11]分省年度数据!$A$1:$IV$65536,3,FALSE)</f>
        <v>12.71</v>
      </c>
      <c r="Y209">
        <f>VLOOKUP($B209,[12]分省年度数据!$A$1:$IV$65536,3,FALSE)</f>
        <v>15.16</v>
      </c>
      <c r="AA209">
        <f>VLOOKUP($B209,[13]分省年度数据!$A$1:$IV$65536,3,FALSE)</f>
        <v>13146996</v>
      </c>
      <c r="AB209">
        <f>VLOOKUP($B209,[14]分省年度数据!$A$1:$IV$65536,3,FALSE)</f>
        <v>822.17</v>
      </c>
      <c r="AC209">
        <f>VLOOKUP($B209,[16]分省年度数据!$A$1:$IT$65532,3,FALSE)</f>
        <v>1182</v>
      </c>
      <c r="AD209">
        <f>VLOOKUP($B209,[17]分省年度数据!$A$1:$IS$65525,3,FALSE)</f>
        <v>13926.1</v>
      </c>
      <c r="AE209">
        <f>IFERROR(AC209/E209,0)</f>
        <v>0.36788048552754438</v>
      </c>
      <c r="AF209">
        <f>IFERROR(AD209/E209,0)</f>
        <v>4.3342981637099287</v>
      </c>
      <c r="AG209">
        <f>VLOOKUP($B209,[15]分省年度数据!$A$1:$IV$65536,3,FALSE)</f>
        <v>4127</v>
      </c>
      <c r="AH209">
        <f>VLOOKUP(B209,[4]分省年度数据!$A$1:$IV$65536,3,FALSE)</f>
        <v>30161</v>
      </c>
      <c r="AI209">
        <f>VLOOKUP(B209,[3]分省年度数据!$A$1:$IV$65536,3,FALSE)</f>
        <v>180.77</v>
      </c>
      <c r="AJ209">
        <f>VLOOKUP($B209,[18]分省年度数据!$A$1:$IS$65529,3,FALSE)</f>
        <v>98.57</v>
      </c>
      <c r="AK209">
        <f>VLOOKUP($B209,[19]分省年度数据!$A$1:$IS$65529,3,FALSE)</f>
        <v>98.82</v>
      </c>
      <c r="AL209">
        <f>VLOOKUP($B209,[20]分省年度数据!$A$1:$IS$65528,3,FALSE)</f>
        <v>10.82</v>
      </c>
      <c r="AM209">
        <f>VLOOKUP($B209,[21]分省年度数据!$A$1:$IS$65528,3,FALSE)</f>
        <v>3.09</v>
      </c>
      <c r="AN209">
        <f>VLOOKUP($B209,[22]分省年度数据!$A$1:$IS$65529,3,FALSE)</f>
        <v>17.63</v>
      </c>
    </row>
    <row r="210" spans="1:40">
      <c r="A210">
        <v>51</v>
      </c>
      <c r="B210" t="s">
        <v>23</v>
      </c>
      <c r="C210">
        <v>2022</v>
      </c>
      <c r="D210" t="s">
        <v>36</v>
      </c>
      <c r="E210">
        <f>VLOOKUP(B210,[1]分省年度数据!$A$1:$IV$65536,3,FALSE)</f>
        <v>8374</v>
      </c>
      <c r="F210" s="4">
        <v>30679</v>
      </c>
      <c r="G210" s="2">
        <f>VLOOKUP(B210,[2]分省年度数据!$A$1:$IV$65536,3,FALSE)</f>
        <v>1103</v>
      </c>
      <c r="H210" s="2">
        <f t="shared" si="7"/>
        <v>0.13171721996656316</v>
      </c>
      <c r="N210">
        <v>6674.4444444444443</v>
      </c>
      <c r="O210">
        <f>N210/F210</f>
        <v>0.21755743161264854</v>
      </c>
      <c r="Q210" t="s">
        <v>55</v>
      </c>
      <c r="R210">
        <f>VLOOKUP(B210,[5]分省年度数据!$A$1:$O$65536,3,FALSE)</f>
        <v>74041</v>
      </c>
      <c r="S210">
        <f>VLOOKUP($B210,[6]分省年度数据!$A$1:$IV$65536,3,FALSE)</f>
        <v>68.39</v>
      </c>
      <c r="T210">
        <f>VLOOKUP($B210,[7]分省年度数据!$A$1:$IV$65536,3,FALSE)</f>
        <v>83</v>
      </c>
      <c r="U210">
        <f>VLOOKUP($B210,[8]分省年度数据!$A$1:$IV$65536,3,FALSE)</f>
        <v>10.199999999999999</v>
      </c>
      <c r="V210">
        <f>VLOOKUP($B210,[9]分省年度数据!$A$1:$IV$65536,3,FALSE)</f>
        <v>1170.92</v>
      </c>
      <c r="W210">
        <f>VLOOKUP($B210,[10]分省年度数据!$A$1:$IV$65536,3,FALSE)</f>
        <v>13.15</v>
      </c>
      <c r="X210">
        <f>VLOOKUP($B210,[11]分省年度数据!$A$1:$IV$65536,3,FALSE)</f>
        <v>12.4</v>
      </c>
      <c r="Y210">
        <f>VLOOKUP($B210,[12]分省年度数据!$A$1:$IV$65536,3,FALSE)</f>
        <v>15.59</v>
      </c>
      <c r="AA210">
        <f>VLOOKUP($B210,[13]分省年度数据!$A$1:$IV$65536,3,FALSE)</f>
        <v>28294459</v>
      </c>
      <c r="AB210">
        <f>VLOOKUP($B210,[14]分省年度数据!$A$1:$IV$65536,3,FALSE)</f>
        <v>1865.04</v>
      </c>
      <c r="AC210">
        <f>VLOOKUP($B210,[16]分省年度数据!$A$1:$IT$65532,3,FALSE)</f>
        <v>2320</v>
      </c>
      <c r="AD210">
        <f>VLOOKUP($B210,[17]分省年度数据!$A$1:$IS$65525,3,FALSE)</f>
        <v>24104.6</v>
      </c>
      <c r="AE210">
        <f>IFERROR(AC210/E210,0)</f>
        <v>0.2770480057320277</v>
      </c>
      <c r="AF210">
        <f>IFERROR(AD210/E210,0)</f>
        <v>2.8785048961069979</v>
      </c>
      <c r="AG210">
        <f>VLOOKUP($B210,[15]分省年度数据!$A$1:$IV$65536,3,FALSE)</f>
        <v>7569</v>
      </c>
      <c r="AH210">
        <f>VLOOKUP(B210,[4]分省年度数据!$A$1:$IV$65536,3,FALSE)</f>
        <v>65520</v>
      </c>
      <c r="AI210">
        <f>VLOOKUP(B210,[3]分省年度数据!$A$1:$IV$65536,3,FALSE)</f>
        <v>195.31</v>
      </c>
      <c r="AJ210">
        <f>VLOOKUP($B210,[18]分省年度数据!$A$1:$IS$65529,3,FALSE)</f>
        <v>97.18</v>
      </c>
      <c r="AK210">
        <f>VLOOKUP($B210,[19]分省年度数据!$A$1:$IS$65529,3,FALSE)</f>
        <v>96.55</v>
      </c>
      <c r="AL210">
        <f>VLOOKUP($B210,[20]分省年度数据!$A$1:$IS$65528,3,FALSE)</f>
        <v>12.3</v>
      </c>
      <c r="AM210">
        <f>VLOOKUP($B210,[21]分省年度数据!$A$1:$IS$65528,3,FALSE)</f>
        <v>3.06</v>
      </c>
      <c r="AN210">
        <f>VLOOKUP($B210,[22]分省年度数据!$A$1:$IS$65529,3,FALSE)</f>
        <v>13.99</v>
      </c>
    </row>
    <row r="211" spans="1:40">
      <c r="A211">
        <v>52</v>
      </c>
      <c r="B211" t="s">
        <v>24</v>
      </c>
      <c r="C211">
        <v>2022</v>
      </c>
      <c r="D211" t="s">
        <v>36</v>
      </c>
      <c r="E211">
        <f>VLOOKUP(B211,[1]分省年度数据!$A$1:$IV$65536,3,FALSE)</f>
        <v>3856</v>
      </c>
      <c r="F211" s="4">
        <v>25508</v>
      </c>
      <c r="G211" s="2">
        <f>VLOOKUP(B211,[2]分省年度数据!$A$1:$IV$65536,3,FALSE)</f>
        <v>592.9</v>
      </c>
      <c r="H211" s="2">
        <f t="shared" si="7"/>
        <v>0.15376037344398338</v>
      </c>
      <c r="N211">
        <v>5600</v>
      </c>
      <c r="O211">
        <f>N211/F211</f>
        <v>0.21953896816684962</v>
      </c>
      <c r="Q211" t="s">
        <v>55</v>
      </c>
      <c r="R211">
        <f>VLOOKUP(B211,[5]分省年度数据!$A$1:$O$65536,3,FALSE)</f>
        <v>29150</v>
      </c>
      <c r="S211">
        <f>VLOOKUP($B211,[6]分省年度数据!$A$1:$IV$65536,3,FALSE)</f>
        <v>30.97</v>
      </c>
      <c r="T211">
        <f>VLOOKUP($B211,[7]分省年度数据!$A$1:$IV$65536,3,FALSE)</f>
        <v>83</v>
      </c>
      <c r="U211">
        <f>VLOOKUP($B211,[8]分省年度数据!$A$1:$IV$65536,3,FALSE)</f>
        <v>8.5</v>
      </c>
      <c r="V211">
        <f>VLOOKUP($B211,[9]分省年度数据!$A$1:$IV$65536,3,FALSE)</f>
        <v>583.59</v>
      </c>
      <c r="W211">
        <f>VLOOKUP($B211,[10]分省年度数据!$A$1:$IV$65536,3,FALSE)</f>
        <v>13.25</v>
      </c>
      <c r="X211">
        <f>VLOOKUP($B211,[11]分省年度数据!$A$1:$IV$65536,3,FALSE)</f>
        <v>14.44</v>
      </c>
      <c r="Y211">
        <f>VLOOKUP($B211,[12]分省年度数据!$A$1:$IV$65536,3,FALSE)</f>
        <v>18.190000000000001</v>
      </c>
      <c r="AA211">
        <f>VLOOKUP($B211,[13]分省年度数据!$A$1:$IV$65536,3,FALSE)</f>
        <v>15801330</v>
      </c>
      <c r="AB211">
        <f>VLOOKUP($B211,[14]分省年度数据!$A$1:$IV$65536,3,FALSE)</f>
        <v>1155.33</v>
      </c>
      <c r="AC211">
        <f>VLOOKUP($B211,[16]分省年度数据!$A$1:$IT$65532,3,FALSE)</f>
        <v>9</v>
      </c>
      <c r="AD211">
        <f>VLOOKUP($B211,[17]分省年度数据!$A$1:$IS$65525,3,FALSE)</f>
        <v>8507.1</v>
      </c>
      <c r="AE211">
        <f>IFERROR(AC211/E211,0)</f>
        <v>2.3340248962655601E-3</v>
      </c>
      <c r="AF211">
        <f>IFERROR(AD211/E211,0)</f>
        <v>2.206198132780083</v>
      </c>
      <c r="AG211">
        <f>VLOOKUP($B211,[15]分省年度数据!$A$1:$IV$65536,3,FALSE)</f>
        <v>14554</v>
      </c>
      <c r="AH211">
        <f>VLOOKUP(B211,[4]分省年度数据!$A$1:$IV$65536,3,FALSE)</f>
        <v>27047</v>
      </c>
      <c r="AI211">
        <f>VLOOKUP(B211,[3]分省年度数据!$A$1:$IV$65536,3,FALSE)</f>
        <v>175.8</v>
      </c>
      <c r="AJ211">
        <f>VLOOKUP($B211,[18]分省年度数据!$A$1:$IS$65529,3,FALSE)</f>
        <v>98.88</v>
      </c>
      <c r="AK211">
        <f>VLOOKUP($B211,[19]分省年度数据!$A$1:$IS$65529,3,FALSE)</f>
        <v>93.26</v>
      </c>
      <c r="AL211">
        <f>VLOOKUP($B211,[20]分省年度数据!$A$1:$IS$65528,3,FALSE)</f>
        <v>14.25</v>
      </c>
      <c r="AM211">
        <f>VLOOKUP($B211,[21]分省年度数据!$A$1:$IS$65528,3,FALSE)</f>
        <v>4.74</v>
      </c>
      <c r="AN211">
        <f>VLOOKUP($B211,[22]分省年度数据!$A$1:$IS$65529,3,FALSE)</f>
        <v>16.41</v>
      </c>
    </row>
    <row r="212" spans="1:40">
      <c r="A212">
        <v>53</v>
      </c>
      <c r="B212" t="s">
        <v>25</v>
      </c>
      <c r="C212">
        <v>2022</v>
      </c>
      <c r="D212" t="s">
        <v>36</v>
      </c>
      <c r="E212">
        <f>VLOOKUP(B212,[1]分省年度数据!$A$1:$IV$65536,3,FALSE)</f>
        <v>4693</v>
      </c>
      <c r="F212" s="4">
        <v>26937</v>
      </c>
      <c r="G212" s="2">
        <f>VLOOKUP(B212,[2]分省年度数据!$A$1:$IV$65536,3,FALSE)</f>
        <v>1038.7</v>
      </c>
      <c r="H212" s="2">
        <f t="shared" si="7"/>
        <v>0.22132963988919668</v>
      </c>
      <c r="N212">
        <v>7603.125</v>
      </c>
      <c r="O212">
        <f>N212/F212</f>
        <v>0.28225581913353381</v>
      </c>
      <c r="Q212" t="s">
        <v>55</v>
      </c>
      <c r="R212">
        <f>VLOOKUP(B212,[5]分省年度数据!$A$1:$O$65536,3,FALSE)</f>
        <v>27528</v>
      </c>
      <c r="S212">
        <f>VLOOKUP($B212,[6]分省年度数据!$A$1:$IV$65536,3,FALSE)</f>
        <v>34.119999999999997</v>
      </c>
      <c r="T212">
        <f>VLOOKUP($B212,[7]分省年度数据!$A$1:$IV$65536,3,FALSE)</f>
        <v>85</v>
      </c>
      <c r="U212">
        <f>VLOOKUP($B212,[8]分省年度数据!$A$1:$IV$65536,3,FALSE)</f>
        <v>8.6</v>
      </c>
      <c r="V212">
        <f>VLOOKUP($B212,[9]分省年度数据!$A$1:$IV$65536,3,FALSE)</f>
        <v>725.88</v>
      </c>
      <c r="W212">
        <f>VLOOKUP($B212,[10]分省年度数据!$A$1:$IV$65536,3,FALSE)</f>
        <v>13.78</v>
      </c>
      <c r="X212">
        <f>VLOOKUP($B212,[11]分省年度数据!$A$1:$IV$65536,3,FALSE)</f>
        <v>13.45</v>
      </c>
      <c r="Y212">
        <f>VLOOKUP($B212,[12]分省年度数据!$A$1:$IV$65536,3,FALSE)</f>
        <v>16.329999999999998</v>
      </c>
      <c r="AA212">
        <f>VLOOKUP($B212,[13]分省年度数据!$A$1:$IV$65536,3,FALSE)</f>
        <v>17068501</v>
      </c>
      <c r="AB212">
        <f>VLOOKUP($B212,[14]分省年度数据!$A$1:$IV$65536,3,FALSE)</f>
        <v>1164.8900000000001</v>
      </c>
      <c r="AC212">
        <f>VLOOKUP($B212,[16]分省年度数据!$A$1:$IT$65532,3,FALSE)</f>
        <v>182</v>
      </c>
      <c r="AD212">
        <f>VLOOKUP($B212,[17]分省年度数据!$A$1:$IS$65525,3,FALSE)</f>
        <v>10838.8</v>
      </c>
      <c r="AE212">
        <f>IFERROR(AC212/E212,0)</f>
        <v>3.8781163434903045E-2</v>
      </c>
      <c r="AF212">
        <f>IFERROR(AD212/E212,0)</f>
        <v>2.3095674408693796</v>
      </c>
      <c r="AG212">
        <f>VLOOKUP($B212,[15]分省年度数据!$A$1:$IV$65536,3,FALSE)</f>
        <v>6307</v>
      </c>
      <c r="AH212">
        <f>VLOOKUP(B212,[4]分省年度数据!$A$1:$IV$65536,3,FALSE)</f>
        <v>55335</v>
      </c>
      <c r="AI212">
        <f>VLOOKUP(B212,[3]分省年度数据!$A$1:$IV$65536,3,FALSE)</f>
        <v>186.59</v>
      </c>
      <c r="AJ212">
        <f>VLOOKUP($B212,[18]分省年度数据!$A$1:$IS$65529,3,FALSE)</f>
        <v>99.01</v>
      </c>
      <c r="AK212">
        <f>VLOOKUP($B212,[19]分省年度数据!$A$1:$IS$65529,3,FALSE)</f>
        <v>71.75</v>
      </c>
      <c r="AL212">
        <f>VLOOKUP($B212,[20]分省年度数据!$A$1:$IS$65528,3,FALSE)</f>
        <v>15.48</v>
      </c>
      <c r="AM212">
        <f>VLOOKUP($B212,[21]分省年度数据!$A$1:$IS$65528,3,FALSE)</f>
        <v>6.03</v>
      </c>
      <c r="AN212">
        <f>VLOOKUP($B212,[22]分省年度数据!$A$1:$IS$65529,3,FALSE)</f>
        <v>13.94</v>
      </c>
    </row>
    <row r="213" spans="1:40">
      <c r="A213">
        <v>54</v>
      </c>
      <c r="B213" t="s">
        <v>26</v>
      </c>
      <c r="C213">
        <v>2022</v>
      </c>
      <c r="D213" t="s">
        <v>36</v>
      </c>
      <c r="E213">
        <f>VLOOKUP(B213,[1]分省年度数据!$A$1:$IV$65536,3,FALSE)</f>
        <v>364</v>
      </c>
      <c r="F213" s="4">
        <v>26675</v>
      </c>
      <c r="G213" s="2">
        <f>VLOOKUP(B213,[2]分省年度数据!$A$1:$IV$65536,3,FALSE)</f>
        <v>16.899999999999999</v>
      </c>
      <c r="H213" s="2">
        <f t="shared" si="7"/>
        <v>4.6428571428571423E-2</v>
      </c>
      <c r="N213">
        <v>9022.25</v>
      </c>
      <c r="O213">
        <f>N213/F213</f>
        <v>0.33822867853795691</v>
      </c>
      <c r="Q213" t="s">
        <v>75</v>
      </c>
      <c r="R213">
        <f>VLOOKUP(B213,[5]分省年度数据!$A$1:$O$65536,3,FALSE)</f>
        <v>6906</v>
      </c>
      <c r="S213">
        <f>VLOOKUP($B213,[6]分省年度数据!$A$1:$IV$65536,3,FALSE)</f>
        <v>2</v>
      </c>
      <c r="T213">
        <f>VLOOKUP($B213,[7]分省年度数据!$A$1:$IV$65536,3,FALSE)</f>
        <v>73</v>
      </c>
      <c r="U213">
        <f>VLOOKUP($B213,[8]分省年度数据!$A$1:$IV$65536,3,FALSE)</f>
        <v>7.9</v>
      </c>
      <c r="V213">
        <f>VLOOKUP($B213,[9]分省年度数据!$A$1:$IV$65536,3,FALSE)</f>
        <v>189.88</v>
      </c>
      <c r="W213">
        <f>VLOOKUP($B213,[10]分省年度数据!$A$1:$IV$65536,3,FALSE)</f>
        <v>12.03</v>
      </c>
      <c r="X213">
        <f>VLOOKUP($B213,[11]分省年度数据!$A$1:$IV$65536,3,FALSE)</f>
        <v>11.94</v>
      </c>
      <c r="Y213">
        <f>VLOOKUP($B213,[12]分省年度数据!$A$1:$IV$65536,3,FALSE)</f>
        <v>14.78</v>
      </c>
      <c r="AA213">
        <f>VLOOKUP($B213,[13]分省年度数据!$A$1:$IV$65536,3,FALSE)</f>
        <v>3643259</v>
      </c>
      <c r="AB213">
        <f>VLOOKUP($B213,[14]分省年度数据!$A$1:$IV$65536,3,FALSE)</f>
        <v>316.67</v>
      </c>
      <c r="AC213" t="str">
        <f>VLOOKUP($B213,[16]分省年度数据!$A$1:$IT$65532,3,FALSE)</f>
        <v/>
      </c>
      <c r="AD213">
        <f>VLOOKUP($B213,[17]分省年度数据!$A$1:$IS$65525,3,FALSE)</f>
        <v>726.5</v>
      </c>
      <c r="AE213">
        <f>IFERROR(AC213/E213,0)</f>
        <v>0</v>
      </c>
      <c r="AF213">
        <f>IFERROR(AD213/E213,0)</f>
        <v>1.9958791208791209</v>
      </c>
      <c r="AG213">
        <f>VLOOKUP($B213,[15]分省年度数据!$A$1:$IV$65536,3,FALSE)</f>
        <v>507</v>
      </c>
      <c r="AH213">
        <f>VLOOKUP(B213,[4]分省年度数据!$A$1:$IV$65536,3,FALSE)</f>
        <v>3242</v>
      </c>
      <c r="AI213">
        <f>VLOOKUP(B213,[3]分省年度数据!$A$1:$IV$65536,3,FALSE)</f>
        <v>245.66</v>
      </c>
      <c r="AJ213">
        <f>VLOOKUP($B213,[18]分省年度数据!$A$1:$IS$65529,3,FALSE)</f>
        <v>99.7</v>
      </c>
      <c r="AK213">
        <f>VLOOKUP($B213,[19]分省年度数据!$A$1:$IS$65529,3,FALSE)</f>
        <v>74.260000000000005</v>
      </c>
      <c r="AL213">
        <f>VLOOKUP($B213,[20]分省年度数据!$A$1:$IS$65528,3,FALSE)</f>
        <v>8.99</v>
      </c>
      <c r="AM213">
        <f>VLOOKUP($B213,[21]分省年度数据!$A$1:$IS$65528,3,FALSE)</f>
        <v>9.35</v>
      </c>
      <c r="AN213">
        <f>VLOOKUP($B213,[22]分省年度数据!$A$1:$IS$65529,3,FALSE)</f>
        <v>16.23</v>
      </c>
    </row>
    <row r="214" spans="1:40">
      <c r="A214">
        <v>61</v>
      </c>
      <c r="B214" t="s">
        <v>27</v>
      </c>
      <c r="C214">
        <v>2022</v>
      </c>
      <c r="D214" t="s">
        <v>37</v>
      </c>
      <c r="E214">
        <f>VLOOKUP(B214,[1]分省年度数据!$A$1:$IV$65536,3,FALSE)</f>
        <v>3956</v>
      </c>
      <c r="F214" s="4">
        <v>30116</v>
      </c>
      <c r="G214" s="2">
        <f>VLOOKUP(B214,[2]分省年度数据!$A$1:$IV$65536,3,FALSE)</f>
        <v>427.6</v>
      </c>
      <c r="H214" s="2">
        <f t="shared" si="7"/>
        <v>0.10808897876643074</v>
      </c>
      <c r="N214">
        <v>7174.4</v>
      </c>
      <c r="O214">
        <f>N214/F214</f>
        <v>0.23822552795856022</v>
      </c>
      <c r="Q214" t="s">
        <v>62</v>
      </c>
      <c r="R214">
        <f>VLOOKUP(B214,[5]分省年度数据!$A$1:$O$65536,3,FALSE)</f>
        <v>34779</v>
      </c>
      <c r="S214">
        <f>VLOOKUP($B214,[6]分省年度数据!$A$1:$IV$65536,3,FALSE)</f>
        <v>28.96</v>
      </c>
      <c r="T214">
        <f>VLOOKUP($B214,[7]分省年度数据!$A$1:$IV$65536,3,FALSE)</f>
        <v>96</v>
      </c>
      <c r="U214">
        <f>VLOOKUP($B214,[8]分省年度数据!$A$1:$IV$65536,3,FALSE)</f>
        <v>9.1</v>
      </c>
      <c r="V214">
        <f>VLOOKUP($B214,[9]分省年度数据!$A$1:$IV$65536,3,FALSE)</f>
        <v>664.04</v>
      </c>
      <c r="W214">
        <f>VLOOKUP($B214,[10]分省年度数据!$A$1:$IV$65536,3,FALSE)</f>
        <v>11.81</v>
      </c>
      <c r="X214">
        <f>VLOOKUP($B214,[11]分省年度数据!$A$1:$IV$65536,3,FALSE)</f>
        <v>11.98</v>
      </c>
      <c r="Y214">
        <f>VLOOKUP($B214,[12]分省年度数据!$A$1:$IV$65536,3,FALSE)</f>
        <v>15.9</v>
      </c>
      <c r="AA214">
        <f>VLOOKUP($B214,[13]分省年度数据!$A$1:$IV$65536,3,FALSE)</f>
        <v>14954384</v>
      </c>
      <c r="AB214">
        <f>VLOOKUP($B214,[14]分省年度数据!$A$1:$IV$65536,3,FALSE)</f>
        <v>1060.3800000000001</v>
      </c>
      <c r="AC214">
        <f>VLOOKUP($B214,[16]分省年度数据!$A$1:$IT$65532,3,FALSE)</f>
        <v>870</v>
      </c>
      <c r="AD214">
        <f>VLOOKUP($B214,[17]分省年度数据!$A$1:$IS$65525,3,FALSE)</f>
        <v>10401.6</v>
      </c>
      <c r="AE214">
        <f>IFERROR(AC214/E214,0)</f>
        <v>0.21991911021233571</v>
      </c>
      <c r="AF214">
        <f>IFERROR(AD214/E214,0)</f>
        <v>2.6293225480283113</v>
      </c>
      <c r="AG214">
        <f>VLOOKUP($B214,[15]分省年度数据!$A$1:$IV$65536,3,FALSE)</f>
        <v>4413</v>
      </c>
      <c r="AH214">
        <f>VLOOKUP(B214,[4]分省年度数据!$A$1:$IV$65536,3,FALSE)</f>
        <v>28762</v>
      </c>
      <c r="AI214">
        <f>VLOOKUP(B214,[3]分省年度数据!$A$1:$IV$65536,3,FALSE)</f>
        <v>162.5</v>
      </c>
      <c r="AJ214">
        <f>VLOOKUP($B214,[18]分省年度数据!$A$1:$IS$65529,3,FALSE)</f>
        <v>98.25</v>
      </c>
      <c r="AK214">
        <f>VLOOKUP($B214,[19]分省年度数据!$A$1:$IS$65529,3,FALSE)</f>
        <v>99.03</v>
      </c>
      <c r="AL214">
        <f>VLOOKUP($B214,[20]分省年度数据!$A$1:$IS$65528,3,FALSE)</f>
        <v>15.23</v>
      </c>
      <c r="AM214">
        <f>VLOOKUP($B214,[21]分省年度数据!$A$1:$IS$65528,3,FALSE)</f>
        <v>4.6500000000000004</v>
      </c>
      <c r="AN214">
        <f>VLOOKUP($B214,[22]分省年度数据!$A$1:$IS$65529,3,FALSE)</f>
        <v>13.15</v>
      </c>
    </row>
    <row r="215" spans="1:40">
      <c r="A215">
        <v>62</v>
      </c>
      <c r="B215" t="s">
        <v>28</v>
      </c>
      <c r="C215">
        <v>2022</v>
      </c>
      <c r="D215" t="s">
        <v>37</v>
      </c>
      <c r="E215">
        <f>VLOOKUP(B215,[1]分省年度数据!$A$1:$IV$65536,3,FALSE)</f>
        <v>2492</v>
      </c>
      <c r="F215" s="4">
        <v>23273</v>
      </c>
      <c r="G215" s="2">
        <f>VLOOKUP(B215,[2]分省年度数据!$A$1:$IV$65536,3,FALSE)</f>
        <v>483</v>
      </c>
      <c r="H215" s="2">
        <f t="shared" si="7"/>
        <v>0.19382022471910113</v>
      </c>
      <c r="N215">
        <v>6648.583333333333</v>
      </c>
      <c r="O215">
        <f>N215/F215</f>
        <v>0.28567796731548717</v>
      </c>
      <c r="Q215" t="s">
        <v>61</v>
      </c>
      <c r="R215">
        <f>VLOOKUP(B215,[5]分省年度数据!$A$1:$O$65536,3,FALSE)</f>
        <v>25266</v>
      </c>
      <c r="S215">
        <f>VLOOKUP($B215,[6]分省年度数据!$A$1:$IV$65536,3,FALSE)</f>
        <v>18.89</v>
      </c>
      <c r="T215">
        <f>VLOOKUP($B215,[7]分省年度数据!$A$1:$IV$65536,3,FALSE)</f>
        <v>83</v>
      </c>
      <c r="U215">
        <f>VLOOKUP($B215,[8]分省年度数据!$A$1:$IV$65536,3,FALSE)</f>
        <v>8.6</v>
      </c>
      <c r="V215">
        <f>VLOOKUP($B215,[9]分省年度数据!$A$1:$IV$65536,3,FALSE)</f>
        <v>402.29</v>
      </c>
      <c r="W215">
        <f>VLOOKUP($B215,[10]分省年度数据!$A$1:$IV$65536,3,FALSE)</f>
        <v>10.96</v>
      </c>
      <c r="X215">
        <f>VLOOKUP($B215,[11]分省年度数据!$A$1:$IV$65536,3,FALSE)</f>
        <v>10.94</v>
      </c>
      <c r="Y215">
        <f>VLOOKUP($B215,[12]分省年度数据!$A$1:$IV$65536,3,FALSE)</f>
        <v>13.3</v>
      </c>
      <c r="AA215">
        <f>VLOOKUP($B215,[13]分省年度数据!$A$1:$IV$65536,3,FALSE)</f>
        <v>9055895</v>
      </c>
      <c r="AB215">
        <f>VLOOKUP($B215,[14]分省年度数据!$A$1:$IV$65536,3,FALSE)</f>
        <v>699.58</v>
      </c>
      <c r="AC215">
        <f>VLOOKUP($B215,[16]分省年度数据!$A$1:$IT$65532,3,FALSE)</f>
        <v>113</v>
      </c>
      <c r="AD215">
        <f>VLOOKUP($B215,[17]分省年度数据!$A$1:$IS$65525,3,FALSE)</f>
        <v>3922.2</v>
      </c>
      <c r="AE215">
        <f>IFERROR(AC215/E215,0)</f>
        <v>4.5345104333868382E-2</v>
      </c>
      <c r="AF215">
        <f>IFERROR(AD215/E215,0)</f>
        <v>1.5739165329052969</v>
      </c>
      <c r="AG215">
        <f>VLOOKUP($B215,[15]分省年度数据!$A$1:$IV$65536,3,FALSE)</f>
        <v>2888</v>
      </c>
      <c r="AH215">
        <f>VLOOKUP(B215,[4]分省年度数据!$A$1:$IV$65536,3,FALSE)</f>
        <v>22838</v>
      </c>
      <c r="AI215">
        <f>VLOOKUP(B215,[3]分省年度数据!$A$1:$IV$65536,3,FALSE)</f>
        <v>138.88</v>
      </c>
      <c r="AJ215">
        <f>VLOOKUP($B215,[18]分省年度数据!$A$1:$IS$65529,3,FALSE)</f>
        <v>99.5</v>
      </c>
      <c r="AK215">
        <f>VLOOKUP($B215,[19]分省年度数据!$A$1:$IS$65529,3,FALSE)</f>
        <v>96.93</v>
      </c>
      <c r="AL215">
        <f>VLOOKUP($B215,[20]分省年度数据!$A$1:$IS$65528,3,FALSE)</f>
        <v>16.59</v>
      </c>
      <c r="AM215">
        <f>VLOOKUP($B215,[21]分省年度数据!$A$1:$IS$65528,3,FALSE)</f>
        <v>4.5199999999999996</v>
      </c>
      <c r="AN215">
        <f>VLOOKUP($B215,[22]分省年度数据!$A$1:$IS$65529,3,FALSE)</f>
        <v>16.36</v>
      </c>
    </row>
    <row r="216" spans="1:40">
      <c r="A216">
        <v>63</v>
      </c>
      <c r="B216" t="s">
        <v>29</v>
      </c>
      <c r="C216">
        <v>2022</v>
      </c>
      <c r="D216" t="s">
        <v>37</v>
      </c>
      <c r="E216">
        <f>VLOOKUP(B216,[1]分省年度数据!$A$1:$IV$65536,3,FALSE)</f>
        <v>595</v>
      </c>
      <c r="F216" s="4">
        <v>27000</v>
      </c>
      <c r="G216" s="2">
        <f>VLOOKUP(B216,[2]分省年度数据!$A$1:$IV$65536,3,FALSE)</f>
        <v>85.2</v>
      </c>
      <c r="H216" s="2">
        <f t="shared" si="7"/>
        <v>0.14319327731092438</v>
      </c>
      <c r="N216">
        <v>8849</v>
      </c>
      <c r="O216">
        <f>N216/F216</f>
        <v>0.32774074074074072</v>
      </c>
      <c r="Q216" t="s">
        <v>62</v>
      </c>
      <c r="R216">
        <f>VLOOKUP(B216,[5]分省年度数据!$A$1:$O$65536,3,FALSE)</f>
        <v>6376</v>
      </c>
      <c r="S216">
        <f>VLOOKUP($B216,[6]分省年度数据!$A$1:$IV$65536,3,FALSE)</f>
        <v>4.29</v>
      </c>
      <c r="T216">
        <f>VLOOKUP($B216,[7]分省年度数据!$A$1:$IV$65536,3,FALSE)</f>
        <v>88</v>
      </c>
      <c r="U216">
        <f>VLOOKUP($B216,[8]分省年度数据!$A$1:$IV$65536,3,FALSE)</f>
        <v>8.8000000000000007</v>
      </c>
      <c r="V216">
        <f>VLOOKUP($B216,[9]分省年度数据!$A$1:$IV$65536,3,FALSE)</f>
        <v>177.44</v>
      </c>
      <c r="W216">
        <f>VLOOKUP($B216,[10]分省年度数据!$A$1:$IV$65536,3,FALSE)</f>
        <v>12.41</v>
      </c>
      <c r="X216">
        <f>VLOOKUP($B216,[11]分省年度数据!$A$1:$IV$65536,3,FALSE)</f>
        <v>13.61</v>
      </c>
      <c r="Y216">
        <f>VLOOKUP($B216,[12]分省年度数据!$A$1:$IV$65536,3,FALSE)</f>
        <v>17.399999999999999</v>
      </c>
      <c r="AA216">
        <f>VLOOKUP($B216,[13]分省年度数据!$A$1:$IV$65536,3,FALSE)</f>
        <v>3085235</v>
      </c>
      <c r="AB216">
        <f>VLOOKUP($B216,[14]分省年度数据!$A$1:$IV$65536,3,FALSE)</f>
        <v>220.95</v>
      </c>
      <c r="AC216" t="str">
        <f>VLOOKUP($B216,[16]分省年度数据!$A$1:$IT$65532,3,FALSE)</f>
        <v/>
      </c>
      <c r="AD216">
        <f>VLOOKUP($B216,[17]分省年度数据!$A$1:$IS$65525,3,FALSE)</f>
        <v>842.1</v>
      </c>
      <c r="AE216">
        <f>IFERROR(AC216/E216,0)</f>
        <v>0</v>
      </c>
      <c r="AF216">
        <f>IFERROR(AD216/E216,0)</f>
        <v>1.4152941176470588</v>
      </c>
      <c r="AG216">
        <f>VLOOKUP($B216,[15]分省年度数据!$A$1:$IV$65536,3,FALSE)</f>
        <v>1490</v>
      </c>
      <c r="AH216">
        <f>VLOOKUP(B216,[4]分省年度数据!$A$1:$IV$65536,3,FALSE)</f>
        <v>12200</v>
      </c>
      <c r="AI216">
        <f>VLOOKUP(B216,[3]分省年度数据!$A$1:$IV$65536,3,FALSE)</f>
        <v>174.9</v>
      </c>
      <c r="AJ216">
        <f>VLOOKUP($B216,[18]分省年度数据!$A$1:$IS$65529,3,FALSE)</f>
        <v>99.57</v>
      </c>
      <c r="AK216">
        <f>VLOOKUP($B216,[19]分省年度数据!$A$1:$IS$65529,3,FALSE)</f>
        <v>94.72</v>
      </c>
      <c r="AL216">
        <f>VLOOKUP($B216,[20]分省年度数据!$A$1:$IS$65528,3,FALSE)</f>
        <v>19.34</v>
      </c>
      <c r="AM216">
        <f>VLOOKUP($B216,[21]分省年度数据!$A$1:$IS$65528,3,FALSE)</f>
        <v>3.9</v>
      </c>
      <c r="AN216">
        <f>VLOOKUP($B216,[22]分省年度数据!$A$1:$IS$65529,3,FALSE)</f>
        <v>13.24</v>
      </c>
    </row>
    <row r="217" spans="1:40">
      <c r="A217">
        <v>64</v>
      </c>
      <c r="B217" t="s">
        <v>30</v>
      </c>
      <c r="C217">
        <v>2022</v>
      </c>
      <c r="D217" t="s">
        <v>37</v>
      </c>
      <c r="E217">
        <f>VLOOKUP(B217,[1]分省年度数据!$A$1:$IV$65536,3,FALSE)</f>
        <v>728</v>
      </c>
      <c r="F217" s="4">
        <v>29599</v>
      </c>
      <c r="G217" s="2">
        <f>VLOOKUP(B217,[2]分省年度数据!$A$1:$IV$65536,3,FALSE)</f>
        <v>28.6</v>
      </c>
      <c r="H217" s="2">
        <f t="shared" si="7"/>
        <v>3.9285714285714285E-2</v>
      </c>
      <c r="N217">
        <v>5040.2</v>
      </c>
      <c r="O217">
        <f>N217/F217</f>
        <v>0.17028277982364268</v>
      </c>
      <c r="Q217" t="s">
        <v>61</v>
      </c>
      <c r="R217">
        <f>VLOOKUP(B217,[5]分省年度数据!$A$1:$O$65536,3,FALSE)</f>
        <v>4607</v>
      </c>
      <c r="S217">
        <f>VLOOKUP($B217,[6]分省年度数据!$A$1:$IV$65536,3,FALSE)</f>
        <v>4.18</v>
      </c>
      <c r="T217">
        <f>VLOOKUP($B217,[7]分省年度数据!$A$1:$IV$65536,3,FALSE)</f>
        <v>85</v>
      </c>
      <c r="U217">
        <f>VLOOKUP($B217,[8]分省年度数据!$A$1:$IV$65536,3,FALSE)</f>
        <v>8.1999999999999993</v>
      </c>
      <c r="V217">
        <f>VLOOKUP($B217,[9]分省年度数据!$A$1:$IV$65536,3,FALSE)</f>
        <v>137.44</v>
      </c>
      <c r="W217">
        <f>VLOOKUP($B217,[10]分省年度数据!$A$1:$IV$65536,3,FALSE)</f>
        <v>13.2</v>
      </c>
      <c r="X217">
        <f>VLOOKUP($B217,[11]分省年度数据!$A$1:$IV$65536,3,FALSE)</f>
        <v>13.25</v>
      </c>
      <c r="Y217">
        <f>VLOOKUP($B217,[12]分省年度数据!$A$1:$IV$65536,3,FALSE)</f>
        <v>16.97</v>
      </c>
      <c r="AA217">
        <f>VLOOKUP($B217,[13]分省年度数据!$A$1:$IV$65536,3,FALSE)</f>
        <v>3332220</v>
      </c>
      <c r="AB217">
        <f>VLOOKUP($B217,[14]分省年度数据!$A$1:$IV$65536,3,FALSE)</f>
        <v>212.35</v>
      </c>
      <c r="AC217" t="str">
        <f>VLOOKUP($B217,[16]分省年度数据!$A$1:$IT$65532,3,FALSE)</f>
        <v/>
      </c>
      <c r="AD217">
        <f>VLOOKUP($B217,[17]分省年度数据!$A$1:$IS$65525,3,FALSE)</f>
        <v>1338.4</v>
      </c>
      <c r="AE217">
        <f>IFERROR(AC217/E217,0)</f>
        <v>0</v>
      </c>
      <c r="AF217">
        <f>IFERROR(AD217/E217,0)</f>
        <v>1.8384615384615386</v>
      </c>
      <c r="AG217">
        <f>VLOOKUP($B217,[15]分省年度数据!$A$1:$IV$65536,3,FALSE)</f>
        <v>1639</v>
      </c>
      <c r="AH217">
        <f>VLOOKUP(B217,[4]分省年度数据!$A$1:$IV$65536,3,FALSE)</f>
        <v>10784</v>
      </c>
      <c r="AI217">
        <f>VLOOKUP(B217,[3]分省年度数据!$A$1:$IV$65536,3,FALSE)</f>
        <v>165.8</v>
      </c>
      <c r="AJ217">
        <f>VLOOKUP($B217,[18]分省年度数据!$A$1:$IS$65529,3,FALSE)</f>
        <v>99.99</v>
      </c>
      <c r="AK217">
        <f>VLOOKUP($B217,[19]分省年度数据!$A$1:$IS$65529,3,FALSE)</f>
        <v>98.48</v>
      </c>
      <c r="AL217">
        <f>VLOOKUP($B217,[20]分省年度数据!$A$1:$IS$65528,3,FALSE)</f>
        <v>17.329999999999998</v>
      </c>
      <c r="AM217">
        <f>VLOOKUP($B217,[21]分省年度数据!$A$1:$IS$65528,3,FALSE)</f>
        <v>3.06</v>
      </c>
      <c r="AN217">
        <f>VLOOKUP($B217,[22]分省年度数据!$A$1:$IS$65529,3,FALSE)</f>
        <v>22.84</v>
      </c>
    </row>
    <row r="218" spans="1:40">
      <c r="A218">
        <v>65</v>
      </c>
      <c r="B218" t="s">
        <v>31</v>
      </c>
      <c r="C218">
        <v>2022</v>
      </c>
      <c r="D218" t="s">
        <v>37</v>
      </c>
      <c r="E218">
        <f>VLOOKUP(B218,[1]分省年度数据!$A$1:$IV$65536,3,FALSE)</f>
        <v>2587</v>
      </c>
      <c r="F218" s="4">
        <v>27063</v>
      </c>
      <c r="G218" s="2">
        <f>VLOOKUP(B218,[2]分省年度数据!$A$1:$IV$65536,3,FALSE)</f>
        <v>36.5</v>
      </c>
      <c r="H218" s="2">
        <f t="shared" si="7"/>
        <v>1.4109006571318129E-2</v>
      </c>
      <c r="N218">
        <v>5107.75</v>
      </c>
      <c r="O218">
        <f>N218/F218</f>
        <v>0.18873554299227727</v>
      </c>
      <c r="Q218" t="s">
        <v>75</v>
      </c>
      <c r="R218">
        <f>VLOOKUP(B218,[5]分省年度数据!$A$1:$O$65536,3,FALSE)</f>
        <v>16999</v>
      </c>
      <c r="S218">
        <f>VLOOKUP($B218,[6]分省年度数据!$A$1:$IV$65536,3,FALSE)</f>
        <v>17.96</v>
      </c>
      <c r="T218">
        <f>VLOOKUP($B218,[7]分省年度数据!$A$1:$IV$65536,3,FALSE)</f>
        <v>80</v>
      </c>
      <c r="U218">
        <f>VLOOKUP($B218,[8]分省年度数据!$A$1:$IV$65536,3,FALSE)</f>
        <v>8.3000000000000007</v>
      </c>
      <c r="V218">
        <f>VLOOKUP($B218,[9]分省年度数据!$A$1:$IV$65536,3,FALSE)</f>
        <v>595.55999999999995</v>
      </c>
      <c r="W218">
        <f>VLOOKUP($B218,[10]分省年度数据!$A$1:$IV$65536,3,FALSE)</f>
        <v>12.98</v>
      </c>
      <c r="X218">
        <f>VLOOKUP($B218,[11]分省年度数据!$A$1:$IV$65536,3,FALSE)</f>
        <v>13.19</v>
      </c>
      <c r="Y218">
        <f>VLOOKUP($B218,[12]分省年度数据!$A$1:$IV$65536,3,FALSE)</f>
        <v>17.66</v>
      </c>
      <c r="AA218">
        <f>VLOOKUP($B218,[13]分省年度数据!$A$1:$IV$65536,3,FALSE)</f>
        <v>11612882</v>
      </c>
      <c r="AB218">
        <f>VLOOKUP($B218,[14]分省年度数据!$A$1:$IV$65536,3,FALSE)</f>
        <v>1088.6199999999999</v>
      </c>
      <c r="AC218">
        <f>VLOOKUP($B218,[16]分省年度数据!$A$1:$IT$65532,3,FALSE)</f>
        <v>399</v>
      </c>
      <c r="AD218">
        <f>VLOOKUP($B218,[17]分省年度数据!$A$1:$IS$65525,3,FALSE)</f>
        <v>3240.5</v>
      </c>
      <c r="AE218">
        <f>IFERROR(AC218/E218,0)</f>
        <v>0.15423270197139544</v>
      </c>
      <c r="AF218">
        <f>IFERROR(AD218/E218,0)</f>
        <v>1.2526091998453808</v>
      </c>
      <c r="AG218">
        <f>VLOOKUP($B218,[15]分省年度数据!$A$1:$IV$65536,3,FALSE)</f>
        <v>4652</v>
      </c>
      <c r="AH218">
        <f>VLOOKUP(B218,[4]分省年度数据!$A$1:$IV$65536,3,FALSE)</f>
        <v>19755</v>
      </c>
      <c r="AI218">
        <f>VLOOKUP(B218,[3]分省年度数据!$A$1:$IV$65536,3,FALSE)</f>
        <v>164.39</v>
      </c>
      <c r="AJ218">
        <f>VLOOKUP($B218,[18]分省年度数据!$A$1:$IS$65529,3,FALSE)</f>
        <v>99.49</v>
      </c>
      <c r="AK218">
        <f>VLOOKUP($B218,[19]分省年度数据!$A$1:$IS$65529,3,FALSE)</f>
        <v>98.63</v>
      </c>
      <c r="AL218">
        <f>VLOOKUP($B218,[20]分省年度数据!$A$1:$IS$65528,3,FALSE)</f>
        <v>14.07</v>
      </c>
      <c r="AM218">
        <f>VLOOKUP($B218,[21]分省年度数据!$A$1:$IS$65528,3,FALSE)</f>
        <v>2.8</v>
      </c>
      <c r="AN218">
        <f>VLOOKUP($B218,[22]分省年度数据!$A$1:$IS$65529,3,FALSE)</f>
        <v>16.23</v>
      </c>
    </row>
  </sheetData>
  <autoFilter ref="A1:AB218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4CA7-4A63-D54D-BF13-EC73AC7D4B64}">
  <dimension ref="A1:I32"/>
  <sheetViews>
    <sheetView zoomScale="117" workbookViewId="0">
      <selection activeCell="A2" sqref="A2:B32"/>
    </sheetView>
  </sheetViews>
  <sheetFormatPr baseColWidth="10" defaultRowHeight="15"/>
  <cols>
    <col min="1" max="1" width="17.1640625" bestFit="1" customWidth="1"/>
    <col min="4" max="4" width="11.1640625" bestFit="1" customWidth="1"/>
    <col min="5" max="5" width="4.5" customWidth="1"/>
    <col min="6" max="6" width="23.33203125" bestFit="1" customWidth="1"/>
    <col min="8" max="8" width="4.33203125" customWidth="1"/>
    <col min="9" max="9" width="29.33203125" bestFit="1" customWidth="1"/>
  </cols>
  <sheetData>
    <row r="1" spans="1:9" ht="32">
      <c r="A1" s="1" t="s">
        <v>76</v>
      </c>
      <c r="B1" s="1" t="s">
        <v>77</v>
      </c>
      <c r="D1" s="9" t="s">
        <v>77</v>
      </c>
      <c r="E1" s="9" t="s">
        <v>93</v>
      </c>
      <c r="F1" s="9" t="s">
        <v>76</v>
      </c>
      <c r="G1" s="9" t="s">
        <v>77</v>
      </c>
      <c r="H1" s="9" t="s">
        <v>93</v>
      </c>
      <c r="I1" s="9" t="s">
        <v>76</v>
      </c>
    </row>
    <row r="2" spans="1:9" ht="48">
      <c r="A2" t="s">
        <v>1</v>
      </c>
      <c r="B2" t="s">
        <v>63</v>
      </c>
      <c r="D2" s="10" t="s">
        <v>55</v>
      </c>
      <c r="E2" s="10">
        <f>COUNTIF(B:B,D2)</f>
        <v>6</v>
      </c>
      <c r="F2" s="11" t="s">
        <v>86</v>
      </c>
      <c r="G2" s="10" t="s">
        <v>59</v>
      </c>
      <c r="H2" s="10">
        <f>COUNTIF(B:B,G2)</f>
        <v>2</v>
      </c>
      <c r="I2" s="10" t="s">
        <v>81</v>
      </c>
    </row>
    <row r="3" spans="1:9" ht="16">
      <c r="A3" t="s">
        <v>6</v>
      </c>
      <c r="B3" t="s">
        <v>64</v>
      </c>
      <c r="D3" s="10" t="s">
        <v>64</v>
      </c>
      <c r="E3" s="10">
        <f>COUNTIF(B:B,D3)</f>
        <v>3</v>
      </c>
      <c r="F3" s="11" t="s">
        <v>87</v>
      </c>
      <c r="G3" s="10" t="s">
        <v>63</v>
      </c>
      <c r="H3" s="10">
        <f>COUNTIF(B:B,G3)</f>
        <v>1</v>
      </c>
      <c r="I3" s="10" t="s">
        <v>78</v>
      </c>
    </row>
    <row r="4" spans="1:9">
      <c r="A4" t="s">
        <v>7</v>
      </c>
      <c r="B4" t="s">
        <v>64</v>
      </c>
      <c r="D4" s="10" t="s">
        <v>56</v>
      </c>
      <c r="E4" s="10">
        <f>COUNTIF(B:B,D4)</f>
        <v>3</v>
      </c>
      <c r="F4" s="10" t="s">
        <v>88</v>
      </c>
      <c r="G4" s="10" t="s">
        <v>58</v>
      </c>
      <c r="H4" s="10">
        <f>COUNTIF(B:B,G4)</f>
        <v>1</v>
      </c>
      <c r="I4" s="10" t="s">
        <v>82</v>
      </c>
    </row>
    <row r="5" spans="1:9">
      <c r="A5" t="s">
        <v>8</v>
      </c>
      <c r="B5" t="s">
        <v>64</v>
      </c>
      <c r="D5" s="10" t="s">
        <v>62</v>
      </c>
      <c r="E5" s="10">
        <f>COUNTIF(B:B,D5)</f>
        <v>3</v>
      </c>
      <c r="F5" s="10" t="s">
        <v>89</v>
      </c>
      <c r="G5" s="10" t="s">
        <v>60</v>
      </c>
      <c r="H5" s="10">
        <f>COUNTIF(B:B,G5)</f>
        <v>1</v>
      </c>
      <c r="I5" s="10" t="s">
        <v>83</v>
      </c>
    </row>
    <row r="6" spans="1:9">
      <c r="A6" t="s">
        <v>14</v>
      </c>
      <c r="B6" t="s">
        <v>58</v>
      </c>
      <c r="D6" s="10" t="s">
        <v>65</v>
      </c>
      <c r="E6" s="10">
        <f>COUNTIF(B:B,D6)</f>
        <v>2</v>
      </c>
      <c r="F6" s="10" t="s">
        <v>90</v>
      </c>
      <c r="G6" s="10" t="s">
        <v>53</v>
      </c>
      <c r="H6" s="10">
        <f>COUNTIF(B:B,G6)</f>
        <v>1</v>
      </c>
      <c r="I6" s="10" t="s">
        <v>84</v>
      </c>
    </row>
    <row r="7" spans="1:9">
      <c r="A7" t="s">
        <v>12</v>
      </c>
      <c r="B7" t="s">
        <v>79</v>
      </c>
      <c r="D7" s="10" t="s">
        <v>57</v>
      </c>
      <c r="E7" s="10">
        <f>COUNTIF(B:B,D7)</f>
        <v>2</v>
      </c>
      <c r="F7" s="10" t="s">
        <v>91</v>
      </c>
      <c r="G7" s="10" t="s">
        <v>54</v>
      </c>
      <c r="H7" s="10">
        <f>COUNTIF(B:B,G7)</f>
        <v>1</v>
      </c>
      <c r="I7" s="10" t="s">
        <v>85</v>
      </c>
    </row>
    <row r="8" spans="1:9">
      <c r="A8" t="s">
        <v>2</v>
      </c>
      <c r="B8" t="s">
        <v>65</v>
      </c>
      <c r="D8" s="10" t="s">
        <v>61</v>
      </c>
      <c r="E8" s="10">
        <f>COUNTIF(B:B,D8)</f>
        <v>2</v>
      </c>
      <c r="F8" s="10" t="s">
        <v>92</v>
      </c>
      <c r="G8" s="10" t="s">
        <v>75</v>
      </c>
      <c r="H8" s="10">
        <f>COUNTIF(B:B,G8)</f>
        <v>2</v>
      </c>
      <c r="I8" s="10" t="s">
        <v>80</v>
      </c>
    </row>
    <row r="9" spans="1:9">
      <c r="A9" t="s">
        <v>3</v>
      </c>
      <c r="B9" t="s">
        <v>65</v>
      </c>
    </row>
    <row r="10" spans="1:9">
      <c r="A10" t="s">
        <v>15</v>
      </c>
      <c r="B10" t="s">
        <v>60</v>
      </c>
    </row>
    <row r="11" spans="1:9">
      <c r="A11" t="s">
        <v>4</v>
      </c>
      <c r="B11" t="s">
        <v>59</v>
      </c>
    </row>
    <row r="12" spans="1:9">
      <c r="A12" t="s">
        <v>5</v>
      </c>
      <c r="B12" t="s">
        <v>59</v>
      </c>
    </row>
    <row r="13" spans="1:9">
      <c r="A13" t="s">
        <v>28</v>
      </c>
      <c r="B13" t="s">
        <v>61</v>
      </c>
    </row>
    <row r="14" spans="1:9">
      <c r="A14" t="s">
        <v>30</v>
      </c>
      <c r="B14" t="s">
        <v>61</v>
      </c>
    </row>
    <row r="15" spans="1:9">
      <c r="A15" t="s">
        <v>13</v>
      </c>
      <c r="B15" t="s">
        <v>57</v>
      </c>
    </row>
    <row r="16" spans="1:9">
      <c r="A16" t="s">
        <v>21</v>
      </c>
      <c r="B16" t="s">
        <v>57</v>
      </c>
    </row>
    <row r="17" spans="1:2">
      <c r="A17" t="s">
        <v>26</v>
      </c>
      <c r="B17" t="s">
        <v>75</v>
      </c>
    </row>
    <row r="18" spans="1:2">
      <c r="A18" t="s">
        <v>31</v>
      </c>
      <c r="B18" t="s">
        <v>75</v>
      </c>
    </row>
    <row r="19" spans="1:2">
      <c r="A19" t="s">
        <v>9</v>
      </c>
      <c r="B19" t="s">
        <v>56</v>
      </c>
    </row>
    <row r="20" spans="1:2">
      <c r="A20" t="s">
        <v>10</v>
      </c>
      <c r="B20" t="s">
        <v>56</v>
      </c>
    </row>
    <row r="21" spans="1:2">
      <c r="A21" t="s">
        <v>11</v>
      </c>
      <c r="B21" t="s">
        <v>56</v>
      </c>
    </row>
    <row r="22" spans="1:2">
      <c r="A22" t="s">
        <v>17</v>
      </c>
      <c r="B22" t="s">
        <v>55</v>
      </c>
    </row>
    <row r="23" spans="1:2">
      <c r="A23" t="s">
        <v>20</v>
      </c>
      <c r="B23" t="s">
        <v>55</v>
      </c>
    </row>
    <row r="24" spans="1:2">
      <c r="A24" t="s">
        <v>22</v>
      </c>
      <c r="B24" t="s">
        <v>55</v>
      </c>
    </row>
    <row r="25" spans="1:2">
      <c r="A25" t="s">
        <v>23</v>
      </c>
      <c r="B25" t="s">
        <v>55</v>
      </c>
    </row>
    <row r="26" spans="1:2">
      <c r="A26" t="s">
        <v>24</v>
      </c>
      <c r="B26" t="s">
        <v>55</v>
      </c>
    </row>
    <row r="27" spans="1:2">
      <c r="A27" t="s">
        <v>25</v>
      </c>
      <c r="B27" t="s">
        <v>55</v>
      </c>
    </row>
    <row r="28" spans="1:2">
      <c r="A28" t="s">
        <v>18</v>
      </c>
      <c r="B28" t="s">
        <v>53</v>
      </c>
    </row>
    <row r="29" spans="1:2">
      <c r="A29" t="s">
        <v>19</v>
      </c>
      <c r="B29" t="s">
        <v>54</v>
      </c>
    </row>
    <row r="30" spans="1:2">
      <c r="A30" t="s">
        <v>16</v>
      </c>
      <c r="B30" t="s">
        <v>62</v>
      </c>
    </row>
    <row r="31" spans="1:2">
      <c r="A31" t="s">
        <v>27</v>
      </c>
      <c r="B31" t="s">
        <v>62</v>
      </c>
    </row>
    <row r="32" spans="1:2">
      <c r="A32" t="s">
        <v>29</v>
      </c>
      <c r="B32" t="s">
        <v>62</v>
      </c>
    </row>
  </sheetData>
  <autoFilter ref="A1:B1" xr:uid="{44CB4CA7-4A63-D54D-BF13-EC73AC7D4B64}">
    <sortState xmlns:xlrd2="http://schemas.microsoft.com/office/spreadsheetml/2017/richdata2" ref="A2:B32">
      <sortCondition ref="B1:B32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B763-E41C-7A41-BF1F-35DB9F6BFDFA}">
  <dimension ref="A1:B31"/>
  <sheetViews>
    <sheetView workbookViewId="0">
      <selection sqref="A1:B31"/>
    </sheetView>
  </sheetViews>
  <sheetFormatPr baseColWidth="10" defaultRowHeight="15"/>
  <sheetData>
    <row r="1" spans="1:2">
      <c r="A1">
        <v>11</v>
      </c>
      <c r="B1" t="s">
        <v>94</v>
      </c>
    </row>
    <row r="2" spans="1:2">
      <c r="A2">
        <v>12</v>
      </c>
      <c r="B2" t="s">
        <v>95</v>
      </c>
    </row>
    <row r="3" spans="1:2">
      <c r="A3">
        <v>13</v>
      </c>
      <c r="B3" t="s">
        <v>95</v>
      </c>
    </row>
    <row r="4" spans="1:2">
      <c r="A4">
        <v>14</v>
      </c>
      <c r="B4" t="s">
        <v>96</v>
      </c>
    </row>
    <row r="5" spans="1:2">
      <c r="A5">
        <v>15</v>
      </c>
      <c r="B5" t="s">
        <v>96</v>
      </c>
    </row>
    <row r="6" spans="1:2">
      <c r="A6">
        <v>21</v>
      </c>
      <c r="B6" t="s">
        <v>97</v>
      </c>
    </row>
    <row r="7" spans="1:2">
      <c r="A7">
        <v>22</v>
      </c>
      <c r="B7" t="s">
        <v>97</v>
      </c>
    </row>
    <row r="8" spans="1:2">
      <c r="A8">
        <v>23</v>
      </c>
      <c r="B8" t="s">
        <v>97</v>
      </c>
    </row>
    <row r="9" spans="1:2">
      <c r="A9">
        <v>31</v>
      </c>
      <c r="B9" t="s">
        <v>98</v>
      </c>
    </row>
    <row r="10" spans="1:2">
      <c r="A10">
        <v>32</v>
      </c>
      <c r="B10" t="s">
        <v>99</v>
      </c>
    </row>
    <row r="11" spans="1:2">
      <c r="A11">
        <v>33</v>
      </c>
      <c r="B11" t="s">
        <v>98</v>
      </c>
    </row>
    <row r="12" spans="1:2">
      <c r="A12">
        <v>34</v>
      </c>
      <c r="B12" t="s">
        <v>99</v>
      </c>
    </row>
    <row r="13" spans="1:2">
      <c r="A13">
        <v>35</v>
      </c>
      <c r="B13" t="s">
        <v>100</v>
      </c>
    </row>
    <row r="14" spans="1:2">
      <c r="A14">
        <v>36</v>
      </c>
      <c r="B14" t="s">
        <v>101</v>
      </c>
    </row>
    <row r="15" spans="1:2">
      <c r="A15">
        <v>37</v>
      </c>
      <c r="B15" t="s">
        <v>95</v>
      </c>
    </row>
    <row r="16" spans="1:2">
      <c r="A16">
        <v>41</v>
      </c>
      <c r="B16" t="s">
        <v>102</v>
      </c>
    </row>
    <row r="17" spans="1:2">
      <c r="A17">
        <v>42</v>
      </c>
      <c r="B17" t="s">
        <v>103</v>
      </c>
    </row>
    <row r="18" spans="1:2">
      <c r="A18">
        <v>43</v>
      </c>
      <c r="B18" t="s">
        <v>104</v>
      </c>
    </row>
    <row r="19" spans="1:2">
      <c r="A19">
        <v>44</v>
      </c>
      <c r="B19" t="s">
        <v>105</v>
      </c>
    </row>
    <row r="20" spans="1:2">
      <c r="A20">
        <v>45</v>
      </c>
      <c r="B20" t="s">
        <v>103</v>
      </c>
    </row>
    <row r="21" spans="1:2">
      <c r="A21">
        <v>46</v>
      </c>
      <c r="B21" t="s">
        <v>100</v>
      </c>
    </row>
    <row r="22" spans="1:2">
      <c r="A22">
        <v>50</v>
      </c>
      <c r="B22" t="s">
        <v>103</v>
      </c>
    </row>
    <row r="23" spans="1:2">
      <c r="A23">
        <v>51</v>
      </c>
      <c r="B23" t="s">
        <v>103</v>
      </c>
    </row>
    <row r="24" spans="1:2">
      <c r="A24">
        <v>52</v>
      </c>
      <c r="B24" t="s">
        <v>103</v>
      </c>
    </row>
    <row r="25" spans="1:2">
      <c r="A25">
        <v>53</v>
      </c>
      <c r="B25" t="s">
        <v>103</v>
      </c>
    </row>
    <row r="26" spans="1:2">
      <c r="A26">
        <v>54</v>
      </c>
      <c r="B26" t="s">
        <v>106</v>
      </c>
    </row>
    <row r="27" spans="1:2">
      <c r="A27">
        <v>61</v>
      </c>
      <c r="B27" t="s">
        <v>102</v>
      </c>
    </row>
    <row r="28" spans="1:2">
      <c r="A28">
        <v>62</v>
      </c>
      <c r="B28" t="s">
        <v>107</v>
      </c>
    </row>
    <row r="29" spans="1:2">
      <c r="A29">
        <v>63</v>
      </c>
      <c r="B29" t="s">
        <v>102</v>
      </c>
    </row>
    <row r="30" spans="1:2">
      <c r="A30">
        <v>64</v>
      </c>
      <c r="B30" t="s">
        <v>107</v>
      </c>
    </row>
    <row r="31" spans="1:2">
      <c r="A31">
        <v>65</v>
      </c>
      <c r="B31" t="s">
        <v>106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36A-6852-E94F-BF80-96BEAEC62474}">
  <dimension ref="A1:D6"/>
  <sheetViews>
    <sheetView zoomScale="143" workbookViewId="0">
      <selection activeCell="D5" sqref="D5"/>
    </sheetView>
  </sheetViews>
  <sheetFormatPr baseColWidth="10" defaultRowHeight="15"/>
  <cols>
    <col min="2" max="2" width="29.33203125" bestFit="1" customWidth="1"/>
    <col min="3" max="3" width="13" bestFit="1" customWidth="1"/>
    <col min="4" max="4" width="59.6640625" bestFit="1" customWidth="1"/>
  </cols>
  <sheetData>
    <row r="1" spans="1:4">
      <c r="B1" t="s">
        <v>129</v>
      </c>
      <c r="C1" t="s">
        <v>131</v>
      </c>
      <c r="D1" t="s">
        <v>130</v>
      </c>
    </row>
    <row r="2" spans="1:4">
      <c r="A2" t="s">
        <v>123</v>
      </c>
      <c r="B2" t="s">
        <v>135</v>
      </c>
      <c r="C2" t="s">
        <v>132</v>
      </c>
      <c r="D2" t="s">
        <v>136</v>
      </c>
    </row>
    <row r="3" spans="1:4">
      <c r="A3" t="s">
        <v>124</v>
      </c>
      <c r="C3" t="s">
        <v>133</v>
      </c>
    </row>
    <row r="4" spans="1:4">
      <c r="A4" t="s">
        <v>125</v>
      </c>
      <c r="C4" t="s">
        <v>132</v>
      </c>
    </row>
    <row r="5" spans="1:4">
      <c r="A5" t="s">
        <v>126</v>
      </c>
      <c r="C5" t="s">
        <v>134</v>
      </c>
    </row>
    <row r="6" spans="1:4">
      <c r="A6" t="s">
        <v>127</v>
      </c>
      <c r="C6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方言分布</vt:lpstr>
      <vt:lpstr>prov_language</vt:lpstr>
      <vt:lpstr>复合指标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Microsoft Office User</cp:lastModifiedBy>
  <dcterms:created xsi:type="dcterms:W3CDTF">2015-06-05T18:19:34Z</dcterms:created>
  <dcterms:modified xsi:type="dcterms:W3CDTF">2025-04-23T06:42:32Z</dcterms:modified>
</cp:coreProperties>
</file>