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\labor_audit\LingyuZhou\FA24\shoeData\"/>
    </mc:Choice>
  </mc:AlternateContent>
  <xr:revisionPtr revIDLastSave="0" documentId="13_ncr:1_{3E6A094E-4185-4118-935D-4C47C48CD6A8}" xr6:coauthVersionLast="47" xr6:coauthVersionMax="47" xr10:uidLastSave="{00000000-0000-0000-0000-000000000000}"/>
  <bookViews>
    <workbookView xWindow="-93" yWindow="-93" windowWidth="20666" windowHeight="12266" tabRatio="700" activeTab="4" xr2:uid="{00000000-000D-0000-FFFF-FFFF00000000}"/>
  </bookViews>
  <sheets>
    <sheet name="buyer scoring" sheetId="1" r:id="rId1"/>
    <sheet name="variable speci" sheetId="2" r:id="rId2"/>
    <sheet name="results table format" sheetId="3" r:id="rId3"/>
    <sheet name="sample results table" sheetId="4" r:id="rId4"/>
    <sheet name="scoresClea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4" l="1"/>
  <c r="F38" i="4"/>
  <c r="E38" i="4"/>
  <c r="D38" i="4"/>
  <c r="C38" i="4"/>
  <c r="B38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E18" i="4"/>
  <c r="D18" i="4"/>
  <c r="G17" i="4"/>
  <c r="F17" i="4"/>
  <c r="E17" i="4"/>
  <c r="D17" i="4"/>
  <c r="C17" i="4"/>
  <c r="B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G8" i="4"/>
  <c r="F8" i="4"/>
  <c r="E8" i="4"/>
  <c r="D8" i="4"/>
  <c r="C8" i="4"/>
  <c r="B8" i="4"/>
  <c r="A8" i="4"/>
  <c r="G7" i="4"/>
  <c r="F7" i="4"/>
  <c r="E7" i="4"/>
  <c r="D7" i="4"/>
  <c r="C7" i="4"/>
  <c r="B7" i="4"/>
  <c r="G6" i="4"/>
  <c r="F6" i="4"/>
  <c r="E6" i="4"/>
  <c r="D6" i="4"/>
  <c r="C6" i="4"/>
  <c r="B6" i="4"/>
  <c r="A6" i="4"/>
  <c r="G5" i="4"/>
  <c r="F5" i="4"/>
  <c r="E5" i="4"/>
  <c r="D5" i="4"/>
  <c r="C5" i="4"/>
  <c r="B5" i="4"/>
  <c r="G4" i="4"/>
  <c r="F4" i="4"/>
  <c r="E4" i="4"/>
  <c r="D4" i="4"/>
  <c r="C4" i="4"/>
  <c r="B4" i="4"/>
  <c r="A4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<sst xmlns="http://schemas.openxmlformats.org/spreadsheetml/2006/main" count="215" uniqueCount="126">
  <si>
    <t>Buyers</t>
  </si>
  <si>
    <t>Purchasing practices evaluations</t>
  </si>
  <si>
    <t>coded buyer names</t>
  </si>
  <si>
    <t>Forecasting Quality &amp; Visibility of Future orders</t>
  </si>
  <si>
    <t>Technical Specifications</t>
  </si>
  <si>
    <t>Order placement process</t>
  </si>
  <si>
    <t>Lead time and Penalties 4 delays</t>
  </si>
  <si>
    <t>Price</t>
  </si>
  <si>
    <t>Paymen terms</t>
  </si>
  <si>
    <t>Negot</t>
  </si>
  <si>
    <t>Iations  and profit guarantees</t>
  </si>
  <si>
    <t>Shoes supplier</t>
  </si>
  <si>
    <t> Rhino</t>
  </si>
  <si>
    <t> 3</t>
  </si>
  <si>
    <t> 2</t>
  </si>
  <si>
    <t> 1</t>
  </si>
  <si>
    <t> Bull</t>
  </si>
  <si>
    <t> 2.5</t>
  </si>
  <si>
    <t> Sparky</t>
  </si>
  <si>
    <t> T4 FSPL</t>
  </si>
  <si>
    <t> Tampa</t>
  </si>
  <si>
    <t>Crown</t>
  </si>
  <si>
    <t>Customer 1 name</t>
  </si>
  <si>
    <t>variable names</t>
  </si>
  <si>
    <t>"mbleadtime" (main buyer lead time)</t>
  </si>
  <si>
    <t>"mbpricing"</t>
  </si>
  <si>
    <t>"mbpay"</t>
  </si>
  <si>
    <t>"mbordering"</t>
  </si>
  <si>
    <t>dependent variables</t>
  </si>
  <si>
    <t>attrition</t>
  </si>
  <si>
    <t>independent variables</t>
  </si>
  <si>
    <t>avgprice</t>
  </si>
  <si>
    <t>avg_pay</t>
  </si>
  <si>
    <t>cus1price</t>
  </si>
  <si>
    <t>price</t>
  </si>
  <si>
    <t>(we can use these twp price variables in the same equation if these two variables do not correlate higher than r=.8)</t>
  </si>
  <si>
    <t>numbuyers</t>
  </si>
  <si>
    <t>product</t>
  </si>
  <si>
    <t>numstyles</t>
  </si>
  <si>
    <t>(if numstyles is not a significant predictor, we can also try "numartno" or "numbatches" separately).</t>
  </si>
  <si>
    <t>volatility</t>
  </si>
  <si>
    <t>pschange</t>
  </si>
  <si>
    <t>stylesch</t>
  </si>
  <si>
    <t>(if stylech is not a significant predictor, we can also try artnoch or batchch which should be consistent with the variable we used for product, e.g. numartno + artnoch or numbatches + batchch)</t>
  </si>
  <si>
    <t>Control variables</t>
  </si>
  <si>
    <t>workers</t>
  </si>
  <si>
    <t>allps</t>
  </si>
  <si>
    <t>total pairs produced</t>
  </si>
  <si>
    <t>with and without dummy variables for (n-1) conveyor</t>
  </si>
  <si>
    <t>mbpricing</t>
  </si>
  <si>
    <t>mbpay</t>
  </si>
  <si>
    <t xml:space="preserve">run the OLS regressions with the previous dataset that match the month based on extended delivery date </t>
  </si>
  <si>
    <t>run the same OLS regression with the newer dataset from "orderproductiondata2" based on chargedon date.</t>
  </si>
  <si>
    <t>%</t>
  </si>
  <si>
    <t>no conveyors</t>
  </si>
  <si>
    <t>Dataset</t>
  </si>
  <si>
    <t>Dependent variable</t>
  </si>
  <si>
    <t>control conveyors</t>
  </si>
  <si>
    <t>based on the extend month</t>
  </si>
  <si>
    <t>Based on charge month</t>
  </si>
  <si>
    <t>Table. Regression results of price, buyer structure, and volatilities on average wage and worker turnover</t>
  </si>
  <si>
    <t>DV=average wage per worker</t>
  </si>
  <si>
    <t>DV=monthly turnover</t>
  </si>
  <si>
    <t>Monthly order value 100krp</t>
  </si>
  <si>
    <t>Monthly order pieces 10k</t>
  </si>
  <si>
    <t>Price of the main buyer in the month</t>
  </si>
  <si>
    <t>Highest price in the month</t>
  </si>
  <si>
    <t>Number of buyers in the month</t>
  </si>
  <si>
    <t>The leverage of the main buyer in the month</t>
  </si>
  <si>
    <t>Monthly order value change from prior month%</t>
  </si>
  <si>
    <t>Monthly order pieces change from prior month%</t>
  </si>
  <si>
    <t>Unit2</t>
  </si>
  <si>
    <t>Unit3</t>
  </si>
  <si>
    <t>Unit4</t>
  </si>
  <si>
    <t>R-squared</t>
  </si>
  <si>
    <t>Note: OLS regression with standard error in parentheses. † p&lt;.10, * p&lt;.05, ** p&lt;.01, *** p&lt;.001</t>
  </si>
  <si>
    <t>numstyles (changable)</t>
    <phoneticPr fontId="10" type="noConversion"/>
  </si>
  <si>
    <t>pschange</t>
    <phoneticPr fontId="10" type="noConversion"/>
  </si>
  <si>
    <t>stylesch(changable)</t>
    <phoneticPr fontId="10" type="noConversion"/>
  </si>
  <si>
    <t>conveyor2</t>
    <phoneticPr fontId="10" type="noConversion"/>
  </si>
  <si>
    <t>conveyor3</t>
  </si>
  <si>
    <t>conveyor4</t>
  </si>
  <si>
    <t>conveyor5</t>
  </si>
  <si>
    <t>conveyor6</t>
  </si>
  <si>
    <t>conveyor7</t>
  </si>
  <si>
    <t>conveyor8</t>
  </si>
  <si>
    <t>conveyor9</t>
  </si>
  <si>
    <t>conveyor10</t>
  </si>
  <si>
    <t>conveyor11</t>
  </si>
  <si>
    <t>conveyor12</t>
  </si>
  <si>
    <t>conveyor13</t>
  </si>
  <si>
    <t>conveyor14</t>
  </si>
  <si>
    <t>conveyor15</t>
  </si>
  <si>
    <t>-</t>
    <phoneticPr fontId="10" type="noConversion"/>
  </si>
  <si>
    <t>coeff of ind. Vars. (std err)</t>
    <phoneticPr fontId="10" type="noConversion"/>
  </si>
  <si>
    <t>cus1price</t>
    <phoneticPr fontId="10" type="noConversion"/>
  </si>
  <si>
    <t>avgprice</t>
    <phoneticPr fontId="10" type="noConversion"/>
  </si>
  <si>
    <t>(Intercept)</t>
    <phoneticPr fontId="10" type="noConversion"/>
  </si>
  <si>
    <t>0.0117(2242.8111)</t>
  </si>
  <si>
    <t>0.1753(56.4222)</t>
  </si>
  <si>
    <t>0.2870(62.3347)</t>
  </si>
  <si>
    <t>0.1304(575.5283)</t>
  </si>
  <si>
    <t>0.0722(320.3264)</t>
  </si>
  <si>
    <t>0.8945(51.2876)</t>
  </si>
  <si>
    <t>0.0467(0.9900)</t>
  </si>
  <si>
    <t>0.4806(4.4769)</t>
  </si>
  <si>
    <t>0.3432(6.5527)</t>
  </si>
  <si>
    <t>0.0611(254.4245)</t>
  </si>
  <si>
    <t>0.4074(271.5844)</t>
  </si>
  <si>
    <t>0.1468(236.1442)</t>
  </si>
  <si>
    <t>0.8332(249.1510)</t>
  </si>
  <si>
    <t>0.9532(470.1734)</t>
  </si>
  <si>
    <t>0.2108(293.5894)</t>
  </si>
  <si>
    <t>0.1756(295.0171)</t>
  </si>
  <si>
    <t>0.0084(341.2940)</t>
  </si>
  <si>
    <t>0.0011(276.0804)</t>
  </si>
  <si>
    <t>0.0103(284.8906)</t>
  </si>
  <si>
    <t>0.0027(284.6851)</t>
  </si>
  <si>
    <t>0.0000(294.9789)</t>
  </si>
  <si>
    <t>0.0000(362.6410)</t>
  </si>
  <si>
    <t>0.0000(326.1873)</t>
  </si>
  <si>
    <t>buyer</t>
    <phoneticPr fontId="10" type="noConversion"/>
  </si>
  <si>
    <t>mbordering</t>
    <phoneticPr fontId="10" type="noConversion"/>
  </si>
  <si>
    <t>mbleadtime</t>
    <phoneticPr fontId="10" type="noConversion"/>
  </si>
  <si>
    <t>mbpricing</t>
    <phoneticPr fontId="10" type="noConversion"/>
  </si>
  <si>
    <t>mbpay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</si>
</sst>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2"/>
      <color rgb="FF000000"/>
      <name val="Times New Roman"/>
      <family val="1"/>
    </font>
    <font>
      <sz val="11"/>
      <color rgb="FFFF0000"/>
      <name val="等线"/>
      <family val="2"/>
      <scheme val="minor"/>
    </font>
    <font>
      <sz val="12"/>
      <color rgb="FFFF0000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rgb="FF002060"/>
      <name val="等线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4" fillId="0" borderId="0" xfId="0" applyFont="1"/>
    <xf numFmtId="0" fontId="7" fillId="0" borderId="14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11" fillId="3" borderId="0" xfId="0" applyFont="1" applyFill="1"/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3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A3" workbookViewId="0">
      <selection activeCell="H11" sqref="H11:I11"/>
    </sheetView>
  </sheetViews>
  <sheetFormatPr defaultRowHeight="14" x14ac:dyDescent="0.45"/>
  <cols>
    <col min="3" max="3" width="15.234375" customWidth="1"/>
    <col min="6" max="6" width="12.52734375" customWidth="1"/>
    <col min="7" max="7" width="11.9375" customWidth="1"/>
  </cols>
  <sheetData>
    <row r="1" spans="1:10" ht="15.7" thickBot="1" x14ac:dyDescent="0.5">
      <c r="A1" s="39" t="s">
        <v>0</v>
      </c>
      <c r="B1" s="40"/>
      <c r="C1" s="41"/>
      <c r="D1" s="39" t="s">
        <v>1</v>
      </c>
      <c r="E1" s="40"/>
      <c r="F1" s="40"/>
      <c r="G1" s="40"/>
      <c r="H1" s="40"/>
      <c r="I1" s="40"/>
      <c r="J1" s="41"/>
    </row>
    <row r="2" spans="1:10" ht="15.35" x14ac:dyDescent="0.45">
      <c r="A2" s="42" t="s">
        <v>2</v>
      </c>
      <c r="B2" s="43"/>
      <c r="C2" s="1"/>
      <c r="D2" s="36" t="s">
        <v>3</v>
      </c>
      <c r="E2" s="36" t="s">
        <v>4</v>
      </c>
      <c r="F2" s="48" t="s">
        <v>5</v>
      </c>
      <c r="G2" s="48" t="s">
        <v>6</v>
      </c>
      <c r="H2" s="6" t="s">
        <v>7</v>
      </c>
      <c r="I2" s="48" t="s">
        <v>8</v>
      </c>
      <c r="J2" s="51"/>
    </row>
    <row r="3" spans="1:10" ht="15.35" x14ac:dyDescent="0.45">
      <c r="A3" s="44"/>
      <c r="B3" s="45"/>
      <c r="C3" s="1"/>
      <c r="D3" s="37"/>
      <c r="E3" s="37"/>
      <c r="F3" s="49"/>
      <c r="G3" s="49"/>
      <c r="H3" s="6" t="s">
        <v>9</v>
      </c>
      <c r="I3" s="49"/>
      <c r="J3" s="52"/>
    </row>
    <row r="4" spans="1:10" ht="61.7" thickBot="1" x14ac:dyDescent="0.5">
      <c r="A4" s="46"/>
      <c r="B4" s="47"/>
      <c r="C4" s="2" t="s">
        <v>22</v>
      </c>
      <c r="D4" s="38"/>
      <c r="E4" s="38"/>
      <c r="F4" s="50"/>
      <c r="G4" s="50"/>
      <c r="H4" s="7" t="s">
        <v>10</v>
      </c>
      <c r="I4" s="50"/>
      <c r="J4" s="53"/>
    </row>
    <row r="5" spans="1:10" ht="15.7" thickBot="1" x14ac:dyDescent="0.5">
      <c r="A5" s="36" t="s">
        <v>11</v>
      </c>
      <c r="B5" s="3">
        <v>1</v>
      </c>
      <c r="C5" s="4" t="s">
        <v>12</v>
      </c>
      <c r="D5" s="3" t="s">
        <v>13</v>
      </c>
      <c r="E5" s="3" t="s">
        <v>13</v>
      </c>
      <c r="F5" s="8" t="s">
        <v>13</v>
      </c>
      <c r="G5" s="8" t="s">
        <v>14</v>
      </c>
      <c r="H5" s="8" t="s">
        <v>13</v>
      </c>
      <c r="I5" s="8" t="s">
        <v>15</v>
      </c>
      <c r="J5" s="5"/>
    </row>
    <row r="6" spans="1:10" ht="15.7" thickBot="1" x14ac:dyDescent="0.5">
      <c r="A6" s="37"/>
      <c r="B6" s="3">
        <v>2</v>
      </c>
      <c r="C6" s="4" t="s">
        <v>16</v>
      </c>
      <c r="D6" s="3" t="s">
        <v>13</v>
      </c>
      <c r="E6" s="3" t="s">
        <v>13</v>
      </c>
      <c r="F6" s="8" t="s">
        <v>13</v>
      </c>
      <c r="G6" s="8" t="s">
        <v>14</v>
      </c>
      <c r="H6" s="8" t="s">
        <v>17</v>
      </c>
      <c r="I6" s="8" t="s">
        <v>14</v>
      </c>
      <c r="J6" s="5"/>
    </row>
    <row r="7" spans="1:10" ht="15.7" thickBot="1" x14ac:dyDescent="0.5">
      <c r="A7" s="37"/>
      <c r="B7" s="3">
        <v>3</v>
      </c>
      <c r="C7" s="4" t="s">
        <v>21</v>
      </c>
      <c r="D7" s="3" t="s">
        <v>13</v>
      </c>
      <c r="E7" s="3" t="s">
        <v>13</v>
      </c>
      <c r="F7" s="8" t="s">
        <v>13</v>
      </c>
      <c r="G7" s="8" t="s">
        <v>14</v>
      </c>
      <c r="H7" s="8" t="s">
        <v>13</v>
      </c>
      <c r="I7" s="8" t="s">
        <v>14</v>
      </c>
      <c r="J7" s="5"/>
    </row>
    <row r="8" spans="1:10" ht="15.7" thickBot="1" x14ac:dyDescent="0.5">
      <c r="A8" s="37"/>
      <c r="B8" s="3">
        <v>4</v>
      </c>
      <c r="C8" s="4" t="s">
        <v>18</v>
      </c>
      <c r="D8" s="3" t="s">
        <v>17</v>
      </c>
      <c r="E8" s="3" t="s">
        <v>13</v>
      </c>
      <c r="F8" s="8" t="s">
        <v>13</v>
      </c>
      <c r="G8" s="8" t="s">
        <v>14</v>
      </c>
      <c r="H8" s="8" t="s">
        <v>17</v>
      </c>
      <c r="I8" s="8" t="s">
        <v>14</v>
      </c>
      <c r="J8" s="5"/>
    </row>
    <row r="9" spans="1:10" ht="15.7" thickBot="1" x14ac:dyDescent="0.5">
      <c r="A9" s="37"/>
      <c r="B9" s="3">
        <v>5</v>
      </c>
      <c r="C9" s="4" t="s">
        <v>19</v>
      </c>
      <c r="D9" s="3" t="s">
        <v>13</v>
      </c>
      <c r="E9" s="3" t="s">
        <v>13</v>
      </c>
      <c r="F9" s="8" t="s">
        <v>14</v>
      </c>
      <c r="G9" s="8" t="s">
        <v>15</v>
      </c>
      <c r="H9" s="8" t="s">
        <v>15</v>
      </c>
      <c r="I9" s="8" t="s">
        <v>13</v>
      </c>
      <c r="J9" s="5"/>
    </row>
    <row r="10" spans="1:10" ht="15.7" thickBot="1" x14ac:dyDescent="0.5">
      <c r="A10" s="38"/>
      <c r="B10" s="3">
        <v>6</v>
      </c>
      <c r="C10" s="4" t="s">
        <v>20</v>
      </c>
      <c r="D10" s="3" t="s">
        <v>13</v>
      </c>
      <c r="E10" s="3" t="s">
        <v>13</v>
      </c>
      <c r="F10" s="8" t="s">
        <v>13</v>
      </c>
      <c r="G10" s="8" t="s">
        <v>14</v>
      </c>
      <c r="H10" s="8" t="s">
        <v>13</v>
      </c>
      <c r="I10" s="8" t="s">
        <v>13</v>
      </c>
      <c r="J10" s="5"/>
    </row>
    <row r="11" spans="1:10" ht="15.35" x14ac:dyDescent="0.45">
      <c r="F11" s="10" t="s">
        <v>27</v>
      </c>
      <c r="G11" s="10" t="s">
        <v>24</v>
      </c>
      <c r="H11" s="11" t="s">
        <v>25</v>
      </c>
      <c r="I11" s="11" t="s">
        <v>26</v>
      </c>
    </row>
    <row r="12" spans="1:10" ht="15.35" x14ac:dyDescent="0.45">
      <c r="G12" s="9" t="s">
        <v>23</v>
      </c>
    </row>
  </sheetData>
  <mergeCells count="10">
    <mergeCell ref="A5:A10"/>
    <mergeCell ref="A1:C1"/>
    <mergeCell ref="D1:J1"/>
    <mergeCell ref="A2:B4"/>
    <mergeCell ref="D2:D4"/>
    <mergeCell ref="E2:E4"/>
    <mergeCell ref="F2:F4"/>
    <mergeCell ref="G2:G4"/>
    <mergeCell ref="I2:I4"/>
    <mergeCell ref="J2:J4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B40B-F849-4EF4-BB40-61708F728724}">
  <dimension ref="A1:C21"/>
  <sheetViews>
    <sheetView workbookViewId="0">
      <selection activeCell="B16" sqref="B16"/>
    </sheetView>
  </sheetViews>
  <sheetFormatPr defaultRowHeight="14" x14ac:dyDescent="0.45"/>
  <cols>
    <col min="1" max="1" width="19.703125" customWidth="1"/>
    <col min="2" max="2" width="8.9375" customWidth="1"/>
    <col min="3" max="3" width="129.1171875" customWidth="1"/>
  </cols>
  <sheetData>
    <row r="1" spans="1:3" x14ac:dyDescent="0.45">
      <c r="A1" t="s">
        <v>28</v>
      </c>
      <c r="B1" t="s">
        <v>32</v>
      </c>
      <c r="C1" t="s">
        <v>29</v>
      </c>
    </row>
    <row r="3" spans="1:3" x14ac:dyDescent="0.45">
      <c r="A3" t="s">
        <v>30</v>
      </c>
    </row>
    <row r="4" spans="1:3" x14ac:dyDescent="0.45">
      <c r="A4" s="54" t="s">
        <v>34</v>
      </c>
      <c r="B4" t="s">
        <v>31</v>
      </c>
    </row>
    <row r="5" spans="1:3" x14ac:dyDescent="0.45">
      <c r="A5" s="54"/>
      <c r="B5" t="s">
        <v>33</v>
      </c>
      <c r="C5" t="s">
        <v>35</v>
      </c>
    </row>
    <row r="6" spans="1:3" x14ac:dyDescent="0.45">
      <c r="A6" s="54"/>
      <c r="B6" t="s">
        <v>49</v>
      </c>
    </row>
    <row r="7" spans="1:3" x14ac:dyDescent="0.45">
      <c r="A7" s="54"/>
      <c r="B7" t="s">
        <v>50</v>
      </c>
    </row>
    <row r="9" spans="1:3" x14ac:dyDescent="0.45">
      <c r="A9" s="54" t="s">
        <v>37</v>
      </c>
      <c r="B9" t="s">
        <v>36</v>
      </c>
    </row>
    <row r="10" spans="1:3" s="30" customFormat="1" x14ac:dyDescent="0.45">
      <c r="A10" s="54"/>
      <c r="B10" s="30" t="s">
        <v>38</v>
      </c>
      <c r="C10" s="30" t="s">
        <v>39</v>
      </c>
    </row>
    <row r="12" spans="1:3" x14ac:dyDescent="0.45">
      <c r="A12" s="54" t="s">
        <v>40</v>
      </c>
      <c r="B12" s="13" t="s">
        <v>41</v>
      </c>
      <c r="C12" t="s">
        <v>53</v>
      </c>
    </row>
    <row r="13" spans="1:3" s="30" customFormat="1" x14ac:dyDescent="0.45">
      <c r="A13" s="54"/>
      <c r="B13" s="31" t="s">
        <v>42</v>
      </c>
      <c r="C13" s="30" t="s">
        <v>43</v>
      </c>
    </row>
    <row r="15" spans="1:3" x14ac:dyDescent="0.45">
      <c r="A15" t="s">
        <v>44</v>
      </c>
      <c r="B15" t="s">
        <v>45</v>
      </c>
      <c r="C15" t="s">
        <v>45</v>
      </c>
    </row>
    <row r="16" spans="1:3" x14ac:dyDescent="0.45">
      <c r="B16" t="s">
        <v>46</v>
      </c>
      <c r="C16" s="13" t="s">
        <v>47</v>
      </c>
    </row>
    <row r="17" spans="1:3" x14ac:dyDescent="0.45">
      <c r="B17" s="14" t="s">
        <v>48</v>
      </c>
      <c r="C17" s="14"/>
    </row>
    <row r="20" spans="1:3" x14ac:dyDescent="0.45">
      <c r="A20" t="s">
        <v>51</v>
      </c>
    </row>
    <row r="21" spans="1:3" x14ac:dyDescent="0.45">
      <c r="A21" t="s">
        <v>52</v>
      </c>
    </row>
  </sheetData>
  <mergeCells count="3">
    <mergeCell ref="A9:A10"/>
    <mergeCell ref="A12:A13"/>
    <mergeCell ref="A4:A7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AB9D-2B02-41BD-872E-0A4C820BF743}">
  <dimension ref="A1:J26"/>
  <sheetViews>
    <sheetView workbookViewId="0">
      <selection activeCell="C4" sqref="C4"/>
    </sheetView>
  </sheetViews>
  <sheetFormatPr defaultRowHeight="14" x14ac:dyDescent="0.45"/>
  <cols>
    <col min="1" max="1" width="38.17578125" customWidth="1"/>
    <col min="2" max="2" width="14.87890625" customWidth="1"/>
    <col min="3" max="3" width="22.3515625" customWidth="1"/>
    <col min="4" max="4" width="14.87890625" customWidth="1"/>
    <col min="5" max="5" width="20.76171875" customWidth="1"/>
    <col min="6" max="6" width="4.17578125" style="32" customWidth="1"/>
    <col min="7" max="10" width="11.703125" customWidth="1"/>
  </cols>
  <sheetData>
    <row r="1" spans="1:10" x14ac:dyDescent="0.45">
      <c r="A1" s="15" t="s">
        <v>55</v>
      </c>
      <c r="B1" s="55" t="s">
        <v>58</v>
      </c>
      <c r="C1" s="55"/>
      <c r="D1" s="55"/>
      <c r="E1" s="55"/>
      <c r="G1" s="56" t="s">
        <v>59</v>
      </c>
      <c r="H1" s="56"/>
      <c r="I1" s="56"/>
      <c r="J1" s="56"/>
    </row>
    <row r="2" spans="1:10" x14ac:dyDescent="0.45">
      <c r="A2" s="15" t="s">
        <v>56</v>
      </c>
      <c r="B2" s="55" t="s">
        <v>32</v>
      </c>
      <c r="C2" s="55"/>
      <c r="D2" s="55" t="s">
        <v>29</v>
      </c>
      <c r="E2" s="55"/>
      <c r="G2" s="56" t="s">
        <v>32</v>
      </c>
      <c r="H2" s="56"/>
      <c r="I2" s="56" t="s">
        <v>29</v>
      </c>
      <c r="J2" s="56"/>
    </row>
    <row r="3" spans="1:10" x14ac:dyDescent="0.45">
      <c r="A3" s="15" t="s">
        <v>94</v>
      </c>
      <c r="B3" s="15" t="s">
        <v>54</v>
      </c>
      <c r="C3" s="15" t="s">
        <v>57</v>
      </c>
      <c r="D3" s="15" t="s">
        <v>54</v>
      </c>
      <c r="E3" s="15" t="s">
        <v>57</v>
      </c>
      <c r="G3" t="s">
        <v>54</v>
      </c>
      <c r="H3" t="s">
        <v>57</v>
      </c>
      <c r="I3" t="s">
        <v>54</v>
      </c>
      <c r="J3" t="s">
        <v>57</v>
      </c>
    </row>
    <row r="4" spans="1:10" s="33" customFormat="1" x14ac:dyDescent="0.45">
      <c r="A4" s="34" t="s">
        <v>97</v>
      </c>
      <c r="C4" s="33" t="s">
        <v>98</v>
      </c>
      <c r="F4" s="35"/>
    </row>
    <row r="5" spans="1:10" x14ac:dyDescent="0.45">
      <c r="A5" t="s">
        <v>96</v>
      </c>
      <c r="C5" t="s">
        <v>99</v>
      </c>
    </row>
    <row r="6" spans="1:10" x14ac:dyDescent="0.45">
      <c r="A6" t="s">
        <v>95</v>
      </c>
      <c r="C6" t="s">
        <v>100</v>
      </c>
    </row>
    <row r="7" spans="1:10" x14ac:dyDescent="0.45">
      <c r="A7" t="s">
        <v>49</v>
      </c>
      <c r="C7" t="s">
        <v>101</v>
      </c>
    </row>
    <row r="8" spans="1:10" x14ac:dyDescent="0.45">
      <c r="A8" t="s">
        <v>50</v>
      </c>
      <c r="C8" t="s">
        <v>102</v>
      </c>
    </row>
    <row r="9" spans="1:10" x14ac:dyDescent="0.45">
      <c r="A9" t="s">
        <v>36</v>
      </c>
      <c r="C9" t="s">
        <v>103</v>
      </c>
    </row>
    <row r="10" spans="1:10" x14ac:dyDescent="0.45">
      <c r="A10" t="s">
        <v>77</v>
      </c>
      <c r="C10" t="s">
        <v>104</v>
      </c>
    </row>
    <row r="11" spans="1:10" x14ac:dyDescent="0.45">
      <c r="A11" t="s">
        <v>78</v>
      </c>
      <c r="C11" t="s">
        <v>105</v>
      </c>
    </row>
    <row r="12" spans="1:10" x14ac:dyDescent="0.45">
      <c r="A12" t="s">
        <v>76</v>
      </c>
      <c r="C12" t="s">
        <v>106</v>
      </c>
    </row>
    <row r="13" spans="1:10" x14ac:dyDescent="0.45">
      <c r="A13" t="s">
        <v>79</v>
      </c>
      <c r="B13" t="s">
        <v>93</v>
      </c>
      <c r="C13" t="s">
        <v>107</v>
      </c>
    </row>
    <row r="14" spans="1:10" x14ac:dyDescent="0.45">
      <c r="A14" t="s">
        <v>80</v>
      </c>
      <c r="B14" t="s">
        <v>93</v>
      </c>
      <c r="C14" t="s">
        <v>108</v>
      </c>
    </row>
    <row r="15" spans="1:10" x14ac:dyDescent="0.45">
      <c r="A15" t="s">
        <v>81</v>
      </c>
      <c r="B15" t="s">
        <v>93</v>
      </c>
      <c r="C15" t="s">
        <v>109</v>
      </c>
    </row>
    <row r="16" spans="1:10" x14ac:dyDescent="0.45">
      <c r="A16" t="s">
        <v>82</v>
      </c>
      <c r="B16" t="s">
        <v>93</v>
      </c>
      <c r="C16" t="s">
        <v>110</v>
      </c>
    </row>
    <row r="17" spans="1:3" x14ac:dyDescent="0.45">
      <c r="A17" t="s">
        <v>83</v>
      </c>
      <c r="B17" t="s">
        <v>93</v>
      </c>
      <c r="C17" t="s">
        <v>111</v>
      </c>
    </row>
    <row r="18" spans="1:3" x14ac:dyDescent="0.45">
      <c r="A18" t="s">
        <v>84</v>
      </c>
      <c r="B18" t="s">
        <v>93</v>
      </c>
      <c r="C18" t="s">
        <v>112</v>
      </c>
    </row>
    <row r="19" spans="1:3" x14ac:dyDescent="0.45">
      <c r="A19" t="s">
        <v>85</v>
      </c>
      <c r="B19" t="s">
        <v>93</v>
      </c>
      <c r="C19" t="s">
        <v>113</v>
      </c>
    </row>
    <row r="20" spans="1:3" x14ac:dyDescent="0.45">
      <c r="A20" t="s">
        <v>86</v>
      </c>
      <c r="B20" t="s">
        <v>93</v>
      </c>
      <c r="C20" t="s">
        <v>114</v>
      </c>
    </row>
    <row r="21" spans="1:3" x14ac:dyDescent="0.45">
      <c r="A21" t="s">
        <v>87</v>
      </c>
      <c r="B21" t="s">
        <v>93</v>
      </c>
      <c r="C21" t="s">
        <v>115</v>
      </c>
    </row>
    <row r="22" spans="1:3" x14ac:dyDescent="0.45">
      <c r="A22" t="s">
        <v>88</v>
      </c>
      <c r="B22" t="s">
        <v>93</v>
      </c>
      <c r="C22" t="s">
        <v>116</v>
      </c>
    </row>
    <row r="23" spans="1:3" x14ac:dyDescent="0.45">
      <c r="A23" t="s">
        <v>89</v>
      </c>
      <c r="B23" t="s">
        <v>93</v>
      </c>
      <c r="C23" t="s">
        <v>117</v>
      </c>
    </row>
    <row r="24" spans="1:3" x14ac:dyDescent="0.45">
      <c r="A24" t="s">
        <v>90</v>
      </c>
      <c r="B24" t="s">
        <v>93</v>
      </c>
      <c r="C24" t="s">
        <v>118</v>
      </c>
    </row>
    <row r="25" spans="1:3" x14ac:dyDescent="0.45">
      <c r="A25" t="s">
        <v>91</v>
      </c>
      <c r="B25" t="s">
        <v>93</v>
      </c>
      <c r="C25" t="s">
        <v>119</v>
      </c>
    </row>
    <row r="26" spans="1:3" x14ac:dyDescent="0.45">
      <c r="A26" t="s">
        <v>92</v>
      </c>
      <c r="B26" t="s">
        <v>93</v>
      </c>
      <c r="C26" t="s">
        <v>120</v>
      </c>
    </row>
  </sheetData>
  <mergeCells count="6">
    <mergeCell ref="B2:C2"/>
    <mergeCell ref="D2:E2"/>
    <mergeCell ref="B1:E1"/>
    <mergeCell ref="G2:H2"/>
    <mergeCell ref="I2:J2"/>
    <mergeCell ref="G1:J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E556-7E8C-4137-A7F6-3E7172EC2ED7}">
  <dimension ref="A1:G39"/>
  <sheetViews>
    <sheetView workbookViewId="0">
      <selection activeCell="A3" sqref="A3:B16"/>
    </sheetView>
  </sheetViews>
  <sheetFormatPr defaultRowHeight="14" x14ac:dyDescent="0.45"/>
  <cols>
    <col min="1" max="1" width="23.9375" customWidth="1"/>
    <col min="2" max="3" width="11.05859375" customWidth="1"/>
    <col min="4" max="5" width="11.05859375" style="12" customWidth="1"/>
    <col min="7" max="7" width="10.87890625" customWidth="1"/>
  </cols>
  <sheetData>
    <row r="1" spans="1:7" s="17" customFormat="1" ht="19.2" customHeight="1" x14ac:dyDescent="0.5">
      <c r="A1" s="57" t="s">
        <v>60</v>
      </c>
      <c r="B1" s="57"/>
      <c r="C1" s="57"/>
      <c r="D1" s="57"/>
      <c r="E1" s="57"/>
      <c r="F1" s="57"/>
      <c r="G1" s="57"/>
    </row>
    <row r="2" spans="1:7" ht="17.7" customHeight="1" x14ac:dyDescent="0.45">
      <c r="A2" s="16"/>
      <c r="B2" s="58" t="s">
        <v>61</v>
      </c>
      <c r="C2" s="58"/>
      <c r="D2" s="58"/>
      <c r="E2" s="58"/>
      <c r="F2" s="58" t="s">
        <v>62</v>
      </c>
      <c r="G2" s="58"/>
    </row>
    <row r="3" spans="1:7" x14ac:dyDescent="0.45">
      <c r="A3" s="17" t="s">
        <v>63</v>
      </c>
      <c r="B3" s="18" t="str">
        <f>"0.344"</f>
        <v>0.344</v>
      </c>
      <c r="C3" s="18" t="str">
        <f>"0.059"</f>
        <v>0.059</v>
      </c>
      <c r="D3" s="18" t="str">
        <f>"0.241"</f>
        <v>0.241</v>
      </c>
      <c r="E3" s="18" t="str">
        <f>"0.041"</f>
        <v>0.041</v>
      </c>
      <c r="F3" s="18" t="str">
        <f>"0.001"</f>
        <v>0.001</v>
      </c>
      <c r="G3" s="18" t="str">
        <f>"0.001"</f>
        <v>0.001</v>
      </c>
    </row>
    <row r="4" spans="1:7" x14ac:dyDescent="0.45">
      <c r="A4" s="17" t="str">
        <f>""</f>
        <v/>
      </c>
      <c r="B4" s="18" t="str">
        <f>"(0.275)"</f>
        <v>(0.275)</v>
      </c>
      <c r="C4" s="18" t="str">
        <f>"(0.190)"</f>
        <v>(0.190)</v>
      </c>
      <c r="D4" s="18" t="str">
        <f>"(0.272)"</f>
        <v>(0.272)</v>
      </c>
      <c r="E4" s="18" t="str">
        <f>"(0.185)"</f>
        <v>(0.185)</v>
      </c>
      <c r="F4" s="18" t="str">
        <f>"(0.001)"</f>
        <v>(0.001)</v>
      </c>
      <c r="G4" s="18" t="str">
        <f>"(0.001)"</f>
        <v>(0.001)</v>
      </c>
    </row>
    <row r="5" spans="1:7" x14ac:dyDescent="0.45">
      <c r="A5" s="19" t="s">
        <v>64</v>
      </c>
      <c r="B5" s="20" t="str">
        <f>"43.920*"</f>
        <v>43.920*</v>
      </c>
      <c r="C5" s="20" t="str">
        <f>"33.168*"</f>
        <v>33.168*</v>
      </c>
      <c r="D5" s="18" t="str">
        <f>"28.027"</f>
        <v>28.027</v>
      </c>
      <c r="E5" s="18" t="str">
        <f>"23.401"</f>
        <v>23.401</v>
      </c>
      <c r="F5" s="18" t="str">
        <f>"-0.113"</f>
        <v>-0.113</v>
      </c>
      <c r="G5" s="18" t="str">
        <f>"-0.144"</f>
        <v>-0.144</v>
      </c>
    </row>
    <row r="6" spans="1:7" x14ac:dyDescent="0.45">
      <c r="A6" s="17" t="str">
        <f>""</f>
        <v/>
      </c>
      <c r="B6" s="18" t="str">
        <f>"(21.749)"</f>
        <v>(21.749)</v>
      </c>
      <c r="C6" s="18" t="str">
        <f>"(15.034)"</f>
        <v>(15.034)</v>
      </c>
      <c r="D6" s="18" t="str">
        <f>"(23.365)"</f>
        <v>(23.365)</v>
      </c>
      <c r="E6" s="18" t="str">
        <f>"(15.857)"</f>
        <v>(15.857)</v>
      </c>
      <c r="F6" s="18" t="str">
        <f>"(0.080)"</f>
        <v>(0.080)</v>
      </c>
      <c r="G6" s="18" t="str">
        <f>"(0.083)"</f>
        <v>(0.083)</v>
      </c>
    </row>
    <row r="7" spans="1:7" ht="30.45" customHeight="1" x14ac:dyDescent="0.45">
      <c r="A7" s="21" t="s">
        <v>65</v>
      </c>
      <c r="B7" s="22" t="str">
        <f>"0.209"</f>
        <v>0.209</v>
      </c>
      <c r="C7" s="23" t="str">
        <f>"0.227†"</f>
        <v>0.227†</v>
      </c>
      <c r="D7" s="22" t="str">
        <f>"0.199"</f>
        <v>0.199</v>
      </c>
      <c r="E7" s="23" t="str">
        <f>"0.231†"</f>
        <v>0.231†</v>
      </c>
      <c r="F7" s="22" t="str">
        <f>"-0.001"</f>
        <v>-0.001</v>
      </c>
      <c r="G7" s="22" t="str">
        <f>"-0.001"</f>
        <v>-0.001</v>
      </c>
    </row>
    <row r="8" spans="1:7" x14ac:dyDescent="0.45">
      <c r="A8" s="17" t="str">
        <f>""</f>
        <v/>
      </c>
      <c r="B8" s="18" t="str">
        <f>"(0.175)"</f>
        <v>(0.175)</v>
      </c>
      <c r="C8" s="18" t="str">
        <f>"(0.120)"</f>
        <v>(0.120)</v>
      </c>
      <c r="D8" s="18" t="str">
        <f>"(0.176)"</f>
        <v>(0.176)</v>
      </c>
      <c r="E8" s="18" t="str">
        <f>"(0.119)"</f>
        <v>(0.119)</v>
      </c>
      <c r="F8" s="18" t="str">
        <f>"(0.001)"</f>
        <v>(0.001)</v>
      </c>
      <c r="G8" s="18" t="str">
        <f>"(0.001)"</f>
        <v>(0.001)</v>
      </c>
    </row>
    <row r="9" spans="1:7" x14ac:dyDescent="0.45">
      <c r="A9" s="17" t="s">
        <v>66</v>
      </c>
      <c r="B9" s="18" t="str">
        <f>"0.017"</f>
        <v>0.017</v>
      </c>
      <c r="C9" s="18" t="str">
        <f>"0.044"</f>
        <v>0.044</v>
      </c>
      <c r="D9" s="18" t="str">
        <f>"0.039"</f>
        <v>0.039</v>
      </c>
      <c r="E9" s="18" t="str">
        <f>"0.061"</f>
        <v>0.061</v>
      </c>
      <c r="F9" s="18" t="str">
        <f>"0.000"</f>
        <v>0.000</v>
      </c>
      <c r="G9" s="18" t="str">
        <f>"0.000"</f>
        <v>0.000</v>
      </c>
    </row>
    <row r="10" spans="1:7" x14ac:dyDescent="0.45">
      <c r="A10" s="17" t="str">
        <f>""</f>
        <v/>
      </c>
      <c r="B10" s="18" t="str">
        <f>"(0.133)"</f>
        <v>(0.133)</v>
      </c>
      <c r="C10" s="18" t="str">
        <f>"(0.091)"</f>
        <v>(0.091)</v>
      </c>
      <c r="D10" s="18" t="str">
        <f>"(0.135)"</f>
        <v>(0.135)</v>
      </c>
      <c r="E10" s="18" t="str">
        <f>"(0.091)"</f>
        <v>(0.091)</v>
      </c>
      <c r="F10" s="18" t="str">
        <f>"(0.001)"</f>
        <v>(0.001)</v>
      </c>
      <c r="G10" s="18" t="str">
        <f>"(0.001)"</f>
        <v>(0.001)</v>
      </c>
    </row>
    <row r="11" spans="1:7" x14ac:dyDescent="0.45">
      <c r="A11" s="17" t="s">
        <v>67</v>
      </c>
      <c r="B11" s="18" t="str">
        <f>"-41.697"</f>
        <v>-41.697</v>
      </c>
      <c r="C11" s="18" t="str">
        <f>"-7.458"</f>
        <v>-7.458</v>
      </c>
      <c r="D11" s="18" t="str">
        <f>"-73.533"</f>
        <v>-73.533</v>
      </c>
      <c r="E11" s="18" t="str">
        <f>"-20.900"</f>
        <v>-20.900</v>
      </c>
      <c r="F11" s="18" t="str">
        <f>"-0.767*"</f>
        <v>-0.767*</v>
      </c>
      <c r="G11" s="18" t="str">
        <f>"-0.792*"</f>
        <v>-0.792*</v>
      </c>
    </row>
    <row r="12" spans="1:7" x14ac:dyDescent="0.45">
      <c r="A12" s="17" t="str">
        <f>""</f>
        <v/>
      </c>
      <c r="B12" s="18" t="str">
        <f>"(81.678)"</f>
        <v>(81.678)</v>
      </c>
      <c r="C12" s="18" t="str">
        <f>"(56.211)"</f>
        <v>(56.211)</v>
      </c>
      <c r="D12" s="18" t="str">
        <f>"(82.409)"</f>
        <v>(82.409)</v>
      </c>
      <c r="E12" s="18" t="str">
        <f>"(55.905)"</f>
        <v>(55.905)</v>
      </c>
      <c r="F12" s="18" t="str">
        <f>"(0.357)"</f>
        <v>(0.357)</v>
      </c>
      <c r="G12" s="18" t="str">
        <f>"(0.351)"</f>
        <v>(0.351)</v>
      </c>
    </row>
    <row r="13" spans="1:7" ht="28.95" customHeight="1" x14ac:dyDescent="0.45">
      <c r="A13" s="24" t="s">
        <v>68</v>
      </c>
      <c r="B13" s="23" t="str">
        <f>"-10.312†"</f>
        <v>-10.312†</v>
      </c>
      <c r="C13" s="22" t="str">
        <f>"-5.577"</f>
        <v>-5.577</v>
      </c>
      <c r="D13" s="23" t="str">
        <f>"-11.764*"</f>
        <v>-11.764*</v>
      </c>
      <c r="E13" s="23" t="str">
        <f>"-6.315†"</f>
        <v>-6.315†</v>
      </c>
      <c r="F13" s="22" t="str">
        <f>"-0.033"</f>
        <v>-0.033</v>
      </c>
      <c r="G13" s="22" t="str">
        <f>"-0.033"</f>
        <v>-0.033</v>
      </c>
    </row>
    <row r="14" spans="1:7" x14ac:dyDescent="0.45">
      <c r="A14" s="17" t="str">
        <f>""</f>
        <v/>
      </c>
      <c r="B14" s="18" t="str">
        <f>"(5.311)"</f>
        <v>(5.311)</v>
      </c>
      <c r="C14" s="18" t="str">
        <f>"(3.681)"</f>
        <v>(3.681)</v>
      </c>
      <c r="D14" s="18" t="str">
        <f>"(5.375)"</f>
        <v>(5.375)</v>
      </c>
      <c r="E14" s="18" t="str">
        <f>"(3.674)"</f>
        <v>(3.674)</v>
      </c>
      <c r="F14" s="18" t="str">
        <f>"(0.022)"</f>
        <v>(0.022)</v>
      </c>
      <c r="G14" s="18" t="str">
        <f>"(0.022)"</f>
        <v>(0.022)</v>
      </c>
    </row>
    <row r="15" spans="1:7" ht="30.45" customHeight="1" x14ac:dyDescent="0.45">
      <c r="A15" s="24" t="s">
        <v>69</v>
      </c>
      <c r="B15" s="23" t="str">
        <f>"-7.577†"</f>
        <v>-7.577†</v>
      </c>
      <c r="C15" s="25" t="str">
        <f>"-0.997"</f>
        <v>-0.997</v>
      </c>
      <c r="D15" s="22" t="str">
        <f>""</f>
        <v/>
      </c>
      <c r="E15" s="22" t="str">
        <f>""</f>
        <v/>
      </c>
      <c r="F15" s="22" t="str">
        <f>"0.008"</f>
        <v>0.008</v>
      </c>
      <c r="G15" s="22" t="str">
        <f>""</f>
        <v/>
      </c>
    </row>
    <row r="16" spans="1:7" x14ac:dyDescent="0.45">
      <c r="A16" s="17" t="str">
        <f>""</f>
        <v/>
      </c>
      <c r="B16" s="18" t="str">
        <f>"(3.895)"</f>
        <v>(3.895)</v>
      </c>
      <c r="C16" s="18" t="str">
        <f>"(2.726)"</f>
        <v>(2.726)</v>
      </c>
      <c r="D16" s="18" t="str">
        <f>""</f>
        <v/>
      </c>
      <c r="E16" s="18" t="str">
        <f>""</f>
        <v/>
      </c>
      <c r="F16" s="18" t="str">
        <f>"(0.015)"</f>
        <v>(0.015)</v>
      </c>
      <c r="G16" s="18" t="str">
        <f>""</f>
        <v/>
      </c>
    </row>
    <row r="17" spans="1:7" ht="27" customHeight="1" x14ac:dyDescent="0.45">
      <c r="A17" s="26" t="s">
        <v>70</v>
      </c>
      <c r="B17" s="18" t="str">
        <f>""</f>
        <v/>
      </c>
      <c r="C17" s="18" t="str">
        <f>""</f>
        <v/>
      </c>
      <c r="D17" s="22" t="str">
        <f>"2.962"</f>
        <v>2.962</v>
      </c>
      <c r="E17" s="22" t="str">
        <f>"2.874"</f>
        <v>2.874</v>
      </c>
      <c r="F17" s="18" t="str">
        <f>""</f>
        <v/>
      </c>
      <c r="G17" s="18" t="str">
        <f>"0.014"</f>
        <v>0.014</v>
      </c>
    </row>
    <row r="18" spans="1:7" ht="18.75" customHeight="1" x14ac:dyDescent="0.45">
      <c r="A18" s="26"/>
      <c r="B18" s="18"/>
      <c r="C18" s="18"/>
      <c r="D18" s="22" t="str">
        <f>"(2.791)"</f>
        <v>(2.791)</v>
      </c>
      <c r="E18" s="22" t="str">
        <f>"(1.891)"</f>
        <v>(1.891)</v>
      </c>
      <c r="F18" s="18"/>
      <c r="G18" s="18"/>
    </row>
    <row r="19" spans="1:7" ht="16.95" customHeight="1" x14ac:dyDescent="0.45">
      <c r="A19" s="17" t="str">
        <f>"Workerworkdays"</f>
        <v>Workerworkdays</v>
      </c>
      <c r="B19" s="18" t="str">
        <f>""</f>
        <v/>
      </c>
      <c r="C19" s="20" t="str">
        <f>"562.479***"</f>
        <v>562.479***</v>
      </c>
      <c r="D19" s="18" t="str">
        <f>""</f>
        <v/>
      </c>
      <c r="E19" s="18" t="str">
        <f>"565.110***"</f>
        <v>565.110***</v>
      </c>
      <c r="F19" s="18" t="str">
        <f>"-0.229"</f>
        <v>-0.229</v>
      </c>
      <c r="G19" s="18" t="str">
        <f>"-0.245"</f>
        <v>-0.245</v>
      </c>
    </row>
    <row r="20" spans="1:7" x14ac:dyDescent="0.45">
      <c r="A20" s="17" t="str">
        <f>""</f>
        <v/>
      </c>
      <c r="B20" s="18" t="str">
        <f>""</f>
        <v/>
      </c>
      <c r="C20" s="18" t="str">
        <f>"(42.788)"</f>
        <v>(42.788)</v>
      </c>
      <c r="D20" s="18" t="str">
        <f>""</f>
        <v/>
      </c>
      <c r="E20" s="18" t="str">
        <f>"(41.759)"</f>
        <v>(41.759)</v>
      </c>
      <c r="F20" s="18" t="str">
        <f>"(0.260)"</f>
        <v>(0.260)</v>
      </c>
      <c r="G20" s="18" t="str">
        <f>"(0.255)"</f>
        <v>(0.255)</v>
      </c>
    </row>
    <row r="21" spans="1:7" x14ac:dyDescent="0.45">
      <c r="A21" s="17" t="s">
        <v>71</v>
      </c>
      <c r="B21" s="18" t="str">
        <f>"179.617"</f>
        <v>179.617</v>
      </c>
      <c r="C21" s="18" t="str">
        <f>"-222.438"</f>
        <v>-222.438</v>
      </c>
      <c r="D21" s="18" t="str">
        <f>"179.898"</f>
        <v>179.898</v>
      </c>
      <c r="E21" s="18" t="str">
        <f>"-256.028"</f>
        <v>-256.028</v>
      </c>
      <c r="F21" s="18" t="str">
        <f>"0.405"</f>
        <v>0.405</v>
      </c>
      <c r="G21" s="18" t="str">
        <f>"0.222"</f>
        <v>0.222</v>
      </c>
    </row>
    <row r="22" spans="1:7" x14ac:dyDescent="0.45">
      <c r="A22" s="17" t="str">
        <f>""</f>
        <v/>
      </c>
      <c r="B22" s="18" t="str">
        <f>"(261.445)"</f>
        <v>(261.445)</v>
      </c>
      <c r="C22" s="18" t="str">
        <f>"(182.724)"</f>
        <v>(182.724)</v>
      </c>
      <c r="D22" s="18" t="str">
        <f>"(265.222)"</f>
        <v>(265.222)</v>
      </c>
      <c r="E22" s="18" t="str">
        <f>"(182.845)"</f>
        <v>(182.845)</v>
      </c>
      <c r="F22" s="18" t="str">
        <f>"(1.063)"</f>
        <v>(1.063)</v>
      </c>
      <c r="G22" s="18" t="str">
        <f>"(1.058)"</f>
        <v>(1.058)</v>
      </c>
    </row>
    <row r="23" spans="1:7" x14ac:dyDescent="0.45">
      <c r="A23" s="17" t="s">
        <v>72</v>
      </c>
      <c r="B23" s="18" t="str">
        <f>"103.302"</f>
        <v>103.302</v>
      </c>
      <c r="C23" s="18" t="str">
        <f>"426.166*"</f>
        <v>426.166*</v>
      </c>
      <c r="D23" s="18" t="str">
        <f>"-2.627"</f>
        <v>-2.627</v>
      </c>
      <c r="E23" s="18" t="str">
        <f>"335.342"</f>
        <v>335.342</v>
      </c>
      <c r="F23" s="18" t="str">
        <f>"1.013"</f>
        <v>1.013</v>
      </c>
      <c r="G23" s="18" t="str">
        <f>"0.679"</f>
        <v>0.679</v>
      </c>
    </row>
    <row r="24" spans="1:7" x14ac:dyDescent="0.45">
      <c r="A24" s="17" t="str">
        <f>""</f>
        <v/>
      </c>
      <c r="B24" s="18" t="str">
        <f>"(296.642)"</f>
        <v>(296.642)</v>
      </c>
      <c r="C24" s="18" t="str">
        <f>"(205.878)"</f>
        <v>(205.878)</v>
      </c>
      <c r="D24" s="18" t="str">
        <f>"(312.263)"</f>
        <v>(312.263)</v>
      </c>
      <c r="E24" s="18" t="str">
        <f>"(213.056)"</f>
        <v>(213.056)</v>
      </c>
      <c r="F24" s="18" t="str">
        <f>"(1.244)"</f>
        <v>(1.244)</v>
      </c>
      <c r="G24" s="18" t="str">
        <f>"(1.252)"</f>
        <v>(1.252)</v>
      </c>
    </row>
    <row r="25" spans="1:7" x14ac:dyDescent="0.45">
      <c r="A25" s="17" t="s">
        <v>73</v>
      </c>
      <c r="B25" s="18" t="str">
        <f>"989.365***"</f>
        <v>989.365***</v>
      </c>
      <c r="C25" s="18" t="str">
        <f>"172.301"</f>
        <v>172.301</v>
      </c>
      <c r="D25" s="18" t="str">
        <f>"884.532**"</f>
        <v>884.532**</v>
      </c>
      <c r="E25" s="18" t="str">
        <f>"132.590"</f>
        <v>132.590</v>
      </c>
      <c r="F25" s="18" t="str">
        <f>"-1.257"</f>
        <v>-1.257</v>
      </c>
      <c r="G25" s="18" t="str">
        <f>"-1.260"</f>
        <v>-1.260</v>
      </c>
    </row>
    <row r="26" spans="1:7" x14ac:dyDescent="0.45">
      <c r="A26" s="27" t="str">
        <f>""</f>
        <v/>
      </c>
      <c r="B26" s="18" t="str">
        <f>"(263.579)"</f>
        <v>(263.579)</v>
      </c>
      <c r="C26" s="18" t="str">
        <f>"(191.918)"</f>
        <v>(191.918)</v>
      </c>
      <c r="D26" s="18" t="str">
        <f>"(264.193)"</f>
        <v>(264.193)</v>
      </c>
      <c r="E26" s="18" t="str">
        <f>"(187.661)"</f>
        <v>(187.661)</v>
      </c>
      <c r="F26" s="18" t="str">
        <f>"(1.013)"</f>
        <v>(1.013)</v>
      </c>
      <c r="G26" s="18" t="str">
        <f>"(0.996)"</f>
        <v>(0.996)</v>
      </c>
    </row>
    <row r="27" spans="1:7" x14ac:dyDescent="0.45">
      <c r="A27" s="27">
        <v>2019</v>
      </c>
      <c r="B27" s="18" t="str">
        <f>"598.383**"</f>
        <v>598.383**</v>
      </c>
      <c r="C27" s="18" t="str">
        <f>"643.045***"</f>
        <v>643.045***</v>
      </c>
      <c r="D27" s="18" t="str">
        <f>"663.675**"</f>
        <v>663.675**</v>
      </c>
      <c r="E27" s="18" t="str">
        <f>"683.759***"</f>
        <v>683.759***</v>
      </c>
      <c r="F27" s="18" t="str">
        <f>"."</f>
        <v>.</v>
      </c>
      <c r="G27" s="18" t="str">
        <f>"."</f>
        <v>.</v>
      </c>
    </row>
    <row r="28" spans="1:7" x14ac:dyDescent="0.45">
      <c r="A28" s="27" t="str">
        <f>""</f>
        <v/>
      </c>
      <c r="B28" s="18" t="str">
        <f>"(217.177)"</f>
        <v>(217.177)</v>
      </c>
      <c r="C28" s="18" t="str">
        <f>"(149.677)"</f>
        <v>(149.677)</v>
      </c>
      <c r="D28" s="18" t="str">
        <f>"(221.747)"</f>
        <v>(221.747)</v>
      </c>
      <c r="E28" s="18" t="str">
        <f>"(150.354)"</f>
        <v>(150.354)</v>
      </c>
      <c r="F28" s="18" t="str">
        <f>"."</f>
        <v>.</v>
      </c>
      <c r="G28" s="18" t="str">
        <f>"."</f>
        <v>.</v>
      </c>
    </row>
    <row r="29" spans="1:7" x14ac:dyDescent="0.45">
      <c r="A29" s="27">
        <v>2020</v>
      </c>
      <c r="B29" s="18" t="str">
        <f>"931.670***"</f>
        <v>931.670***</v>
      </c>
      <c r="C29" s="18" t="str">
        <f>"767.184***"</f>
        <v>767.184***</v>
      </c>
      <c r="D29" s="18" t="str">
        <f>"1039.177***"</f>
        <v>1039.177***</v>
      </c>
      <c r="E29" s="18" t="str">
        <f>"793.225***"</f>
        <v>793.225***</v>
      </c>
      <c r="F29" s="18" t="str">
        <f>"2.153**"</f>
        <v>2.153**</v>
      </c>
      <c r="G29" s="18" t="str">
        <f>"2.026**"</f>
        <v>2.026**</v>
      </c>
    </row>
    <row r="30" spans="1:7" x14ac:dyDescent="0.45">
      <c r="A30" s="27" t="str">
        <f>""</f>
        <v/>
      </c>
      <c r="B30" s="18" t="str">
        <f>"(235.411)"</f>
        <v>(235.411)</v>
      </c>
      <c r="C30" s="18" t="str">
        <f>"(162.303)"</f>
        <v>(162.303)</v>
      </c>
      <c r="D30" s="18" t="str">
        <f>"(233.061)"</f>
        <v>(233.061)</v>
      </c>
      <c r="E30" s="18" t="str">
        <f>"(158.749)"</f>
        <v>(158.749)</v>
      </c>
      <c r="F30" s="18" t="str">
        <f>"(0.764)"</f>
        <v>(0.764)</v>
      </c>
      <c r="G30" s="18" t="str">
        <f>"(0.755)"</f>
        <v>(0.755)</v>
      </c>
    </row>
    <row r="31" spans="1:7" x14ac:dyDescent="0.45">
      <c r="A31" s="27">
        <v>2021</v>
      </c>
      <c r="B31" s="18" t="str">
        <f>"882.250**"</f>
        <v>882.250**</v>
      </c>
      <c r="C31" s="18" t="str">
        <f>"1077.986***"</f>
        <v>1077.986***</v>
      </c>
      <c r="D31" s="18" t="str">
        <f>"1060.215***"</f>
        <v>1060.215***</v>
      </c>
      <c r="E31" s="18" t="str">
        <f>"1153.281***"</f>
        <v>1153.281***</v>
      </c>
      <c r="F31" s="18" t="str">
        <f>"1.573"</f>
        <v>1.573</v>
      </c>
      <c r="G31" s="18" t="str">
        <f>"1.629"</f>
        <v>1.629</v>
      </c>
    </row>
    <row r="32" spans="1:7" x14ac:dyDescent="0.45">
      <c r="A32" s="27" t="str">
        <f>""</f>
        <v/>
      </c>
      <c r="B32" s="18" t="str">
        <f>"(284.107)"</f>
        <v>(284.107)</v>
      </c>
      <c r="C32" s="18" t="str">
        <f>"(195.859)"</f>
        <v>(195.859)</v>
      </c>
      <c r="D32" s="18" t="str">
        <f>"(286.096)"</f>
        <v>(286.096)</v>
      </c>
      <c r="E32" s="18" t="str">
        <f>"(193.719)"</f>
        <v>(193.719)</v>
      </c>
      <c r="F32" s="18" t="str">
        <f>"(0.874)"</f>
        <v>(0.874)</v>
      </c>
      <c r="G32" s="18" t="str">
        <f>"(0.858)"</f>
        <v>(0.858)</v>
      </c>
    </row>
    <row r="33" spans="1:7" x14ac:dyDescent="0.45">
      <c r="A33" s="27">
        <v>2022</v>
      </c>
      <c r="B33" s="18" t="str">
        <f>"2535.131***"</f>
        <v>2535.131***</v>
      </c>
      <c r="C33" s="18" t="str">
        <f>"2567.960***"</f>
        <v>2567.960***</v>
      </c>
      <c r="D33" s="18" t="str">
        <f>"2861.185***"</f>
        <v>2861.185***</v>
      </c>
      <c r="E33" s="18" t="str">
        <f>"2709.548***"</f>
        <v>2709.548***</v>
      </c>
      <c r="F33" s="18" t="str">
        <f>"0.010"</f>
        <v>0.010</v>
      </c>
      <c r="G33" s="18" t="str">
        <f>"0.242"</f>
        <v>0.242</v>
      </c>
    </row>
    <row r="34" spans="1:7" x14ac:dyDescent="0.45">
      <c r="A34" s="17" t="str">
        <f>""</f>
        <v/>
      </c>
      <c r="B34" s="18" t="str">
        <f>"(399.064)"</f>
        <v>(399.064)</v>
      </c>
      <c r="C34" s="18" t="str">
        <f>"(274.383)"</f>
        <v>(274.383)</v>
      </c>
      <c r="D34" s="18" t="str">
        <f>"(403.981)"</f>
        <v>(403.981)</v>
      </c>
      <c r="E34" s="18" t="str">
        <f>"(273.640)"</f>
        <v>(273.640)</v>
      </c>
      <c r="F34" s="18" t="str">
        <f>"(1.248)"</f>
        <v>(1.248)</v>
      </c>
      <c r="G34" s="18" t="str">
        <f>"(1.232)"</f>
        <v>(1.232)</v>
      </c>
    </row>
    <row r="35" spans="1:7" x14ac:dyDescent="0.45">
      <c r="A35" s="17" t="str">
        <f>"_cons"</f>
        <v>_cons</v>
      </c>
      <c r="B35" s="18" t="str">
        <f>"9657.562***"</f>
        <v>9657.562***</v>
      </c>
      <c r="C35" s="18" t="str">
        <f>"-4694.530***"</f>
        <v>-4694.530***</v>
      </c>
      <c r="D35" s="18" t="str">
        <f>"10128.114***"</f>
        <v>10128.114***</v>
      </c>
      <c r="E35" s="18" t="str">
        <f>"-4547.230***"</f>
        <v>-4547.230***</v>
      </c>
      <c r="F35" s="18" t="str">
        <f>"20.628**"</f>
        <v>20.628**</v>
      </c>
      <c r="G35" s="18" t="str">
        <f>"21.469**"</f>
        <v>21.469**</v>
      </c>
    </row>
    <row r="36" spans="1:7" x14ac:dyDescent="0.45">
      <c r="A36" s="17" t="str">
        <f>""</f>
        <v/>
      </c>
      <c r="B36" s="18" t="str">
        <f>"(710.571)"</f>
        <v>(710.571)</v>
      </c>
      <c r="C36" s="18" t="str">
        <f>"(1196.061)"</f>
        <v>(1196.061)</v>
      </c>
      <c r="D36" s="18" t="str">
        <f>"(722.261)"</f>
        <v>(722.261)</v>
      </c>
      <c r="E36" s="18" t="str">
        <f>"(1189.463)"</f>
        <v>(1189.463)</v>
      </c>
      <c r="F36" s="18" t="str">
        <f>"(7.228)"</f>
        <v>(7.228)</v>
      </c>
      <c r="G36" s="18" t="str">
        <f>"(7.194)"</f>
        <v>(7.194)</v>
      </c>
    </row>
    <row r="37" spans="1:7" x14ac:dyDescent="0.45">
      <c r="A37" s="17" t="str">
        <f>"N"</f>
        <v>N</v>
      </c>
      <c r="B37" s="18">
        <v>168</v>
      </c>
      <c r="C37" s="18">
        <v>167</v>
      </c>
      <c r="D37" s="18">
        <v>168</v>
      </c>
      <c r="E37" s="18">
        <v>167</v>
      </c>
      <c r="F37" s="18">
        <v>115</v>
      </c>
      <c r="G37" s="18">
        <v>115</v>
      </c>
    </row>
    <row r="38" spans="1:7" x14ac:dyDescent="0.45">
      <c r="A38" s="28" t="s">
        <v>74</v>
      </c>
      <c r="B38" s="29" t="str">
        <f>"0.525"</f>
        <v>0.525</v>
      </c>
      <c r="C38" s="29" t="str">
        <f>"0.778"</f>
        <v>0.778</v>
      </c>
      <c r="D38" s="29" t="str">
        <f>"0.517"</f>
        <v>0.517</v>
      </c>
      <c r="E38" s="29" t="str">
        <f>"0.781"</f>
        <v>0.781</v>
      </c>
      <c r="F38" s="29" t="str">
        <f>"0.255"</f>
        <v>0.255</v>
      </c>
      <c r="G38" s="29" t="str">
        <f>"0.265"</f>
        <v>0.265</v>
      </c>
    </row>
    <row r="39" spans="1:7" x14ac:dyDescent="0.45">
      <c r="A39" s="59" t="s">
        <v>75</v>
      </c>
      <c r="B39" s="59"/>
      <c r="C39" s="59"/>
      <c r="D39" s="59"/>
      <c r="E39" s="59"/>
      <c r="F39" s="59"/>
      <c r="G39" s="59"/>
    </row>
  </sheetData>
  <mergeCells count="4">
    <mergeCell ref="A1:G1"/>
    <mergeCell ref="B2:E2"/>
    <mergeCell ref="F2:G2"/>
    <mergeCell ref="A39:G39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29D4-C68C-4DC3-B13D-6298E7A31CC6}">
  <dimension ref="A1:E7"/>
  <sheetViews>
    <sheetView tabSelected="1" workbookViewId="0">
      <selection activeCell="J7" sqref="J7"/>
    </sheetView>
  </sheetViews>
  <sheetFormatPr defaultRowHeight="14" x14ac:dyDescent="0.45"/>
  <cols>
    <col min="5" max="5" width="9.703125" customWidth="1"/>
  </cols>
  <sheetData>
    <row r="1" spans="1:5" ht="15.35" customHeight="1" x14ac:dyDescent="0.45">
      <c r="A1" s="1" t="s">
        <v>121</v>
      </c>
      <c r="B1" s="10" t="s">
        <v>122</v>
      </c>
      <c r="C1" s="10" t="s">
        <v>123</v>
      </c>
      <c r="D1" s="11" t="s">
        <v>124</v>
      </c>
      <c r="E1" s="11" t="s">
        <v>125</v>
      </c>
    </row>
    <row r="2" spans="1:5" ht="15.7" thickBot="1" x14ac:dyDescent="0.5">
      <c r="A2" s="4" t="s">
        <v>12</v>
      </c>
      <c r="B2" s="8" t="s">
        <v>13</v>
      </c>
      <c r="C2" s="8" t="s">
        <v>14</v>
      </c>
      <c r="D2" s="8" t="s">
        <v>13</v>
      </c>
      <c r="E2" s="8" t="s">
        <v>15</v>
      </c>
    </row>
    <row r="3" spans="1:5" ht="15.7" thickBot="1" x14ac:dyDescent="0.5">
      <c r="A3" s="4" t="s">
        <v>16</v>
      </c>
      <c r="B3" s="8" t="s">
        <v>13</v>
      </c>
      <c r="C3" s="8" t="s">
        <v>14</v>
      </c>
      <c r="D3" s="8" t="s">
        <v>17</v>
      </c>
      <c r="E3" s="8" t="s">
        <v>14</v>
      </c>
    </row>
    <row r="4" spans="1:5" ht="15.7" thickBot="1" x14ac:dyDescent="0.5">
      <c r="A4" s="4" t="s">
        <v>21</v>
      </c>
      <c r="B4" s="8" t="s">
        <v>13</v>
      </c>
      <c r="C4" s="8" t="s">
        <v>14</v>
      </c>
      <c r="D4" s="8" t="s">
        <v>13</v>
      </c>
      <c r="E4" s="8" t="s">
        <v>14</v>
      </c>
    </row>
    <row r="5" spans="1:5" ht="15.7" thickBot="1" x14ac:dyDescent="0.5">
      <c r="A5" s="4" t="s">
        <v>18</v>
      </c>
      <c r="B5" s="8" t="s">
        <v>13</v>
      </c>
      <c r="C5" s="8" t="s">
        <v>14</v>
      </c>
      <c r="D5" s="8" t="s">
        <v>17</v>
      </c>
      <c r="E5" s="8" t="s">
        <v>14</v>
      </c>
    </row>
    <row r="6" spans="1:5" ht="15.7" thickBot="1" x14ac:dyDescent="0.5">
      <c r="A6" s="4" t="s">
        <v>19</v>
      </c>
      <c r="B6" s="8" t="s">
        <v>14</v>
      </c>
      <c r="C6" s="8" t="s">
        <v>15</v>
      </c>
      <c r="D6" s="8" t="s">
        <v>15</v>
      </c>
      <c r="E6" s="8" t="s">
        <v>13</v>
      </c>
    </row>
    <row r="7" spans="1:5" ht="15.7" thickBot="1" x14ac:dyDescent="0.5">
      <c r="A7" s="4" t="s">
        <v>20</v>
      </c>
      <c r="B7" s="8" t="s">
        <v>13</v>
      </c>
      <c r="C7" s="8" t="s">
        <v>14</v>
      </c>
      <c r="D7" s="8" t="s">
        <v>13</v>
      </c>
      <c r="E7" s="8" t="s">
        <v>13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buyer scoring</vt:lpstr>
      <vt:lpstr>variable speci</vt:lpstr>
      <vt:lpstr>results table format</vt:lpstr>
      <vt:lpstr>sample results table</vt:lpstr>
      <vt:lpstr>scoresCleaned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Chunyun Li</dc:creator>
  <cp:lastModifiedBy>Lingyu Zhou</cp:lastModifiedBy>
  <dcterms:created xsi:type="dcterms:W3CDTF">2015-06-05T18:17:20Z</dcterms:created>
  <dcterms:modified xsi:type="dcterms:W3CDTF">2024-10-02T05:31:24Z</dcterms:modified>
</cp:coreProperties>
</file>