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rder sheet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Sheet1!$B$1:$LS$66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6" i="1" l="1"/>
  <c r="U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6" i="1" s="1"/>
  <c r="V6" i="1" s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V12" i="1" s="1"/>
  <c r="U11" i="1"/>
  <c r="U10" i="1"/>
  <c r="V10" i="1" s="1"/>
  <c r="U9" i="1"/>
  <c r="V9" i="1" s="1"/>
  <c r="U8" i="1"/>
  <c r="V8" i="1" s="1"/>
  <c r="U7" i="1"/>
  <c r="V7" i="1" s="1"/>
  <c r="V13" i="1"/>
  <c r="V11" i="1"/>
  <c r="G76" i="1"/>
  <c r="F66" i="1"/>
  <c r="F77" i="1" s="1"/>
  <c r="F76" i="1"/>
  <c r="Q75" i="1" l="1"/>
  <c r="P75" i="1"/>
  <c r="R75" i="1" s="1"/>
  <c r="Q74" i="1"/>
  <c r="P74" i="1"/>
  <c r="R74" i="1" s="1"/>
  <c r="Q73" i="1"/>
  <c r="P73" i="1"/>
  <c r="R73" i="1" s="1"/>
  <c r="Q72" i="1"/>
  <c r="P72" i="1"/>
  <c r="R72" i="1" s="1"/>
  <c r="Q71" i="1"/>
  <c r="P71" i="1"/>
  <c r="R71" i="1" s="1"/>
  <c r="Q70" i="1"/>
  <c r="P70" i="1"/>
  <c r="R70" i="1" s="1"/>
  <c r="Q69" i="1"/>
  <c r="P69" i="1"/>
  <c r="R69" i="1" s="1"/>
  <c r="Q65" i="1"/>
  <c r="P65" i="1"/>
  <c r="R65" i="1" s="1"/>
  <c r="Q64" i="1"/>
  <c r="P64" i="1"/>
  <c r="Q63" i="1"/>
  <c r="P63" i="1"/>
  <c r="Q62" i="1"/>
  <c r="P62" i="1"/>
  <c r="Q61" i="1"/>
  <c r="P61" i="1"/>
  <c r="R61" i="1" s="1"/>
  <c r="Q60" i="1"/>
  <c r="P60" i="1"/>
  <c r="R60" i="1" s="1"/>
  <c r="Q59" i="1"/>
  <c r="P59" i="1"/>
  <c r="R59" i="1" s="1"/>
  <c r="Q58" i="1"/>
  <c r="P58" i="1"/>
  <c r="Q57" i="1"/>
  <c r="P57" i="1"/>
  <c r="Q56" i="1"/>
  <c r="P56" i="1"/>
  <c r="Q55" i="1"/>
  <c r="P55" i="1"/>
  <c r="R55" i="1" s="1"/>
  <c r="Q54" i="1"/>
  <c r="P54" i="1"/>
  <c r="R54" i="1" s="1"/>
  <c r="Q53" i="1"/>
  <c r="P53" i="1"/>
  <c r="R53" i="1" s="1"/>
  <c r="Q52" i="1"/>
  <c r="P52" i="1"/>
  <c r="R52" i="1" s="1"/>
  <c r="Q51" i="1"/>
  <c r="P51" i="1"/>
  <c r="R51" i="1" s="1"/>
  <c r="Q50" i="1"/>
  <c r="P50" i="1"/>
  <c r="R50" i="1" s="1"/>
  <c r="Q49" i="1"/>
  <c r="P49" i="1"/>
  <c r="R49" i="1" s="1"/>
  <c r="Q48" i="1"/>
  <c r="P48" i="1"/>
  <c r="R48" i="1" s="1"/>
  <c r="Q47" i="1"/>
  <c r="P47" i="1"/>
  <c r="R47" i="1" s="1"/>
  <c r="Q46" i="1"/>
  <c r="P46" i="1"/>
  <c r="R46" i="1" s="1"/>
  <c r="Q45" i="1"/>
  <c r="P45" i="1"/>
  <c r="R45" i="1" s="1"/>
  <c r="Q44" i="1"/>
  <c r="P44" i="1"/>
  <c r="R44" i="1" s="1"/>
  <c r="Q43" i="1"/>
  <c r="P43" i="1"/>
  <c r="R43" i="1" s="1"/>
  <c r="Q42" i="1"/>
  <c r="P42" i="1"/>
  <c r="R42" i="1" s="1"/>
  <c r="Q41" i="1"/>
  <c r="P41" i="1"/>
  <c r="R41" i="1" s="1"/>
  <c r="Q40" i="1"/>
  <c r="P40" i="1"/>
  <c r="R40" i="1" s="1"/>
  <c r="Q39" i="1"/>
  <c r="P39" i="1"/>
  <c r="R39" i="1" s="1"/>
  <c r="Q38" i="1"/>
  <c r="P38" i="1"/>
  <c r="R38" i="1" s="1"/>
  <c r="Q37" i="1"/>
  <c r="P37" i="1"/>
  <c r="R37" i="1" s="1"/>
  <c r="Q36" i="1"/>
  <c r="P36" i="1"/>
  <c r="R36" i="1" s="1"/>
  <c r="Q35" i="1"/>
  <c r="P35" i="1"/>
  <c r="R35" i="1" s="1"/>
  <c r="Q34" i="1"/>
  <c r="P34" i="1"/>
  <c r="R34" i="1" s="1"/>
  <c r="Q33" i="1"/>
  <c r="P33" i="1"/>
  <c r="R33" i="1" s="1"/>
  <c r="Q32" i="1"/>
  <c r="P32" i="1"/>
  <c r="R32" i="1" s="1"/>
  <c r="Q31" i="1"/>
  <c r="P31" i="1"/>
  <c r="Q30" i="1"/>
  <c r="P30" i="1"/>
  <c r="R30" i="1" s="1"/>
  <c r="Q29" i="1"/>
  <c r="P29" i="1"/>
  <c r="R29" i="1" s="1"/>
  <c r="Q28" i="1"/>
  <c r="P28" i="1"/>
  <c r="R28" i="1" s="1"/>
  <c r="Q27" i="1"/>
  <c r="P27" i="1"/>
  <c r="R27" i="1" s="1"/>
  <c r="Q26" i="1"/>
  <c r="P26" i="1"/>
  <c r="R26" i="1" s="1"/>
  <c r="Q25" i="1"/>
  <c r="P25" i="1"/>
  <c r="R25" i="1" s="1"/>
  <c r="Q24" i="1"/>
  <c r="P24" i="1"/>
  <c r="R24" i="1" s="1"/>
  <c r="Q23" i="1"/>
  <c r="P23" i="1"/>
  <c r="R23" i="1" s="1"/>
  <c r="Q22" i="1"/>
  <c r="P22" i="1"/>
  <c r="R22" i="1" s="1"/>
  <c r="Q21" i="1"/>
  <c r="P21" i="1"/>
  <c r="R21" i="1" s="1"/>
  <c r="Q20" i="1"/>
  <c r="P20" i="1"/>
  <c r="R20" i="1" s="1"/>
  <c r="Q19" i="1"/>
  <c r="P19" i="1"/>
  <c r="R19" i="1" s="1"/>
  <c r="Q18" i="1"/>
  <c r="P18" i="1"/>
  <c r="R18" i="1" s="1"/>
  <c r="Q17" i="1"/>
  <c r="P17" i="1"/>
  <c r="R17" i="1" s="1"/>
  <c r="Q16" i="1"/>
  <c r="P16" i="1"/>
  <c r="R16" i="1" s="1"/>
  <c r="Q15" i="1"/>
  <c r="P15" i="1"/>
  <c r="R15" i="1" s="1"/>
  <c r="Q14" i="1"/>
  <c r="P14" i="1"/>
  <c r="R14" i="1" s="1"/>
  <c r="Q13" i="1"/>
  <c r="P13" i="1"/>
  <c r="R13" i="1" s="1"/>
  <c r="Q12" i="1"/>
  <c r="P12" i="1"/>
  <c r="R12" i="1" s="1"/>
  <c r="Q11" i="1"/>
  <c r="P11" i="1"/>
  <c r="R11" i="1" s="1"/>
  <c r="Q10" i="1"/>
  <c r="P10" i="1"/>
  <c r="R10" i="1" s="1"/>
  <c r="Q9" i="1"/>
  <c r="P9" i="1"/>
  <c r="R9" i="1" s="1"/>
  <c r="Q8" i="1"/>
  <c r="P8" i="1"/>
  <c r="R8" i="1" s="1"/>
  <c r="Q7" i="1"/>
  <c r="P7" i="1"/>
  <c r="R7" i="1" s="1"/>
  <c r="R6" i="1"/>
  <c r="Q6" i="1"/>
  <c r="P6" i="1"/>
  <c r="N76" i="1"/>
  <c r="I76" i="1"/>
  <c r="M76" i="1"/>
  <c r="N75" i="1"/>
  <c r="N74" i="1"/>
  <c r="N73" i="1"/>
  <c r="N72" i="1"/>
  <c r="N71" i="1"/>
  <c r="N70" i="1"/>
  <c r="N69" i="1"/>
  <c r="K75" i="1"/>
  <c r="K74" i="1"/>
  <c r="K73" i="1"/>
  <c r="K72" i="1"/>
  <c r="K71" i="1"/>
  <c r="K70" i="1"/>
  <c r="M75" i="1"/>
  <c r="M74" i="1"/>
  <c r="M73" i="1"/>
  <c r="M72" i="1"/>
  <c r="M71" i="1"/>
  <c r="M70" i="1"/>
  <c r="M69" i="1"/>
  <c r="K69" i="1"/>
  <c r="N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R62" i="1" l="1"/>
  <c r="R31" i="1"/>
  <c r="R56" i="1"/>
  <c r="R57" i="1"/>
  <c r="R58" i="1"/>
  <c r="R63" i="1"/>
  <c r="R64" i="1"/>
  <c r="N66" i="1"/>
  <c r="N78" i="1" s="1"/>
  <c r="M26" i="1"/>
  <c r="R76" i="1" l="1"/>
  <c r="K24" i="1"/>
  <c r="K21" i="1"/>
  <c r="K20" i="1"/>
  <c r="K19" i="1"/>
  <c r="I66" i="1" l="1"/>
  <c r="K59" i="1"/>
  <c r="K52" i="1"/>
  <c r="K46" i="1"/>
  <c r="K45" i="1"/>
  <c r="K34" i="1"/>
  <c r="K33" i="1"/>
  <c r="K36" i="1"/>
  <c r="K35" i="1"/>
  <c r="K37" i="1"/>
  <c r="K32" i="1"/>
  <c r="K39" i="1"/>
  <c r="K40" i="1"/>
  <c r="K42" i="1"/>
  <c r="K43" i="1"/>
  <c r="K47" i="1"/>
  <c r="K51" i="1"/>
  <c r="K53" i="1"/>
  <c r="K54" i="1"/>
  <c r="K55" i="1"/>
  <c r="K56" i="1"/>
  <c r="K58" i="1"/>
  <c r="K60" i="1" l="1"/>
  <c r="M60" i="1" s="1"/>
  <c r="K64" i="1"/>
  <c r="K63" i="1"/>
  <c r="K65" i="1"/>
  <c r="M65" i="1" s="1"/>
  <c r="K62" i="1"/>
  <c r="K57" i="1"/>
  <c r="K61" i="1"/>
  <c r="K49" i="1"/>
  <c r="K48" i="1"/>
  <c r="K50" i="1"/>
  <c r="K41" i="1"/>
  <c r="M41" i="1" s="1"/>
  <c r="M62" i="1"/>
  <c r="M61" i="1"/>
  <c r="M59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0" i="1"/>
  <c r="M39" i="1"/>
  <c r="M38" i="1"/>
  <c r="M37" i="1"/>
  <c r="M36" i="1"/>
  <c r="M35" i="1"/>
  <c r="M34" i="1"/>
  <c r="M33" i="1"/>
  <c r="M32" i="1"/>
  <c r="K44" i="1"/>
  <c r="K31" i="1" l="1"/>
  <c r="M30" i="1"/>
  <c r="K30" i="1"/>
  <c r="M29" i="1"/>
  <c r="K29" i="1"/>
  <c r="M28" i="1"/>
  <c r="K28" i="1"/>
  <c r="M27" i="1"/>
  <c r="K27" i="1"/>
  <c r="M25" i="1"/>
  <c r="K25" i="1"/>
  <c r="K26" i="1"/>
  <c r="M24" i="1" l="1"/>
  <c r="M23" i="1"/>
  <c r="K23" i="1"/>
  <c r="M22" i="1"/>
  <c r="K22" i="1"/>
  <c r="M21" i="1"/>
  <c r="M20" i="1"/>
  <c r="M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K9" i="1"/>
  <c r="M9" i="1" s="1"/>
  <c r="M8" i="1"/>
  <c r="K8" i="1"/>
  <c r="K6" i="1"/>
  <c r="M6" i="1"/>
  <c r="M7" i="1"/>
  <c r="K7" i="1"/>
  <c r="M66" i="1" l="1"/>
</calcChain>
</file>

<file path=xl/sharedStrings.xml><?xml version="1.0" encoding="utf-8"?>
<sst xmlns="http://schemas.openxmlformats.org/spreadsheetml/2006/main" count="343" uniqueCount="192">
  <si>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</si>
  <si>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</si>
  <si>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</si>
  <si>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</si>
  <si>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</si>
  <si>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</si>
  <si>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</si>
  <si>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</si>
  <si>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</si>
  <si>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t>Order Sheet No. 3594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</si>
  <si>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</si>
  <si>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Cloth</t>
  </si>
  <si>
    <t>Qty</t>
  </si>
  <si>
    <t>U/Price</t>
  </si>
  <si>
    <t>Yello Flat Shoes</t>
  </si>
  <si>
    <t>Shoes</t>
  </si>
  <si>
    <t>35-40</t>
  </si>
  <si>
    <t>140g</t>
  </si>
  <si>
    <t>150g</t>
  </si>
  <si>
    <t>Chiffon mesh wave point long sleeve tops</t>
  </si>
  <si>
    <t>S-L</t>
  </si>
  <si>
    <t>60g</t>
  </si>
  <si>
    <t>70g</t>
  </si>
  <si>
    <t>36-41</t>
  </si>
  <si>
    <t>90g</t>
  </si>
  <si>
    <t>80g</t>
  </si>
  <si>
    <t>Four seasons slope heel shoes</t>
  </si>
  <si>
    <t>92% Nylon 8% spandex lace bra beauty back strap</t>
  </si>
  <si>
    <t>noble lace versatile bra</t>
  </si>
  <si>
    <t>34A-38B</t>
  </si>
  <si>
    <t>10g</t>
  </si>
  <si>
    <t>13g</t>
  </si>
  <si>
    <t>High heel flip-flop sandals</t>
  </si>
  <si>
    <t>36-39</t>
  </si>
  <si>
    <t>180g</t>
  </si>
  <si>
    <t>200g</t>
  </si>
  <si>
    <t>Free Size</t>
  </si>
  <si>
    <t>French style retro lantern sleeve lace tops</t>
  </si>
  <si>
    <t>12g</t>
  </si>
  <si>
    <t>16g</t>
  </si>
  <si>
    <t>HongKong style lantern sleeve chiffon tops</t>
  </si>
  <si>
    <t>Flat flip-flop</t>
  </si>
  <si>
    <t>36-40</t>
  </si>
  <si>
    <t>Cotton slippers moon shoes</t>
  </si>
  <si>
    <t>50g</t>
  </si>
  <si>
    <t>S-M</t>
  </si>
  <si>
    <t>8g</t>
  </si>
  <si>
    <t>Japanese rimless sports thin bra</t>
  </si>
  <si>
    <t>34-36</t>
  </si>
  <si>
    <t>Korean skin wrapped thin bra</t>
  </si>
  <si>
    <t>French retro solid color cardigan</t>
  </si>
  <si>
    <t>S-XXL</t>
  </si>
  <si>
    <t>154g</t>
  </si>
  <si>
    <t>Com</t>
  </si>
  <si>
    <t>S-XXXL</t>
  </si>
  <si>
    <t>40g</t>
  </si>
  <si>
    <t>48g</t>
  </si>
  <si>
    <t>Bubble sleeve short retro tops</t>
  </si>
  <si>
    <t>Summer fashionable women's dress</t>
  </si>
  <si>
    <t>234g</t>
  </si>
  <si>
    <t>241g</t>
  </si>
  <si>
    <t>S-XL</t>
  </si>
  <si>
    <t>145g</t>
  </si>
  <si>
    <t>152g</t>
  </si>
  <si>
    <t>196g</t>
  </si>
  <si>
    <t>204g</t>
  </si>
  <si>
    <t>210g</t>
  </si>
  <si>
    <t>202g</t>
  </si>
  <si>
    <t>35-43</t>
  </si>
  <si>
    <t>Short boots casual shoes</t>
  </si>
  <si>
    <t>440g</t>
  </si>
  <si>
    <t>428g</t>
  </si>
  <si>
    <t>37g</t>
  </si>
  <si>
    <t>45g</t>
  </si>
  <si>
    <t>Fitness slim yoga bra tops</t>
  </si>
  <si>
    <t>54g</t>
  </si>
  <si>
    <t>62g</t>
  </si>
  <si>
    <t>Yoga suit hooded running cover up</t>
  </si>
  <si>
    <t>New versatile thick heel shoes</t>
  </si>
  <si>
    <t>S-XXXXL</t>
  </si>
  <si>
    <t>Chiffon loose wide pants</t>
  </si>
  <si>
    <t>High waist drape casual sports ice silk pants</t>
  </si>
  <si>
    <t>Beauty</t>
  </si>
  <si>
    <t>85g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</si>
  <si>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</si>
  <si>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96g</t>
  </si>
  <si>
    <t>142g</t>
  </si>
  <si>
    <t>133g</t>
  </si>
  <si>
    <t>53g</t>
  </si>
  <si>
    <t>83g</t>
  </si>
  <si>
    <t>110g</t>
  </si>
  <si>
    <t>125g</t>
  </si>
  <si>
    <t>55g</t>
  </si>
  <si>
    <t>63g</t>
  </si>
  <si>
    <t>52g</t>
  </si>
  <si>
    <t>61g</t>
  </si>
  <si>
    <t>64g</t>
  </si>
  <si>
    <t>72g</t>
  </si>
  <si>
    <t>415g</t>
  </si>
  <si>
    <t>385g</t>
  </si>
  <si>
    <t>408g</t>
  </si>
  <si>
    <t>208g</t>
  </si>
  <si>
    <t>223g</t>
  </si>
  <si>
    <t>26g</t>
  </si>
  <si>
    <t>33g</t>
  </si>
  <si>
    <t>24g</t>
  </si>
  <si>
    <t>74g</t>
  </si>
  <si>
    <t>82g</t>
  </si>
  <si>
    <t>14g</t>
  </si>
  <si>
    <t>23g</t>
  </si>
  <si>
    <t>30g</t>
  </si>
  <si>
    <t>Lideal Aloe essence whitening dry power</t>
  </si>
  <si>
    <t>Shade#2</t>
  </si>
  <si>
    <t>Novo eye shadow waterproof</t>
  </si>
  <si>
    <t>Shade#6</t>
  </si>
  <si>
    <t>Ice bag eye shield mask</t>
  </si>
  <si>
    <t>Pink</t>
  </si>
  <si>
    <t>Eyeliner auxiliary paste sticker</t>
  </si>
  <si>
    <t>60pcs</t>
  </si>
  <si>
    <t>2020M</t>
  </si>
  <si>
    <t>Qiwei GM polarized sunglass</t>
  </si>
  <si>
    <t>138g</t>
  </si>
  <si>
    <t xml:space="preserve">U-neck office nap pillow </t>
  </si>
  <si>
    <t>30pcs</t>
  </si>
  <si>
    <t>75g</t>
  </si>
  <si>
    <t>84g</t>
  </si>
  <si>
    <t>V-neck open collar bubble sleeve top</t>
  </si>
  <si>
    <t>240g</t>
  </si>
  <si>
    <t>A-line casual pajamas</t>
  </si>
  <si>
    <t>M-XXXL</t>
  </si>
  <si>
    <t>Korean short sleeve casual suit</t>
  </si>
  <si>
    <t>M-L</t>
  </si>
  <si>
    <t>S-XXXXXL</t>
  </si>
  <si>
    <t>French court style retro top</t>
  </si>
  <si>
    <t>340g</t>
  </si>
  <si>
    <t>365g</t>
  </si>
  <si>
    <t>26-34</t>
  </si>
  <si>
    <t>High waist loose straight pants</t>
  </si>
  <si>
    <t>Original Denim wide leg pants</t>
  </si>
  <si>
    <t>French retro embroidery organza</t>
  </si>
  <si>
    <t>Chiffon shawl for summer</t>
  </si>
  <si>
    <t>Arctic velvet lace bra</t>
  </si>
  <si>
    <t>Versatile V-neck off shoulder short shirt</t>
  </si>
  <si>
    <t>M-XXXXXL</t>
  </si>
  <si>
    <t>Side open wide leg versatile slim pants</t>
  </si>
  <si>
    <t>Sling waistcoat chiffon blouse</t>
  </si>
  <si>
    <t>Korean chic fashion off shoulder lace shirt + bow tie</t>
  </si>
  <si>
    <t>M-XXL</t>
  </si>
  <si>
    <t>Lingerie strapless bottom bra</t>
  </si>
  <si>
    <t>287g</t>
  </si>
  <si>
    <t>295g</t>
  </si>
  <si>
    <t>Backless yoga exercise suit set</t>
  </si>
  <si>
    <t>XS-L</t>
  </si>
  <si>
    <t>diwujie embroidered white shirt</t>
  </si>
  <si>
    <t>Drawstring lace up slim fit short shirt</t>
  </si>
  <si>
    <t>M-XL</t>
  </si>
  <si>
    <t>Floral skirt korean version</t>
  </si>
  <si>
    <t>95g</t>
  </si>
  <si>
    <t>88g</t>
  </si>
  <si>
    <t>2020 retro french shoulder collar top</t>
  </si>
  <si>
    <t>Printed short sleeve shirt</t>
  </si>
  <si>
    <t>Bubble sleeve high waist daisy skirt</t>
  </si>
  <si>
    <t>727g</t>
  </si>
  <si>
    <t>763g</t>
  </si>
  <si>
    <t>Womens british style boots</t>
  </si>
  <si>
    <t>Flat slippers ruffle sandals</t>
  </si>
  <si>
    <t>2020 Korean big flower bow flat transparent jelly sandals</t>
  </si>
  <si>
    <t>58g</t>
  </si>
  <si>
    <t>Chiffon sun proof loose cardigan</t>
  </si>
  <si>
    <t>Female lace dot tops</t>
  </si>
  <si>
    <t>18g</t>
  </si>
  <si>
    <t>Strapless non slip chest wrap</t>
  </si>
  <si>
    <t>15g</t>
  </si>
  <si>
    <t>19g</t>
  </si>
  <si>
    <t>Womens rimlesss strapless bra</t>
  </si>
  <si>
    <t>Product Price</t>
  </si>
  <si>
    <t>35g</t>
  </si>
  <si>
    <t>Eye shadow</t>
  </si>
  <si>
    <t>Extra Order</t>
  </si>
  <si>
    <t>97g</t>
  </si>
  <si>
    <t>25g</t>
  </si>
  <si>
    <t>Free size</t>
  </si>
  <si>
    <t>Freight Cost</t>
  </si>
  <si>
    <t>Commission</t>
  </si>
  <si>
    <t>Total Value</t>
  </si>
  <si>
    <t>Total Order Value:</t>
  </si>
  <si>
    <t>Product Grand Total:</t>
  </si>
  <si>
    <t>152, San Yuan Li, Guangzhou, China - 510403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</si>
  <si>
    <t>Profit</t>
  </si>
  <si>
    <t>Purchase Rate/U</t>
  </si>
  <si>
    <t>Total Purchase</t>
  </si>
  <si>
    <t>RMB to 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</si>
</sst>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৳-845]\ * #,##0.00_ ;_ [$৳-845]\ * \-#,##0.00_ ;_ [$৳-845]\ * &quot;-&quot;??_ ;_ @_ "/>
    <numFmt numFmtId="165" formatCode="_ [$¥-804]* #,##0.00_ ;_ [$¥-804]* \-#,##0.00_ ;_ [$¥-804]* &quot;-&quot;??_ ;_ @_ "/>
  </numFmts>
  <fonts count="4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3F4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patternFill patternType="solid">
        <fgColor rgb="FFCC99FF"/>
        <bgColor indexed="64"/>
      </patternFill>
    </fill>
    <fill>
      <gradientFill degree="90">
        <stop position="0">
          <color theme="8" tint="0.40000610370189521"/>
        </stop>
        <stop position="1">
          <color theme="8" tint="-0.25098422193060094"/>
        </stop>
      </gradientFill>
    </fill>
    <fill>
      <gradientFill degree="90">
        <stop position="0">
          <color theme="7" tint="-0.25098422193060094"/>
        </stop>
        <stop position="1">
          <color theme="7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4" tint="0.59999389629810485"/>
        </stop>
        <stop position="1">
          <color theme="4" tint="0.40000610370189521"/>
        </stop>
      </gradientFill>
    </fill>
    <fill>
      <patternFill patternType="solid">
        <fgColor theme="9" tint="0.59999389629810485"/>
        <bgColor indexed="64"/>
      </patternFill>
    </fill>
    <fill>
      <patternFill patternType="solid">
        <fgColor rgb="FFF093F7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  <fill>
      <gradientFill degree="90">
        <stop position="0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/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thin">
        <color theme="4"/>
      </top>
      <bottom style="double">
        <color theme="4"/>
      </bottom>
      <diagonal/>
    </border>
    <border>
      <left style="double">
        <color theme="4"/>
      </left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/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15">
    <xf numFmtId="0" fontId="0" fillId="0" borderId="0"/>
    <xf numFmtId="0" fontId="21" fillId="11" borderId="0" applyNumberFormat="0" applyBorder="0" applyAlignment="0" applyProtection="0"/>
    <xf numFmtId="0" fontId="12" fillId="0" borderId="17" applyNumberFormat="0" applyFill="0" applyAlignment="0" applyProtection="0"/>
    <xf numFmtId="0" fontId="22" fillId="12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0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2" fillId="34" borderId="16" applyNumberFormat="0" applyAlignment="0" applyProtection="0"/>
    <xf numFmtId="0" fontId="33" fillId="35" borderId="16" applyNumberFormat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7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2" fontId="12" fillId="4" borderId="10" xfId="0" applyNumberFormat="1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2" fontId="12" fillId="7" borderId="10" xfId="0" applyNumberFormat="1" applyFont="1" applyFill="1" applyBorder="1" applyAlignment="1">
      <alignment horizontal="center" vertical="center"/>
    </xf>
    <xf numFmtId="164" fontId="12" fillId="7" borderId="10" xfId="0" applyNumberFormat="1" applyFont="1" applyFill="1" applyBorder="1" applyAlignment="1">
      <alignment horizontal="center" vertical="center"/>
    </xf>
    <xf numFmtId="164" fontId="12" fillId="7" borderId="11" xfId="0" applyNumberFormat="1" applyFont="1" applyFill="1" applyBorder="1" applyAlignment="1">
      <alignment horizontal="center" vertical="center"/>
    </xf>
    <xf numFmtId="164" fontId="12" fillId="4" borderId="13" xfId="0" applyNumberFormat="1" applyFont="1" applyFill="1" applyBorder="1" applyAlignment="1">
      <alignment horizontal="center" vertical="center"/>
    </xf>
    <xf numFmtId="164" fontId="12" fillId="4" borderId="1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0" fontId="12" fillId="9" borderId="10" xfId="0" applyFont="1" applyFill="1" applyBorder="1" applyAlignment="1">
      <alignment horizontal="center" vertical="center"/>
    </xf>
    <xf numFmtId="0" fontId="12" fillId="9" borderId="10" xfId="0" applyFont="1" applyFill="1" applyBorder="1"/>
    <xf numFmtId="2" fontId="12" fillId="9" borderId="10" xfId="0" applyNumberFormat="1" applyFont="1" applyFill="1" applyBorder="1" applyAlignment="1">
      <alignment horizontal="center" vertical="center"/>
    </xf>
    <xf numFmtId="2" fontId="12" fillId="0" borderId="0" xfId="0" applyNumberFormat="1" applyFont="1"/>
    <xf numFmtId="164" fontId="12" fillId="9" borderId="10" xfId="0" applyNumberFormat="1" applyFont="1" applyFill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164" fontId="12" fillId="0" borderId="0" xfId="0" applyNumberFormat="1" applyFont="1"/>
    <xf numFmtId="164" fontId="12" fillId="0" borderId="5" xfId="0" applyNumberFormat="1" applyFont="1" applyBorder="1"/>
    <xf numFmtId="0" fontId="12" fillId="9" borderId="10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/>
    </xf>
    <xf numFmtId="2" fontId="12" fillId="10" borderId="10" xfId="0" applyNumberFormat="1" applyFont="1" applyFill="1" applyBorder="1" applyAlignment="1">
      <alignment horizontal="center" vertical="center"/>
    </xf>
    <xf numFmtId="164" fontId="12" fillId="10" borderId="10" xfId="0" applyNumberFormat="1" applyFont="1" applyFill="1" applyBorder="1" applyAlignment="1">
      <alignment horizontal="center" vertical="center"/>
    </xf>
    <xf numFmtId="164" fontId="12" fillId="10" borderId="11" xfId="0" applyNumberFormat="1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/>
    </xf>
    <xf numFmtId="2" fontId="12" fillId="10" borderId="13" xfId="0" applyNumberFormat="1" applyFont="1" applyFill="1" applyBorder="1" applyAlignment="1">
      <alignment horizontal="center" vertical="center"/>
    </xf>
    <xf numFmtId="164" fontId="12" fillId="10" borderId="13" xfId="0" applyNumberFormat="1" applyFont="1" applyFill="1" applyBorder="1" applyAlignment="1">
      <alignment horizontal="center" vertical="center"/>
    </xf>
    <xf numFmtId="164" fontId="12" fillId="10" borderId="14" xfId="0" applyNumberFormat="1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top"/>
    </xf>
    <xf numFmtId="164" fontId="11" fillId="5" borderId="19" xfId="0" applyNumberFormat="1" applyFont="1" applyFill="1" applyBorder="1" applyAlignment="1">
      <alignment horizontal="center" vertical="center"/>
    </xf>
    <xf numFmtId="164" fontId="12" fillId="8" borderId="20" xfId="0" applyNumberFormat="1" applyFont="1" applyFill="1" applyBorder="1" applyAlignment="1">
      <alignment horizontal="center" vertical="center"/>
    </xf>
    <xf numFmtId="164" fontId="12" fillId="8" borderId="21" xfId="0" applyNumberFormat="1" applyFont="1" applyFill="1" applyBorder="1" applyAlignment="1">
      <alignment horizontal="center" vertical="center"/>
    </xf>
    <xf numFmtId="164" fontId="12" fillId="10" borderId="21" xfId="0" applyNumberFormat="1" applyFont="1" applyFill="1" applyBorder="1" applyAlignment="1">
      <alignment horizontal="center" vertical="center"/>
    </xf>
    <xf numFmtId="164" fontId="12" fillId="8" borderId="22" xfId="0" applyNumberFormat="1" applyFont="1" applyFill="1" applyBorder="1" applyAlignment="1">
      <alignment horizontal="center" vertical="center"/>
    </xf>
    <xf numFmtId="164" fontId="3" fillId="18" borderId="18" xfId="0" applyNumberFormat="1" applyFont="1" applyFill="1" applyBorder="1" applyAlignment="1">
      <alignment vertical="center"/>
    </xf>
    <xf numFmtId="164" fontId="19" fillId="21" borderId="23" xfId="0" applyNumberFormat="1" applyFont="1" applyFill="1" applyBorder="1" applyAlignment="1">
      <alignment horizontal="right" vertical="center"/>
    </xf>
    <xf numFmtId="164" fontId="19" fillId="22" borderId="2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2" fontId="12" fillId="4" borderId="13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/>
    <xf numFmtId="0" fontId="0" fillId="0" borderId="21" xfId="0" applyFill="1" applyBorder="1" applyAlignment="1"/>
    <xf numFmtId="0" fontId="0" fillId="0" borderId="21" xfId="0" applyBorder="1"/>
    <xf numFmtId="0" fontId="0" fillId="0" borderId="22" xfId="0" applyBorder="1"/>
    <xf numFmtId="0" fontId="12" fillId="7" borderId="29" xfId="0" applyFont="1" applyFill="1" applyBorder="1" applyAlignment="1">
      <alignment horizontal="center" vertical="center"/>
    </xf>
    <xf numFmtId="0" fontId="12" fillId="27" borderId="10" xfId="0" applyFont="1" applyFill="1" applyBorder="1" applyAlignment="1">
      <alignment horizontal="center" vertical="center"/>
    </xf>
    <xf numFmtId="0" fontId="12" fillId="27" borderId="10" xfId="0" applyFont="1" applyFill="1" applyBorder="1"/>
    <xf numFmtId="164" fontId="12" fillId="27" borderId="11" xfId="0" applyNumberFormat="1" applyFont="1" applyFill="1" applyBorder="1" applyAlignment="1">
      <alignment horizontal="center" vertical="center"/>
    </xf>
    <xf numFmtId="164" fontId="12" fillId="7" borderId="29" xfId="0" applyNumberFormat="1" applyFont="1" applyFill="1" applyBorder="1" applyAlignment="1">
      <alignment horizontal="center" vertical="center"/>
    </xf>
    <xf numFmtId="164" fontId="12" fillId="27" borderId="10" xfId="0" applyNumberFormat="1" applyFont="1" applyFill="1" applyBorder="1" applyAlignment="1">
      <alignment horizontal="center" vertical="center"/>
    </xf>
    <xf numFmtId="164" fontId="12" fillId="7" borderId="28" xfId="0" applyNumberFormat="1" applyFont="1" applyFill="1" applyBorder="1" applyAlignment="1">
      <alignment horizontal="center" vertical="center"/>
    </xf>
    <xf numFmtId="2" fontId="12" fillId="27" borderId="10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64" fontId="12" fillId="7" borderId="13" xfId="0" applyNumberFormat="1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164" fontId="12" fillId="7" borderId="24" xfId="0" applyNumberFormat="1" applyFont="1" applyFill="1" applyBorder="1" applyAlignment="1">
      <alignment horizontal="center" vertical="center"/>
    </xf>
    <xf numFmtId="0" fontId="12" fillId="7" borderId="29" xfId="0" applyFont="1" applyFill="1" applyBorder="1" applyAlignment="1"/>
    <xf numFmtId="164" fontId="3" fillId="25" borderId="18" xfId="0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27" borderId="13" xfId="0" applyNumberFormat="1" applyFont="1" applyFill="1" applyBorder="1" applyAlignment="1">
      <alignment horizontal="center" vertical="center"/>
    </xf>
    <xf numFmtId="164" fontId="12" fillId="28" borderId="23" xfId="0" applyNumberFormat="1" applyFont="1" applyFill="1" applyBorder="1" applyAlignment="1">
      <alignment horizontal="center" vertical="center"/>
    </xf>
    <xf numFmtId="0" fontId="0" fillId="23" borderId="0" xfId="0" applyFill="1"/>
    <xf numFmtId="0" fontId="12" fillId="23" borderId="0" xfId="0" applyFont="1" applyFill="1" applyAlignment="1">
      <alignment horizontal="center" vertical="center"/>
    </xf>
    <xf numFmtId="0" fontId="12" fillId="23" borderId="0" xfId="0" applyFont="1" applyFill="1"/>
    <xf numFmtId="2" fontId="12" fillId="23" borderId="0" xfId="0" applyNumberFormat="1" applyFont="1" applyFill="1"/>
    <xf numFmtId="164" fontId="12" fillId="23" borderId="0" xfId="0" applyNumberFormat="1" applyFont="1" applyFill="1"/>
    <xf numFmtId="164" fontId="12" fillId="23" borderId="0" xfId="0" applyNumberFormat="1" applyFont="1" applyFill="1" applyAlignment="1">
      <alignment horizontal="center" vertical="center"/>
    </xf>
    <xf numFmtId="164" fontId="12" fillId="23" borderId="26" xfId="0" applyNumberFormat="1" applyFont="1" applyFill="1" applyBorder="1"/>
    <xf numFmtId="0" fontId="2" fillId="26" borderId="0" xfId="0" applyFont="1" applyFill="1" applyBorder="1" applyAlignment="1">
      <alignment vertical="top"/>
    </xf>
    <xf numFmtId="164" fontId="24" fillId="22" borderId="30" xfId="0" applyNumberFormat="1" applyFont="1" applyFill="1" applyBorder="1" applyAlignment="1">
      <alignment horizontal="center" vertical="center"/>
    </xf>
    <xf numFmtId="164" fontId="3" fillId="20" borderId="18" xfId="0" applyNumberFormat="1" applyFont="1" applyFill="1" applyBorder="1" applyAlignment="1">
      <alignment vertical="center"/>
    </xf>
    <xf numFmtId="0" fontId="3" fillId="19" borderId="18" xfId="0" applyFont="1" applyFill="1" applyBorder="1" applyAlignment="1">
      <alignment horizontal="center" vertical="center" wrapText="1"/>
    </xf>
    <xf numFmtId="164" fontId="3" fillId="20" borderId="31" xfId="0" applyNumberFormat="1" applyFont="1" applyFill="1" applyBorder="1" applyAlignment="1">
      <alignment vertical="center"/>
    </xf>
    <xf numFmtId="164" fontId="26" fillId="16" borderId="0" xfId="7" applyNumberFormat="1" applyFont="1" applyBorder="1" applyAlignment="1">
      <alignment horizontal="center" vertical="center"/>
    </xf>
    <xf numFmtId="0" fontId="20" fillId="15" borderId="0" xfId="6" applyBorder="1" applyAlignment="1">
      <alignment vertical="center"/>
    </xf>
    <xf numFmtId="0" fontId="27" fillId="12" borderId="0" xfId="3" applyFont="1" applyBorder="1" applyAlignment="1">
      <alignment horizontal="center" vertical="center"/>
    </xf>
    <xf numFmtId="0" fontId="27" fillId="14" borderId="0" xfId="5" applyFont="1" applyBorder="1" applyAlignment="1">
      <alignment horizontal="center" vertical="center"/>
    </xf>
    <xf numFmtId="0" fontId="27" fillId="17" borderId="0" xfId="8" applyFont="1" applyBorder="1" applyAlignment="1">
      <alignment horizontal="center" vertical="center"/>
    </xf>
    <xf numFmtId="164" fontId="27" fillId="17" borderId="0" xfId="8" applyNumberFormat="1" applyFont="1" applyBorder="1" applyAlignment="1">
      <alignment vertical="center"/>
    </xf>
    <xf numFmtId="164" fontId="12" fillId="0" borderId="0" xfId="0" applyNumberFormat="1" applyFont="1" applyBorder="1"/>
    <xf numFmtId="0" fontId="4" fillId="26" borderId="0" xfId="0" applyFont="1" applyFill="1" applyBorder="1" applyAlignment="1">
      <alignment vertical="center" wrapText="1"/>
    </xf>
    <xf numFmtId="0" fontId="13" fillId="26" borderId="0" xfId="0" applyFont="1" applyFill="1" applyBorder="1" applyAlignment="1">
      <alignment horizontal="center" vertical="center" wrapText="1"/>
    </xf>
    <xf numFmtId="164" fontId="13" fillId="26" borderId="0" xfId="0" applyNumberFormat="1" applyFont="1" applyFill="1" applyBorder="1" applyAlignment="1">
      <alignment vertical="center" wrapText="1"/>
    </xf>
    <xf numFmtId="0" fontId="4" fillId="26" borderId="3" xfId="0" applyFont="1" applyFill="1" applyBorder="1" applyAlignment="1">
      <alignment vertical="center" wrapText="1"/>
    </xf>
    <xf numFmtId="0" fontId="13" fillId="26" borderId="3" xfId="0" applyFont="1" applyFill="1" applyBorder="1" applyAlignment="1">
      <alignment horizontal="center" vertical="center" wrapText="1"/>
    </xf>
    <xf numFmtId="0" fontId="13" fillId="26" borderId="3" xfId="0" applyFont="1" applyFill="1" applyBorder="1" applyAlignment="1">
      <alignment vertical="center" wrapText="1"/>
    </xf>
    <xf numFmtId="164" fontId="13" fillId="26" borderId="3" xfId="0" applyNumberFormat="1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top"/>
    </xf>
    <xf numFmtId="0" fontId="20" fillId="15" borderId="0" xfId="6" applyBorder="1" applyAlignment="1">
      <alignment vertical="top"/>
    </xf>
    <xf numFmtId="164" fontId="25" fillId="29" borderId="32" xfId="2" applyNumberFormat="1" applyFont="1" applyFill="1" applyBorder="1" applyAlignment="1">
      <alignment vertical="center"/>
    </xf>
    <xf numFmtId="164" fontId="1" fillId="30" borderId="33" xfId="4" applyNumberFormat="1" applyFont="1" applyFill="1" applyBorder="1" applyAlignment="1">
      <alignment vertical="center"/>
    </xf>
    <xf numFmtId="164" fontId="25" fillId="31" borderId="34" xfId="2" applyNumberFormat="1" applyFont="1" applyFill="1" applyBorder="1" applyAlignment="1">
      <alignment vertical="center"/>
    </xf>
    <xf numFmtId="0" fontId="25" fillId="29" borderId="32" xfId="2" applyFont="1" applyFill="1" applyBorder="1" applyAlignment="1">
      <alignment vertical="center"/>
    </xf>
    <xf numFmtId="0" fontId="1" fillId="30" borderId="33" xfId="4" applyFont="1" applyFill="1" applyBorder="1" applyAlignment="1">
      <alignment vertical="center"/>
    </xf>
    <xf numFmtId="0" fontId="25" fillId="31" borderId="34" xfId="2" applyFont="1" applyFill="1" applyBorder="1" applyAlignment="1">
      <alignment vertical="center"/>
    </xf>
    <xf numFmtId="0" fontId="20" fillId="2" borderId="0" xfId="6" applyFill="1" applyBorder="1" applyAlignment="1">
      <alignment vertical="center"/>
    </xf>
    <xf numFmtId="0" fontId="12" fillId="0" borderId="35" xfId="0" applyFont="1" applyBorder="1" applyAlignment="1"/>
    <xf numFmtId="2" fontId="12" fillId="7" borderId="29" xfId="0" applyNumberFormat="1" applyFont="1" applyFill="1" applyBorder="1" applyAlignment="1">
      <alignment horizontal="center" vertical="center"/>
    </xf>
    <xf numFmtId="2" fontId="12" fillId="5" borderId="35" xfId="0" applyNumberFormat="1" applyFont="1" applyFill="1" applyBorder="1" applyAlignment="1"/>
    <xf numFmtId="0" fontId="0" fillId="23" borderId="0" xfId="0" applyFill="1" applyBorder="1" applyAlignment="1"/>
    <xf numFmtId="2" fontId="0" fillId="5" borderId="0" xfId="0" applyNumberFormat="1" applyFill="1" applyBorder="1" applyAlignment="1"/>
    <xf numFmtId="2" fontId="12" fillId="38" borderId="0" xfId="0" applyNumberFormat="1" applyFont="1" applyFill="1"/>
    <xf numFmtId="0" fontId="34" fillId="17" borderId="0" xfId="8" applyFont="1" applyBorder="1" applyAlignment="1">
      <alignment horizontal="center" vertical="center"/>
    </xf>
    <xf numFmtId="164" fontId="6" fillId="39" borderId="18" xfId="14" applyNumberFormat="1" applyFont="1" applyFill="1" applyBorder="1" applyAlignment="1">
      <alignment horizontal="center" vertical="center"/>
    </xf>
    <xf numFmtId="164" fontId="3" fillId="25" borderId="18" xfId="0" applyNumberFormat="1" applyFont="1" applyFill="1" applyBorder="1" applyAlignment="1">
      <alignment horizontal="center" vertical="center"/>
    </xf>
    <xf numFmtId="0" fontId="34" fillId="16" borderId="0" xfId="7" applyFont="1" applyBorder="1" applyAlignment="1">
      <alignment horizontal="center" vertical="center"/>
    </xf>
    <xf numFmtId="0" fontId="1" fillId="36" borderId="0" xfId="13" applyFont="1" applyBorder="1" applyAlignment="1">
      <alignment horizontal="center" vertical="center"/>
    </xf>
    <xf numFmtId="164" fontId="3" fillId="40" borderId="18" xfId="0" applyNumberFormat="1" applyFont="1" applyFill="1" applyBorder="1" applyAlignment="1">
      <alignment horizontal="center" vertical="center"/>
    </xf>
    <xf numFmtId="164" fontId="35" fillId="25" borderId="18" xfId="0" applyNumberFormat="1" applyFont="1" applyFill="1" applyBorder="1" applyAlignment="1">
      <alignment horizontal="center" vertical="center"/>
    </xf>
    <xf numFmtId="164" fontId="36" fillId="25" borderId="18" xfId="0" applyNumberFormat="1" applyFont="1" applyFill="1" applyBorder="1" applyAlignment="1">
      <alignment horizontal="center" vertical="center"/>
    </xf>
    <xf numFmtId="0" fontId="37" fillId="35" borderId="37" xfId="12" applyFont="1" applyBorder="1" applyAlignment="1">
      <alignment horizontal="center" vertical="center"/>
    </xf>
    <xf numFmtId="165" fontId="38" fillId="41" borderId="36" xfId="11" applyNumberFormat="1" applyFont="1" applyFill="1" applyBorder="1" applyAlignment="1">
      <alignment horizontal="center" vertical="center"/>
    </xf>
    <xf numFmtId="164" fontId="39" fillId="32" borderId="38" xfId="9" applyNumberFormat="1" applyFont="1" applyBorder="1" applyAlignment="1">
      <alignment horizontal="center" vertical="center"/>
    </xf>
    <xf numFmtId="0" fontId="31" fillId="33" borderId="38" xfId="10" applyBorder="1" applyAlignment="1">
      <alignment vertical="center"/>
    </xf>
    <xf numFmtId="0" fontId="12" fillId="42" borderId="6" xfId="0" applyFont="1" applyFill="1" applyBorder="1" applyAlignment="1">
      <alignment horizontal="center" vertical="center"/>
    </xf>
    <xf numFmtId="0" fontId="12" fillId="42" borderId="7" xfId="0" applyFont="1" applyFill="1" applyBorder="1" applyAlignment="1">
      <alignment horizontal="center" vertical="center"/>
    </xf>
    <xf numFmtId="2" fontId="12" fillId="42" borderId="7" xfId="0" applyNumberFormat="1" applyFont="1" applyFill="1" applyBorder="1" applyAlignment="1">
      <alignment horizontal="center" vertical="center"/>
    </xf>
    <xf numFmtId="164" fontId="12" fillId="42" borderId="7" xfId="0" applyNumberFormat="1" applyFont="1" applyFill="1" applyBorder="1" applyAlignment="1">
      <alignment horizontal="center" vertical="center"/>
    </xf>
    <xf numFmtId="164" fontId="12" fillId="42" borderId="8" xfId="0" applyNumberFormat="1" applyFont="1" applyFill="1" applyBorder="1" applyAlignment="1">
      <alignment horizontal="center" vertical="center"/>
    </xf>
    <xf numFmtId="0" fontId="12" fillId="42" borderId="9" xfId="0" applyFont="1" applyFill="1" applyBorder="1" applyAlignment="1">
      <alignment horizontal="center" vertical="center" wrapText="1"/>
    </xf>
    <xf numFmtId="0" fontId="12" fillId="42" borderId="10" xfId="0" applyFont="1" applyFill="1" applyBorder="1" applyAlignment="1">
      <alignment horizontal="center" vertical="center"/>
    </xf>
    <xf numFmtId="2" fontId="12" fillId="42" borderId="10" xfId="0" applyNumberFormat="1" applyFont="1" applyFill="1" applyBorder="1" applyAlignment="1">
      <alignment horizontal="center" vertical="center"/>
    </xf>
    <xf numFmtId="164" fontId="12" fillId="42" borderId="10" xfId="0" applyNumberFormat="1" applyFont="1" applyFill="1" applyBorder="1" applyAlignment="1">
      <alignment horizontal="center" vertical="center"/>
    </xf>
    <xf numFmtId="164" fontId="12" fillId="42" borderId="11" xfId="0" applyNumberFormat="1" applyFont="1" applyFill="1" applyBorder="1" applyAlignment="1">
      <alignment horizontal="center" vertical="center"/>
    </xf>
    <xf numFmtId="164" fontId="28" fillId="17" borderId="0" xfId="8" applyNumberFormat="1" applyFont="1" applyAlignment="1">
      <alignment horizontal="right" vertical="center"/>
    </xf>
    <xf numFmtId="164" fontId="29" fillId="11" borderId="16" xfId="1" applyNumberFormat="1" applyFont="1" applyBorder="1" applyAlignment="1">
      <alignment horizontal="right" vertical="center"/>
    </xf>
    <xf numFmtId="0" fontId="7" fillId="6" borderId="0" xfId="0" applyFont="1" applyFill="1" applyBorder="1" applyAlignment="1">
      <alignment horizontal="left" vertical="top" indent="49"/>
    </xf>
    <xf numFmtId="0" fontId="2" fillId="26" borderId="0" xfId="0" applyFont="1" applyFill="1" applyBorder="1" applyAlignment="1">
      <alignment horizontal="center" vertical="top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12" fillId="23" borderId="15" xfId="0" applyNumberFormat="1" applyFont="1" applyFill="1" applyBorder="1" applyAlignment="1">
      <alignment horizontal="center"/>
    </xf>
    <xf numFmtId="0" fontId="14" fillId="26" borderId="0" xfId="0" applyFont="1" applyFill="1" applyBorder="1" applyAlignment="1">
      <alignment horizontal="left" vertical="center" wrapText="1" indent="9"/>
    </xf>
    <xf numFmtId="0" fontId="17" fillId="26" borderId="0" xfId="0" applyFont="1" applyFill="1" applyBorder="1" applyAlignment="1">
      <alignment horizontal="left" vertical="center" wrapText="1" indent="9"/>
    </xf>
    <xf numFmtId="0" fontId="18" fillId="26" borderId="3" xfId="0" applyFont="1" applyFill="1" applyBorder="1" applyAlignment="1">
      <alignment horizontal="left" vertical="center" wrapText="1" indent="9"/>
    </xf>
    <xf numFmtId="0" fontId="13" fillId="26" borderId="3" xfId="0" applyFont="1" applyFill="1" applyBorder="1" applyAlignment="1">
      <alignment horizontal="left" vertical="center" wrapText="1" indent="9"/>
    </xf>
    <xf numFmtId="0" fontId="23" fillId="24" borderId="21" xfId="0" applyFont="1" applyFill="1" applyBorder="1" applyAlignment="1">
      <alignment horizontal="center" vertical="center"/>
    </xf>
    <xf numFmtId="0" fontId="23" fillId="24" borderId="25" xfId="0" applyFont="1" applyFill="1" applyBorder="1" applyAlignment="1">
      <alignment horizontal="center" vertical="center"/>
    </xf>
    <xf numFmtId="0" fontId="23" fillId="24" borderId="27" xfId="0" applyFont="1" applyFill="1" applyBorder="1" applyAlignment="1">
      <alignment horizontal="center" vertical="center"/>
    </xf>
  </cellXfs>
  <cellStyles count="15">
    <cellStyle name="20% - Accent3" xfId="6" builtinId="38"/>
    <cellStyle name="40% - Accent1" xfId="4" builtinId="31"/>
    <cellStyle name="40% - Accent4" xfId="13" builtinId="43"/>
    <cellStyle name="40% - Accent6" xfId="14" builtinId="51"/>
    <cellStyle name="Accent1" xfId="3" builtinId="29"/>
    <cellStyle name="Accent2" xfId="5" builtinId="33"/>
    <cellStyle name="Accent5" xfId="7" builtinId="45"/>
    <cellStyle name="Accent6" xfId="8" builtinId="49"/>
    <cellStyle name="Bad" xfId="1" builtinId="27"/>
    <cellStyle name="Calculation" xfId="12" builtinId="22"/>
    <cellStyle name="Good" xfId="9" builtinId="26"/>
    <cellStyle name="Input" xfId="11" builtinId="20"/>
    <cellStyle name="Neutral" xfId="10" builtinId="28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093F7"/>
      <color rgb="FFCC99FF"/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9525</xdr:rowOff>
    </xdr:from>
    <xdr:to>
      <xdr:col>1</xdr:col>
      <xdr:colOff>1371599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343150"/>
          <a:ext cx="1352549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21</xdr:colOff>
      <xdr:row>6</xdr:row>
      <xdr:rowOff>9526</xdr:rowOff>
    </xdr:from>
    <xdr:to>
      <xdr:col>2</xdr:col>
      <xdr:colOff>0</xdr:colOff>
      <xdr:row>6</xdr:row>
      <xdr:rowOff>702468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96" y="3048001"/>
          <a:ext cx="1381104" cy="695324"/>
        </a:xfrm>
        <a:prstGeom prst="rect">
          <a:avLst/>
        </a:prstGeom>
      </xdr:spPr>
    </xdr:pic>
    <xdr:clientData/>
  </xdr:twoCellAnchor>
  <xdr:twoCellAnchor editAs="oneCell">
    <xdr:from>
      <xdr:col>0</xdr:col>
      <xdr:colOff>942974</xdr:colOff>
      <xdr:row>7</xdr:row>
      <xdr:rowOff>0</xdr:rowOff>
    </xdr:from>
    <xdr:to>
      <xdr:col>2</xdr:col>
      <xdr:colOff>2800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4" y="3743325"/>
          <a:ext cx="1381125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8</xdr:row>
      <xdr:rowOff>695325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4448175"/>
          <a:ext cx="13811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1371600</xdr:colOff>
      <xdr:row>9</xdr:row>
      <xdr:rowOff>695325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51530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10</xdr:row>
      <xdr:rowOff>0</xdr:rowOff>
    </xdr:from>
    <xdr:to>
      <xdr:col>1</xdr:col>
      <xdr:colOff>1371599</xdr:colOff>
      <xdr:row>10</xdr:row>
      <xdr:rowOff>695325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9" y="5648325"/>
          <a:ext cx="13620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1371600</xdr:colOff>
      <xdr:row>11</xdr:row>
      <xdr:rowOff>695325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635317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1371600</xdr:colOff>
      <xdr:row>12</xdr:row>
      <xdr:rowOff>695325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70580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12</xdr:colOff>
      <xdr:row>13</xdr:row>
      <xdr:rowOff>0</xdr:rowOff>
    </xdr:from>
    <xdr:to>
      <xdr:col>2</xdr:col>
      <xdr:colOff>2120</xdr:colOff>
      <xdr:row>13</xdr:row>
      <xdr:rowOff>695325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87" y="7762875"/>
          <a:ext cx="1383233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1371600</xdr:colOff>
      <xdr:row>14</xdr:row>
      <xdr:rowOff>695325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84677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1371600</xdr:colOff>
      <xdr:row>15</xdr:row>
      <xdr:rowOff>695325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917257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1371600</xdr:colOff>
      <xdr:row>16</xdr:row>
      <xdr:rowOff>695325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98774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1371600</xdr:colOff>
      <xdr:row>17</xdr:row>
      <xdr:rowOff>685800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058227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1371600</xdr:colOff>
      <xdr:row>21</xdr:row>
      <xdr:rowOff>685800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340167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1371600</xdr:colOff>
      <xdr:row>22</xdr:row>
      <xdr:rowOff>685800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410652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1371600</xdr:colOff>
      <xdr:row>24</xdr:row>
      <xdr:rowOff>685800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551622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1371600</xdr:colOff>
      <xdr:row>26</xdr:row>
      <xdr:rowOff>685800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692592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1371600</xdr:colOff>
      <xdr:row>27</xdr:row>
      <xdr:rowOff>685800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7630775"/>
          <a:ext cx="1371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1371600</xdr:colOff>
      <xdr:row>28</xdr:row>
      <xdr:rowOff>695325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83356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923925</xdr:colOff>
      <xdr:row>29</xdr:row>
      <xdr:rowOff>9525</xdr:rowOff>
    </xdr:from>
    <xdr:to>
      <xdr:col>1</xdr:col>
      <xdr:colOff>1352550</xdr:colOff>
      <xdr:row>29</xdr:row>
      <xdr:rowOff>685800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9050000"/>
          <a:ext cx="137160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1371600</xdr:colOff>
      <xdr:row>30</xdr:row>
      <xdr:rowOff>695325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974532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31</xdr:row>
      <xdr:rowOff>19050</xdr:rowOff>
    </xdr:from>
    <xdr:to>
      <xdr:col>1</xdr:col>
      <xdr:colOff>1371600</xdr:colOff>
      <xdr:row>31</xdr:row>
      <xdr:rowOff>695325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0469225"/>
          <a:ext cx="1352550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32</xdr:row>
      <xdr:rowOff>0</xdr:rowOff>
    </xdr:from>
    <xdr:to>
      <xdr:col>1</xdr:col>
      <xdr:colOff>1375705</xdr:colOff>
      <xdr:row>32</xdr:row>
      <xdr:rowOff>695325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21155025"/>
          <a:ext cx="1366179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33</xdr:row>
      <xdr:rowOff>33772</xdr:rowOff>
    </xdr:from>
    <xdr:to>
      <xdr:col>1</xdr:col>
      <xdr:colOff>1344800</xdr:colOff>
      <xdr:row>33</xdr:row>
      <xdr:rowOff>649475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2286" y="21533861"/>
          <a:ext cx="615703" cy="13352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34</xdr:row>
      <xdr:rowOff>9525</xdr:rowOff>
    </xdr:from>
    <xdr:to>
      <xdr:col>1</xdr:col>
      <xdr:colOff>1354405</xdr:colOff>
      <xdr:row>34</xdr:row>
      <xdr:rowOff>695325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22574250"/>
          <a:ext cx="1306779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32947</xdr:colOff>
      <xdr:row>35</xdr:row>
      <xdr:rowOff>5153</xdr:rowOff>
    </xdr:from>
    <xdr:to>
      <xdr:col>1</xdr:col>
      <xdr:colOff>1313107</xdr:colOff>
      <xdr:row>36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66153" y="22984497"/>
          <a:ext cx="699697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7490</xdr:colOff>
      <xdr:row>36</xdr:row>
      <xdr:rowOff>49662</xdr:rowOff>
    </xdr:from>
    <xdr:to>
      <xdr:col>1</xdr:col>
      <xdr:colOff>1366432</xdr:colOff>
      <xdr:row>36</xdr:row>
      <xdr:rowOff>676278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6628" y="23657924"/>
          <a:ext cx="626616" cy="135894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37</xdr:row>
      <xdr:rowOff>0</xdr:rowOff>
    </xdr:from>
    <xdr:to>
      <xdr:col>2</xdr:col>
      <xdr:colOff>9525</xdr:colOff>
      <xdr:row>37</xdr:row>
      <xdr:rowOff>695325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24679275"/>
          <a:ext cx="13716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38</xdr:row>
      <xdr:rowOff>0</xdr:rowOff>
    </xdr:from>
    <xdr:to>
      <xdr:col>1</xdr:col>
      <xdr:colOff>1371599</xdr:colOff>
      <xdr:row>38</xdr:row>
      <xdr:rowOff>695325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9" y="25384125"/>
          <a:ext cx="1343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39</xdr:row>
      <xdr:rowOff>0</xdr:rowOff>
    </xdr:from>
    <xdr:to>
      <xdr:col>2</xdr:col>
      <xdr:colOff>0</xdr:colOff>
      <xdr:row>39</xdr:row>
      <xdr:rowOff>695325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6088975"/>
          <a:ext cx="1352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38099</xdr:colOff>
      <xdr:row>40</xdr:row>
      <xdr:rowOff>26557</xdr:rowOff>
    </xdr:from>
    <xdr:to>
      <xdr:col>1</xdr:col>
      <xdr:colOff>1364092</xdr:colOff>
      <xdr:row>40</xdr:row>
      <xdr:rowOff>685800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4449" y="26487007"/>
          <a:ext cx="659243" cy="132599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0</xdr:rowOff>
    </xdr:from>
    <xdr:to>
      <xdr:col>1</xdr:col>
      <xdr:colOff>1371600</xdr:colOff>
      <xdr:row>41</xdr:row>
      <xdr:rowOff>695325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7498675"/>
          <a:ext cx="1343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42</xdr:row>
      <xdr:rowOff>0</xdr:rowOff>
    </xdr:from>
    <xdr:to>
      <xdr:col>1</xdr:col>
      <xdr:colOff>1352550</xdr:colOff>
      <xdr:row>42</xdr:row>
      <xdr:rowOff>666750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8203525"/>
          <a:ext cx="1323975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1371600</xdr:colOff>
      <xdr:row>43</xdr:row>
      <xdr:rowOff>685800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28908375"/>
          <a:ext cx="13335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44</xdr:row>
      <xdr:rowOff>0</xdr:rowOff>
    </xdr:from>
    <xdr:to>
      <xdr:col>1</xdr:col>
      <xdr:colOff>1352550</xdr:colOff>
      <xdr:row>44</xdr:row>
      <xdr:rowOff>685800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9613225"/>
          <a:ext cx="1323975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45</xdr:row>
      <xdr:rowOff>0</xdr:rowOff>
    </xdr:from>
    <xdr:to>
      <xdr:col>1</xdr:col>
      <xdr:colOff>1362075</xdr:colOff>
      <xdr:row>45</xdr:row>
      <xdr:rowOff>685800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0318075"/>
          <a:ext cx="13335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46</xdr:row>
      <xdr:rowOff>0</xdr:rowOff>
    </xdr:from>
    <xdr:to>
      <xdr:col>1</xdr:col>
      <xdr:colOff>1362075</xdr:colOff>
      <xdr:row>46</xdr:row>
      <xdr:rowOff>702468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31022925"/>
          <a:ext cx="1333499" cy="7048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0</xdr:rowOff>
    </xdr:from>
    <xdr:to>
      <xdr:col>1</xdr:col>
      <xdr:colOff>1352550</xdr:colOff>
      <xdr:row>47</xdr:row>
      <xdr:rowOff>695325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1727775"/>
          <a:ext cx="13239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31037</xdr:colOff>
      <xdr:row>48</xdr:row>
      <xdr:rowOff>16590</xdr:rowOff>
    </xdr:from>
    <xdr:to>
      <xdr:col>1</xdr:col>
      <xdr:colOff>1343024</xdr:colOff>
      <xdr:row>48</xdr:row>
      <xdr:rowOff>685800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5401" y="32127826"/>
          <a:ext cx="669210" cy="13119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49</xdr:row>
      <xdr:rowOff>0</xdr:rowOff>
    </xdr:from>
    <xdr:to>
      <xdr:col>1</xdr:col>
      <xdr:colOff>1371600</xdr:colOff>
      <xdr:row>49</xdr:row>
      <xdr:rowOff>676275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3137475"/>
          <a:ext cx="1343025" cy="6762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50</xdr:row>
      <xdr:rowOff>0</xdr:rowOff>
    </xdr:from>
    <xdr:to>
      <xdr:col>1</xdr:col>
      <xdr:colOff>1371599</xdr:colOff>
      <xdr:row>50</xdr:row>
      <xdr:rowOff>685800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9" y="33842325"/>
          <a:ext cx="1343025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51</xdr:row>
      <xdr:rowOff>0</xdr:rowOff>
    </xdr:from>
    <xdr:to>
      <xdr:col>2</xdr:col>
      <xdr:colOff>0</xdr:colOff>
      <xdr:row>51</xdr:row>
      <xdr:rowOff>685800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4547175"/>
          <a:ext cx="135255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52</xdr:row>
      <xdr:rowOff>0</xdr:rowOff>
    </xdr:from>
    <xdr:to>
      <xdr:col>1</xdr:col>
      <xdr:colOff>1362075</xdr:colOff>
      <xdr:row>52</xdr:row>
      <xdr:rowOff>685800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5252025"/>
          <a:ext cx="1323975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53</xdr:row>
      <xdr:rowOff>0</xdr:rowOff>
    </xdr:from>
    <xdr:to>
      <xdr:col>1</xdr:col>
      <xdr:colOff>1352550</xdr:colOff>
      <xdr:row>53</xdr:row>
      <xdr:rowOff>685800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5956875"/>
          <a:ext cx="131445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54</xdr:row>
      <xdr:rowOff>38100</xdr:rowOff>
    </xdr:from>
    <xdr:to>
      <xdr:col>1</xdr:col>
      <xdr:colOff>1362075</xdr:colOff>
      <xdr:row>54</xdr:row>
      <xdr:rowOff>676275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6699825"/>
          <a:ext cx="1323975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55</xdr:row>
      <xdr:rowOff>42864</xdr:rowOff>
    </xdr:from>
    <xdr:to>
      <xdr:col>1</xdr:col>
      <xdr:colOff>1366837</xdr:colOff>
      <xdr:row>55</xdr:row>
      <xdr:rowOff>685803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0642" y="37083209"/>
          <a:ext cx="642939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28574</xdr:rowOff>
    </xdr:from>
    <xdr:to>
      <xdr:col>1</xdr:col>
      <xdr:colOff>1362075</xdr:colOff>
      <xdr:row>56</xdr:row>
      <xdr:rowOff>695325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38099999"/>
          <a:ext cx="1333500" cy="66675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57</xdr:row>
      <xdr:rowOff>38100</xdr:rowOff>
    </xdr:from>
    <xdr:to>
      <xdr:col>1</xdr:col>
      <xdr:colOff>1314450</xdr:colOff>
      <xdr:row>57</xdr:row>
      <xdr:rowOff>676275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8814375"/>
          <a:ext cx="1266825" cy="6381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58</xdr:row>
      <xdr:rowOff>19050</xdr:rowOff>
    </xdr:from>
    <xdr:to>
      <xdr:col>1</xdr:col>
      <xdr:colOff>1371600</xdr:colOff>
      <xdr:row>58</xdr:row>
      <xdr:rowOff>685800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39500175"/>
          <a:ext cx="1352550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59</xdr:row>
      <xdr:rowOff>52390</xdr:rowOff>
    </xdr:from>
    <xdr:to>
      <xdr:col>1</xdr:col>
      <xdr:colOff>1328737</xdr:colOff>
      <xdr:row>59</xdr:row>
      <xdr:rowOff>685804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6355" y="39926422"/>
          <a:ext cx="633414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60</xdr:row>
      <xdr:rowOff>19050</xdr:rowOff>
    </xdr:from>
    <xdr:to>
      <xdr:col>1</xdr:col>
      <xdr:colOff>1352550</xdr:colOff>
      <xdr:row>60</xdr:row>
      <xdr:rowOff>685800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40909875"/>
          <a:ext cx="1323975" cy="666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61</xdr:row>
      <xdr:rowOff>19050</xdr:rowOff>
    </xdr:from>
    <xdr:to>
      <xdr:col>1</xdr:col>
      <xdr:colOff>1362075</xdr:colOff>
      <xdr:row>61</xdr:row>
      <xdr:rowOff>676275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41614725"/>
          <a:ext cx="1333500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25719</xdr:colOff>
      <xdr:row>62</xdr:row>
      <xdr:rowOff>21908</xdr:rowOff>
    </xdr:from>
    <xdr:to>
      <xdr:col>1</xdr:col>
      <xdr:colOff>1362075</xdr:colOff>
      <xdr:row>62</xdr:row>
      <xdr:rowOff>657225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9213" y="41971914"/>
          <a:ext cx="635317" cy="1336356"/>
        </a:xfrm>
        <a:prstGeom prst="rect">
          <a:avLst/>
        </a:prstGeom>
      </xdr:spPr>
    </xdr:pic>
    <xdr:clientData/>
  </xdr:twoCellAnchor>
  <xdr:twoCellAnchor editAs="oneCell">
    <xdr:from>
      <xdr:col>1</xdr:col>
      <xdr:colOff>27755</xdr:colOff>
      <xdr:row>63</xdr:row>
      <xdr:rowOff>19870</xdr:rowOff>
    </xdr:from>
    <xdr:to>
      <xdr:col>1</xdr:col>
      <xdr:colOff>1362075</xdr:colOff>
      <xdr:row>63</xdr:row>
      <xdr:rowOff>666750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4450" y="42681525"/>
          <a:ext cx="646880" cy="13343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1362075</xdr:colOff>
      <xdr:row>64</xdr:row>
      <xdr:rowOff>685800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3738800"/>
          <a:ext cx="1323975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40002</xdr:colOff>
      <xdr:row>18</xdr:row>
      <xdr:rowOff>7625</xdr:rowOff>
    </xdr:from>
    <xdr:to>
      <xdr:col>1</xdr:col>
      <xdr:colOff>1362075</xdr:colOff>
      <xdr:row>18</xdr:row>
      <xdr:rowOff>640078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7787" y="10949940"/>
          <a:ext cx="632453" cy="1322073"/>
        </a:xfrm>
        <a:prstGeom prst="rect">
          <a:avLst/>
        </a:prstGeom>
      </xdr:spPr>
    </xdr:pic>
    <xdr:clientData/>
  </xdr:twoCellAnchor>
  <xdr:twoCellAnchor editAs="oneCell">
    <xdr:from>
      <xdr:col>1</xdr:col>
      <xdr:colOff>40298</xdr:colOff>
      <xdr:row>18</xdr:row>
      <xdr:rowOff>674077</xdr:rowOff>
    </xdr:from>
    <xdr:to>
      <xdr:col>1</xdr:col>
      <xdr:colOff>1343025</xdr:colOff>
      <xdr:row>19</xdr:row>
      <xdr:rowOff>602272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8114" y="11626361"/>
          <a:ext cx="633046" cy="1302727"/>
        </a:xfrm>
        <a:prstGeom prst="rect">
          <a:avLst/>
        </a:prstGeom>
      </xdr:spPr>
    </xdr:pic>
    <xdr:clientData/>
  </xdr:twoCellAnchor>
  <xdr:twoCellAnchor editAs="oneCell">
    <xdr:from>
      <xdr:col>1</xdr:col>
      <xdr:colOff>49205</xdr:colOff>
      <xdr:row>19</xdr:row>
      <xdr:rowOff>636595</xdr:rowOff>
    </xdr:from>
    <xdr:to>
      <xdr:col>1</xdr:col>
      <xdr:colOff>1343025</xdr:colOff>
      <xdr:row>20</xdr:row>
      <xdr:rowOff>563555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3185" y="12297565"/>
          <a:ext cx="631810" cy="1293820"/>
        </a:xfrm>
        <a:prstGeom prst="rect">
          <a:avLst/>
        </a:prstGeom>
      </xdr:spPr>
    </xdr:pic>
    <xdr:clientData/>
  </xdr:twoCellAnchor>
  <xdr:twoCellAnchor editAs="oneCell">
    <xdr:from>
      <xdr:col>1</xdr:col>
      <xdr:colOff>30773</xdr:colOff>
      <xdr:row>23</xdr:row>
      <xdr:rowOff>35902</xdr:rowOff>
    </xdr:from>
    <xdr:to>
      <xdr:col>1</xdr:col>
      <xdr:colOff>1343025</xdr:colOff>
      <xdr:row>23</xdr:row>
      <xdr:rowOff>668948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3351" y="14507674"/>
          <a:ext cx="633046" cy="13122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25</xdr:row>
      <xdr:rowOff>0</xdr:rowOff>
    </xdr:from>
    <xdr:to>
      <xdr:col>1</xdr:col>
      <xdr:colOff>1362075</xdr:colOff>
      <xdr:row>25</xdr:row>
      <xdr:rowOff>685800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16221075"/>
          <a:ext cx="1343025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24436</xdr:colOff>
      <xdr:row>68</xdr:row>
      <xdr:rowOff>23193</xdr:rowOff>
    </xdr:from>
    <xdr:to>
      <xdr:col>1</xdr:col>
      <xdr:colOff>1367226</xdr:colOff>
      <xdr:row>68</xdr:row>
      <xdr:rowOff>690566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2738" y="45798391"/>
          <a:ext cx="667373" cy="1342790"/>
        </a:xfrm>
        <a:prstGeom prst="rect">
          <a:avLst/>
        </a:prstGeom>
      </xdr:spPr>
    </xdr:pic>
    <xdr:clientData/>
  </xdr:twoCellAnchor>
  <xdr:twoCellAnchor editAs="oneCell">
    <xdr:from>
      <xdr:col>0</xdr:col>
      <xdr:colOff>936434</xdr:colOff>
      <xdr:row>74</xdr:row>
      <xdr:rowOff>18410</xdr:rowOff>
    </xdr:from>
    <xdr:to>
      <xdr:col>1</xdr:col>
      <xdr:colOff>1357311</xdr:colOff>
      <xdr:row>74</xdr:row>
      <xdr:rowOff>690567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81091" y="50001472"/>
          <a:ext cx="672157" cy="1361471"/>
        </a:xfrm>
        <a:prstGeom prst="rect">
          <a:avLst/>
        </a:prstGeom>
      </xdr:spPr>
    </xdr:pic>
    <xdr:clientData/>
  </xdr:twoCellAnchor>
  <xdr:twoCellAnchor editAs="oneCell">
    <xdr:from>
      <xdr:col>1</xdr:col>
      <xdr:colOff>38685</xdr:colOff>
      <xdr:row>72</xdr:row>
      <xdr:rowOff>37442</xdr:rowOff>
    </xdr:from>
    <xdr:to>
      <xdr:col>2</xdr:col>
      <xdr:colOff>0</xdr:colOff>
      <xdr:row>72</xdr:row>
      <xdr:rowOff>690567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3936" y="48615566"/>
          <a:ext cx="653125" cy="1342440"/>
        </a:xfrm>
        <a:prstGeom prst="rect">
          <a:avLst/>
        </a:prstGeom>
      </xdr:spPr>
    </xdr:pic>
    <xdr:clientData/>
  </xdr:twoCellAnchor>
  <xdr:twoCellAnchor editAs="oneCell">
    <xdr:from>
      <xdr:col>1</xdr:col>
      <xdr:colOff>21998</xdr:colOff>
      <xdr:row>73</xdr:row>
      <xdr:rowOff>20753</xdr:rowOff>
    </xdr:from>
    <xdr:to>
      <xdr:col>1</xdr:col>
      <xdr:colOff>1357312</xdr:colOff>
      <xdr:row>73</xdr:row>
      <xdr:rowOff>678659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1296" y="49307299"/>
          <a:ext cx="657906" cy="1335314"/>
        </a:xfrm>
        <a:prstGeom prst="rect">
          <a:avLst/>
        </a:prstGeom>
      </xdr:spPr>
    </xdr:pic>
    <xdr:clientData/>
  </xdr:twoCellAnchor>
  <xdr:twoCellAnchor editAs="oneCell">
    <xdr:from>
      <xdr:col>1</xdr:col>
      <xdr:colOff>29122</xdr:colOff>
      <xdr:row>69</xdr:row>
      <xdr:rowOff>27879</xdr:rowOff>
    </xdr:from>
    <xdr:to>
      <xdr:col>1</xdr:col>
      <xdr:colOff>1369217</xdr:colOff>
      <xdr:row>69</xdr:row>
      <xdr:rowOff>678660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4373" y="46498597"/>
          <a:ext cx="650781" cy="1340095"/>
        </a:xfrm>
        <a:prstGeom prst="rect">
          <a:avLst/>
        </a:prstGeom>
      </xdr:spPr>
    </xdr:pic>
    <xdr:clientData/>
  </xdr:twoCellAnchor>
  <xdr:twoCellAnchor editAs="oneCell">
    <xdr:from>
      <xdr:col>1</xdr:col>
      <xdr:colOff>48154</xdr:colOff>
      <xdr:row>70</xdr:row>
      <xdr:rowOff>23099</xdr:rowOff>
    </xdr:from>
    <xdr:to>
      <xdr:col>1</xdr:col>
      <xdr:colOff>1357311</xdr:colOff>
      <xdr:row>70</xdr:row>
      <xdr:rowOff>690566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9593" y="47220098"/>
          <a:ext cx="667467" cy="1309157"/>
        </a:xfrm>
        <a:prstGeom prst="rect">
          <a:avLst/>
        </a:prstGeom>
      </xdr:spPr>
    </xdr:pic>
    <xdr:clientData/>
  </xdr:twoCellAnchor>
  <xdr:twoCellAnchor editAs="oneCell">
    <xdr:from>
      <xdr:col>1</xdr:col>
      <xdr:colOff>7654</xdr:colOff>
      <xdr:row>71</xdr:row>
      <xdr:rowOff>18314</xdr:rowOff>
    </xdr:from>
    <xdr:to>
      <xdr:col>1</xdr:col>
      <xdr:colOff>1369217</xdr:colOff>
      <xdr:row>72</xdr:row>
      <xdr:rowOff>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86952" y="47899923"/>
          <a:ext cx="684156" cy="136156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0</xdr:rowOff>
    </xdr:from>
    <xdr:to>
      <xdr:col>2</xdr:col>
      <xdr:colOff>1228726</xdr:colOff>
      <xdr:row>4</xdr:row>
      <xdr:rowOff>171529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0"/>
          <a:ext cx="2600326" cy="2152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topLeftCell="A7" zoomScale="80" zoomScaleNormal="80" workbookViewId="0">
      <selection activeCell="I11" sqref="I11"/>
    </sheetView>
  </sheetViews>
  <sheetFormatPr defaultRowHeight="15" x14ac:dyDescent="0.25"/>
  <cols>
    <col min="1" max="1" width="14.140625" style="28" customWidth="1"/>
    <col min="2" max="2" width="20.7109375" customWidth="1"/>
    <col min="3" max="3" width="21.28515625" style="43" customWidth="1"/>
    <col min="4" max="4" width="11.42578125" style="15" customWidth="1"/>
    <col min="5" max="5" width="10.7109375" style="15" customWidth="1"/>
    <col min="6" max="6" width="9.85546875" style="32" customWidth="1"/>
    <col min="7" max="7" width="10.85546875" style="15" customWidth="1"/>
    <col min="8" max="8" width="10" style="15" customWidth="1"/>
    <col min="9" max="9" width="14.85546875" style="35" customWidth="1"/>
    <col min="10" max="10" width="14.28515625" style="35" customWidth="1"/>
    <col min="11" max="11" width="15.28515625" style="35" customWidth="1"/>
    <col min="12" max="12" width="10.85546875" style="42" customWidth="1"/>
    <col min="13" max="13" width="14" style="36" customWidth="1"/>
    <col min="14" max="14" width="28.140625" customWidth="1"/>
    <col min="15" max="15" width="12.7109375" customWidth="1"/>
    <col min="16" max="16" width="26.5703125" customWidth="1"/>
    <col min="17" max="17" width="26.42578125" customWidth="1"/>
    <col min="18" max="18" width="28.28515625" customWidth="1"/>
    <col min="19" max="24" width="20.7109375" customWidth="1"/>
    <col min="25" max="25" width="17.42578125" customWidth="1"/>
    <col min="26" max="45" width="20.7109375" customWidth="1"/>
  </cols>
  <sheetData>
    <row r="1" spans="1:331" s="2" customFormat="1" ht="10.5" customHeight="1" x14ac:dyDescent="0.25">
      <c r="A1" s="28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</row>
    <row r="2" spans="1:331" s="3" customFormat="1" ht="27" customHeight="1" x14ac:dyDescent="0.25">
      <c r="A2" s="28"/>
      <c r="B2" s="152" t="s">
        <v>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14"/>
      <c r="P2" s="113"/>
      <c r="Q2" s="113"/>
      <c r="R2" s="113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</row>
    <row r="3" spans="1:331" s="4" customFormat="1" ht="30.75" customHeight="1" x14ac:dyDescent="0.25">
      <c r="A3" s="28"/>
      <c r="B3" s="106" t="s">
        <v>10</v>
      </c>
      <c r="C3" s="107"/>
      <c r="D3" s="157" t="s">
        <v>84</v>
      </c>
      <c r="E3" s="158"/>
      <c r="F3" s="158"/>
      <c r="G3" s="158"/>
      <c r="H3" s="158"/>
      <c r="I3" s="158"/>
      <c r="J3" s="108"/>
      <c r="K3" s="108"/>
      <c r="L3" s="108"/>
      <c r="M3" s="108"/>
      <c r="N3" s="94"/>
      <c r="O3" s="114"/>
      <c r="P3" s="153"/>
      <c r="Q3" s="153"/>
      <c r="R3" s="153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</row>
    <row r="4" spans="1:331" s="5" customFormat="1" ht="87.75" customHeight="1" thickBot="1" x14ac:dyDescent="0.3">
      <c r="A4" s="28"/>
      <c r="B4" s="109"/>
      <c r="C4" s="110"/>
      <c r="D4" s="111"/>
      <c r="E4" s="159" t="s">
        <v>187</v>
      </c>
      <c r="F4" s="160"/>
      <c r="G4" s="160"/>
      <c r="H4" s="160"/>
      <c r="I4" s="160"/>
      <c r="J4" s="112"/>
      <c r="K4" s="112"/>
      <c r="L4" s="112"/>
      <c r="M4" s="112"/>
      <c r="N4" s="94"/>
      <c r="O4" s="114"/>
      <c r="P4" s="153"/>
      <c r="Q4" s="153"/>
      <c r="R4" s="153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  <c r="IT4" s="55"/>
      <c r="IU4" s="55"/>
      <c r="IV4" s="55"/>
      <c r="IW4" s="55"/>
      <c r="IX4" s="55"/>
      <c r="IY4" s="55"/>
      <c r="IZ4" s="55"/>
      <c r="JA4" s="55"/>
      <c r="JB4" s="55"/>
      <c r="JC4" s="55"/>
      <c r="JD4" s="55"/>
      <c r="JE4" s="55"/>
      <c r="JF4" s="55"/>
      <c r="JG4" s="55"/>
      <c r="JH4" s="55"/>
      <c r="JI4" s="55"/>
      <c r="JJ4" s="55"/>
      <c r="JK4" s="55"/>
      <c r="JL4" s="55"/>
      <c r="JM4" s="55"/>
      <c r="JN4" s="55"/>
      <c r="JO4" s="55"/>
      <c r="JP4" s="55"/>
      <c r="JQ4" s="55"/>
      <c r="JR4" s="55"/>
      <c r="JS4" s="55"/>
      <c r="JT4" s="55"/>
      <c r="JU4" s="55"/>
      <c r="JV4" s="55"/>
      <c r="JW4" s="55"/>
      <c r="JX4" s="55"/>
      <c r="JY4" s="55"/>
      <c r="JZ4" s="55"/>
      <c r="KA4" s="55"/>
      <c r="KB4" s="55"/>
      <c r="KC4" s="55"/>
      <c r="KD4" s="55"/>
      <c r="KE4" s="55"/>
      <c r="KF4" s="55"/>
      <c r="KG4" s="55"/>
      <c r="KH4" s="55"/>
      <c r="KI4" s="55"/>
      <c r="KJ4" s="55"/>
      <c r="KK4" s="55"/>
      <c r="KL4" s="55"/>
      <c r="KM4" s="55"/>
      <c r="KN4" s="55"/>
      <c r="KO4" s="55"/>
      <c r="KP4" s="55"/>
      <c r="KQ4" s="55"/>
      <c r="KR4" s="55"/>
      <c r="KS4" s="55"/>
      <c r="KT4" s="55"/>
      <c r="KU4" s="55"/>
      <c r="KV4" s="55"/>
      <c r="KW4" s="55"/>
      <c r="KX4" s="55"/>
      <c r="KY4" s="55"/>
      <c r="KZ4" s="55"/>
      <c r="LA4" s="55"/>
      <c r="LB4" s="55"/>
      <c r="LC4" s="55"/>
      <c r="LD4" s="55"/>
      <c r="LE4" s="55"/>
      <c r="LF4" s="55"/>
      <c r="LG4" s="55"/>
      <c r="LH4" s="55"/>
      <c r="LI4" s="55"/>
      <c r="LJ4" s="55"/>
      <c r="LK4" s="55"/>
      <c r="LL4" s="55"/>
      <c r="LM4" s="55"/>
      <c r="LN4" s="55"/>
      <c r="LO4" s="55"/>
      <c r="LP4" s="55"/>
      <c r="LQ4" s="55"/>
      <c r="LR4" s="55"/>
      <c r="LS4" s="55"/>
    </row>
    <row r="5" spans="1:331" s="6" customFormat="1" ht="35.25" customHeight="1" thickTop="1" thickBot="1" x14ac:dyDescent="0.3">
      <c r="A5" s="28"/>
      <c r="B5" s="10" t="s">
        <v>3</v>
      </c>
      <c r="C5" s="10" t="s">
        <v>0</v>
      </c>
      <c r="D5" s="10" t="s">
        <v>1</v>
      </c>
      <c r="E5" s="10" t="s">
        <v>2</v>
      </c>
      <c r="F5" s="13" t="s">
        <v>12</v>
      </c>
      <c r="G5" s="10" t="s">
        <v>4</v>
      </c>
      <c r="H5" s="10" t="s">
        <v>5</v>
      </c>
      <c r="I5" s="11" t="s">
        <v>13</v>
      </c>
      <c r="J5" s="12" t="s">
        <v>6</v>
      </c>
      <c r="K5" s="14" t="s">
        <v>8</v>
      </c>
      <c r="L5" s="12" t="s">
        <v>53</v>
      </c>
      <c r="M5" s="56" t="s">
        <v>7</v>
      </c>
      <c r="N5" s="97" t="s">
        <v>175</v>
      </c>
      <c r="O5" s="100"/>
      <c r="P5" s="102" t="s">
        <v>182</v>
      </c>
      <c r="Q5" s="101" t="s">
        <v>183</v>
      </c>
      <c r="R5" s="103" t="s">
        <v>184</v>
      </c>
      <c r="S5" s="55"/>
      <c r="T5" s="132" t="s">
        <v>189</v>
      </c>
      <c r="U5" s="128" t="s">
        <v>190</v>
      </c>
      <c r="V5" s="131" t="s">
        <v>188</v>
      </c>
      <c r="W5" s="55"/>
      <c r="X5" s="55"/>
      <c r="Y5" s="136" t="s">
        <v>191</v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</row>
    <row r="6" spans="1:331" ht="55.5" customHeight="1" thickTop="1" thickBot="1" x14ac:dyDescent="0.3">
      <c r="B6" s="9"/>
      <c r="C6" s="140" t="s">
        <v>14</v>
      </c>
      <c r="D6" s="141" t="s">
        <v>15</v>
      </c>
      <c r="E6" s="141" t="s">
        <v>16</v>
      </c>
      <c r="F6" s="142">
        <v>17</v>
      </c>
      <c r="G6" s="141" t="s">
        <v>17</v>
      </c>
      <c r="H6" s="141" t="s">
        <v>18</v>
      </c>
      <c r="I6" s="143">
        <v>235</v>
      </c>
      <c r="J6" s="143">
        <v>650</v>
      </c>
      <c r="K6" s="143">
        <f>J6*0.15</f>
        <v>97.5</v>
      </c>
      <c r="L6" s="144">
        <v>8</v>
      </c>
      <c r="M6" s="57">
        <f t="shared" ref="M6:M65" si="0">I6+K6+L6</f>
        <v>340.5</v>
      </c>
      <c r="N6" s="61">
        <f>F6*I6</f>
        <v>3995</v>
      </c>
      <c r="O6" s="100"/>
      <c r="P6" s="115">
        <f>F6*K6</f>
        <v>1657.5</v>
      </c>
      <c r="Q6" s="116">
        <f>F6*L6</f>
        <v>136</v>
      </c>
      <c r="R6" s="117">
        <f>N6+P6+Q6</f>
        <v>5788.5</v>
      </c>
      <c r="S6" s="8"/>
      <c r="T6" s="133">
        <f>Y6*12.5</f>
        <v>112.5</v>
      </c>
      <c r="U6" s="129">
        <f>F6*T6</f>
        <v>1912.5</v>
      </c>
      <c r="V6" s="135">
        <f>N6-U6</f>
        <v>2082.5</v>
      </c>
      <c r="W6" s="8"/>
      <c r="X6" s="8"/>
      <c r="Y6" s="137">
        <v>9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331" ht="55.5" customHeight="1" thickTop="1" thickBot="1" x14ac:dyDescent="0.3">
      <c r="B7" s="1"/>
      <c r="C7" s="145" t="s">
        <v>19</v>
      </c>
      <c r="D7" s="146" t="s">
        <v>11</v>
      </c>
      <c r="E7" s="146" t="s">
        <v>20</v>
      </c>
      <c r="F7" s="147">
        <v>2</v>
      </c>
      <c r="G7" s="146" t="s">
        <v>21</v>
      </c>
      <c r="H7" s="146" t="s">
        <v>22</v>
      </c>
      <c r="I7" s="148">
        <v>512</v>
      </c>
      <c r="J7" s="148">
        <v>750</v>
      </c>
      <c r="K7" s="148">
        <f>J7*0.07</f>
        <v>52.500000000000007</v>
      </c>
      <c r="L7" s="149">
        <v>15</v>
      </c>
      <c r="M7" s="58">
        <f t="shared" si="0"/>
        <v>579.5</v>
      </c>
      <c r="N7" s="61">
        <f>F7*I7</f>
        <v>1024</v>
      </c>
      <c r="O7" s="100"/>
      <c r="P7" s="115">
        <f t="shared" ref="P7:P65" si="1">F7*K7</f>
        <v>105.00000000000001</v>
      </c>
      <c r="Q7" s="116">
        <f t="shared" ref="Q7:Q65" si="2">F7*L7</f>
        <v>30</v>
      </c>
      <c r="R7" s="117">
        <f t="shared" ref="R7:R65" si="3">N7+P7+Q7</f>
        <v>1159</v>
      </c>
      <c r="S7" s="8"/>
      <c r="T7" s="133">
        <f>Y7*12.5</f>
        <v>425</v>
      </c>
      <c r="U7" s="129">
        <f>F7*T7</f>
        <v>850</v>
      </c>
      <c r="V7" s="134">
        <f t="shared" ref="V7:V13" si="4">N7-U7</f>
        <v>174</v>
      </c>
      <c r="W7" s="8"/>
      <c r="X7" s="8"/>
      <c r="Y7" s="137">
        <v>34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</row>
    <row r="8" spans="1:331" ht="55.5" customHeight="1" thickTop="1" thickBot="1" x14ac:dyDescent="0.3">
      <c r="B8" s="1"/>
      <c r="C8" s="145" t="s">
        <v>26</v>
      </c>
      <c r="D8" s="146" t="s">
        <v>15</v>
      </c>
      <c r="E8" s="146" t="s">
        <v>23</v>
      </c>
      <c r="F8" s="147">
        <v>2</v>
      </c>
      <c r="G8" s="146" t="s">
        <v>25</v>
      </c>
      <c r="H8" s="146" t="s">
        <v>24</v>
      </c>
      <c r="I8" s="148">
        <v>159.5</v>
      </c>
      <c r="J8" s="148">
        <v>650</v>
      </c>
      <c r="K8" s="148">
        <f>J8*0.09</f>
        <v>58.5</v>
      </c>
      <c r="L8" s="149">
        <v>8</v>
      </c>
      <c r="M8" s="58">
        <f t="shared" si="0"/>
        <v>226</v>
      </c>
      <c r="N8" s="61">
        <f t="shared" ref="N8:N65" si="5">F8*I8</f>
        <v>319</v>
      </c>
      <c r="O8" s="100"/>
      <c r="P8" s="115">
        <f t="shared" si="1"/>
        <v>117</v>
      </c>
      <c r="Q8" s="116">
        <f t="shared" si="2"/>
        <v>16</v>
      </c>
      <c r="R8" s="117">
        <f t="shared" si="3"/>
        <v>452</v>
      </c>
      <c r="S8" s="8"/>
      <c r="T8" s="133">
        <f t="shared" ref="T8:T71" si="6">Y8*12.5</f>
        <v>86.625</v>
      </c>
      <c r="U8" s="129">
        <f t="shared" ref="U8:U71" si="7">F8*T8</f>
        <v>173.25</v>
      </c>
      <c r="V8" s="135">
        <f t="shared" si="4"/>
        <v>145.75</v>
      </c>
      <c r="W8" s="8"/>
      <c r="X8" s="8"/>
      <c r="Y8" s="137">
        <v>6.93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331" ht="55.5" customHeight="1" thickTop="1" thickBot="1" x14ac:dyDescent="0.3">
      <c r="B9" s="1"/>
      <c r="C9" s="145" t="s">
        <v>27</v>
      </c>
      <c r="D9" s="146" t="s">
        <v>11</v>
      </c>
      <c r="E9" s="146" t="s">
        <v>20</v>
      </c>
      <c r="F9" s="147">
        <v>6</v>
      </c>
      <c r="G9" s="146" t="s">
        <v>30</v>
      </c>
      <c r="H9" s="146" t="s">
        <v>31</v>
      </c>
      <c r="I9" s="148">
        <v>160</v>
      </c>
      <c r="J9" s="148">
        <v>750</v>
      </c>
      <c r="K9" s="148">
        <f>J9*0.013</f>
        <v>9.75</v>
      </c>
      <c r="L9" s="149">
        <v>6</v>
      </c>
      <c r="M9" s="58">
        <f t="shared" si="0"/>
        <v>175.75</v>
      </c>
      <c r="N9" s="61">
        <f t="shared" si="5"/>
        <v>960</v>
      </c>
      <c r="O9" s="100"/>
      <c r="P9" s="115">
        <f t="shared" si="1"/>
        <v>58.5</v>
      </c>
      <c r="Q9" s="116">
        <f t="shared" si="2"/>
        <v>36</v>
      </c>
      <c r="R9" s="117">
        <f t="shared" si="3"/>
        <v>1054.5</v>
      </c>
      <c r="S9" s="8"/>
      <c r="T9" s="133">
        <f t="shared" si="6"/>
        <v>60</v>
      </c>
      <c r="U9" s="129">
        <f t="shared" si="7"/>
        <v>360</v>
      </c>
      <c r="V9" s="135">
        <f t="shared" si="4"/>
        <v>600</v>
      </c>
      <c r="W9" s="8"/>
      <c r="X9" s="8"/>
      <c r="Y9" s="137">
        <v>4.8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331" ht="55.5" customHeight="1" thickTop="1" thickBot="1" x14ac:dyDescent="0.3">
      <c r="B10" s="1"/>
      <c r="C10" s="145" t="s">
        <v>28</v>
      </c>
      <c r="D10" s="146" t="s">
        <v>11</v>
      </c>
      <c r="E10" s="146" t="s">
        <v>29</v>
      </c>
      <c r="F10" s="147">
        <v>6</v>
      </c>
      <c r="G10" s="146" t="s">
        <v>30</v>
      </c>
      <c r="H10" s="146" t="s">
        <v>31</v>
      </c>
      <c r="I10" s="148">
        <v>212.5</v>
      </c>
      <c r="J10" s="148">
        <v>750</v>
      </c>
      <c r="K10" s="148">
        <f>J10*0.013</f>
        <v>9.75</v>
      </c>
      <c r="L10" s="149">
        <v>6</v>
      </c>
      <c r="M10" s="58">
        <f t="shared" si="0"/>
        <v>228.25</v>
      </c>
      <c r="N10" s="61">
        <f t="shared" si="5"/>
        <v>1275</v>
      </c>
      <c r="O10" s="100"/>
      <c r="P10" s="115">
        <f t="shared" si="1"/>
        <v>58.5</v>
      </c>
      <c r="Q10" s="116">
        <f t="shared" si="2"/>
        <v>36</v>
      </c>
      <c r="R10" s="117">
        <f t="shared" si="3"/>
        <v>1369.5</v>
      </c>
      <c r="S10" s="8"/>
      <c r="T10" s="133">
        <f t="shared" si="6"/>
        <v>0</v>
      </c>
      <c r="U10" s="129">
        <f t="shared" si="7"/>
        <v>0</v>
      </c>
      <c r="V10" s="135">
        <f t="shared" si="4"/>
        <v>1275</v>
      </c>
      <c r="W10" s="8"/>
      <c r="X10" s="8"/>
      <c r="Y10" s="137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331" ht="55.5" customHeight="1" thickTop="1" thickBot="1" x14ac:dyDescent="0.3">
      <c r="B11" s="1"/>
      <c r="C11" s="39" t="s">
        <v>32</v>
      </c>
      <c r="D11" s="18" t="s">
        <v>15</v>
      </c>
      <c r="E11" s="18" t="s">
        <v>33</v>
      </c>
      <c r="F11" s="23">
        <v>2</v>
      </c>
      <c r="G11" s="18" t="s">
        <v>34</v>
      </c>
      <c r="H11" s="18" t="s">
        <v>35</v>
      </c>
      <c r="I11" s="24">
        <v>187.5</v>
      </c>
      <c r="J11" s="24">
        <v>650</v>
      </c>
      <c r="K11" s="24">
        <f>J11*0.2</f>
        <v>130</v>
      </c>
      <c r="L11" s="25">
        <v>8</v>
      </c>
      <c r="M11" s="58">
        <f t="shared" si="0"/>
        <v>325.5</v>
      </c>
      <c r="N11" s="61">
        <f t="shared" si="5"/>
        <v>375</v>
      </c>
      <c r="O11" s="100"/>
      <c r="P11" s="115">
        <f t="shared" si="1"/>
        <v>260</v>
      </c>
      <c r="Q11" s="116">
        <f t="shared" si="2"/>
        <v>16</v>
      </c>
      <c r="R11" s="117">
        <f t="shared" si="3"/>
        <v>651</v>
      </c>
      <c r="S11" s="8"/>
      <c r="T11" s="133">
        <f t="shared" si="6"/>
        <v>0</v>
      </c>
      <c r="U11" s="129">
        <f t="shared" si="7"/>
        <v>0</v>
      </c>
      <c r="V11" s="135">
        <f t="shared" si="4"/>
        <v>375</v>
      </c>
      <c r="W11" s="8"/>
      <c r="X11" s="8"/>
      <c r="Y11" s="137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331" ht="55.5" customHeight="1" thickTop="1" thickBot="1" x14ac:dyDescent="0.3">
      <c r="B12" s="1"/>
      <c r="C12" s="38" t="s">
        <v>37</v>
      </c>
      <c r="D12" s="17" t="s">
        <v>11</v>
      </c>
      <c r="E12" s="17" t="s">
        <v>36</v>
      </c>
      <c r="F12" s="20">
        <v>4</v>
      </c>
      <c r="G12" s="17" t="s">
        <v>38</v>
      </c>
      <c r="H12" s="17" t="s">
        <v>39</v>
      </c>
      <c r="I12" s="21">
        <v>350</v>
      </c>
      <c r="J12" s="21">
        <v>750</v>
      </c>
      <c r="K12" s="21">
        <f>J12*0.016</f>
        <v>12</v>
      </c>
      <c r="L12" s="22">
        <v>15</v>
      </c>
      <c r="M12" s="58">
        <f t="shared" si="0"/>
        <v>377</v>
      </c>
      <c r="N12" s="61">
        <f t="shared" si="5"/>
        <v>1400</v>
      </c>
      <c r="O12" s="100"/>
      <c r="P12" s="115">
        <f t="shared" si="1"/>
        <v>48</v>
      </c>
      <c r="Q12" s="116">
        <f t="shared" si="2"/>
        <v>60</v>
      </c>
      <c r="R12" s="117">
        <f t="shared" si="3"/>
        <v>1508</v>
      </c>
      <c r="S12" s="8"/>
      <c r="T12" s="133">
        <f t="shared" si="6"/>
        <v>0</v>
      </c>
      <c r="U12" s="129">
        <f t="shared" si="7"/>
        <v>0</v>
      </c>
      <c r="V12" s="135">
        <f t="shared" si="4"/>
        <v>1400</v>
      </c>
      <c r="W12" s="8"/>
      <c r="X12" s="8"/>
      <c r="Y12" s="137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</row>
    <row r="13" spans="1:331" ht="55.5" customHeight="1" thickTop="1" thickBot="1" x14ac:dyDescent="0.3">
      <c r="B13" s="1"/>
      <c r="C13" s="38" t="s">
        <v>40</v>
      </c>
      <c r="D13" s="17" t="s">
        <v>11</v>
      </c>
      <c r="E13" s="17" t="s">
        <v>36</v>
      </c>
      <c r="F13" s="20">
        <v>7</v>
      </c>
      <c r="G13" s="17" t="s">
        <v>38</v>
      </c>
      <c r="H13" s="17" t="s">
        <v>39</v>
      </c>
      <c r="I13" s="21">
        <v>375</v>
      </c>
      <c r="J13" s="21">
        <v>750</v>
      </c>
      <c r="K13" s="21">
        <f>J13*0.016</f>
        <v>12</v>
      </c>
      <c r="L13" s="22">
        <v>15</v>
      </c>
      <c r="M13" s="58">
        <f t="shared" si="0"/>
        <v>402</v>
      </c>
      <c r="N13" s="61">
        <f t="shared" si="5"/>
        <v>2625</v>
      </c>
      <c r="O13" s="100"/>
      <c r="P13" s="115">
        <f t="shared" si="1"/>
        <v>84</v>
      </c>
      <c r="Q13" s="116">
        <f t="shared" si="2"/>
        <v>105</v>
      </c>
      <c r="R13" s="117">
        <f t="shared" si="3"/>
        <v>2814</v>
      </c>
      <c r="S13" s="8"/>
      <c r="T13" s="133">
        <f t="shared" si="6"/>
        <v>0</v>
      </c>
      <c r="U13" s="129">
        <f t="shared" si="7"/>
        <v>0</v>
      </c>
      <c r="V13" s="135">
        <f t="shared" si="4"/>
        <v>2625</v>
      </c>
      <c r="W13" s="8"/>
      <c r="X13" s="8"/>
      <c r="Y13" s="137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</row>
    <row r="14" spans="1:331" ht="55.5" customHeight="1" thickTop="1" thickBot="1" x14ac:dyDescent="0.3">
      <c r="B14" s="1"/>
      <c r="C14" s="40" t="s">
        <v>41</v>
      </c>
      <c r="D14" s="18" t="s">
        <v>15</v>
      </c>
      <c r="E14" s="18" t="s">
        <v>42</v>
      </c>
      <c r="F14" s="23">
        <v>1</v>
      </c>
      <c r="G14" s="18" t="s">
        <v>22</v>
      </c>
      <c r="H14" s="18" t="s">
        <v>25</v>
      </c>
      <c r="I14" s="24">
        <v>110</v>
      </c>
      <c r="J14" s="24">
        <v>650</v>
      </c>
      <c r="K14" s="24">
        <f>J14*0.08</f>
        <v>52</v>
      </c>
      <c r="L14" s="25">
        <v>8</v>
      </c>
      <c r="M14" s="58">
        <f t="shared" si="0"/>
        <v>170</v>
      </c>
      <c r="N14" s="61">
        <f t="shared" si="5"/>
        <v>110</v>
      </c>
      <c r="O14" s="100"/>
      <c r="P14" s="115">
        <f t="shared" si="1"/>
        <v>52</v>
      </c>
      <c r="Q14" s="116">
        <f t="shared" si="2"/>
        <v>8</v>
      </c>
      <c r="R14" s="117">
        <f t="shared" si="3"/>
        <v>170</v>
      </c>
      <c r="S14" s="8"/>
      <c r="T14" s="133">
        <f t="shared" si="6"/>
        <v>0</v>
      </c>
      <c r="U14" s="129">
        <f t="shared" si="7"/>
        <v>0</v>
      </c>
      <c r="V14" s="130"/>
      <c r="W14" s="8"/>
      <c r="X14" s="8"/>
      <c r="Y14" s="137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</row>
    <row r="15" spans="1:331" ht="55.5" customHeight="1" thickTop="1" thickBot="1" x14ac:dyDescent="0.3">
      <c r="B15" s="1"/>
      <c r="C15" s="39" t="s">
        <v>43</v>
      </c>
      <c r="D15" s="18" t="s">
        <v>15</v>
      </c>
      <c r="E15" s="18" t="s">
        <v>23</v>
      </c>
      <c r="F15" s="23">
        <v>3</v>
      </c>
      <c r="G15" s="18" t="s">
        <v>44</v>
      </c>
      <c r="H15" s="18" t="s">
        <v>21</v>
      </c>
      <c r="I15" s="24">
        <v>139.25</v>
      </c>
      <c r="J15" s="24">
        <v>650</v>
      </c>
      <c r="K15" s="24">
        <f>J15*0.06</f>
        <v>39</v>
      </c>
      <c r="L15" s="25">
        <v>8</v>
      </c>
      <c r="M15" s="58">
        <f t="shared" si="0"/>
        <v>186.25</v>
      </c>
      <c r="N15" s="61">
        <f t="shared" si="5"/>
        <v>417.75</v>
      </c>
      <c r="O15" s="100"/>
      <c r="P15" s="115">
        <f t="shared" si="1"/>
        <v>117</v>
      </c>
      <c r="Q15" s="116">
        <f t="shared" si="2"/>
        <v>24</v>
      </c>
      <c r="R15" s="117">
        <f t="shared" si="3"/>
        <v>558.75</v>
      </c>
      <c r="S15" s="8"/>
      <c r="T15" s="133">
        <f t="shared" si="6"/>
        <v>0</v>
      </c>
      <c r="U15" s="129">
        <f t="shared" si="7"/>
        <v>0</v>
      </c>
      <c r="V15" s="130"/>
      <c r="W15" s="8"/>
      <c r="X15" s="8"/>
      <c r="Y15" s="137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</row>
    <row r="16" spans="1:331" ht="55.5" customHeight="1" thickTop="1" thickBot="1" x14ac:dyDescent="0.3">
      <c r="B16" s="1"/>
      <c r="C16" s="145" t="s">
        <v>47</v>
      </c>
      <c r="D16" s="146" t="s">
        <v>11</v>
      </c>
      <c r="E16" s="146" t="s">
        <v>45</v>
      </c>
      <c r="F16" s="147">
        <v>5</v>
      </c>
      <c r="G16" s="146" t="s">
        <v>46</v>
      </c>
      <c r="H16" s="146" t="s">
        <v>31</v>
      </c>
      <c r="I16" s="148">
        <v>121.25</v>
      </c>
      <c r="J16" s="148">
        <v>750</v>
      </c>
      <c r="K16" s="148">
        <f>J16*0.013</f>
        <v>9.75</v>
      </c>
      <c r="L16" s="149">
        <v>6</v>
      </c>
      <c r="M16" s="58">
        <f t="shared" si="0"/>
        <v>137</v>
      </c>
      <c r="N16" s="61">
        <f t="shared" si="5"/>
        <v>606.25</v>
      </c>
      <c r="O16" s="100"/>
      <c r="P16" s="115">
        <f t="shared" si="1"/>
        <v>48.75</v>
      </c>
      <c r="Q16" s="116">
        <f t="shared" si="2"/>
        <v>30</v>
      </c>
      <c r="R16" s="117">
        <f t="shared" si="3"/>
        <v>685</v>
      </c>
      <c r="S16" s="8"/>
      <c r="T16" s="133">
        <f t="shared" si="6"/>
        <v>0</v>
      </c>
      <c r="U16" s="129">
        <f t="shared" si="7"/>
        <v>0</v>
      </c>
      <c r="V16" s="130"/>
      <c r="W16" s="8"/>
      <c r="X16" s="8"/>
      <c r="Y16" s="137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</row>
    <row r="17" spans="2:147" ht="55.5" customHeight="1" thickTop="1" thickBot="1" x14ac:dyDescent="0.3">
      <c r="B17" s="1"/>
      <c r="C17" s="145" t="s">
        <v>49</v>
      </c>
      <c r="D17" s="146" t="s">
        <v>11</v>
      </c>
      <c r="E17" s="146" t="s">
        <v>48</v>
      </c>
      <c r="F17" s="147">
        <v>5</v>
      </c>
      <c r="G17" s="146" t="s">
        <v>30</v>
      </c>
      <c r="H17" s="146" t="s">
        <v>38</v>
      </c>
      <c r="I17" s="148">
        <v>136.5</v>
      </c>
      <c r="J17" s="148">
        <v>750</v>
      </c>
      <c r="K17" s="148">
        <f>J17*0.012</f>
        <v>9</v>
      </c>
      <c r="L17" s="149">
        <v>6</v>
      </c>
      <c r="M17" s="58">
        <f t="shared" si="0"/>
        <v>151.5</v>
      </c>
      <c r="N17" s="61">
        <f t="shared" si="5"/>
        <v>682.5</v>
      </c>
      <c r="O17" s="100"/>
      <c r="P17" s="115">
        <f t="shared" si="1"/>
        <v>45</v>
      </c>
      <c r="Q17" s="116">
        <f t="shared" si="2"/>
        <v>30</v>
      </c>
      <c r="R17" s="117">
        <f t="shared" si="3"/>
        <v>757.5</v>
      </c>
      <c r="S17" s="8"/>
      <c r="T17" s="133">
        <f t="shared" si="6"/>
        <v>0</v>
      </c>
      <c r="U17" s="129">
        <f t="shared" si="7"/>
        <v>0</v>
      </c>
      <c r="V17" s="130"/>
      <c r="W17" s="8"/>
      <c r="X17" s="8"/>
      <c r="Y17" s="137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</row>
    <row r="18" spans="2:147" ht="55.5" customHeight="1" thickTop="1" thickBot="1" x14ac:dyDescent="0.3">
      <c r="B18" s="1"/>
      <c r="C18" s="38" t="s">
        <v>50</v>
      </c>
      <c r="D18" s="17" t="s">
        <v>11</v>
      </c>
      <c r="E18" s="17" t="s">
        <v>20</v>
      </c>
      <c r="F18" s="20">
        <v>2</v>
      </c>
      <c r="G18" s="17" t="s">
        <v>21</v>
      </c>
      <c r="H18" s="17" t="s">
        <v>22</v>
      </c>
      <c r="I18" s="21">
        <v>362.5</v>
      </c>
      <c r="J18" s="21">
        <v>750</v>
      </c>
      <c r="K18" s="21">
        <f>J18*0.07</f>
        <v>52.500000000000007</v>
      </c>
      <c r="L18" s="22">
        <v>15</v>
      </c>
      <c r="M18" s="58">
        <f t="shared" si="0"/>
        <v>430</v>
      </c>
      <c r="N18" s="61">
        <f t="shared" si="5"/>
        <v>725</v>
      </c>
      <c r="O18" s="100"/>
      <c r="P18" s="115">
        <f t="shared" si="1"/>
        <v>105.00000000000001</v>
      </c>
      <c r="Q18" s="116">
        <f t="shared" si="2"/>
        <v>30</v>
      </c>
      <c r="R18" s="117">
        <f t="shared" si="3"/>
        <v>860</v>
      </c>
      <c r="S18" s="8"/>
      <c r="T18" s="133">
        <f t="shared" si="6"/>
        <v>0</v>
      </c>
      <c r="U18" s="129">
        <f t="shared" si="7"/>
        <v>0</v>
      </c>
      <c r="V18" s="130"/>
      <c r="W18" s="8"/>
      <c r="X18" s="8"/>
      <c r="Y18" s="137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</row>
    <row r="19" spans="2:147" ht="55.5" customHeight="1" thickTop="1" thickBot="1" x14ac:dyDescent="0.3">
      <c r="B19" s="1"/>
      <c r="C19" s="38" t="s">
        <v>169</v>
      </c>
      <c r="D19" s="17" t="s">
        <v>11</v>
      </c>
      <c r="E19" s="17" t="s">
        <v>61</v>
      </c>
      <c r="F19" s="20">
        <v>2</v>
      </c>
      <c r="G19" s="17" t="s">
        <v>167</v>
      </c>
      <c r="H19" s="17" t="s">
        <v>97</v>
      </c>
      <c r="I19" s="21">
        <v>447</v>
      </c>
      <c r="J19" s="21">
        <v>750</v>
      </c>
      <c r="K19" s="21">
        <f>J19*0.072</f>
        <v>53.999999999999993</v>
      </c>
      <c r="L19" s="22">
        <v>80</v>
      </c>
      <c r="M19" s="58">
        <f t="shared" si="0"/>
        <v>581</v>
      </c>
      <c r="N19" s="61">
        <f t="shared" si="5"/>
        <v>894</v>
      </c>
      <c r="O19" s="100"/>
      <c r="P19" s="115">
        <f t="shared" si="1"/>
        <v>107.99999999999999</v>
      </c>
      <c r="Q19" s="116">
        <f t="shared" si="2"/>
        <v>160</v>
      </c>
      <c r="R19" s="117">
        <f t="shared" si="3"/>
        <v>1162</v>
      </c>
      <c r="S19" s="8"/>
      <c r="T19" s="133">
        <f t="shared" si="6"/>
        <v>0</v>
      </c>
      <c r="U19" s="129">
        <f t="shared" si="7"/>
        <v>0</v>
      </c>
      <c r="V19" s="130"/>
      <c r="W19" s="8"/>
      <c r="X19" s="8"/>
      <c r="Y19" s="137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</row>
    <row r="20" spans="2:147" ht="55.5" customHeight="1" thickTop="1" thickBot="1" x14ac:dyDescent="0.3">
      <c r="B20" s="1"/>
      <c r="C20" s="38" t="s">
        <v>168</v>
      </c>
      <c r="D20" s="17" t="s">
        <v>11</v>
      </c>
      <c r="E20" s="17" t="s">
        <v>51</v>
      </c>
      <c r="F20" s="20">
        <v>1</v>
      </c>
      <c r="G20" s="17" t="s">
        <v>106</v>
      </c>
      <c r="H20" s="17" t="s">
        <v>107</v>
      </c>
      <c r="I20" s="21">
        <v>362</v>
      </c>
      <c r="J20" s="21">
        <v>750</v>
      </c>
      <c r="K20" s="21">
        <f>J20*0.082</f>
        <v>61.5</v>
      </c>
      <c r="L20" s="22">
        <v>80</v>
      </c>
      <c r="M20" s="58">
        <f t="shared" si="0"/>
        <v>503.5</v>
      </c>
      <c r="N20" s="61">
        <f t="shared" si="5"/>
        <v>362</v>
      </c>
      <c r="O20" s="100"/>
      <c r="P20" s="115">
        <f t="shared" si="1"/>
        <v>61.5</v>
      </c>
      <c r="Q20" s="116">
        <f t="shared" si="2"/>
        <v>80</v>
      </c>
      <c r="R20" s="117">
        <f t="shared" si="3"/>
        <v>503.5</v>
      </c>
      <c r="S20" s="8"/>
      <c r="T20" s="133">
        <f t="shared" si="6"/>
        <v>0</v>
      </c>
      <c r="U20" s="129">
        <f t="shared" si="7"/>
        <v>0</v>
      </c>
      <c r="V20" s="130"/>
      <c r="W20" s="8"/>
      <c r="X20" s="8"/>
      <c r="Y20" s="137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</row>
    <row r="21" spans="2:147" ht="55.5" customHeight="1" thickTop="1" thickBot="1" x14ac:dyDescent="0.3">
      <c r="B21" s="1"/>
      <c r="C21" s="38" t="s">
        <v>171</v>
      </c>
      <c r="D21" s="17" t="s">
        <v>11</v>
      </c>
      <c r="E21" s="17" t="s">
        <v>51</v>
      </c>
      <c r="F21" s="20">
        <v>2</v>
      </c>
      <c r="G21" s="17" t="s">
        <v>108</v>
      </c>
      <c r="H21" s="17" t="s">
        <v>170</v>
      </c>
      <c r="I21" s="21">
        <v>232</v>
      </c>
      <c r="J21" s="21">
        <v>750</v>
      </c>
      <c r="K21" s="21">
        <f>J21*0.018</f>
        <v>13.499999999999998</v>
      </c>
      <c r="L21" s="22">
        <v>50</v>
      </c>
      <c r="M21" s="58">
        <f t="shared" si="0"/>
        <v>295.5</v>
      </c>
      <c r="N21" s="61">
        <f t="shared" si="5"/>
        <v>464</v>
      </c>
      <c r="O21" s="100"/>
      <c r="P21" s="115">
        <f t="shared" si="1"/>
        <v>26.999999999999996</v>
      </c>
      <c r="Q21" s="116">
        <f t="shared" si="2"/>
        <v>100</v>
      </c>
      <c r="R21" s="117">
        <f t="shared" si="3"/>
        <v>591</v>
      </c>
      <c r="S21" s="8"/>
      <c r="T21" s="133">
        <f t="shared" si="6"/>
        <v>0</v>
      </c>
      <c r="U21" s="129">
        <f t="shared" si="7"/>
        <v>0</v>
      </c>
      <c r="V21" s="130"/>
      <c r="W21" s="8"/>
      <c r="X21" s="8"/>
      <c r="Y21" s="137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</row>
    <row r="22" spans="2:147" ht="55.5" customHeight="1" thickTop="1" thickBot="1" x14ac:dyDescent="0.3">
      <c r="B22" s="1"/>
      <c r="C22" s="38" t="s">
        <v>57</v>
      </c>
      <c r="D22" s="17" t="s">
        <v>11</v>
      </c>
      <c r="E22" s="17" t="s">
        <v>36</v>
      </c>
      <c r="F22" s="20">
        <v>1</v>
      </c>
      <c r="G22" s="17" t="s">
        <v>55</v>
      </c>
      <c r="H22" s="17" t="s">
        <v>56</v>
      </c>
      <c r="I22" s="21">
        <v>298.75</v>
      </c>
      <c r="J22" s="21">
        <v>750</v>
      </c>
      <c r="K22" s="21">
        <f>J22*0.048</f>
        <v>36</v>
      </c>
      <c r="L22" s="22">
        <v>15</v>
      </c>
      <c r="M22" s="58">
        <f t="shared" si="0"/>
        <v>349.75</v>
      </c>
      <c r="N22" s="61">
        <f t="shared" si="5"/>
        <v>298.75</v>
      </c>
      <c r="O22" s="100"/>
      <c r="P22" s="115">
        <f t="shared" si="1"/>
        <v>36</v>
      </c>
      <c r="Q22" s="116">
        <f t="shared" si="2"/>
        <v>15</v>
      </c>
      <c r="R22" s="117">
        <f t="shared" si="3"/>
        <v>349.75</v>
      </c>
      <c r="S22" s="8"/>
      <c r="T22" s="133">
        <f t="shared" si="6"/>
        <v>0</v>
      </c>
      <c r="U22" s="129">
        <f t="shared" si="7"/>
        <v>0</v>
      </c>
      <c r="V22" s="130"/>
      <c r="W22" s="8"/>
      <c r="X22" s="8"/>
      <c r="Y22" s="137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</row>
    <row r="23" spans="2:147" ht="55.5" customHeight="1" thickTop="1" thickBot="1" x14ac:dyDescent="0.3">
      <c r="B23" s="1"/>
      <c r="C23" s="38" t="s">
        <v>58</v>
      </c>
      <c r="D23" s="17" t="s">
        <v>11</v>
      </c>
      <c r="E23" s="17" t="s">
        <v>36</v>
      </c>
      <c r="F23" s="20">
        <v>1</v>
      </c>
      <c r="G23" s="17" t="s">
        <v>59</v>
      </c>
      <c r="H23" s="17" t="s">
        <v>60</v>
      </c>
      <c r="I23" s="21">
        <v>687.5</v>
      </c>
      <c r="J23" s="21">
        <v>750</v>
      </c>
      <c r="K23" s="21">
        <f>J23*0.241</f>
        <v>180.75</v>
      </c>
      <c r="L23" s="22">
        <v>50</v>
      </c>
      <c r="M23" s="58">
        <f t="shared" si="0"/>
        <v>918.25</v>
      </c>
      <c r="N23" s="61">
        <f t="shared" si="5"/>
        <v>687.5</v>
      </c>
      <c r="O23" s="100"/>
      <c r="P23" s="115">
        <f t="shared" si="1"/>
        <v>180.75</v>
      </c>
      <c r="Q23" s="116">
        <f t="shared" si="2"/>
        <v>50</v>
      </c>
      <c r="R23" s="117">
        <f t="shared" si="3"/>
        <v>918.25</v>
      </c>
      <c r="S23" s="8"/>
      <c r="T23" s="133">
        <f t="shared" si="6"/>
        <v>0</v>
      </c>
      <c r="U23" s="129">
        <f t="shared" si="7"/>
        <v>0</v>
      </c>
      <c r="V23" s="130"/>
      <c r="W23" s="8"/>
      <c r="X23" s="8"/>
      <c r="Y23" s="137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</row>
    <row r="24" spans="2:147" ht="55.5" customHeight="1" thickTop="1" thickBot="1" x14ac:dyDescent="0.3">
      <c r="B24" s="1"/>
      <c r="C24" s="38" t="s">
        <v>174</v>
      </c>
      <c r="D24" s="17" t="s">
        <v>11</v>
      </c>
      <c r="E24" s="17" t="s">
        <v>20</v>
      </c>
      <c r="F24" s="20">
        <v>4</v>
      </c>
      <c r="G24" s="17" t="s">
        <v>172</v>
      </c>
      <c r="H24" s="17" t="s">
        <v>173</v>
      </c>
      <c r="I24" s="21">
        <v>313</v>
      </c>
      <c r="J24" s="21">
        <v>750</v>
      </c>
      <c r="K24" s="21">
        <f>J24*0.019</f>
        <v>14.25</v>
      </c>
      <c r="L24" s="22">
        <v>50</v>
      </c>
      <c r="M24" s="58">
        <f t="shared" si="0"/>
        <v>377.25</v>
      </c>
      <c r="N24" s="61">
        <f t="shared" si="5"/>
        <v>1252</v>
      </c>
      <c r="O24" s="100"/>
      <c r="P24" s="115">
        <f t="shared" si="1"/>
        <v>57</v>
      </c>
      <c r="Q24" s="116">
        <f t="shared" si="2"/>
        <v>200</v>
      </c>
      <c r="R24" s="117">
        <f t="shared" si="3"/>
        <v>1509</v>
      </c>
      <c r="S24" s="8"/>
      <c r="T24" s="133">
        <f t="shared" si="6"/>
        <v>0</v>
      </c>
      <c r="U24" s="129">
        <f t="shared" si="7"/>
        <v>0</v>
      </c>
      <c r="V24" s="130"/>
      <c r="W24" s="8"/>
      <c r="X24" s="8"/>
      <c r="Y24" s="137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</row>
    <row r="25" spans="2:147" ht="55.5" customHeight="1" thickTop="1" thickBot="1" x14ac:dyDescent="0.3">
      <c r="B25" s="1"/>
      <c r="C25" s="39" t="s">
        <v>78</v>
      </c>
      <c r="D25" s="18" t="s">
        <v>15</v>
      </c>
      <c r="E25" s="18" t="s">
        <v>68</v>
      </c>
      <c r="F25" s="23">
        <v>1</v>
      </c>
      <c r="G25" s="18" t="s">
        <v>64</v>
      </c>
      <c r="H25" s="18" t="s">
        <v>65</v>
      </c>
      <c r="I25" s="24">
        <v>498</v>
      </c>
      <c r="J25" s="24">
        <v>650</v>
      </c>
      <c r="K25" s="24">
        <f>J25*0.204</f>
        <v>132.6</v>
      </c>
      <c r="L25" s="25">
        <v>10</v>
      </c>
      <c r="M25" s="58">
        <f t="shared" si="0"/>
        <v>640.6</v>
      </c>
      <c r="N25" s="61">
        <f t="shared" si="5"/>
        <v>498</v>
      </c>
      <c r="O25" s="100"/>
      <c r="P25" s="115">
        <f t="shared" si="1"/>
        <v>132.6</v>
      </c>
      <c r="Q25" s="116">
        <f t="shared" si="2"/>
        <v>10</v>
      </c>
      <c r="R25" s="117">
        <f t="shared" si="3"/>
        <v>640.6</v>
      </c>
      <c r="S25" s="8"/>
      <c r="T25" s="133">
        <f t="shared" si="6"/>
        <v>0</v>
      </c>
      <c r="U25" s="129">
        <f t="shared" si="7"/>
        <v>0</v>
      </c>
      <c r="V25" s="130"/>
      <c r="W25" s="8"/>
      <c r="X25" s="8"/>
      <c r="Y25" s="137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</row>
    <row r="26" spans="2:147" ht="55.5" customHeight="1" thickTop="1" thickBot="1" x14ac:dyDescent="0.3">
      <c r="B26" s="1"/>
      <c r="C26" s="38" t="s">
        <v>80</v>
      </c>
      <c r="D26" s="17" t="s">
        <v>11</v>
      </c>
      <c r="E26" s="17" t="s">
        <v>79</v>
      </c>
      <c r="F26" s="20">
        <v>1</v>
      </c>
      <c r="G26" s="17" t="s">
        <v>62</v>
      </c>
      <c r="H26" s="17" t="s">
        <v>63</v>
      </c>
      <c r="I26" s="21">
        <v>688</v>
      </c>
      <c r="J26" s="21">
        <v>750</v>
      </c>
      <c r="K26" s="21">
        <f>J26*0.152</f>
        <v>114</v>
      </c>
      <c r="L26" s="22">
        <v>90</v>
      </c>
      <c r="M26" s="58">
        <f t="shared" si="0"/>
        <v>892</v>
      </c>
      <c r="N26" s="61">
        <f t="shared" si="5"/>
        <v>688</v>
      </c>
      <c r="O26" s="100"/>
      <c r="P26" s="115">
        <f t="shared" si="1"/>
        <v>114</v>
      </c>
      <c r="Q26" s="116">
        <f t="shared" si="2"/>
        <v>90</v>
      </c>
      <c r="R26" s="117">
        <f t="shared" si="3"/>
        <v>892</v>
      </c>
      <c r="S26" s="8"/>
      <c r="T26" s="133">
        <f t="shared" si="6"/>
        <v>0</v>
      </c>
      <c r="U26" s="129">
        <f t="shared" si="7"/>
        <v>0</v>
      </c>
      <c r="V26" s="130"/>
      <c r="W26" s="8"/>
      <c r="X26" s="8"/>
      <c r="Y26" s="137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</row>
    <row r="27" spans="2:147" ht="55.5" customHeight="1" thickTop="1" thickBot="1" x14ac:dyDescent="0.3">
      <c r="B27" s="1"/>
      <c r="C27" s="38" t="s">
        <v>81</v>
      </c>
      <c r="D27" s="17" t="s">
        <v>11</v>
      </c>
      <c r="E27" s="17" t="s">
        <v>54</v>
      </c>
      <c r="F27" s="20">
        <v>1</v>
      </c>
      <c r="G27" s="17" t="s">
        <v>67</v>
      </c>
      <c r="H27" s="17" t="s">
        <v>66</v>
      </c>
      <c r="I27" s="21">
        <v>613</v>
      </c>
      <c r="J27" s="21">
        <v>750</v>
      </c>
      <c r="K27" s="21">
        <f>J27*0.21</f>
        <v>157.5</v>
      </c>
      <c r="L27" s="22">
        <v>50</v>
      </c>
      <c r="M27" s="58">
        <f t="shared" si="0"/>
        <v>820.5</v>
      </c>
      <c r="N27" s="61">
        <f t="shared" si="5"/>
        <v>613</v>
      </c>
      <c r="O27" s="100"/>
      <c r="P27" s="115">
        <f t="shared" si="1"/>
        <v>157.5</v>
      </c>
      <c r="Q27" s="116">
        <f t="shared" si="2"/>
        <v>50</v>
      </c>
      <c r="R27" s="117">
        <f t="shared" si="3"/>
        <v>820.5</v>
      </c>
      <c r="S27" s="8"/>
      <c r="T27" s="133">
        <f t="shared" si="6"/>
        <v>0</v>
      </c>
      <c r="U27" s="129">
        <f t="shared" si="7"/>
        <v>0</v>
      </c>
      <c r="V27" s="130"/>
      <c r="W27" s="8"/>
      <c r="X27" s="8"/>
      <c r="Y27" s="13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</row>
    <row r="28" spans="2:147" ht="55.5" customHeight="1" thickTop="1" thickBot="1" x14ac:dyDescent="0.3">
      <c r="B28" s="1"/>
      <c r="C28" s="39" t="s">
        <v>69</v>
      </c>
      <c r="D28" s="18" t="s">
        <v>15</v>
      </c>
      <c r="E28" s="18" t="s">
        <v>68</v>
      </c>
      <c r="F28" s="23">
        <v>2</v>
      </c>
      <c r="G28" s="18" t="s">
        <v>71</v>
      </c>
      <c r="H28" s="18" t="s">
        <v>70</v>
      </c>
      <c r="I28" s="24">
        <v>475</v>
      </c>
      <c r="J28" s="24">
        <v>650</v>
      </c>
      <c r="K28" s="24">
        <f>J28*0.44</f>
        <v>286</v>
      </c>
      <c r="L28" s="25">
        <v>50</v>
      </c>
      <c r="M28" s="58">
        <f t="shared" si="0"/>
        <v>811</v>
      </c>
      <c r="N28" s="61">
        <f t="shared" si="5"/>
        <v>950</v>
      </c>
      <c r="O28" s="100"/>
      <c r="P28" s="115">
        <f t="shared" si="1"/>
        <v>572</v>
      </c>
      <c r="Q28" s="116">
        <f t="shared" si="2"/>
        <v>100</v>
      </c>
      <c r="R28" s="117">
        <f t="shared" si="3"/>
        <v>1622</v>
      </c>
      <c r="S28" s="8"/>
      <c r="T28" s="133">
        <f t="shared" si="6"/>
        <v>0</v>
      </c>
      <c r="U28" s="129">
        <f t="shared" si="7"/>
        <v>0</v>
      </c>
      <c r="V28" s="130"/>
      <c r="W28" s="8"/>
      <c r="X28" s="8"/>
      <c r="Y28" s="137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</row>
    <row r="29" spans="2:147" ht="55.5" customHeight="1" thickTop="1" thickBot="1" x14ac:dyDescent="0.3">
      <c r="B29" s="1"/>
      <c r="C29" s="38" t="s">
        <v>74</v>
      </c>
      <c r="D29" s="17" t="s">
        <v>11</v>
      </c>
      <c r="E29" s="17" t="s">
        <v>20</v>
      </c>
      <c r="F29" s="20">
        <v>1</v>
      </c>
      <c r="G29" s="17" t="s">
        <v>72</v>
      </c>
      <c r="H29" s="17" t="s">
        <v>73</v>
      </c>
      <c r="I29" s="21">
        <v>350</v>
      </c>
      <c r="J29" s="21">
        <v>750</v>
      </c>
      <c r="K29" s="21">
        <f>J29*0.045</f>
        <v>33.75</v>
      </c>
      <c r="L29" s="22">
        <v>15</v>
      </c>
      <c r="M29" s="58">
        <f t="shared" si="0"/>
        <v>398.75</v>
      </c>
      <c r="N29" s="61">
        <f t="shared" si="5"/>
        <v>350</v>
      </c>
      <c r="O29" s="100"/>
      <c r="P29" s="115">
        <f t="shared" si="1"/>
        <v>33.75</v>
      </c>
      <c r="Q29" s="116">
        <f t="shared" si="2"/>
        <v>15</v>
      </c>
      <c r="R29" s="117">
        <f t="shared" si="3"/>
        <v>398.75</v>
      </c>
      <c r="S29" s="8"/>
      <c r="T29" s="133">
        <f t="shared" si="6"/>
        <v>0</v>
      </c>
      <c r="U29" s="129">
        <f t="shared" si="7"/>
        <v>0</v>
      </c>
      <c r="V29" s="130"/>
      <c r="W29" s="8"/>
      <c r="X29" s="8"/>
      <c r="Y29" s="137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</row>
    <row r="30" spans="2:147" ht="55.5" customHeight="1" thickTop="1" thickBot="1" x14ac:dyDescent="0.3">
      <c r="B30" s="1"/>
      <c r="C30" s="38" t="s">
        <v>77</v>
      </c>
      <c r="D30" s="17" t="s">
        <v>11</v>
      </c>
      <c r="E30" s="17" t="s">
        <v>20</v>
      </c>
      <c r="F30" s="20">
        <v>1</v>
      </c>
      <c r="G30" s="17" t="s">
        <v>75</v>
      </c>
      <c r="H30" s="17" t="s">
        <v>76</v>
      </c>
      <c r="I30" s="21">
        <v>613</v>
      </c>
      <c r="J30" s="21">
        <v>750</v>
      </c>
      <c r="K30" s="21">
        <f>J30*0.062</f>
        <v>46.5</v>
      </c>
      <c r="L30" s="22">
        <v>20</v>
      </c>
      <c r="M30" s="58">
        <f t="shared" si="0"/>
        <v>679.5</v>
      </c>
      <c r="N30" s="61">
        <f t="shared" si="5"/>
        <v>613</v>
      </c>
      <c r="O30" s="100"/>
      <c r="P30" s="115">
        <f t="shared" si="1"/>
        <v>46.5</v>
      </c>
      <c r="Q30" s="116">
        <f t="shared" si="2"/>
        <v>20</v>
      </c>
      <c r="R30" s="117">
        <f t="shared" si="3"/>
        <v>679.5</v>
      </c>
      <c r="S30" s="8"/>
      <c r="T30" s="133">
        <f t="shared" si="6"/>
        <v>0</v>
      </c>
      <c r="U30" s="129">
        <f t="shared" si="7"/>
        <v>0</v>
      </c>
      <c r="V30" s="130"/>
      <c r="W30" s="8"/>
      <c r="X30" s="8"/>
      <c r="Y30" s="137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</row>
    <row r="31" spans="2:147" ht="55.5" customHeight="1" thickTop="1" thickBot="1" x14ac:dyDescent="0.3">
      <c r="B31" s="1"/>
      <c r="C31" s="49" t="s">
        <v>77</v>
      </c>
      <c r="D31" s="50" t="s">
        <v>11</v>
      </c>
      <c r="E31" s="50" t="s">
        <v>20</v>
      </c>
      <c r="F31" s="51"/>
      <c r="G31" s="50" t="s">
        <v>75</v>
      </c>
      <c r="H31" s="50" t="s">
        <v>76</v>
      </c>
      <c r="I31" s="52"/>
      <c r="J31" s="52">
        <v>750</v>
      </c>
      <c r="K31" s="52">
        <f>J31*0.062</f>
        <v>46.5</v>
      </c>
      <c r="L31" s="53">
        <v>20</v>
      </c>
      <c r="M31" s="59"/>
      <c r="N31" s="61">
        <f t="shared" si="5"/>
        <v>0</v>
      </c>
      <c r="O31" s="100"/>
      <c r="P31" s="115">
        <f t="shared" si="1"/>
        <v>0</v>
      </c>
      <c r="Q31" s="116">
        <f t="shared" si="2"/>
        <v>0</v>
      </c>
      <c r="R31" s="117">
        <f t="shared" si="3"/>
        <v>0</v>
      </c>
      <c r="S31" s="8"/>
      <c r="T31" s="133">
        <f t="shared" si="6"/>
        <v>0</v>
      </c>
      <c r="U31" s="129">
        <f t="shared" si="7"/>
        <v>0</v>
      </c>
      <c r="V31" s="130"/>
      <c r="W31" s="8"/>
      <c r="X31" s="8"/>
      <c r="Y31" s="137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</row>
    <row r="32" spans="2:147" ht="55.5" customHeight="1" thickTop="1" thickBot="1" x14ac:dyDescent="0.3">
      <c r="B32" s="1"/>
      <c r="C32" s="41" t="s">
        <v>153</v>
      </c>
      <c r="D32" s="19" t="s">
        <v>11</v>
      </c>
      <c r="E32" s="17" t="s">
        <v>152</v>
      </c>
      <c r="F32" s="20">
        <v>1</v>
      </c>
      <c r="G32" s="17" t="s">
        <v>124</v>
      </c>
      <c r="H32" s="17" t="s">
        <v>89</v>
      </c>
      <c r="I32" s="21">
        <v>613</v>
      </c>
      <c r="J32" s="21">
        <v>750</v>
      </c>
      <c r="K32" s="21">
        <f>J32*0.083</f>
        <v>62.25</v>
      </c>
      <c r="L32" s="22">
        <v>30</v>
      </c>
      <c r="M32" s="58">
        <f t="shared" si="0"/>
        <v>705.25</v>
      </c>
      <c r="N32" s="61">
        <f t="shared" si="5"/>
        <v>613</v>
      </c>
      <c r="O32" s="100"/>
      <c r="P32" s="115">
        <f t="shared" si="1"/>
        <v>62.25</v>
      </c>
      <c r="Q32" s="116">
        <f t="shared" si="2"/>
        <v>30</v>
      </c>
      <c r="R32" s="117">
        <f t="shared" si="3"/>
        <v>705.25</v>
      </c>
      <c r="S32" s="8"/>
      <c r="T32" s="133">
        <f t="shared" si="6"/>
        <v>0</v>
      </c>
      <c r="U32" s="129">
        <f t="shared" si="7"/>
        <v>0</v>
      </c>
      <c r="V32" s="130"/>
      <c r="W32" s="8"/>
      <c r="X32" s="8"/>
      <c r="Y32" s="137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</row>
    <row r="33" spans="2:147" ht="55.5" customHeight="1" thickTop="1" thickBot="1" x14ac:dyDescent="0.3">
      <c r="B33" s="1"/>
      <c r="C33" s="41" t="s">
        <v>160</v>
      </c>
      <c r="D33" s="19" t="s">
        <v>11</v>
      </c>
      <c r="E33" s="17" t="s">
        <v>36</v>
      </c>
      <c r="F33" s="20">
        <v>1</v>
      </c>
      <c r="G33" s="17" t="s">
        <v>83</v>
      </c>
      <c r="H33" s="17" t="s">
        <v>85</v>
      </c>
      <c r="I33" s="21">
        <v>563</v>
      </c>
      <c r="J33" s="21">
        <v>750</v>
      </c>
      <c r="K33" s="21">
        <f>J33*0.096</f>
        <v>72</v>
      </c>
      <c r="L33" s="22">
        <v>50</v>
      </c>
      <c r="M33" s="58">
        <f t="shared" si="0"/>
        <v>685</v>
      </c>
      <c r="N33" s="61">
        <f t="shared" si="5"/>
        <v>563</v>
      </c>
      <c r="O33" s="100"/>
      <c r="P33" s="115">
        <f t="shared" si="1"/>
        <v>72</v>
      </c>
      <c r="Q33" s="116">
        <f t="shared" si="2"/>
        <v>50</v>
      </c>
      <c r="R33" s="117">
        <f t="shared" si="3"/>
        <v>685</v>
      </c>
      <c r="S33" s="8"/>
      <c r="T33" s="133">
        <f t="shared" si="6"/>
        <v>0</v>
      </c>
      <c r="U33" s="129">
        <f t="shared" si="7"/>
        <v>0</v>
      </c>
      <c r="V33" s="130"/>
      <c r="W33" s="8"/>
      <c r="X33" s="8"/>
      <c r="Y33" s="137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</row>
    <row r="34" spans="2:147" ht="55.5" customHeight="1" thickTop="1" thickBot="1" x14ac:dyDescent="0.3">
      <c r="B34" s="1"/>
      <c r="C34" s="41" t="s">
        <v>161</v>
      </c>
      <c r="D34" s="19" t="s">
        <v>11</v>
      </c>
      <c r="E34" s="17" t="s">
        <v>61</v>
      </c>
      <c r="F34" s="20">
        <v>1</v>
      </c>
      <c r="G34" s="17" t="s">
        <v>86</v>
      </c>
      <c r="H34" s="17" t="s">
        <v>52</v>
      </c>
      <c r="I34" s="21">
        <v>563</v>
      </c>
      <c r="J34" s="21">
        <v>750</v>
      </c>
      <c r="K34" s="21">
        <f>J34*0.154</f>
        <v>115.5</v>
      </c>
      <c r="L34" s="22">
        <v>60</v>
      </c>
      <c r="M34" s="58">
        <f t="shared" si="0"/>
        <v>738.5</v>
      </c>
      <c r="N34" s="61">
        <f t="shared" si="5"/>
        <v>563</v>
      </c>
      <c r="O34" s="100"/>
      <c r="P34" s="115">
        <f t="shared" si="1"/>
        <v>115.5</v>
      </c>
      <c r="Q34" s="116">
        <f t="shared" si="2"/>
        <v>60</v>
      </c>
      <c r="R34" s="117">
        <f t="shared" si="3"/>
        <v>738.5</v>
      </c>
      <c r="S34" s="8"/>
      <c r="T34" s="133">
        <f t="shared" si="6"/>
        <v>0</v>
      </c>
      <c r="U34" s="129">
        <f t="shared" si="7"/>
        <v>0</v>
      </c>
      <c r="V34" s="130"/>
      <c r="W34" s="8"/>
      <c r="X34" s="8"/>
      <c r="Y34" s="137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</row>
    <row r="35" spans="2:147" ht="55.5" customHeight="1" thickTop="1" thickBot="1" x14ac:dyDescent="0.3">
      <c r="B35" s="1"/>
      <c r="C35" s="41" t="s">
        <v>156</v>
      </c>
      <c r="D35" s="19" t="s">
        <v>11</v>
      </c>
      <c r="E35" s="17" t="s">
        <v>155</v>
      </c>
      <c r="F35" s="20">
        <v>1</v>
      </c>
      <c r="G35" s="17" t="s">
        <v>87</v>
      </c>
      <c r="H35" s="17" t="s">
        <v>86</v>
      </c>
      <c r="I35" s="21">
        <v>438</v>
      </c>
      <c r="J35" s="21">
        <v>750</v>
      </c>
      <c r="K35" s="21">
        <f>J35*0.142</f>
        <v>106.49999999999999</v>
      </c>
      <c r="L35" s="22">
        <v>50</v>
      </c>
      <c r="M35" s="58">
        <f t="shared" si="0"/>
        <v>594.5</v>
      </c>
      <c r="N35" s="61">
        <f t="shared" si="5"/>
        <v>438</v>
      </c>
      <c r="O35" s="100"/>
      <c r="P35" s="115">
        <f t="shared" si="1"/>
        <v>106.49999999999999</v>
      </c>
      <c r="Q35" s="116">
        <f t="shared" si="2"/>
        <v>50</v>
      </c>
      <c r="R35" s="117">
        <f t="shared" si="3"/>
        <v>594.5</v>
      </c>
      <c r="S35" s="8"/>
      <c r="T35" s="133">
        <f t="shared" si="6"/>
        <v>0</v>
      </c>
      <c r="U35" s="129">
        <f t="shared" si="7"/>
        <v>0</v>
      </c>
      <c r="V35" s="130"/>
      <c r="W35" s="8"/>
      <c r="X35" s="8"/>
      <c r="Y35" s="137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</row>
    <row r="36" spans="2:147" ht="55.5" customHeight="1" thickTop="1" thickBot="1" x14ac:dyDescent="0.3">
      <c r="B36" s="1"/>
      <c r="C36" s="41" t="s">
        <v>159</v>
      </c>
      <c r="D36" s="19" t="s">
        <v>11</v>
      </c>
      <c r="E36" s="17" t="s">
        <v>61</v>
      </c>
      <c r="F36" s="20">
        <v>1</v>
      </c>
      <c r="G36" s="17" t="s">
        <v>158</v>
      </c>
      <c r="H36" s="17" t="s">
        <v>157</v>
      </c>
      <c r="I36" s="21">
        <v>490</v>
      </c>
      <c r="J36" s="21">
        <v>750</v>
      </c>
      <c r="K36" s="21">
        <f>J36*0.095</f>
        <v>71.25</v>
      </c>
      <c r="L36" s="22">
        <v>30</v>
      </c>
      <c r="M36" s="58">
        <f t="shared" si="0"/>
        <v>591.25</v>
      </c>
      <c r="N36" s="61">
        <f t="shared" si="5"/>
        <v>490</v>
      </c>
      <c r="O36" s="100"/>
      <c r="P36" s="115">
        <f t="shared" si="1"/>
        <v>71.25</v>
      </c>
      <c r="Q36" s="116">
        <f t="shared" si="2"/>
        <v>30</v>
      </c>
      <c r="R36" s="117">
        <f t="shared" si="3"/>
        <v>591.25</v>
      </c>
      <c r="S36" s="8"/>
      <c r="T36" s="133">
        <f t="shared" si="6"/>
        <v>0</v>
      </c>
      <c r="U36" s="129">
        <f t="shared" si="7"/>
        <v>0</v>
      </c>
      <c r="V36" s="130"/>
      <c r="W36" s="8"/>
      <c r="X36" s="8"/>
      <c r="Y36" s="137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</row>
    <row r="37" spans="2:147" ht="55.5" customHeight="1" thickTop="1" thickBot="1" x14ac:dyDescent="0.3">
      <c r="B37" s="1"/>
      <c r="C37" s="41" t="s">
        <v>154</v>
      </c>
      <c r="D37" s="19" t="s">
        <v>11</v>
      </c>
      <c r="E37" s="17" t="s">
        <v>36</v>
      </c>
      <c r="F37" s="20">
        <v>1</v>
      </c>
      <c r="G37" s="17" t="s">
        <v>73</v>
      </c>
      <c r="H37" s="17" t="s">
        <v>88</v>
      </c>
      <c r="I37" s="21">
        <v>413</v>
      </c>
      <c r="J37" s="21">
        <v>750</v>
      </c>
      <c r="K37" s="21">
        <f>J37*0.053</f>
        <v>39.75</v>
      </c>
      <c r="L37" s="22">
        <v>40</v>
      </c>
      <c r="M37" s="58">
        <f t="shared" si="0"/>
        <v>492.75</v>
      </c>
      <c r="N37" s="61">
        <f t="shared" si="5"/>
        <v>413</v>
      </c>
      <c r="O37" s="100"/>
      <c r="P37" s="115">
        <f t="shared" si="1"/>
        <v>39.75</v>
      </c>
      <c r="Q37" s="116">
        <f t="shared" si="2"/>
        <v>40</v>
      </c>
      <c r="R37" s="117">
        <f t="shared" si="3"/>
        <v>492.75</v>
      </c>
      <c r="S37" s="8"/>
      <c r="T37" s="133">
        <f t="shared" si="6"/>
        <v>0</v>
      </c>
      <c r="U37" s="129">
        <f t="shared" si="7"/>
        <v>0</v>
      </c>
      <c r="V37" s="130"/>
      <c r="W37" s="8"/>
      <c r="X37" s="8"/>
      <c r="Y37" s="137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</row>
    <row r="38" spans="2:147" ht="55.5" customHeight="1" thickTop="1" thickBot="1" x14ac:dyDescent="0.3">
      <c r="B38" s="1"/>
      <c r="C38" s="29" t="s">
        <v>177</v>
      </c>
      <c r="D38" s="29" t="s">
        <v>82</v>
      </c>
      <c r="E38" s="29" t="s">
        <v>116</v>
      </c>
      <c r="F38" s="31">
        <v>1</v>
      </c>
      <c r="G38" s="29" t="s">
        <v>176</v>
      </c>
      <c r="H38" s="29" t="s">
        <v>55</v>
      </c>
      <c r="I38" s="33">
        <v>101.45</v>
      </c>
      <c r="J38" s="33">
        <v>850</v>
      </c>
      <c r="K38" s="33">
        <v>34</v>
      </c>
      <c r="L38" s="34">
        <v>15</v>
      </c>
      <c r="M38" s="58">
        <f t="shared" si="0"/>
        <v>150.44999999999999</v>
      </c>
      <c r="N38" s="61">
        <f t="shared" si="5"/>
        <v>101.45</v>
      </c>
      <c r="O38" s="100"/>
      <c r="P38" s="115">
        <f t="shared" si="1"/>
        <v>34</v>
      </c>
      <c r="Q38" s="116">
        <f t="shared" si="2"/>
        <v>15</v>
      </c>
      <c r="R38" s="117">
        <f t="shared" si="3"/>
        <v>150.44999999999999</v>
      </c>
      <c r="S38" s="8"/>
      <c r="T38" s="133">
        <f t="shared" si="6"/>
        <v>0</v>
      </c>
      <c r="U38" s="129">
        <f t="shared" si="7"/>
        <v>0</v>
      </c>
      <c r="V38" s="130"/>
      <c r="W38" s="8"/>
      <c r="X38" s="8"/>
      <c r="Y38" s="137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</row>
    <row r="39" spans="2:147" ht="55.5" customHeight="1" thickTop="1" thickBot="1" x14ac:dyDescent="0.3">
      <c r="B39" s="1"/>
      <c r="C39" s="41" t="s">
        <v>151</v>
      </c>
      <c r="D39" s="19" t="s">
        <v>11</v>
      </c>
      <c r="E39" s="17" t="s">
        <v>20</v>
      </c>
      <c r="F39" s="20">
        <v>1</v>
      </c>
      <c r="G39" s="17" t="s">
        <v>149</v>
      </c>
      <c r="H39" s="17" t="s">
        <v>150</v>
      </c>
      <c r="I39" s="21">
        <v>650</v>
      </c>
      <c r="J39" s="21">
        <v>750</v>
      </c>
      <c r="K39" s="21">
        <f>J39*0.295</f>
        <v>221.25</v>
      </c>
      <c r="L39" s="22">
        <v>60</v>
      </c>
      <c r="M39" s="58">
        <f t="shared" si="0"/>
        <v>931.25</v>
      </c>
      <c r="N39" s="61">
        <f t="shared" si="5"/>
        <v>650</v>
      </c>
      <c r="O39" s="100"/>
      <c r="P39" s="115">
        <f t="shared" si="1"/>
        <v>221.25</v>
      </c>
      <c r="Q39" s="116">
        <f t="shared" si="2"/>
        <v>60</v>
      </c>
      <c r="R39" s="117">
        <f t="shared" si="3"/>
        <v>931.25</v>
      </c>
      <c r="S39" s="8"/>
      <c r="T39" s="133">
        <f t="shared" si="6"/>
        <v>0</v>
      </c>
      <c r="U39" s="129">
        <f t="shared" si="7"/>
        <v>0</v>
      </c>
      <c r="V39" s="130"/>
      <c r="W39" s="8"/>
      <c r="X39" s="8"/>
      <c r="Y39" s="137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</row>
    <row r="40" spans="2:147" ht="55.5" customHeight="1" thickTop="1" thickBot="1" x14ac:dyDescent="0.3">
      <c r="B40" s="1"/>
      <c r="C40" s="41" t="s">
        <v>148</v>
      </c>
      <c r="D40" s="19" t="s">
        <v>11</v>
      </c>
      <c r="E40" s="17" t="s">
        <v>147</v>
      </c>
      <c r="F40" s="20">
        <v>3</v>
      </c>
      <c r="G40" s="17" t="s">
        <v>39</v>
      </c>
      <c r="H40" s="17" t="s">
        <v>105</v>
      </c>
      <c r="I40" s="21">
        <v>487</v>
      </c>
      <c r="J40" s="21">
        <v>750</v>
      </c>
      <c r="K40" s="21">
        <f>J40*0.024</f>
        <v>18</v>
      </c>
      <c r="L40" s="22">
        <v>20</v>
      </c>
      <c r="M40" s="58">
        <f t="shared" si="0"/>
        <v>525</v>
      </c>
      <c r="N40" s="61">
        <f t="shared" si="5"/>
        <v>1461</v>
      </c>
      <c r="O40" s="100"/>
      <c r="P40" s="115">
        <f t="shared" si="1"/>
        <v>54</v>
      </c>
      <c r="Q40" s="116">
        <f t="shared" si="2"/>
        <v>60</v>
      </c>
      <c r="R40" s="117">
        <f t="shared" si="3"/>
        <v>1575</v>
      </c>
      <c r="S40" s="8"/>
      <c r="T40" s="133">
        <f t="shared" si="6"/>
        <v>0</v>
      </c>
      <c r="U40" s="129">
        <f t="shared" si="7"/>
        <v>0</v>
      </c>
      <c r="V40" s="130"/>
      <c r="W40" s="8"/>
      <c r="X40" s="8"/>
      <c r="Y40" s="137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</row>
    <row r="41" spans="2:147" ht="55.5" customHeight="1" thickTop="1" thickBot="1" x14ac:dyDescent="0.3">
      <c r="B41" s="1"/>
      <c r="C41" s="29" t="s">
        <v>115</v>
      </c>
      <c r="D41" s="29" t="s">
        <v>82</v>
      </c>
      <c r="E41" s="29" t="s">
        <v>116</v>
      </c>
      <c r="F41" s="31">
        <v>1</v>
      </c>
      <c r="G41" s="29" t="s">
        <v>103</v>
      </c>
      <c r="H41" s="29" t="s">
        <v>104</v>
      </c>
      <c r="I41" s="33">
        <v>188</v>
      </c>
      <c r="J41" s="33">
        <v>850</v>
      </c>
      <c r="K41" s="33">
        <f>J41*0.033</f>
        <v>28.05</v>
      </c>
      <c r="L41" s="34">
        <v>20</v>
      </c>
      <c r="M41" s="58">
        <f t="shared" si="0"/>
        <v>236.05</v>
      </c>
      <c r="N41" s="61">
        <f t="shared" si="5"/>
        <v>188</v>
      </c>
      <c r="O41" s="100"/>
      <c r="P41" s="115">
        <f t="shared" si="1"/>
        <v>28.05</v>
      </c>
      <c r="Q41" s="116">
        <f t="shared" si="2"/>
        <v>20</v>
      </c>
      <c r="R41" s="117">
        <f t="shared" si="3"/>
        <v>236.05</v>
      </c>
      <c r="S41" s="8"/>
      <c r="T41" s="133">
        <f t="shared" si="6"/>
        <v>0</v>
      </c>
      <c r="U41" s="129">
        <f t="shared" si="7"/>
        <v>0</v>
      </c>
      <c r="V41" s="130"/>
      <c r="W41" s="8"/>
      <c r="X41" s="8"/>
      <c r="Y41" s="137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</row>
    <row r="42" spans="2:147" ht="55.5" customHeight="1" thickTop="1" thickBot="1" x14ac:dyDescent="0.3">
      <c r="B42" s="1"/>
      <c r="C42" s="41" t="s">
        <v>146</v>
      </c>
      <c r="D42" s="19" t="s">
        <v>11</v>
      </c>
      <c r="E42" s="17" t="s">
        <v>36</v>
      </c>
      <c r="F42" s="20">
        <v>1</v>
      </c>
      <c r="G42" s="17" t="s">
        <v>22</v>
      </c>
      <c r="H42" s="17" t="s">
        <v>89</v>
      </c>
      <c r="I42" s="21">
        <v>588</v>
      </c>
      <c r="J42" s="21">
        <v>750</v>
      </c>
      <c r="K42" s="21">
        <f>J42*0.083</f>
        <v>62.25</v>
      </c>
      <c r="L42" s="22">
        <v>60</v>
      </c>
      <c r="M42" s="58">
        <f t="shared" si="0"/>
        <v>710.25</v>
      </c>
      <c r="N42" s="61">
        <f t="shared" si="5"/>
        <v>588</v>
      </c>
      <c r="O42" s="100"/>
      <c r="P42" s="115">
        <f t="shared" si="1"/>
        <v>62.25</v>
      </c>
      <c r="Q42" s="116">
        <f t="shared" si="2"/>
        <v>60</v>
      </c>
      <c r="R42" s="117">
        <f t="shared" si="3"/>
        <v>710.25</v>
      </c>
      <c r="S42" s="8"/>
      <c r="T42" s="133">
        <f t="shared" si="6"/>
        <v>0</v>
      </c>
      <c r="U42" s="129">
        <f t="shared" si="7"/>
        <v>0</v>
      </c>
      <c r="V42" s="130"/>
      <c r="W42" s="8"/>
      <c r="X42" s="8"/>
      <c r="Y42" s="137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</row>
    <row r="43" spans="2:147" ht="55.5" customHeight="1" thickTop="1" thickBot="1" x14ac:dyDescent="0.3">
      <c r="B43" s="1"/>
      <c r="C43" s="41" t="s">
        <v>145</v>
      </c>
      <c r="D43" s="19" t="s">
        <v>11</v>
      </c>
      <c r="E43" s="17" t="s">
        <v>54</v>
      </c>
      <c r="F43" s="20">
        <v>1</v>
      </c>
      <c r="G43" s="17" t="s">
        <v>90</v>
      </c>
      <c r="H43" s="17" t="s">
        <v>91</v>
      </c>
      <c r="I43" s="21">
        <v>375</v>
      </c>
      <c r="J43" s="21">
        <v>750</v>
      </c>
      <c r="K43" s="21">
        <f>J43*0.125</f>
        <v>93.75</v>
      </c>
      <c r="L43" s="22">
        <v>40</v>
      </c>
      <c r="M43" s="58">
        <f t="shared" si="0"/>
        <v>508.75</v>
      </c>
      <c r="N43" s="61">
        <f t="shared" si="5"/>
        <v>375</v>
      </c>
      <c r="O43" s="100"/>
      <c r="P43" s="115">
        <f t="shared" si="1"/>
        <v>93.75</v>
      </c>
      <c r="Q43" s="116">
        <f t="shared" si="2"/>
        <v>40</v>
      </c>
      <c r="R43" s="117">
        <f t="shared" si="3"/>
        <v>508.75</v>
      </c>
      <c r="S43" s="8"/>
      <c r="T43" s="133">
        <f t="shared" si="6"/>
        <v>0</v>
      </c>
      <c r="U43" s="129">
        <f t="shared" si="7"/>
        <v>0</v>
      </c>
      <c r="V43" s="130"/>
      <c r="W43" s="8"/>
      <c r="X43" s="8"/>
      <c r="Y43" s="137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</row>
    <row r="44" spans="2:147" ht="55.5" customHeight="1" thickTop="1" thickBot="1" x14ac:dyDescent="0.3">
      <c r="B44" s="1"/>
      <c r="C44" s="37" t="s">
        <v>113</v>
      </c>
      <c r="D44" s="29" t="s">
        <v>82</v>
      </c>
      <c r="E44" s="29" t="s">
        <v>114</v>
      </c>
      <c r="F44" s="31">
        <v>1</v>
      </c>
      <c r="G44" s="29">
        <v>10</v>
      </c>
      <c r="H44" s="29" t="s">
        <v>108</v>
      </c>
      <c r="I44" s="33">
        <v>200</v>
      </c>
      <c r="J44" s="33">
        <v>850</v>
      </c>
      <c r="K44" s="33">
        <f>J44*0.01</f>
        <v>8.5</v>
      </c>
      <c r="L44" s="34">
        <v>15</v>
      </c>
      <c r="M44" s="58">
        <f t="shared" si="0"/>
        <v>223.5</v>
      </c>
      <c r="N44" s="61">
        <f t="shared" si="5"/>
        <v>200</v>
      </c>
      <c r="O44" s="100"/>
      <c r="P44" s="115">
        <f t="shared" si="1"/>
        <v>8.5</v>
      </c>
      <c r="Q44" s="116">
        <f t="shared" si="2"/>
        <v>15</v>
      </c>
      <c r="R44" s="117">
        <f t="shared" si="3"/>
        <v>223.5</v>
      </c>
      <c r="S44" s="8"/>
      <c r="T44" s="133">
        <f t="shared" si="6"/>
        <v>0</v>
      </c>
      <c r="U44" s="129">
        <f t="shared" si="7"/>
        <v>0</v>
      </c>
      <c r="V44" s="130"/>
      <c r="W44" s="8"/>
      <c r="X44" s="8"/>
      <c r="Y44" s="137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</row>
    <row r="45" spans="2:147" ht="55.5" customHeight="1" thickTop="1" thickBot="1" x14ac:dyDescent="0.3">
      <c r="B45" s="1"/>
      <c r="C45" s="44" t="s">
        <v>164</v>
      </c>
      <c r="D45" s="18" t="s">
        <v>15</v>
      </c>
      <c r="E45" s="18" t="s">
        <v>16</v>
      </c>
      <c r="F45" s="23">
        <v>2</v>
      </c>
      <c r="G45" s="18" t="s">
        <v>162</v>
      </c>
      <c r="H45" s="18" t="s">
        <v>163</v>
      </c>
      <c r="I45" s="24">
        <v>522</v>
      </c>
      <c r="J45" s="24">
        <v>650</v>
      </c>
      <c r="K45" s="24">
        <f>J45*0.763</f>
        <v>495.95</v>
      </c>
      <c r="L45" s="25">
        <v>100</v>
      </c>
      <c r="M45" s="58">
        <f t="shared" si="0"/>
        <v>1117.95</v>
      </c>
      <c r="N45" s="61">
        <f t="shared" si="5"/>
        <v>1044</v>
      </c>
      <c r="O45" s="100"/>
      <c r="P45" s="115">
        <f t="shared" si="1"/>
        <v>991.9</v>
      </c>
      <c r="Q45" s="116">
        <f t="shared" si="2"/>
        <v>200</v>
      </c>
      <c r="R45" s="117">
        <f t="shared" si="3"/>
        <v>2235.9</v>
      </c>
      <c r="S45" s="8"/>
      <c r="T45" s="133">
        <f t="shared" si="6"/>
        <v>0</v>
      </c>
      <c r="U45" s="129">
        <f t="shared" si="7"/>
        <v>0</v>
      </c>
      <c r="V45" s="130"/>
      <c r="W45" s="8"/>
      <c r="X45" s="8"/>
      <c r="Y45" s="137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</row>
    <row r="46" spans="2:147" ht="55.5" customHeight="1" thickTop="1" thickBot="1" x14ac:dyDescent="0.3">
      <c r="B46" s="1"/>
      <c r="C46" s="44" t="s">
        <v>164</v>
      </c>
      <c r="D46" s="18" t="s">
        <v>15</v>
      </c>
      <c r="E46" s="18" t="s">
        <v>16</v>
      </c>
      <c r="F46" s="23">
        <v>1</v>
      </c>
      <c r="G46" s="18" t="s">
        <v>162</v>
      </c>
      <c r="H46" s="18" t="s">
        <v>163</v>
      </c>
      <c r="I46" s="24">
        <v>522</v>
      </c>
      <c r="J46" s="24">
        <v>650</v>
      </c>
      <c r="K46" s="24">
        <f>J46*0.763</f>
        <v>495.95</v>
      </c>
      <c r="L46" s="25">
        <v>100</v>
      </c>
      <c r="M46" s="58">
        <f t="shared" si="0"/>
        <v>1117.95</v>
      </c>
      <c r="N46" s="61">
        <f t="shared" si="5"/>
        <v>522</v>
      </c>
      <c r="O46" s="100"/>
      <c r="P46" s="115">
        <f t="shared" si="1"/>
        <v>495.95</v>
      </c>
      <c r="Q46" s="116">
        <f t="shared" si="2"/>
        <v>100</v>
      </c>
      <c r="R46" s="117">
        <f t="shared" si="3"/>
        <v>1117.95</v>
      </c>
      <c r="S46" s="8"/>
      <c r="T46" s="133">
        <f t="shared" si="6"/>
        <v>0</v>
      </c>
      <c r="U46" s="129">
        <f t="shared" si="7"/>
        <v>0</v>
      </c>
      <c r="V46" s="130"/>
      <c r="W46" s="8"/>
      <c r="X46" s="8"/>
      <c r="Y46" s="137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</row>
    <row r="47" spans="2:147" ht="55.5" customHeight="1" thickTop="1" thickBot="1" x14ac:dyDescent="0.3">
      <c r="B47" s="1"/>
      <c r="C47" s="41" t="s">
        <v>144</v>
      </c>
      <c r="D47" s="19" t="s">
        <v>11</v>
      </c>
      <c r="E47" s="17" t="s">
        <v>143</v>
      </c>
      <c r="F47" s="20">
        <v>1</v>
      </c>
      <c r="G47" s="17" t="s">
        <v>101</v>
      </c>
      <c r="H47" s="17" t="s">
        <v>102</v>
      </c>
      <c r="I47" s="21">
        <v>1100</v>
      </c>
      <c r="J47" s="21">
        <v>750</v>
      </c>
      <c r="K47" s="21">
        <f>J47*0.223</f>
        <v>167.25</v>
      </c>
      <c r="L47" s="22">
        <v>100</v>
      </c>
      <c r="M47" s="58">
        <f t="shared" si="0"/>
        <v>1367.25</v>
      </c>
      <c r="N47" s="61">
        <f t="shared" si="5"/>
        <v>1100</v>
      </c>
      <c r="O47" s="100"/>
      <c r="P47" s="115">
        <f t="shared" si="1"/>
        <v>167.25</v>
      </c>
      <c r="Q47" s="116">
        <f t="shared" si="2"/>
        <v>100</v>
      </c>
      <c r="R47" s="117">
        <f t="shared" si="3"/>
        <v>1367.25</v>
      </c>
      <c r="S47" s="8"/>
      <c r="T47" s="133">
        <f t="shared" si="6"/>
        <v>0</v>
      </c>
      <c r="U47" s="129">
        <f t="shared" si="7"/>
        <v>0</v>
      </c>
      <c r="V47" s="130"/>
      <c r="W47" s="8"/>
      <c r="X47" s="8"/>
      <c r="Y47" s="137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</row>
    <row r="48" spans="2:147" ht="55.5" customHeight="1" thickTop="1" thickBot="1" x14ac:dyDescent="0.3">
      <c r="B48" s="1"/>
      <c r="C48" s="37" t="s">
        <v>111</v>
      </c>
      <c r="D48" s="29" t="s">
        <v>82</v>
      </c>
      <c r="E48" s="29" t="s">
        <v>112</v>
      </c>
      <c r="F48" s="31">
        <v>2</v>
      </c>
      <c r="G48" s="29" t="s">
        <v>109</v>
      </c>
      <c r="H48" s="29">
        <v>30</v>
      </c>
      <c r="I48" s="33">
        <v>40</v>
      </c>
      <c r="J48" s="33">
        <v>850</v>
      </c>
      <c r="K48" s="33">
        <f>J48*0.03</f>
        <v>25.5</v>
      </c>
      <c r="L48" s="34">
        <v>15</v>
      </c>
      <c r="M48" s="58">
        <f t="shared" si="0"/>
        <v>80.5</v>
      </c>
      <c r="N48" s="61">
        <f t="shared" si="5"/>
        <v>80</v>
      </c>
      <c r="O48" s="100"/>
      <c r="P48" s="115">
        <f t="shared" si="1"/>
        <v>51</v>
      </c>
      <c r="Q48" s="116">
        <f t="shared" si="2"/>
        <v>30</v>
      </c>
      <c r="R48" s="117">
        <f t="shared" si="3"/>
        <v>161</v>
      </c>
      <c r="S48" s="8"/>
      <c r="T48" s="133">
        <f t="shared" si="6"/>
        <v>0</v>
      </c>
      <c r="U48" s="129">
        <f t="shared" si="7"/>
        <v>0</v>
      </c>
      <c r="V48" s="130"/>
      <c r="W48" s="8"/>
      <c r="X48" s="8"/>
      <c r="Y48" s="137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</row>
    <row r="49" spans="2:147" ht="55.5" customHeight="1" thickTop="1" thickBot="1" x14ac:dyDescent="0.3">
      <c r="B49" s="1"/>
      <c r="C49" s="37" t="s">
        <v>117</v>
      </c>
      <c r="D49" s="29" t="s">
        <v>82</v>
      </c>
      <c r="E49" s="29" t="s">
        <v>118</v>
      </c>
      <c r="F49" s="31">
        <v>2</v>
      </c>
      <c r="G49" s="29" t="s">
        <v>107</v>
      </c>
      <c r="H49" s="29" t="s">
        <v>24</v>
      </c>
      <c r="I49" s="33">
        <v>380</v>
      </c>
      <c r="J49" s="33">
        <v>850</v>
      </c>
      <c r="K49" s="33">
        <f>J49*0.09</f>
        <v>76.5</v>
      </c>
      <c r="L49" s="34">
        <v>30</v>
      </c>
      <c r="M49" s="58">
        <f t="shared" si="0"/>
        <v>486.5</v>
      </c>
      <c r="N49" s="61">
        <f t="shared" si="5"/>
        <v>760</v>
      </c>
      <c r="O49" s="100"/>
      <c r="P49" s="115">
        <f t="shared" si="1"/>
        <v>153</v>
      </c>
      <c r="Q49" s="116">
        <f t="shared" si="2"/>
        <v>60</v>
      </c>
      <c r="R49" s="117">
        <f t="shared" si="3"/>
        <v>973</v>
      </c>
      <c r="S49" s="8"/>
      <c r="T49" s="133">
        <f t="shared" si="6"/>
        <v>0</v>
      </c>
      <c r="U49" s="129">
        <f t="shared" si="7"/>
        <v>0</v>
      </c>
      <c r="V49" s="130"/>
      <c r="W49" s="8"/>
      <c r="X49" s="8"/>
      <c r="Y49" s="137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</row>
    <row r="50" spans="2:147" ht="55.5" customHeight="1" thickTop="1" thickBot="1" x14ac:dyDescent="0.3">
      <c r="B50" s="1"/>
      <c r="C50" s="37" t="s">
        <v>111</v>
      </c>
      <c r="D50" s="29" t="s">
        <v>82</v>
      </c>
      <c r="E50" s="29" t="s">
        <v>112</v>
      </c>
      <c r="F50" s="31">
        <v>1</v>
      </c>
      <c r="G50" s="29" t="s">
        <v>109</v>
      </c>
      <c r="H50" s="29" t="s">
        <v>110</v>
      </c>
      <c r="I50" s="33">
        <v>40</v>
      </c>
      <c r="J50" s="33">
        <v>850</v>
      </c>
      <c r="K50" s="33">
        <f>J50*0.03</f>
        <v>25.5</v>
      </c>
      <c r="L50" s="34">
        <v>15</v>
      </c>
      <c r="M50" s="58">
        <f t="shared" si="0"/>
        <v>80.5</v>
      </c>
      <c r="N50" s="61">
        <f t="shared" si="5"/>
        <v>40</v>
      </c>
      <c r="O50" s="100"/>
      <c r="P50" s="115">
        <f t="shared" si="1"/>
        <v>25.5</v>
      </c>
      <c r="Q50" s="116">
        <f t="shared" si="2"/>
        <v>15</v>
      </c>
      <c r="R50" s="117">
        <f t="shared" si="3"/>
        <v>80.5</v>
      </c>
      <c r="S50" s="8"/>
      <c r="T50" s="133">
        <f t="shared" si="6"/>
        <v>0</v>
      </c>
      <c r="U50" s="129">
        <f t="shared" si="7"/>
        <v>0</v>
      </c>
      <c r="V50" s="130"/>
      <c r="W50" s="8"/>
      <c r="X50" s="8"/>
      <c r="Y50" s="137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</row>
    <row r="51" spans="2:147" ht="55.5" customHeight="1" thickTop="1" thickBot="1" x14ac:dyDescent="0.3">
      <c r="B51" s="1"/>
      <c r="C51" s="41" t="s">
        <v>142</v>
      </c>
      <c r="D51" s="19" t="s">
        <v>11</v>
      </c>
      <c r="E51" s="17" t="s">
        <v>36</v>
      </c>
      <c r="F51" s="20">
        <v>1</v>
      </c>
      <c r="G51" s="17" t="s">
        <v>92</v>
      </c>
      <c r="H51" s="17" t="s">
        <v>93</v>
      </c>
      <c r="I51" s="21">
        <v>300</v>
      </c>
      <c r="J51" s="21">
        <v>750</v>
      </c>
      <c r="K51" s="21">
        <f>J51*0.063</f>
        <v>47.25</v>
      </c>
      <c r="L51" s="22">
        <v>30</v>
      </c>
      <c r="M51" s="58">
        <f t="shared" si="0"/>
        <v>377.25</v>
      </c>
      <c r="N51" s="61">
        <f t="shared" si="5"/>
        <v>300</v>
      </c>
      <c r="O51" s="100"/>
      <c r="P51" s="115">
        <f t="shared" si="1"/>
        <v>47.25</v>
      </c>
      <c r="Q51" s="116">
        <f t="shared" si="2"/>
        <v>30</v>
      </c>
      <c r="R51" s="117">
        <f t="shared" si="3"/>
        <v>377.25</v>
      </c>
      <c r="S51" s="8"/>
      <c r="T51" s="133">
        <f t="shared" si="6"/>
        <v>0</v>
      </c>
      <c r="U51" s="129">
        <f t="shared" si="7"/>
        <v>0</v>
      </c>
      <c r="V51" s="130"/>
      <c r="W51" s="8"/>
      <c r="X51" s="8"/>
      <c r="Y51" s="137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</row>
    <row r="52" spans="2:147" ht="55.5" customHeight="1" thickTop="1" thickBot="1" x14ac:dyDescent="0.3">
      <c r="B52" s="1"/>
      <c r="C52" s="44" t="s">
        <v>165</v>
      </c>
      <c r="D52" s="18" t="s">
        <v>15</v>
      </c>
      <c r="E52" s="18" t="s">
        <v>16</v>
      </c>
      <c r="F52" s="23">
        <v>2</v>
      </c>
      <c r="G52" s="18" t="s">
        <v>90</v>
      </c>
      <c r="H52" s="18" t="s">
        <v>91</v>
      </c>
      <c r="I52" s="24">
        <v>238</v>
      </c>
      <c r="J52" s="24">
        <v>650</v>
      </c>
      <c r="K52" s="24">
        <f>J52*0.125</f>
        <v>81.25</v>
      </c>
      <c r="L52" s="25">
        <v>40</v>
      </c>
      <c r="M52" s="58">
        <f t="shared" si="0"/>
        <v>359.25</v>
      </c>
      <c r="N52" s="61">
        <f t="shared" si="5"/>
        <v>476</v>
      </c>
      <c r="O52" s="100"/>
      <c r="P52" s="115">
        <f t="shared" si="1"/>
        <v>162.5</v>
      </c>
      <c r="Q52" s="116">
        <f t="shared" si="2"/>
        <v>80</v>
      </c>
      <c r="R52" s="117">
        <f t="shared" si="3"/>
        <v>718.5</v>
      </c>
      <c r="S52" s="8"/>
      <c r="T52" s="133">
        <f t="shared" si="6"/>
        <v>0</v>
      </c>
      <c r="U52" s="129">
        <f t="shared" si="7"/>
        <v>0</v>
      </c>
      <c r="V52" s="130"/>
      <c r="W52" s="8"/>
      <c r="X52" s="8"/>
      <c r="Y52" s="137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</row>
    <row r="53" spans="2:147" ht="55.5" customHeight="1" thickTop="1" thickBot="1" x14ac:dyDescent="0.3">
      <c r="B53" s="1"/>
      <c r="C53" s="17" t="s">
        <v>141</v>
      </c>
      <c r="D53" s="19" t="s">
        <v>11</v>
      </c>
      <c r="E53" s="17" t="s">
        <v>36</v>
      </c>
      <c r="F53" s="20">
        <v>4</v>
      </c>
      <c r="G53" s="17" t="s">
        <v>38</v>
      </c>
      <c r="H53" s="17" t="s">
        <v>39</v>
      </c>
      <c r="I53" s="21">
        <v>238</v>
      </c>
      <c r="J53" s="21">
        <v>750</v>
      </c>
      <c r="K53" s="21">
        <f>J53*0.016</f>
        <v>12</v>
      </c>
      <c r="L53" s="22">
        <v>20</v>
      </c>
      <c r="M53" s="58">
        <f t="shared" si="0"/>
        <v>270</v>
      </c>
      <c r="N53" s="61">
        <f t="shared" si="5"/>
        <v>952</v>
      </c>
      <c r="O53" s="100"/>
      <c r="P53" s="115">
        <f t="shared" si="1"/>
        <v>48</v>
      </c>
      <c r="Q53" s="116">
        <f t="shared" si="2"/>
        <v>80</v>
      </c>
      <c r="R53" s="117">
        <f t="shared" si="3"/>
        <v>1080</v>
      </c>
      <c r="S53" s="8"/>
      <c r="T53" s="133">
        <f t="shared" si="6"/>
        <v>0</v>
      </c>
      <c r="U53" s="129">
        <f t="shared" si="7"/>
        <v>0</v>
      </c>
      <c r="V53" s="130"/>
      <c r="W53" s="8"/>
      <c r="X53" s="8"/>
      <c r="Y53" s="137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</row>
    <row r="54" spans="2:147" ht="55.5" customHeight="1" thickTop="1" thickBot="1" x14ac:dyDescent="0.3">
      <c r="B54" s="1"/>
      <c r="C54" s="41" t="s">
        <v>140</v>
      </c>
      <c r="D54" s="19" t="s">
        <v>11</v>
      </c>
      <c r="E54" s="17" t="s">
        <v>61</v>
      </c>
      <c r="F54" s="20">
        <v>1</v>
      </c>
      <c r="G54" s="17" t="s">
        <v>94</v>
      </c>
      <c r="H54" s="17" t="s">
        <v>95</v>
      </c>
      <c r="I54" s="21">
        <v>375</v>
      </c>
      <c r="J54" s="21">
        <v>750</v>
      </c>
      <c r="K54" s="21">
        <f>J54*0.061</f>
        <v>45.75</v>
      </c>
      <c r="L54" s="22">
        <v>40</v>
      </c>
      <c r="M54" s="58">
        <f t="shared" si="0"/>
        <v>460.75</v>
      </c>
      <c r="N54" s="61">
        <f t="shared" si="5"/>
        <v>375</v>
      </c>
      <c r="O54" s="100"/>
      <c r="P54" s="115">
        <f t="shared" si="1"/>
        <v>45.75</v>
      </c>
      <c r="Q54" s="116">
        <f t="shared" si="2"/>
        <v>40</v>
      </c>
      <c r="R54" s="117">
        <f t="shared" si="3"/>
        <v>460.75</v>
      </c>
      <c r="S54" s="8"/>
      <c r="T54" s="133">
        <f t="shared" si="6"/>
        <v>0</v>
      </c>
      <c r="U54" s="129">
        <f t="shared" si="7"/>
        <v>0</v>
      </c>
      <c r="V54" s="130"/>
      <c r="W54" s="8"/>
      <c r="X54" s="8"/>
      <c r="Y54" s="137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</row>
    <row r="55" spans="2:147" ht="55.5" customHeight="1" thickTop="1" thickBot="1" x14ac:dyDescent="0.3">
      <c r="B55" s="1"/>
      <c r="C55" s="41" t="s">
        <v>139</v>
      </c>
      <c r="D55" s="19" t="s">
        <v>11</v>
      </c>
      <c r="E55" s="17" t="s">
        <v>36</v>
      </c>
      <c r="F55" s="20">
        <v>1</v>
      </c>
      <c r="G55" s="17" t="s">
        <v>56</v>
      </c>
      <c r="H55" s="17" t="s">
        <v>94</v>
      </c>
      <c r="I55" s="21">
        <v>613</v>
      </c>
      <c r="J55" s="21">
        <v>750</v>
      </c>
      <c r="K55" s="21">
        <f>J55*0.052</f>
        <v>39</v>
      </c>
      <c r="L55" s="22">
        <v>15</v>
      </c>
      <c r="M55" s="58">
        <f t="shared" si="0"/>
        <v>667</v>
      </c>
      <c r="N55" s="61">
        <f t="shared" si="5"/>
        <v>613</v>
      </c>
      <c r="O55" s="100"/>
      <c r="P55" s="115">
        <f t="shared" si="1"/>
        <v>39</v>
      </c>
      <c r="Q55" s="116">
        <f t="shared" si="2"/>
        <v>15</v>
      </c>
      <c r="R55" s="117">
        <f t="shared" si="3"/>
        <v>667</v>
      </c>
      <c r="S55" s="8"/>
      <c r="T55" s="133">
        <f t="shared" si="6"/>
        <v>0</v>
      </c>
      <c r="U55" s="129">
        <f t="shared" si="7"/>
        <v>0</v>
      </c>
      <c r="V55" s="130"/>
      <c r="W55" s="8"/>
      <c r="X55" s="8"/>
      <c r="Y55" s="137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</row>
    <row r="56" spans="2:147" ht="55.5" customHeight="1" thickTop="1" thickBot="1" x14ac:dyDescent="0.3">
      <c r="C56" s="54" t="s">
        <v>138</v>
      </c>
      <c r="D56" s="50" t="s">
        <v>11</v>
      </c>
      <c r="E56" s="45" t="s">
        <v>132</v>
      </c>
      <c r="F56" s="46"/>
      <c r="G56" s="45" t="s">
        <v>99</v>
      </c>
      <c r="H56" s="45" t="s">
        <v>100</v>
      </c>
      <c r="I56" s="47"/>
      <c r="J56" s="47">
        <v>750</v>
      </c>
      <c r="K56" s="47">
        <f>J56*0.408</f>
        <v>306</v>
      </c>
      <c r="L56" s="48">
        <v>80</v>
      </c>
      <c r="M56" s="59"/>
      <c r="N56" s="61">
        <f t="shared" si="5"/>
        <v>0</v>
      </c>
      <c r="O56" s="100"/>
      <c r="P56" s="115">
        <f t="shared" si="1"/>
        <v>0</v>
      </c>
      <c r="Q56" s="116">
        <f t="shared" si="2"/>
        <v>0</v>
      </c>
      <c r="R56" s="117">
        <f t="shared" si="3"/>
        <v>0</v>
      </c>
      <c r="S56" s="8"/>
      <c r="T56" s="133">
        <f t="shared" si="6"/>
        <v>0</v>
      </c>
      <c r="U56" s="129">
        <f t="shared" si="7"/>
        <v>0</v>
      </c>
      <c r="V56" s="130"/>
      <c r="W56" s="8"/>
      <c r="X56" s="8"/>
      <c r="Y56" s="137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</row>
    <row r="57" spans="2:147" ht="55.5" customHeight="1" thickTop="1" thickBot="1" x14ac:dyDescent="0.3">
      <c r="C57" s="54" t="s">
        <v>120</v>
      </c>
      <c r="D57" s="45" t="s">
        <v>82</v>
      </c>
      <c r="E57" s="45" t="s">
        <v>119</v>
      </c>
      <c r="F57" s="46"/>
      <c r="G57" s="45" t="s">
        <v>46</v>
      </c>
      <c r="H57" s="45" t="s">
        <v>38</v>
      </c>
      <c r="I57" s="47"/>
      <c r="J57" s="47">
        <v>850</v>
      </c>
      <c r="K57" s="47">
        <f>J57*0.012</f>
        <v>10.200000000000001</v>
      </c>
      <c r="L57" s="48">
        <v>30</v>
      </c>
      <c r="M57" s="59"/>
      <c r="N57" s="61">
        <f t="shared" si="5"/>
        <v>0</v>
      </c>
      <c r="O57" s="100"/>
      <c r="P57" s="115">
        <f t="shared" si="1"/>
        <v>0</v>
      </c>
      <c r="Q57" s="116">
        <f t="shared" si="2"/>
        <v>0</v>
      </c>
      <c r="R57" s="117">
        <f t="shared" si="3"/>
        <v>0</v>
      </c>
      <c r="S57" s="8"/>
      <c r="T57" s="133">
        <f t="shared" si="6"/>
        <v>0</v>
      </c>
      <c r="U57" s="129">
        <f t="shared" si="7"/>
        <v>0</v>
      </c>
      <c r="V57" s="130"/>
      <c r="W57" s="8"/>
      <c r="X57" s="8"/>
      <c r="Y57" s="137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</row>
    <row r="58" spans="2:147" ht="55.5" customHeight="1" thickTop="1" thickBot="1" x14ac:dyDescent="0.3">
      <c r="C58" s="54" t="s">
        <v>137</v>
      </c>
      <c r="D58" s="50" t="s">
        <v>11</v>
      </c>
      <c r="E58" s="45" t="s">
        <v>136</v>
      </c>
      <c r="F58" s="46"/>
      <c r="G58" s="45" t="s">
        <v>134</v>
      </c>
      <c r="H58" s="45" t="s">
        <v>135</v>
      </c>
      <c r="I58" s="47"/>
      <c r="J58" s="47">
        <v>750</v>
      </c>
      <c r="K58" s="47">
        <f>J58*0.365</f>
        <v>273.75</v>
      </c>
      <c r="L58" s="48">
        <v>80</v>
      </c>
      <c r="M58" s="59"/>
      <c r="N58" s="61">
        <f t="shared" si="5"/>
        <v>0</v>
      </c>
      <c r="O58" s="100"/>
      <c r="P58" s="115">
        <f t="shared" si="1"/>
        <v>0</v>
      </c>
      <c r="Q58" s="116">
        <f t="shared" si="2"/>
        <v>0</v>
      </c>
      <c r="R58" s="117">
        <f t="shared" si="3"/>
        <v>0</v>
      </c>
      <c r="S58" s="8"/>
      <c r="T58" s="133">
        <f t="shared" si="6"/>
        <v>0</v>
      </c>
      <c r="U58" s="129">
        <f t="shared" si="7"/>
        <v>0</v>
      </c>
      <c r="V58" s="130"/>
      <c r="W58" s="8"/>
      <c r="X58" s="8"/>
      <c r="Y58" s="137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</row>
    <row r="59" spans="2:147" ht="55.5" customHeight="1" thickTop="1" thickBot="1" x14ac:dyDescent="0.3">
      <c r="C59" s="44" t="s">
        <v>166</v>
      </c>
      <c r="D59" s="18" t="s">
        <v>15</v>
      </c>
      <c r="E59" s="18" t="s">
        <v>16</v>
      </c>
      <c r="F59" s="23">
        <v>3</v>
      </c>
      <c r="G59" s="18" t="s">
        <v>106</v>
      </c>
      <c r="H59" s="18" t="s">
        <v>107</v>
      </c>
      <c r="I59" s="24">
        <v>250</v>
      </c>
      <c r="J59" s="24">
        <v>650</v>
      </c>
      <c r="K59" s="24">
        <f>J59*0.082</f>
        <v>53.300000000000004</v>
      </c>
      <c r="L59" s="25">
        <v>30</v>
      </c>
      <c r="M59" s="58">
        <f t="shared" si="0"/>
        <v>333.3</v>
      </c>
      <c r="N59" s="61">
        <f t="shared" si="5"/>
        <v>750</v>
      </c>
      <c r="O59" s="100"/>
      <c r="P59" s="115">
        <f t="shared" si="1"/>
        <v>159.9</v>
      </c>
      <c r="Q59" s="116">
        <f t="shared" si="2"/>
        <v>90</v>
      </c>
      <c r="R59" s="117">
        <f t="shared" si="3"/>
        <v>999.9</v>
      </c>
      <c r="S59" s="8"/>
      <c r="T59" s="133">
        <f t="shared" si="6"/>
        <v>0</v>
      </c>
      <c r="U59" s="129">
        <f t="shared" si="7"/>
        <v>0</v>
      </c>
      <c r="V59" s="130"/>
      <c r="W59" s="8"/>
      <c r="X59" s="8"/>
      <c r="Y59" s="137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</row>
    <row r="60" spans="2:147" ht="55.5" customHeight="1" thickTop="1" thickBot="1" x14ac:dyDescent="0.3">
      <c r="C60" s="41" t="s">
        <v>133</v>
      </c>
      <c r="D60" s="19" t="s">
        <v>11</v>
      </c>
      <c r="E60" s="17" t="s">
        <v>36</v>
      </c>
      <c r="F60" s="20">
        <v>1</v>
      </c>
      <c r="G60" s="17" t="s">
        <v>96</v>
      </c>
      <c r="H60" s="17" t="s">
        <v>97</v>
      </c>
      <c r="I60" s="21">
        <v>613</v>
      </c>
      <c r="J60" s="21">
        <v>750</v>
      </c>
      <c r="K60" s="21">
        <f>J60*0.072</f>
        <v>53.999999999999993</v>
      </c>
      <c r="L60" s="22">
        <v>30</v>
      </c>
      <c r="M60" s="58">
        <f t="shared" si="0"/>
        <v>697</v>
      </c>
      <c r="N60" s="61">
        <f t="shared" si="5"/>
        <v>613</v>
      </c>
      <c r="O60" s="100"/>
      <c r="P60" s="115">
        <f t="shared" si="1"/>
        <v>53.999999999999993</v>
      </c>
      <c r="Q60" s="116">
        <f t="shared" si="2"/>
        <v>30</v>
      </c>
      <c r="R60" s="117">
        <f t="shared" si="3"/>
        <v>697</v>
      </c>
      <c r="S60" s="8"/>
      <c r="T60" s="133">
        <f t="shared" si="6"/>
        <v>0</v>
      </c>
      <c r="U60" s="129">
        <f t="shared" si="7"/>
        <v>0</v>
      </c>
      <c r="V60" s="130"/>
      <c r="W60" s="8"/>
      <c r="X60" s="8"/>
      <c r="Y60" s="137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</row>
    <row r="61" spans="2:147" ht="55.5" customHeight="1" thickTop="1" thickBot="1" x14ac:dyDescent="0.3">
      <c r="C61" s="37" t="s">
        <v>117</v>
      </c>
      <c r="D61" s="29" t="s">
        <v>82</v>
      </c>
      <c r="E61" s="29" t="s">
        <v>123</v>
      </c>
      <c r="F61" s="31">
        <v>1</v>
      </c>
      <c r="G61" s="29" t="s">
        <v>56</v>
      </c>
      <c r="H61" s="29" t="s">
        <v>92</v>
      </c>
      <c r="I61" s="33">
        <v>260</v>
      </c>
      <c r="J61" s="33">
        <v>850</v>
      </c>
      <c r="K61" s="33">
        <f>J61*0.055</f>
        <v>46.75</v>
      </c>
      <c r="L61" s="34">
        <v>30</v>
      </c>
      <c r="M61" s="58">
        <f t="shared" si="0"/>
        <v>336.75</v>
      </c>
      <c r="N61" s="61">
        <f t="shared" si="5"/>
        <v>260</v>
      </c>
      <c r="O61" s="100"/>
      <c r="P61" s="115">
        <f t="shared" si="1"/>
        <v>46.75</v>
      </c>
      <c r="Q61" s="116">
        <f t="shared" si="2"/>
        <v>30</v>
      </c>
      <c r="R61" s="117">
        <f t="shared" si="3"/>
        <v>336.75</v>
      </c>
      <c r="S61" s="8"/>
      <c r="T61" s="133">
        <f t="shared" si="6"/>
        <v>0</v>
      </c>
      <c r="U61" s="129">
        <f t="shared" si="7"/>
        <v>0</v>
      </c>
      <c r="V61" s="130"/>
      <c r="W61" s="8"/>
      <c r="X61" s="8"/>
      <c r="Y61" s="137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</row>
    <row r="62" spans="2:147" ht="55.5" customHeight="1" thickTop="1" thickBot="1" x14ac:dyDescent="0.3">
      <c r="C62" s="37" t="s">
        <v>122</v>
      </c>
      <c r="D62" s="29" t="s">
        <v>82</v>
      </c>
      <c r="E62" s="30"/>
      <c r="F62" s="31">
        <v>1</v>
      </c>
      <c r="G62" s="29" t="s">
        <v>121</v>
      </c>
      <c r="H62" s="29" t="s">
        <v>52</v>
      </c>
      <c r="I62" s="33">
        <v>192</v>
      </c>
      <c r="J62" s="33">
        <v>850</v>
      </c>
      <c r="K62" s="33">
        <f>J62*0.154</f>
        <v>130.9</v>
      </c>
      <c r="L62" s="34">
        <v>30</v>
      </c>
      <c r="M62" s="58">
        <f t="shared" si="0"/>
        <v>352.9</v>
      </c>
      <c r="N62" s="61">
        <f t="shared" si="5"/>
        <v>192</v>
      </c>
      <c r="O62" s="100"/>
      <c r="P62" s="115">
        <f t="shared" si="1"/>
        <v>130.9</v>
      </c>
      <c r="Q62" s="116">
        <f t="shared" si="2"/>
        <v>30</v>
      </c>
      <c r="R62" s="117">
        <f t="shared" si="3"/>
        <v>352.9</v>
      </c>
      <c r="S62" s="8"/>
      <c r="T62" s="133">
        <f t="shared" si="6"/>
        <v>0</v>
      </c>
      <c r="U62" s="129">
        <f t="shared" si="7"/>
        <v>0</v>
      </c>
      <c r="V62" s="130"/>
      <c r="W62" s="8"/>
      <c r="X62" s="8"/>
      <c r="Y62" s="137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</row>
    <row r="63" spans="2:147" ht="55.5" customHeight="1" thickTop="1" thickBot="1" x14ac:dyDescent="0.3">
      <c r="C63" s="54" t="s">
        <v>130</v>
      </c>
      <c r="D63" s="50" t="s">
        <v>11</v>
      </c>
      <c r="E63" s="45" t="s">
        <v>129</v>
      </c>
      <c r="F63" s="46"/>
      <c r="G63" s="45" t="s">
        <v>100</v>
      </c>
      <c r="H63" s="45" t="s">
        <v>98</v>
      </c>
      <c r="I63" s="47"/>
      <c r="J63" s="47">
        <v>750</v>
      </c>
      <c r="K63" s="47">
        <f>J63*0.415</f>
        <v>311.25</v>
      </c>
      <c r="L63" s="48">
        <v>50</v>
      </c>
      <c r="M63" s="59"/>
      <c r="N63" s="61">
        <f t="shared" si="5"/>
        <v>0</v>
      </c>
      <c r="O63" s="100"/>
      <c r="P63" s="115">
        <f t="shared" si="1"/>
        <v>0</v>
      </c>
      <c r="Q63" s="116">
        <f t="shared" si="2"/>
        <v>0</v>
      </c>
      <c r="R63" s="117">
        <f t="shared" si="3"/>
        <v>0</v>
      </c>
      <c r="S63" s="8"/>
      <c r="T63" s="133">
        <f t="shared" si="6"/>
        <v>0</v>
      </c>
      <c r="U63" s="129">
        <f t="shared" si="7"/>
        <v>0</v>
      </c>
      <c r="V63" s="130"/>
      <c r="W63" s="8"/>
      <c r="X63" s="8"/>
      <c r="Y63" s="137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</row>
    <row r="64" spans="2:147" ht="55.5" customHeight="1" thickTop="1" thickBot="1" x14ac:dyDescent="0.3">
      <c r="C64" s="45" t="s">
        <v>128</v>
      </c>
      <c r="D64" s="50" t="s">
        <v>11</v>
      </c>
      <c r="E64" s="45" t="s">
        <v>132</v>
      </c>
      <c r="F64" s="46"/>
      <c r="G64" s="45" t="s">
        <v>66</v>
      </c>
      <c r="H64" s="45" t="s">
        <v>127</v>
      </c>
      <c r="I64" s="47"/>
      <c r="J64" s="47">
        <v>750</v>
      </c>
      <c r="K64" s="47">
        <f>J64*0.24</f>
        <v>180</v>
      </c>
      <c r="L64" s="48">
        <v>70</v>
      </c>
      <c r="M64" s="59"/>
      <c r="N64" s="61">
        <f t="shared" si="5"/>
        <v>0</v>
      </c>
      <c r="O64" s="100"/>
      <c r="P64" s="115">
        <f t="shared" si="1"/>
        <v>0</v>
      </c>
      <c r="Q64" s="116">
        <f t="shared" si="2"/>
        <v>0</v>
      </c>
      <c r="R64" s="117">
        <f t="shared" si="3"/>
        <v>0</v>
      </c>
      <c r="S64" s="8"/>
      <c r="T64" s="133">
        <f t="shared" si="6"/>
        <v>0</v>
      </c>
      <c r="U64" s="129">
        <f t="shared" si="7"/>
        <v>0</v>
      </c>
      <c r="V64" s="130"/>
      <c r="W64" s="8"/>
      <c r="X64" s="8"/>
      <c r="Y64" s="137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</row>
    <row r="65" spans="2:147" ht="55.5" customHeight="1" thickTop="1" thickBot="1" x14ac:dyDescent="0.3">
      <c r="C65" s="64" t="s">
        <v>126</v>
      </c>
      <c r="D65" s="19" t="s">
        <v>11</v>
      </c>
      <c r="E65" s="19" t="s">
        <v>131</v>
      </c>
      <c r="F65" s="65">
        <v>1</v>
      </c>
      <c r="G65" s="19" t="s">
        <v>124</v>
      </c>
      <c r="H65" s="19" t="s">
        <v>125</v>
      </c>
      <c r="I65" s="26">
        <v>413</v>
      </c>
      <c r="J65" s="26">
        <v>750</v>
      </c>
      <c r="K65" s="26">
        <f>J65*0.085</f>
        <v>63.750000000000007</v>
      </c>
      <c r="L65" s="27">
        <v>25</v>
      </c>
      <c r="M65" s="60">
        <f t="shared" si="0"/>
        <v>501.75</v>
      </c>
      <c r="N65" s="61">
        <f t="shared" si="5"/>
        <v>413</v>
      </c>
      <c r="O65" s="100"/>
      <c r="P65" s="115">
        <f t="shared" si="1"/>
        <v>63.750000000000007</v>
      </c>
      <c r="Q65" s="116">
        <f t="shared" si="2"/>
        <v>25</v>
      </c>
      <c r="R65" s="117">
        <f t="shared" si="3"/>
        <v>501.75</v>
      </c>
      <c r="S65" s="8"/>
      <c r="T65" s="133">
        <f t="shared" si="6"/>
        <v>0</v>
      </c>
      <c r="U65" s="129">
        <f t="shared" si="7"/>
        <v>0</v>
      </c>
      <c r="V65" s="130"/>
      <c r="W65" s="8"/>
      <c r="X65" s="8"/>
      <c r="Y65" s="137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</row>
    <row r="66" spans="2:147" ht="55.5" customHeight="1" thickTop="1" thickBot="1" x14ac:dyDescent="0.3">
      <c r="B66" s="125"/>
      <c r="C66" s="125"/>
      <c r="D66" s="125"/>
      <c r="E66" s="125"/>
      <c r="F66" s="126">
        <f>SUM(F6:F65)</f>
        <v>120</v>
      </c>
      <c r="G66" s="125"/>
      <c r="H66" s="125"/>
      <c r="I66" s="62">
        <f>I65+I64+I63+I62+I61+I60+I59+I58+I57+I56+I55+I54+I53+I52+I51+I50+I49+I48+I47+I46+I45+I44+I43+I42+I41+I40+I39+I38+I37+I36+I35+I34+I33+I32+I31+I30+I29+I28+I27+I26+I25+I24+I23+I22+I21+I20+I19+I18+I17+I16+I15+I14+I13+I12+I11+I10+I9+I8+I7+I6</f>
        <v>20403.7</v>
      </c>
      <c r="J66" s="156"/>
      <c r="K66" s="156"/>
      <c r="L66" s="156"/>
      <c r="M66" s="63">
        <f>M65+M64+M63+M62+M61+M60+M59+M58+M57+M56+M55+M54+M53+M52+M51+M50+M49+M48+M47+M45+M44+M43+M42+M41+M40+M39+M38+M37+M36+M35+M34+M33+M32+M31+M30+M29+M28+M27+M26+M25+M24+M23+M22+M21+M20+M19+M18+M17+M16+M15+M14+M13+M12+M11+M10+M9+M8+M7+M6</f>
        <v>25578</v>
      </c>
      <c r="N66" s="98">
        <f>SUM(N6:N65)</f>
        <v>37318.199999999997</v>
      </c>
      <c r="O66" s="100"/>
      <c r="P66" s="115"/>
      <c r="Q66" s="116"/>
      <c r="R66" s="117"/>
      <c r="S66" s="8"/>
      <c r="T66" s="133">
        <f t="shared" si="6"/>
        <v>0</v>
      </c>
      <c r="U66" s="129">
        <f t="shared" si="7"/>
        <v>0</v>
      </c>
      <c r="V66" s="130"/>
      <c r="W66" s="8"/>
      <c r="X66" s="8"/>
      <c r="Y66" s="137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</row>
    <row r="67" spans="2:147" ht="33.75" customHeight="1" thickTop="1" thickBot="1" x14ac:dyDescent="0.3">
      <c r="B67" s="87"/>
      <c r="C67" s="88"/>
      <c r="D67" s="89"/>
      <c r="E67" s="89"/>
      <c r="F67" s="90"/>
      <c r="G67" s="89"/>
      <c r="H67" s="89"/>
      <c r="I67" s="91"/>
      <c r="J67" s="91"/>
      <c r="K67" s="91"/>
      <c r="L67" s="92"/>
      <c r="M67" s="93"/>
      <c r="N67" s="87"/>
      <c r="O67" s="100"/>
      <c r="P67" s="118"/>
      <c r="Q67" s="119"/>
      <c r="R67" s="120"/>
      <c r="S67" s="8"/>
      <c r="T67" s="133">
        <f t="shared" si="6"/>
        <v>0</v>
      </c>
      <c r="U67" s="129">
        <f t="shared" si="7"/>
        <v>0</v>
      </c>
      <c r="V67" s="130"/>
      <c r="W67" s="8"/>
      <c r="X67" s="8"/>
      <c r="Y67" s="137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</row>
    <row r="68" spans="2:147" ht="55.5" customHeight="1" thickTop="1" thickBot="1" x14ac:dyDescent="0.3">
      <c r="B68" s="161" t="s">
        <v>178</v>
      </c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3"/>
      <c r="O68" s="100"/>
      <c r="P68" s="118"/>
      <c r="Q68" s="119"/>
      <c r="R68" s="120"/>
      <c r="S68" s="8"/>
      <c r="T68" s="133">
        <f t="shared" si="6"/>
        <v>0</v>
      </c>
      <c r="U68" s="129">
        <f t="shared" si="7"/>
        <v>0</v>
      </c>
      <c r="V68" s="130"/>
      <c r="W68" s="8"/>
      <c r="X68" s="8"/>
      <c r="Y68" s="137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</row>
    <row r="69" spans="2:147" ht="55.5" customHeight="1" thickTop="1" thickBot="1" x14ac:dyDescent="0.3">
      <c r="B69" s="67"/>
      <c r="C69" s="82"/>
      <c r="D69" s="18" t="s">
        <v>15</v>
      </c>
      <c r="E69" s="70" t="s">
        <v>16</v>
      </c>
      <c r="F69" s="123">
        <v>17</v>
      </c>
      <c r="G69" s="16">
        <v>0.14000000000000001</v>
      </c>
      <c r="H69" s="70" t="s">
        <v>18</v>
      </c>
      <c r="I69" s="74">
        <v>255</v>
      </c>
      <c r="J69" s="74">
        <v>650</v>
      </c>
      <c r="K69" s="74">
        <f>J69*0.15</f>
        <v>97.5</v>
      </c>
      <c r="L69" s="76">
        <v>8</v>
      </c>
      <c r="M69" s="60">
        <f t="shared" ref="M69:M75" si="8">I69+K69+L69</f>
        <v>360.5</v>
      </c>
      <c r="N69" s="83">
        <f>F69*I69</f>
        <v>4335</v>
      </c>
      <c r="O69" s="100"/>
      <c r="P69" s="115">
        <f t="shared" ref="P69:P75" si="9">F69*K69</f>
        <v>1657.5</v>
      </c>
      <c r="Q69" s="116">
        <f t="shared" ref="Q69:Q75" si="10">F69*L69</f>
        <v>136</v>
      </c>
      <c r="R69" s="117">
        <f t="shared" ref="R69:R75" si="11">N69+P69+Q69</f>
        <v>6128.5</v>
      </c>
      <c r="S69" s="8"/>
      <c r="T69" s="133">
        <f t="shared" si="6"/>
        <v>0</v>
      </c>
      <c r="U69" s="129">
        <f t="shared" si="7"/>
        <v>0</v>
      </c>
      <c r="V69" s="130"/>
      <c r="W69" s="8"/>
      <c r="X69" s="8"/>
      <c r="Y69" s="137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</row>
    <row r="70" spans="2:147" ht="55.5" customHeight="1" thickTop="1" thickBot="1" x14ac:dyDescent="0.3">
      <c r="B70" s="68"/>
      <c r="C70" s="18"/>
      <c r="D70" s="18" t="s">
        <v>15</v>
      </c>
      <c r="E70" s="18" t="s">
        <v>42</v>
      </c>
      <c r="F70" s="23">
        <v>1</v>
      </c>
      <c r="G70" s="78">
        <v>8.5000000000000006E-2</v>
      </c>
      <c r="H70" s="78" t="s">
        <v>179</v>
      </c>
      <c r="I70" s="79">
        <v>385</v>
      </c>
      <c r="J70" s="79">
        <v>650</v>
      </c>
      <c r="K70" s="79">
        <f>J70*0.097</f>
        <v>63.050000000000004</v>
      </c>
      <c r="L70" s="25">
        <v>30</v>
      </c>
      <c r="M70" s="60">
        <f t="shared" si="8"/>
        <v>478.05</v>
      </c>
      <c r="N70" s="83">
        <f t="shared" ref="N70:N75" si="12">F70*I70</f>
        <v>385</v>
      </c>
      <c r="O70" s="100"/>
      <c r="P70" s="115">
        <f t="shared" si="9"/>
        <v>63.050000000000004</v>
      </c>
      <c r="Q70" s="116">
        <f t="shared" si="10"/>
        <v>30</v>
      </c>
      <c r="R70" s="117">
        <f t="shared" si="11"/>
        <v>478.05</v>
      </c>
      <c r="S70" s="8"/>
      <c r="T70" s="133">
        <f t="shared" si="6"/>
        <v>0</v>
      </c>
      <c r="U70" s="129">
        <f t="shared" si="7"/>
        <v>0</v>
      </c>
      <c r="V70" s="130"/>
      <c r="W70" s="8"/>
      <c r="X70" s="8"/>
      <c r="Y70" s="137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</row>
    <row r="71" spans="2:147" ht="55.5" customHeight="1" thickTop="1" thickBot="1" x14ac:dyDescent="0.3">
      <c r="B71" s="68"/>
      <c r="C71" s="18"/>
      <c r="D71" s="18" t="s">
        <v>15</v>
      </c>
      <c r="E71" s="18" t="s">
        <v>16</v>
      </c>
      <c r="F71" s="23">
        <v>1</v>
      </c>
      <c r="G71" s="18">
        <v>0.14000000000000001</v>
      </c>
      <c r="H71" s="18" t="s">
        <v>18</v>
      </c>
      <c r="I71" s="24">
        <v>250</v>
      </c>
      <c r="J71" s="24">
        <v>650</v>
      </c>
      <c r="K71" s="24">
        <f>J71*0.15</f>
        <v>97.5</v>
      </c>
      <c r="L71" s="25">
        <v>8</v>
      </c>
      <c r="M71" s="60">
        <f t="shared" si="8"/>
        <v>355.5</v>
      </c>
      <c r="N71" s="83">
        <f t="shared" si="12"/>
        <v>250</v>
      </c>
      <c r="O71" s="100"/>
      <c r="P71" s="115">
        <f t="shared" si="9"/>
        <v>97.5</v>
      </c>
      <c r="Q71" s="116">
        <f t="shared" si="10"/>
        <v>8</v>
      </c>
      <c r="R71" s="117">
        <f t="shared" si="11"/>
        <v>355.5</v>
      </c>
      <c r="S71" s="8"/>
      <c r="T71" s="133">
        <f t="shared" si="6"/>
        <v>0</v>
      </c>
      <c r="U71" s="129">
        <f t="shared" si="7"/>
        <v>0</v>
      </c>
      <c r="V71" s="130"/>
      <c r="W71" s="8"/>
      <c r="X71" s="8"/>
      <c r="Y71" s="137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</row>
    <row r="72" spans="2:147" ht="55.5" customHeight="1" thickTop="1" thickBot="1" x14ac:dyDescent="0.3">
      <c r="B72" s="68"/>
      <c r="C72" s="18"/>
      <c r="D72" s="18" t="s">
        <v>15</v>
      </c>
      <c r="E72" s="18" t="s">
        <v>16</v>
      </c>
      <c r="F72" s="23">
        <v>1</v>
      </c>
      <c r="G72" s="80">
        <v>0.14000000000000001</v>
      </c>
      <c r="H72" s="80" t="s">
        <v>18</v>
      </c>
      <c r="I72" s="81">
        <v>258</v>
      </c>
      <c r="J72" s="81">
        <v>650</v>
      </c>
      <c r="K72" s="81">
        <f>J72*0.15</f>
        <v>97.5</v>
      </c>
      <c r="L72" s="25">
        <v>8</v>
      </c>
      <c r="M72" s="60">
        <f t="shared" si="8"/>
        <v>363.5</v>
      </c>
      <c r="N72" s="83">
        <f t="shared" si="12"/>
        <v>258</v>
      </c>
      <c r="O72" s="100"/>
      <c r="P72" s="115">
        <f t="shared" si="9"/>
        <v>97.5</v>
      </c>
      <c r="Q72" s="116">
        <f t="shared" si="10"/>
        <v>8</v>
      </c>
      <c r="R72" s="117">
        <f t="shared" si="11"/>
        <v>363.5</v>
      </c>
      <c r="S72" s="8"/>
      <c r="T72" s="133">
        <f t="shared" ref="T72:T75" si="13">Y72*12.5</f>
        <v>0</v>
      </c>
      <c r="U72" s="129">
        <f t="shared" ref="U72:U75" si="14">F72*T72</f>
        <v>0</v>
      </c>
      <c r="V72" s="130"/>
      <c r="W72" s="8"/>
      <c r="X72" s="8"/>
      <c r="Y72" s="137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</row>
    <row r="73" spans="2:147" ht="55.5" customHeight="1" thickTop="1" thickBot="1" x14ac:dyDescent="0.3">
      <c r="B73" s="69"/>
      <c r="C73" s="17"/>
      <c r="D73" s="17" t="s">
        <v>11</v>
      </c>
      <c r="E73" s="17" t="s">
        <v>181</v>
      </c>
      <c r="F73" s="20">
        <v>1</v>
      </c>
      <c r="G73" s="17">
        <v>3.6999999999999998E-2</v>
      </c>
      <c r="H73" s="17" t="s">
        <v>73</v>
      </c>
      <c r="I73" s="21">
        <v>355</v>
      </c>
      <c r="J73" s="21">
        <v>750</v>
      </c>
      <c r="K73" s="21">
        <f>J73*0.045</f>
        <v>33.75</v>
      </c>
      <c r="L73" s="22">
        <v>15</v>
      </c>
      <c r="M73" s="60">
        <f t="shared" si="8"/>
        <v>403.75</v>
      </c>
      <c r="N73" s="83">
        <f t="shared" si="12"/>
        <v>355</v>
      </c>
      <c r="O73" s="100"/>
      <c r="P73" s="115">
        <f t="shared" si="9"/>
        <v>33.75</v>
      </c>
      <c r="Q73" s="116">
        <f t="shared" si="10"/>
        <v>15</v>
      </c>
      <c r="R73" s="117">
        <f t="shared" si="11"/>
        <v>403.75</v>
      </c>
      <c r="S73" s="8"/>
      <c r="T73" s="133">
        <f t="shared" si="13"/>
        <v>0</v>
      </c>
      <c r="U73" s="129">
        <f t="shared" si="14"/>
        <v>0</v>
      </c>
      <c r="V73" s="130"/>
      <c r="W73" s="8"/>
      <c r="X73" s="8"/>
      <c r="Y73" s="137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</row>
    <row r="74" spans="2:147" ht="55.5" customHeight="1" thickTop="1" thickBot="1" x14ac:dyDescent="0.3">
      <c r="B74" s="68"/>
      <c r="C74" s="71"/>
      <c r="D74" s="71" t="s">
        <v>82</v>
      </c>
      <c r="E74" s="72"/>
      <c r="F74" s="77">
        <v>1</v>
      </c>
      <c r="G74" s="71">
        <v>1.7999999999999999E-2</v>
      </c>
      <c r="H74" s="71" t="s">
        <v>180</v>
      </c>
      <c r="I74" s="75">
        <v>375</v>
      </c>
      <c r="J74" s="75">
        <v>850</v>
      </c>
      <c r="K74" s="75">
        <f>J74*0.025</f>
        <v>21.25</v>
      </c>
      <c r="L74" s="73">
        <v>15</v>
      </c>
      <c r="M74" s="60">
        <f t="shared" si="8"/>
        <v>411.25</v>
      </c>
      <c r="N74" s="83">
        <f t="shared" si="12"/>
        <v>375</v>
      </c>
      <c r="O74" s="100"/>
      <c r="P74" s="115">
        <f t="shared" si="9"/>
        <v>21.25</v>
      </c>
      <c r="Q74" s="116">
        <f t="shared" si="10"/>
        <v>15</v>
      </c>
      <c r="R74" s="117">
        <f t="shared" si="11"/>
        <v>411.25</v>
      </c>
      <c r="S74" s="8"/>
      <c r="T74" s="133">
        <f t="shared" si="13"/>
        <v>0</v>
      </c>
      <c r="U74" s="129">
        <f t="shared" si="14"/>
        <v>0</v>
      </c>
      <c r="V74" s="130"/>
      <c r="W74" s="8"/>
      <c r="X74" s="8"/>
      <c r="Y74" s="137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</row>
    <row r="75" spans="2:147" ht="55.5" customHeight="1" thickTop="1" thickBot="1" x14ac:dyDescent="0.3">
      <c r="B75" s="68"/>
      <c r="C75" s="71"/>
      <c r="D75" s="71" t="s">
        <v>82</v>
      </c>
      <c r="E75" s="72"/>
      <c r="F75" s="77">
        <v>1</v>
      </c>
      <c r="G75" s="71">
        <v>3.7999999999999999E-2</v>
      </c>
      <c r="H75" s="71" t="s">
        <v>94</v>
      </c>
      <c r="I75" s="85">
        <v>275</v>
      </c>
      <c r="J75" s="75">
        <v>850</v>
      </c>
      <c r="K75" s="75">
        <f>J75*0.052</f>
        <v>44.199999999999996</v>
      </c>
      <c r="L75" s="73">
        <v>20</v>
      </c>
      <c r="M75" s="60">
        <f t="shared" si="8"/>
        <v>339.2</v>
      </c>
      <c r="N75" s="83">
        <f t="shared" si="12"/>
        <v>275</v>
      </c>
      <c r="O75" s="100"/>
      <c r="P75" s="115">
        <f t="shared" si="9"/>
        <v>44.199999999999996</v>
      </c>
      <c r="Q75" s="116">
        <f t="shared" si="10"/>
        <v>20</v>
      </c>
      <c r="R75" s="117">
        <f t="shared" si="11"/>
        <v>339.2</v>
      </c>
      <c r="S75" s="8"/>
      <c r="T75" s="133">
        <f t="shared" si="13"/>
        <v>0</v>
      </c>
      <c r="U75" s="129">
        <f t="shared" si="14"/>
        <v>0</v>
      </c>
      <c r="V75" s="130"/>
      <c r="W75" s="8"/>
      <c r="X75" s="8"/>
      <c r="Y75" s="137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</row>
    <row r="76" spans="2:147" ht="55.5" customHeight="1" thickTop="1" thickBot="1" x14ac:dyDescent="0.3">
      <c r="E76" s="122"/>
      <c r="F76" s="124">
        <f>SUM(F69:F75)</f>
        <v>23</v>
      </c>
      <c r="G76" s="15">
        <f>SUM(G69:G75)</f>
        <v>0.5980000000000002</v>
      </c>
      <c r="I76" s="86">
        <f>SUM(I69:I75)</f>
        <v>2153</v>
      </c>
      <c r="M76" s="95">
        <f>SUM(M69:M75)</f>
        <v>2711.75</v>
      </c>
      <c r="N76" s="96">
        <f>SUM(N69:N75)</f>
        <v>6233</v>
      </c>
      <c r="O76" s="100"/>
      <c r="P76" s="151" t="s">
        <v>185</v>
      </c>
      <c r="Q76" s="151"/>
      <c r="R76" s="104">
        <f>SUM(R6:R75)</f>
        <v>56664.250000000007</v>
      </c>
      <c r="S76" s="8"/>
      <c r="T76" s="139"/>
      <c r="U76" s="138">
        <f>SUM(U6:U75)</f>
        <v>3295.75</v>
      </c>
      <c r="V76" s="138">
        <f>SUM(V6:V75)</f>
        <v>8677.25</v>
      </c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</row>
    <row r="77" spans="2:147" ht="27.6" customHeight="1" thickTop="1" x14ac:dyDescent="0.25">
      <c r="F77" s="127">
        <f>F76+F66</f>
        <v>143</v>
      </c>
      <c r="M77" s="66"/>
      <c r="N77" s="66"/>
      <c r="O77" s="121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</row>
    <row r="78" spans="2:147" ht="56.25" customHeight="1" x14ac:dyDescent="0.25">
      <c r="L78" s="150" t="s">
        <v>186</v>
      </c>
      <c r="M78" s="150"/>
      <c r="N78" s="99">
        <f>N66+N76</f>
        <v>43551.199999999997</v>
      </c>
      <c r="O78" s="121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</row>
    <row r="79" spans="2:147" ht="27.6" customHeight="1" x14ac:dyDescent="0.25">
      <c r="M79" s="66"/>
      <c r="N79" s="66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</row>
    <row r="80" spans="2:147" ht="27.6" customHeight="1" x14ac:dyDescent="0.25">
      <c r="M80" s="66"/>
      <c r="N80" s="66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</row>
    <row r="81" spans="12:147" ht="27.6" customHeight="1" x14ac:dyDescent="0.25">
      <c r="M81" s="66"/>
      <c r="N81" s="66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</row>
    <row r="82" spans="12:147" ht="27.6" customHeight="1" x14ac:dyDescent="0.25">
      <c r="M82" s="66"/>
      <c r="N82" s="66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</row>
    <row r="83" spans="12:147" ht="27.6" customHeight="1" x14ac:dyDescent="0.25">
      <c r="M83" s="66"/>
      <c r="N83" s="66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</row>
    <row r="84" spans="12:147" ht="27.6" customHeight="1" x14ac:dyDescent="0.25">
      <c r="M84" s="66"/>
      <c r="N84" s="66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</row>
    <row r="85" spans="12:147" ht="27.6" customHeight="1" x14ac:dyDescent="0.25">
      <c r="M85" s="66"/>
      <c r="N85" s="66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</row>
    <row r="86" spans="12:147" ht="27.6" customHeight="1" x14ac:dyDescent="0.25">
      <c r="M86" s="66"/>
      <c r="N86" s="66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</row>
    <row r="87" spans="12:147" ht="27.6" customHeight="1" x14ac:dyDescent="0.25">
      <c r="M87" s="66"/>
      <c r="N87" s="66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</row>
    <row r="88" spans="12:147" ht="27.6" customHeight="1" x14ac:dyDescent="0.25">
      <c r="L88" s="84"/>
      <c r="M88" s="66"/>
      <c r="N88" s="66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</row>
    <row r="89" spans="12:147" ht="27.6" customHeight="1" x14ac:dyDescent="0.25">
      <c r="L89" s="84"/>
      <c r="M89" s="105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</row>
    <row r="90" spans="12:147" ht="27.6" customHeight="1" x14ac:dyDescent="0.25">
      <c r="L90" s="84"/>
      <c r="M90" s="105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</row>
    <row r="91" spans="12:147" ht="27.6" customHeight="1" x14ac:dyDescent="0.25">
      <c r="L91" s="84"/>
      <c r="M91" s="105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</row>
    <row r="92" spans="12:147" ht="27.6" customHeight="1" x14ac:dyDescent="0.25">
      <c r="L92" s="84"/>
      <c r="M92" s="105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</row>
    <row r="93" spans="12:147" ht="27.6" customHeight="1" x14ac:dyDescent="0.25">
      <c r="L93" s="84"/>
      <c r="M93" s="105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</row>
    <row r="94" spans="12:147" ht="27.6" customHeight="1" x14ac:dyDescent="0.25">
      <c r="L94" s="84"/>
      <c r="M94" s="105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</row>
    <row r="95" spans="12:147" ht="27.6" customHeight="1" x14ac:dyDescent="0.25">
      <c r="L95" s="84"/>
      <c r="M95" s="105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</row>
    <row r="96" spans="12:147" ht="27.6" customHeight="1" x14ac:dyDescent="0.25">
      <c r="L96" s="84"/>
      <c r="M96" s="105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</row>
    <row r="97" spans="12:147" ht="27.6" customHeight="1" x14ac:dyDescent="0.25">
      <c r="L97" s="84"/>
      <c r="M97" s="105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</row>
    <row r="98" spans="12:147" ht="27.6" customHeight="1" x14ac:dyDescent="0.25">
      <c r="L98" s="84"/>
      <c r="M98" s="105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</row>
    <row r="99" spans="12:147" ht="27.6" customHeight="1" x14ac:dyDescent="0.25">
      <c r="L99" s="84"/>
      <c r="M99" s="105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</row>
    <row r="100" spans="12:147" ht="27.6" customHeight="1" x14ac:dyDescent="0.25">
      <c r="L100" s="84"/>
      <c r="M100" s="105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</row>
    <row r="101" spans="12:147" ht="27.6" customHeight="1" x14ac:dyDescent="0.25">
      <c r="L101" s="84"/>
      <c r="M101" s="105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</row>
    <row r="102" spans="12:147" ht="27.6" customHeight="1" x14ac:dyDescent="0.25">
      <c r="L102" s="84"/>
      <c r="M102" s="10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</row>
    <row r="103" spans="12:147" ht="27.6" customHeight="1" x14ac:dyDescent="0.25">
      <c r="L103" s="84"/>
      <c r="M103" s="105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</row>
    <row r="104" spans="12:147" ht="27.6" customHeight="1" x14ac:dyDescent="0.25">
      <c r="L104" s="84"/>
      <c r="M104" s="105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</row>
    <row r="105" spans="12:147" ht="27.6" customHeight="1" x14ac:dyDescent="0.25">
      <c r="L105" s="84"/>
      <c r="M105" s="10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</row>
    <row r="106" spans="12:147" ht="27.6" customHeight="1" x14ac:dyDescent="0.25">
      <c r="L106" s="84"/>
      <c r="M106" s="10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</row>
    <row r="107" spans="12:147" ht="27.6" customHeight="1" x14ac:dyDescent="0.25">
      <c r="L107" s="84"/>
      <c r="M107" s="10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</row>
    <row r="108" spans="12:147" ht="27.6" customHeight="1" x14ac:dyDescent="0.25">
      <c r="L108" s="84"/>
      <c r="M108" s="105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</row>
    <row r="109" spans="12:147" ht="27.6" customHeight="1" x14ac:dyDescent="0.25">
      <c r="L109" s="84"/>
      <c r="M109" s="105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</row>
    <row r="110" spans="12:147" ht="27.6" customHeight="1" x14ac:dyDescent="0.25">
      <c r="L110" s="84"/>
      <c r="M110" s="105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</row>
    <row r="111" spans="12:147" ht="27.6" customHeight="1" x14ac:dyDescent="0.25">
      <c r="L111" s="84"/>
      <c r="M111" s="105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</row>
    <row r="112" spans="12:147" ht="27.6" customHeight="1" x14ac:dyDescent="0.25">
      <c r="L112" s="84"/>
      <c r="M112" s="105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</row>
    <row r="113" spans="12:147" ht="27.6" customHeight="1" x14ac:dyDescent="0.25">
      <c r="L113" s="84"/>
      <c r="M113" s="10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</row>
    <row r="114" spans="12:147" ht="27.6" customHeight="1" x14ac:dyDescent="0.25">
      <c r="L114" s="84"/>
      <c r="M114" s="10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</row>
    <row r="115" spans="12:147" ht="27.6" customHeight="1" x14ac:dyDescent="0.25">
      <c r="L115" s="84"/>
      <c r="M115" s="105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</row>
    <row r="116" spans="12:147" ht="27.6" customHeight="1" x14ac:dyDescent="0.25">
      <c r="L116" s="84"/>
      <c r="M116" s="105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</row>
    <row r="117" spans="12:147" ht="27.6" customHeight="1" x14ac:dyDescent="0.25">
      <c r="L117" s="84"/>
      <c r="M117" s="105"/>
      <c r="N117" s="4"/>
    </row>
    <row r="118" spans="12:147" ht="27.6" customHeight="1" x14ac:dyDescent="0.25">
      <c r="L118" s="84"/>
      <c r="M118" s="105"/>
      <c r="N118" s="4"/>
    </row>
    <row r="119" spans="12:147" ht="27.6" customHeight="1" x14ac:dyDescent="0.25">
      <c r="L119" s="84"/>
      <c r="M119" s="105"/>
      <c r="N119" s="4"/>
    </row>
    <row r="120" spans="12:147" ht="27.6" customHeight="1" x14ac:dyDescent="0.25">
      <c r="L120" s="84"/>
      <c r="M120" s="105"/>
      <c r="N120" s="4"/>
    </row>
    <row r="121" spans="12:147" ht="27.6" customHeight="1" x14ac:dyDescent="0.25">
      <c r="L121" s="84"/>
      <c r="M121" s="105"/>
      <c r="N121" s="4"/>
    </row>
    <row r="122" spans="12:147" ht="27.6" customHeight="1" x14ac:dyDescent="0.25"/>
    <row r="123" spans="12:147" ht="27.6" customHeight="1" x14ac:dyDescent="0.25"/>
    <row r="124" spans="12:147" ht="27.6" customHeight="1" x14ac:dyDescent="0.25"/>
    <row r="125" spans="12:147" ht="27.6" customHeight="1" x14ac:dyDescent="0.25"/>
    <row r="126" spans="12:147" ht="27.6" customHeight="1" x14ac:dyDescent="0.25"/>
    <row r="127" spans="12:147" ht="27.6" customHeight="1" x14ac:dyDescent="0.25"/>
    <row r="128" spans="12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L78:M78"/>
    <mergeCell ref="P76:Q76"/>
    <mergeCell ref="B2:N2"/>
    <mergeCell ref="P3:R4"/>
    <mergeCell ref="B1:AT1"/>
    <mergeCell ref="J66:L66"/>
    <mergeCell ref="D3:I3"/>
    <mergeCell ref="E4:I4"/>
    <mergeCell ref="B68:N68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2020-08-10T10:17:50Z</dcterms:modified>
</cp:coreProperties>
</file>