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SC" sheetId="1" state="visible" r:id="rId2"/>
    <sheet name="BCC" sheetId="2" state="visible" r:id="rId3"/>
    <sheet name="FCC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<sst xmlns="http://schemas.openxmlformats.org/spreadsheetml/2006/main" count="360" uniqueCount="94">
  <si>
    <t>R =</t>
  </si>
  <si>
    <t>J/K mol</t>
  </si>
  <si>
    <t>Alpha=</t>
  </si>
  <si>
    <t>P</t>
  </si>
  <si>
    <r>
      <t xml:space="preserve">A</t>
    </r>
    <r>
      <rPr>
        <rFont val="Calibri"/>
        <charset val="1"/>
        <family val="2"/>
        <b val="true"/>
        <color rgb="00000000"/>
        <sz val="8"/>
      </rPr>
      <t xml:space="preserve">0=</t>
    </r>
  </si>
  <si>
    <t>Pa.m^3/mol^2</t>
  </si>
  <si>
    <t>Beta=</t>
  </si>
  <si>
    <t>(-R*T)</t>
  </si>
  <si>
    <t>a=</t>
  </si>
  <si>
    <t>m^3/mol</t>
  </si>
  <si>
    <t>Gamma=</t>
  </si>
  <si>
    <r>
      <t xml:space="preserve">(-(R*T*B</t>
    </r>
    <r>
      <rPr>
        <rFont val="Calibri"/>
        <charset val="1"/>
        <family val="2"/>
        <b val="true"/>
        <color rgb="00000000"/>
        <sz val="8"/>
      </rPr>
      <t xml:space="preserve">0</t>
    </r>
    <r>
      <rPr>
        <rFont val="Calibri"/>
        <charset val="1"/>
        <family val="2"/>
        <b val="true"/>
        <color rgb="00000000"/>
        <sz val="11"/>
      </rPr>
      <t xml:space="preserve">)) + ((R*C)/(T^2)) +(A</t>
    </r>
    <r>
      <rPr>
        <rFont val="Calibri"/>
        <charset val="1"/>
        <family val="2"/>
        <b val="true"/>
        <color rgb="00000000"/>
        <sz val="8"/>
      </rPr>
      <t xml:space="preserve">0</t>
    </r>
    <r>
      <rPr>
        <rFont val="Calibri"/>
        <charset val="1"/>
        <family val="2"/>
        <b val="true"/>
        <color rgb="00000000"/>
        <sz val="11"/>
      </rPr>
      <t xml:space="preserve">)</t>
    </r>
  </si>
  <si>
    <r>
      <t xml:space="preserve">B</t>
    </r>
    <r>
      <rPr>
        <rFont val="Calibri"/>
        <charset val="1"/>
        <family val="2"/>
        <b val="true"/>
        <color rgb="00000000"/>
        <sz val="8"/>
      </rPr>
      <t xml:space="preserve">0=</t>
    </r>
  </si>
  <si>
    <t>Zeta=</t>
  </si>
  <si>
    <r>
      <t xml:space="preserve">(R*C*B</t>
    </r>
    <r>
      <rPr>
        <rFont val="Calibri"/>
        <charset val="1"/>
        <family val="2"/>
        <b val="true"/>
        <color rgb="00000000"/>
        <sz val="8"/>
      </rPr>
      <t xml:space="preserve">0</t>
    </r>
    <r>
      <rPr>
        <rFont val="Calibri"/>
        <charset val="1"/>
        <family val="2"/>
        <b val="true"/>
        <color rgb="00000000"/>
        <sz val="11"/>
      </rPr>
      <t xml:space="preserve">/(T^2))+ (R*T*b*B</t>
    </r>
    <r>
      <rPr>
        <rFont val="Calibri"/>
        <charset val="1"/>
        <family val="2"/>
        <b val="true"/>
        <color rgb="00000000"/>
        <sz val="8"/>
      </rPr>
      <t xml:space="preserve">0)</t>
    </r>
    <r>
      <rPr>
        <rFont val="Calibri"/>
        <charset val="1"/>
        <family val="2"/>
        <b val="true"/>
        <color rgb="00000000"/>
        <sz val="11"/>
      </rPr>
      <t xml:space="preserve"> - (a*A</t>
    </r>
    <r>
      <rPr>
        <rFont val="Calibri"/>
        <charset val="1"/>
        <family val="2"/>
        <b val="true"/>
        <color rgb="00000000"/>
        <sz val="8"/>
      </rPr>
      <t xml:space="preserve">0</t>
    </r>
    <r>
      <rPr>
        <rFont val="Calibri"/>
        <charset val="1"/>
        <family val="2"/>
        <b val="true"/>
        <color rgb="00000000"/>
        <sz val="11"/>
      </rPr>
      <t xml:space="preserve">)</t>
    </r>
  </si>
  <si>
    <t>b=</t>
  </si>
  <si>
    <t>Delta=</t>
  </si>
  <si>
    <r>
      <t xml:space="preserve">(-R*C*b*B</t>
    </r>
    <r>
      <rPr>
        <rFont val="Calibri"/>
        <charset val="1"/>
        <family val="2"/>
        <b val="true"/>
        <color rgb="00000000"/>
        <sz val="8"/>
      </rPr>
      <t xml:space="preserve">0</t>
    </r>
    <r>
      <rPr>
        <rFont val="Calibri"/>
        <charset val="1"/>
        <family val="2"/>
        <b val="true"/>
        <color rgb="00000000"/>
        <sz val="11"/>
      </rPr>
      <t xml:space="preserve">/T^2)</t>
    </r>
  </si>
  <si>
    <t>C=</t>
  </si>
  <si>
    <t>m^3K^3/mol</t>
  </si>
  <si>
    <t>α V^4+β V^3+γ V^2+δ V+ ξ= 0</t>
  </si>
  <si>
    <t>M.W</t>
  </si>
  <si>
    <t>g/mol</t>
  </si>
  <si>
    <t>kg/mol</t>
  </si>
  <si>
    <t>Roots</t>
  </si>
  <si>
    <t>V1=</t>
  </si>
  <si>
    <t>P=</t>
  </si>
  <si>
    <t>kPa</t>
  </si>
  <si>
    <t>V2=</t>
  </si>
  <si>
    <t>T=</t>
  </si>
  <si>
    <t>Kelvin</t>
  </si>
  <si>
    <t>V=</t>
  </si>
  <si>
    <t>Density=(P*M.W)/(R*T)</t>
  </si>
  <si>
    <t>kg/m^3</t>
  </si>
  <si>
    <t>Fixed mass of H2 in tank to be filled</t>
  </si>
  <si>
    <t>kg</t>
  </si>
  <si>
    <t>Bubble Radius(r)=</t>
  </si>
  <si>
    <t>mm</t>
  </si>
  <si>
    <t>m</t>
  </si>
  <si>
    <t>Bubble Volume=(4/3)*pi*(r^3)=</t>
  </si>
  <si>
    <t>mm^3</t>
  </si>
  <si>
    <t>System Arrangement</t>
  </si>
  <si>
    <t>=</t>
  </si>
  <si>
    <t>m^3</t>
  </si>
  <si>
    <t>Perct of Touching Radius = </t>
  </si>
  <si>
    <t>Mass of Hydrogen per bubble=</t>
  </si>
  <si>
    <t>No. of bubbles in tank=</t>
  </si>
  <si>
    <t>SC arrangement</t>
  </si>
  <si>
    <t>Total Bubble Voulme=</t>
  </si>
  <si>
    <t>Unit cube edge length =</t>
  </si>
  <si>
    <t>Desity of structure material=</t>
  </si>
  <si>
    <t>Volume of unit cube =</t>
  </si>
  <si>
    <t>Total tank volume(structure + bubble)=</t>
  </si>
  <si>
    <t>No. of bubbles per unit=</t>
  </si>
  <si>
    <t>Total Bubble volume=</t>
  </si>
  <si>
    <t>Tank volume required =</t>
  </si>
  <si>
    <t>Total Volume of Strucuture =</t>
  </si>
  <si>
    <t>No. of unit cells required to design the tank= Tank vol/ vol of unit cell</t>
  </si>
  <si>
    <t>Mass of structure=</t>
  </si>
  <si>
    <t>To calculate foam density</t>
  </si>
  <si>
    <t>Mass H2/ Mass Structure=</t>
  </si>
  <si>
    <t>Strut thickness(δ)=</t>
  </si>
  <si>
    <t>%</t>
  </si>
  <si>
    <t>Diameter of Cell (d)= 2*r</t>
  </si>
  <si>
    <t>Volume of foam material per unit SC cell arrangement=</t>
  </si>
  <si>
    <t>V(void) +  V(structure)= V(tank)</t>
  </si>
  <si>
    <t>Therefore total volume of foam material = Vol. of foam material per unit cell X No. of unit cells required to design the tank</t>
  </si>
  <si>
    <t>{V(void)/V(tank)} +  {V(structure)/V(tank)}= 1</t>
  </si>
  <si>
    <t>V(void)/V(tank) = 1-{V(structure)/V(tank)}</t>
  </si>
  <si>
    <t>Foam mass per unit cell = vol. of foam material per unit cell X density of foam material</t>
  </si>
  <si>
    <t>Porosity (Ø)=   1-{V(structure)/V(tank)} </t>
  </si>
  <si>
    <t>Therfore Foam density = Foam mass per unit cell / unit cell volume</t>
  </si>
  <si>
    <t>For SC arrangement</t>
  </si>
  <si>
    <r>
      <t xml:space="preserve">Total number of bubbles </t>
    </r>
    <r>
      <rPr>
        <rFont val="Calibri"/>
        <charset val="1"/>
        <family val="2"/>
        <b val="true"/>
        <color rgb="00000000"/>
        <sz val="11"/>
      </rPr>
      <t xml:space="preserve">(N)</t>
    </r>
    <r>
      <rPr>
        <rFont val="Calibri"/>
        <charset val="1"/>
        <family val="2"/>
        <color rgb="00000000"/>
        <sz val="11"/>
      </rPr>
      <t xml:space="preserve">= n^3-3(n^2)+2n -2 </t>
    </r>
  </si>
  <si>
    <t>where, n= number of unit cubes on a given edge</t>
  </si>
  <si>
    <t>(obtained from online solution</t>
  </si>
  <si>
    <t>BCC arrangement</t>
  </si>
  <si>
    <t>e.g. n = 3 for 3 x 3 model</t>
  </si>
  <si>
    <t>Unit cube diagonal length =</t>
  </si>
  <si>
    <t>Thus, total no. of unit cubes in tank volume =</t>
  </si>
  <si>
    <t>(4*r(1+(1-0.90)))</t>
  </si>
  <si>
    <t>Unit cube edge length=</t>
  </si>
  <si>
    <t>Difference in unit cubes=</t>
  </si>
  <si>
    <t>Volume of unit cube=</t>
  </si>
  <si>
    <t>Percentage differnce w.r.t value obtained from volume calculation =</t>
  </si>
  <si>
    <t>No. of bubbles per unit cube =</t>
  </si>
  <si>
    <t>Tank voume required=</t>
  </si>
  <si>
    <t>FCC arrangement</t>
  </si>
  <si>
    <t>For BCC arrangement</t>
  </si>
  <si>
    <r>
      <t xml:space="preserve">Total number of bubbles </t>
    </r>
    <r>
      <rPr>
        <rFont val="Calibri"/>
        <charset val="1"/>
        <family val="2"/>
        <b val="true"/>
        <color rgb="00000000"/>
        <sz val="11"/>
      </rPr>
      <t xml:space="preserve">(N)</t>
    </r>
    <r>
      <rPr>
        <rFont val="Calibri"/>
        <charset val="1"/>
        <family val="2"/>
        <color rgb="00000000"/>
        <sz val="11"/>
      </rPr>
      <t xml:space="preserve">= 2(n^3)-3(n^2)+2n -2 </t>
    </r>
  </si>
  <si>
    <t>Volume of unit cube or cell=</t>
  </si>
  <si>
    <t>For FCC arrangement</t>
  </si>
  <si>
    <r>
      <t xml:space="preserve">Total number of bubbles </t>
    </r>
    <r>
      <rPr>
        <rFont val="Calibri"/>
        <charset val="1"/>
        <family val="2"/>
        <b val="true"/>
        <color rgb="00000000"/>
        <sz val="11"/>
      </rPr>
      <t xml:space="preserve">(N)</t>
    </r>
    <r>
      <rPr>
        <rFont val="Calibri"/>
        <charset val="1"/>
        <family val="2"/>
        <color rgb="00000000"/>
        <sz val="11"/>
      </rPr>
      <t xml:space="preserve">= 4(n^3)-6(n^2)+3n -1 </t>
    </r>
  </si>
  <si>
    <t>Thus, total no. of unit cubes inside tank volume =</t>
  </si>
</sst>
</file>

<file path=xl/styles.xml><?xml version="1.0" encoding="utf-8"?>
<styleSheet xmlns="http://schemas.openxmlformats.org/spreadsheetml/2006/main">
  <numFmts count="4">
    <numFmt formatCode="GENERAL" numFmtId="164"/>
    <numFmt formatCode="GENERAL" numFmtId="165"/>
    <numFmt formatCode="0.00E+00" numFmtId="166"/>
    <numFmt formatCode="0%" numFmtId="167"/>
  </numFmts>
  <fonts count="13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8"/>
    </font>
    <font>
      <name val="Calibri"/>
      <charset val="1"/>
      <family val="2"/>
      <b val="true"/>
      <color rgb="00FF0000"/>
      <sz val="11"/>
    </font>
    <font>
      <name val="Calibri"/>
      <charset val="1"/>
      <family val="2"/>
      <b val="true"/>
      <color rgb="0000B050"/>
      <sz val="11"/>
    </font>
    <font>
      <name val="Calibri"/>
      <charset val="1"/>
      <family val="2"/>
      <color rgb="00FF0000"/>
      <sz val="11"/>
    </font>
    <font>
      <name val="Calibri"/>
      <charset val="1"/>
      <family val="2"/>
      <b val="true"/>
      <color rgb="007030A0"/>
      <sz val="11"/>
    </font>
    <font>
      <name val="Calibri"/>
      <charset val="1"/>
      <family val="2"/>
      <sz val="11"/>
    </font>
    <font>
      <name val="Calibri"/>
      <charset val="1"/>
      <family val="2"/>
      <b val="true"/>
      <color rgb="0000B0F0"/>
      <sz val="11"/>
    </font>
    <font>
      <name val="Calibri"/>
      <charset val="1"/>
      <family val="2"/>
      <b val="true"/>
      <sz val="11"/>
    </font>
  </fonts>
  <fills count="3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/>
      <right/>
      <top style="medium"/>
      <bottom/>
      <diagonal/>
    </border>
    <border diagonalDown="false" diagonalUp="false">
      <left/>
      <right style="medium"/>
      <top style="medium"/>
      <bottom/>
      <diagonal/>
    </border>
    <border diagonalDown="false" diagonalUp="false">
      <left style="medium"/>
      <right/>
      <top/>
      <bottom/>
      <diagonal/>
    </border>
    <border diagonalDown="false" diagonalUp="false">
      <left/>
      <right style="medium"/>
      <top/>
      <bottom/>
      <diagonal/>
    </border>
    <border diagonalDown="false" diagonalUp="false">
      <left style="medium"/>
      <right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8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</xf>
    <xf applyAlignment="false" applyBorder="false" applyFont="true" applyProtection="false" borderId="0" fillId="0" fontId="4" numFmtId="164" xfId="0"/>
    <xf applyAlignment="true" applyBorder="false" applyFont="true" applyProtection="false" borderId="0" fillId="0" fontId="4" numFmtId="164" xfId="0">
      <alignment horizontal="left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6" numFmtId="164" xfId="0"/>
    <xf applyAlignment="false" applyBorder="false" applyFont="false" applyProtection="false" borderId="0" fillId="0" fontId="0" numFmtId="166" xfId="0"/>
    <xf applyAlignment="false" applyBorder="false" applyFont="true" applyProtection="false" borderId="0" fillId="0" fontId="7" numFmtId="164" xfId="0"/>
    <xf applyAlignment="false" applyBorder="false" applyFont="true" applyProtection="false" borderId="0" fillId="2" fontId="4" numFmtId="164" xfId="0"/>
    <xf applyAlignment="false" applyBorder="true" applyFont="true" applyProtection="false" borderId="1" fillId="0" fontId="8" numFmtId="164" xfId="0"/>
    <xf applyAlignment="false" applyBorder="true" applyFont="fals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4" fillId="0" fontId="8" numFmtId="164" xfId="0"/>
    <xf applyAlignment="false" applyBorder="true" applyFont="true" applyProtection="false" borderId="0" fillId="0" fontId="8" numFmtId="164" xfId="0"/>
    <xf applyAlignment="false" applyBorder="true" applyFont="false" applyProtection="false" borderId="0" fillId="0" fontId="0" numFmtId="164" xfId="0"/>
    <xf applyAlignment="false" applyBorder="true" applyFont="false" applyProtection="false" borderId="5" fillId="0" fontId="0" numFmtId="164" xfId="0"/>
    <xf applyAlignment="false" applyBorder="true" applyFont="true" applyProtection="false" borderId="4" fillId="0" fontId="0" numFmtId="164" xfId="0"/>
    <xf applyAlignment="true" applyBorder="true" applyFont="true" applyProtection="false" borderId="0" fillId="0" fontId="7" numFmtId="167" xfId="0">
      <alignment horizontal="left" indent="0" shrinkToFit="false" textRotation="0" vertical="bottom" wrapText="false"/>
    </xf>
    <xf applyAlignment="false" applyBorder="true" applyFont="true" applyProtection="false" borderId="4" fillId="0" fontId="9" numFmtId="164" xfId="0"/>
    <xf applyAlignment="false" applyBorder="true" applyFont="true" applyProtection="false" borderId="0" fillId="0" fontId="10" numFmtId="164" xfId="0"/>
    <xf applyAlignment="false" applyBorder="true" applyFont="true" applyProtection="false" borderId="4" fillId="0" fontId="10" numFmtId="164" xfId="0"/>
    <xf applyAlignment="false" applyBorder="true" applyFont="true" applyProtection="false" borderId="0" fillId="0" fontId="10" numFmtId="164" xfId="0"/>
    <xf applyAlignment="false" applyBorder="false" applyFont="true" applyProtection="false" borderId="0" fillId="0" fontId="9" numFmtId="164" xfId="0"/>
    <xf applyAlignment="false" applyBorder="false" applyFont="true" applyProtection="false" borderId="0" fillId="0" fontId="0" numFmtId="164" xfId="0"/>
    <xf applyAlignment="true" applyBorder="false" applyFont="true" applyProtection="false" borderId="0" fillId="0" fontId="11" numFmtId="164" xfId="0">
      <alignment horizontal="right" indent="0" shrinkToFit="false" textRotation="0" vertical="bottom" wrapText="false"/>
    </xf>
    <xf applyAlignment="false" applyBorder="true" applyFont="false" applyProtection="false" borderId="6" fillId="0" fontId="0" numFmtId="164" xfId="0"/>
    <xf applyAlignment="false" applyBorder="true" applyFont="fals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true" applyProtection="false" borderId="0" fillId="0" fontId="0" numFmtId="164" xfId="0"/>
    <xf applyAlignment="false" applyBorder="true" applyFont="true" applyProtection="false" borderId="0" fillId="0" fontId="12" numFmtId="164" xfId="0"/>
    <xf applyAlignment="false" applyBorder="true" applyFont="true" applyProtection="false" borderId="0" fillId="0" fontId="4" numFmtId="164" xfId="0"/>
    <xf applyAlignment="false" applyBorder="true" applyFont="true" applyProtection="false" borderId="5" fillId="0" fontId="4" numFmtId="164" xfId="0"/>
    <xf applyAlignment="false" applyBorder="true" applyFont="true" applyProtection="false" borderId="4" fillId="0" fontId="4" numFmtId="164" xfId="0"/>
    <xf applyAlignment="true" applyBorder="true" applyFont="true" applyProtection="false" borderId="7" fillId="0" fontId="0" numFmtId="164" xfId="0">
      <alignment horizontal="right" indent="0" shrinkToFit="false" textRotation="0" vertical="bottom" wrapText="false"/>
    </xf>
    <xf applyAlignment="false" applyBorder="true" applyFont="true" applyProtection="false" borderId="7" fillId="0" fontId="4" numFmtId="164" xfId="0"/>
    <xf applyAlignment="false" applyBorder="tru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7030A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00" zoomScaleNormal="100" zoomScalePageLayoutView="100">
      <selection activeCell="B63" activeCellId="0" pane="topLeft" sqref="B63"/>
    </sheetView>
  </sheetViews>
  <cols>
    <col collapsed="false" hidden="false" max="1" min="1" style="1" width="45.1843137254902"/>
    <col collapsed="false" hidden="false" max="2" min="2" style="0" width="12.1921568627451"/>
    <col collapsed="false" hidden="false" max="3" min="3" style="2" width="8.74901960784314"/>
    <col collapsed="false" hidden="false" max="4" min="4" style="0" width="19.0666666666667"/>
    <col collapsed="false" hidden="false" max="5" min="5" style="0" width="18.078431372549"/>
    <col collapsed="false" hidden="false" max="6" min="6" style="0" width="13.3372549019608"/>
    <col collapsed="false" hidden="false" max="7" min="7" style="0" width="12.0470588235294"/>
    <col collapsed="false" hidden="false" max="9" min="8" style="0" width="11.1882352941176"/>
    <col collapsed="false" hidden="false" max="10" min="10" style="0" width="13.0509803921569"/>
    <col collapsed="false" hidden="false" max="1025" min="1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>
      <c r="A3" s="3" t="s">
        <v>0</v>
      </c>
      <c r="B3" s="4" t="n">
        <f aca="false">8.3144621</f>
        <v>8.3144621</v>
      </c>
      <c r="C3" s="5" t="s">
        <v>1</v>
      </c>
      <c r="E3" s="4" t="s">
        <v>2</v>
      </c>
      <c r="F3" s="4" t="s">
        <v>3</v>
      </c>
      <c r="J3" s="4" t="n">
        <f aca="false">B13</f>
        <v>7423.538334</v>
      </c>
    </row>
    <row collapsed="false" customFormat="false" customHeight="true" hidden="false" ht="15" outlineLevel="0" r="4">
      <c r="A4" s="3" t="s">
        <v>4</v>
      </c>
      <c r="B4" s="4" t="n">
        <v>0.02</v>
      </c>
      <c r="C4" s="5" t="s">
        <v>5</v>
      </c>
      <c r="E4" s="4" t="s">
        <v>6</v>
      </c>
      <c r="F4" s="4" t="s">
        <v>7</v>
      </c>
      <c r="J4" s="6" t="n">
        <f aca="false">(-(B3*B14))</f>
        <v>-1937.2696693</v>
      </c>
    </row>
    <row collapsed="false" customFormat="false" customHeight="true" hidden="false" ht="15" outlineLevel="0" r="5">
      <c r="A5" s="3" t="s">
        <v>8</v>
      </c>
      <c r="B5" s="4" t="n">
        <v>-5060000</v>
      </c>
      <c r="C5" s="5" t="s">
        <v>9</v>
      </c>
      <c r="E5" s="4" t="s">
        <v>10</v>
      </c>
      <c r="F5" s="4" t="s">
        <v>11</v>
      </c>
      <c r="J5" s="6" t="n">
        <f aca="false">(-(B3*B14*B6))+((B3*B8)/(B14^2))+(B4)</f>
        <v>-40605172268.5072</v>
      </c>
    </row>
    <row collapsed="false" customFormat="false" customHeight="true" hidden="false" ht="15" outlineLevel="0" r="6">
      <c r="A6" s="3" t="s">
        <v>12</v>
      </c>
      <c r="B6" s="4" t="n">
        <v>20960000</v>
      </c>
      <c r="C6" s="5" t="s">
        <v>9</v>
      </c>
      <c r="E6" s="4" t="s">
        <v>13</v>
      </c>
      <c r="F6" s="4" t="s">
        <v>14</v>
      </c>
      <c r="J6" s="6" t="n">
        <f aca="false">((B3*B8*B6)/(B14^2))+(B3*B14*B7*B6)-(B5*B4)</f>
        <v>-1.76997945918502E+018</v>
      </c>
    </row>
    <row collapsed="false" customFormat="false" customHeight="true" hidden="false" ht="15" outlineLevel="0" r="7">
      <c r="A7" s="3" t="s">
        <v>15</v>
      </c>
      <c r="B7" s="4" t="n">
        <v>-43590000</v>
      </c>
      <c r="C7" s="5" t="s">
        <v>9</v>
      </c>
      <c r="E7" s="4" t="s">
        <v>16</v>
      </c>
      <c r="F7" s="4" t="s">
        <v>17</v>
      </c>
      <c r="J7" s="6" t="n">
        <f aca="false">(-B3*B8*B7*B6)/(B14^2)</f>
        <v>705230359053.054</v>
      </c>
    </row>
    <row collapsed="false" customFormat="false" customHeight="true" hidden="false" ht="15" outlineLevel="0" r="8">
      <c r="A8" s="3" t="s">
        <v>18</v>
      </c>
      <c r="B8" s="4" t="n">
        <v>5.04</v>
      </c>
      <c r="C8" s="5" t="s">
        <v>19</v>
      </c>
    </row>
    <row collapsed="false" customFormat="false" customHeight="true" hidden="false" ht="15" outlineLevel="0" r="9"/>
    <row collapsed="false" customFormat="false" customHeight="true" hidden="false" ht="15" outlineLevel="0" r="10">
      <c r="F10" s="4" t="s">
        <v>20</v>
      </c>
    </row>
    <row collapsed="false" customFormat="false" customHeight="true" hidden="false" ht="15" outlineLevel="0" r="11"/>
    <row collapsed="false" customFormat="false" customHeight="true" hidden="false" ht="15" outlineLevel="0" r="12">
      <c r="A12" s="1" t="s">
        <v>21</v>
      </c>
      <c r="B12" s="0" t="n">
        <v>2.0158</v>
      </c>
      <c r="C12" s="2" t="s">
        <v>22</v>
      </c>
      <c r="D12" s="6" t="n">
        <f aca="false">B12/1000</f>
        <v>0.0020158</v>
      </c>
      <c r="E12" s="0" t="s">
        <v>23</v>
      </c>
      <c r="F12" s="0" t="s">
        <v>24</v>
      </c>
      <c r="G12" s="7" t="s">
        <v>25</v>
      </c>
      <c r="H12" s="7"/>
      <c r="J12" s="8"/>
    </row>
    <row collapsed="false" customFormat="false" customHeight="true" hidden="false" ht="15" outlineLevel="0" r="13">
      <c r="A13" s="1" t="s">
        <v>26</v>
      </c>
      <c r="B13" s="9" t="n">
        <v>7423.538334</v>
      </c>
      <c r="C13" s="2" t="s">
        <v>27</v>
      </c>
      <c r="G13" s="0" t="s">
        <v>28</v>
      </c>
      <c r="H13" s="8"/>
    </row>
    <row collapsed="false" customFormat="false" customHeight="true" hidden="false" ht="15" outlineLevel="0" r="14">
      <c r="A14" s="1" t="s">
        <v>29</v>
      </c>
      <c r="B14" s="9" t="n">
        <v>233</v>
      </c>
      <c r="C14" s="2" t="s">
        <v>30</v>
      </c>
    </row>
    <row collapsed="false" customFormat="false" customHeight="true" hidden="false" ht="15" outlineLevel="0" r="15">
      <c r="A15" s="1" t="s">
        <v>31</v>
      </c>
    </row>
    <row collapsed="false" customFormat="false" customHeight="true" hidden="false" ht="15" outlineLevel="0" r="16">
      <c r="A16" s="1" t="s">
        <v>32</v>
      </c>
      <c r="B16" s="10" t="n">
        <f aca="false">(B13*B12)/(B3*B14)</f>
        <v>7.72446335727969</v>
      </c>
      <c r="C16" s="2" t="s">
        <v>33</v>
      </c>
    </row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>
      <c r="A19" s="1" t="s">
        <v>34</v>
      </c>
      <c r="B19" s="9" t="n">
        <v>5</v>
      </c>
      <c r="C19" s="2" t="s">
        <v>35</v>
      </c>
    </row>
    <row collapsed="false" customFormat="false" customHeight="true" hidden="false" ht="15" outlineLevel="0" r="20">
      <c r="A20" s="1" t="s">
        <v>36</v>
      </c>
      <c r="B20" s="9" t="n">
        <v>0.3</v>
      </c>
      <c r="C20" s="2" t="s">
        <v>37</v>
      </c>
      <c r="D20" s="9" t="n">
        <f aca="false">(B20*(10^-3))</f>
        <v>0.0003</v>
      </c>
      <c r="E20" s="0" t="s">
        <v>38</v>
      </c>
    </row>
    <row collapsed="false" customFormat="false" customHeight="true" hidden="false" ht="15" outlineLevel="0" r="21">
      <c r="A21" s="1" t="s">
        <v>39</v>
      </c>
      <c r="B21" s="6" t="n">
        <f aca="false">(4/3)*3.14*(B20^3)</f>
        <v>0.11304</v>
      </c>
      <c r="C21" s="2" t="s">
        <v>40</v>
      </c>
      <c r="E21" s="11"/>
      <c r="F21" s="12"/>
      <c r="G21" s="12" t="s">
        <v>41</v>
      </c>
      <c r="H21" s="12"/>
      <c r="I21" s="12"/>
      <c r="J21" s="13"/>
    </row>
    <row collapsed="false" customFormat="false" customHeight="true" hidden="false" ht="15" outlineLevel="0" r="22">
      <c r="A22" s="1" t="s">
        <v>42</v>
      </c>
      <c r="B22" s="6" t="n">
        <f aca="false">B21*10^(-9)</f>
        <v>1.1304E-010</v>
      </c>
      <c r="C22" s="2" t="s">
        <v>43</v>
      </c>
      <c r="E22" s="14"/>
      <c r="F22" s="15"/>
      <c r="G22" s="16"/>
      <c r="H22" s="16"/>
      <c r="I22" s="16"/>
      <c r="J22" s="17"/>
    </row>
    <row collapsed="false" customFormat="false" customHeight="true" hidden="false" ht="15" outlineLevel="0" r="23">
      <c r="E23" s="18" t="s">
        <v>44</v>
      </c>
      <c r="F23" s="16"/>
      <c r="G23" s="16" t="n">
        <v>90</v>
      </c>
      <c r="H23" s="19"/>
      <c r="I23" s="16"/>
      <c r="J23" s="17"/>
    </row>
    <row collapsed="false" customFormat="false" customHeight="true" hidden="false" ht="15" outlineLevel="0" r="24">
      <c r="A24" s="1" t="s">
        <v>45</v>
      </c>
      <c r="B24" s="6" t="n">
        <f aca="false">B16*B22</f>
        <v>8.73173337906897E-010</v>
      </c>
      <c r="C24" s="2" t="s">
        <v>35</v>
      </c>
      <c r="E24" s="18"/>
      <c r="F24" s="15"/>
      <c r="G24" s="16" t="n">
        <f aca="false">G23/100</f>
        <v>0.9</v>
      </c>
      <c r="H24" s="16"/>
      <c r="I24" s="16"/>
      <c r="J24" s="17"/>
    </row>
    <row collapsed="false" customFormat="false" customHeight="true" hidden="false" ht="15" outlineLevel="0" r="25">
      <c r="A25" s="1" t="s">
        <v>46</v>
      </c>
      <c r="B25" s="6" t="n">
        <f aca="false">B19/B24</f>
        <v>5726239891.82447</v>
      </c>
      <c r="E25" s="20" t="s">
        <v>47</v>
      </c>
      <c r="G25" s="16"/>
      <c r="H25" s="16"/>
      <c r="I25" s="16"/>
      <c r="J25" s="17"/>
    </row>
    <row collapsed="false" customFormat="false" customHeight="true" hidden="false" ht="15" outlineLevel="0" r="26">
      <c r="A26" s="1" t="s">
        <v>48</v>
      </c>
      <c r="B26" s="6" t="n">
        <f aca="false">B25*B22</f>
        <v>0.647294157371838</v>
      </c>
      <c r="C26" s="2" t="s">
        <v>43</v>
      </c>
      <c r="E26" s="21" t="s">
        <v>49</v>
      </c>
      <c r="G26" s="16" t="n">
        <f aca="false">(2*B20)+((2*(1-G24))*B20)</f>
        <v>0.66</v>
      </c>
      <c r="H26" s="0" t="s">
        <v>37</v>
      </c>
      <c r="I26" s="16"/>
      <c r="J26" s="17"/>
    </row>
    <row collapsed="false" customFormat="false" customHeight="true" hidden="false" ht="15" outlineLevel="0" r="27">
      <c r="E27" s="22"/>
      <c r="F27" s="21"/>
      <c r="G27" s="16" t="n">
        <f aca="false">G26*(10^(-3))</f>
        <v>0.00066</v>
      </c>
      <c r="H27" s="16" t="s">
        <v>38</v>
      </c>
      <c r="I27" s="16"/>
      <c r="J27" s="17"/>
    </row>
    <row collapsed="false" customFormat="false" customHeight="true" hidden="false" ht="15" outlineLevel="0" r="28">
      <c r="A28" s="1" t="s">
        <v>50</v>
      </c>
      <c r="B28" s="9" t="n">
        <v>1200</v>
      </c>
      <c r="C28" s="2" t="s">
        <v>33</v>
      </c>
      <c r="E28" s="22" t="s">
        <v>51</v>
      </c>
      <c r="F28" s="21"/>
      <c r="G28" s="16" t="n">
        <f aca="false">G27^3</f>
        <v>2.87496E-010</v>
      </c>
      <c r="H28" s="16" t="s">
        <v>43</v>
      </c>
      <c r="I28" s="16"/>
      <c r="J28" s="17"/>
    </row>
    <row collapsed="false" customFormat="false" customHeight="true" hidden="false" ht="15" outlineLevel="0" r="29">
      <c r="A29" s="1" t="s">
        <v>52</v>
      </c>
      <c r="B29" s="9" t="n">
        <f aca="false">G30</f>
        <v>1.64627106393997</v>
      </c>
      <c r="C29" s="2" t="s">
        <v>43</v>
      </c>
      <c r="E29" s="22" t="s">
        <v>53</v>
      </c>
      <c r="F29" s="21"/>
      <c r="G29" s="16" t="n">
        <v>1</v>
      </c>
      <c r="H29" s="16"/>
      <c r="I29" s="16"/>
      <c r="J29" s="17"/>
    </row>
    <row collapsed="false" customFormat="false" customHeight="true" hidden="false" ht="15" outlineLevel="0" r="30">
      <c r="A30" s="1" t="s">
        <v>54</v>
      </c>
      <c r="B30" s="6" t="n">
        <f aca="false">B26</f>
        <v>0.647294157371838</v>
      </c>
      <c r="C30" s="2" t="s">
        <v>43</v>
      </c>
      <c r="E30" s="23" t="s">
        <v>55</v>
      </c>
      <c r="F30" s="16"/>
      <c r="G30" s="16" t="n">
        <f aca="false">G28*B25</f>
        <v>1.64627106393997</v>
      </c>
      <c r="H30" s="16" t="s">
        <v>43</v>
      </c>
      <c r="I30" s="16"/>
      <c r="J30" s="17"/>
    </row>
    <row collapsed="false" customFormat="false" customHeight="true" hidden="false" ht="15" outlineLevel="0" r="31">
      <c r="A31" s="1" t="s">
        <v>56</v>
      </c>
      <c r="B31" s="6" t="n">
        <f aca="false">B29-B30</f>
        <v>0.99897690656813</v>
      </c>
      <c r="C31" s="2" t="s">
        <v>43</v>
      </c>
      <c r="E31" s="18" t="s">
        <v>57</v>
      </c>
      <c r="F31" s="16"/>
      <c r="G31" s="16"/>
      <c r="H31" s="16"/>
      <c r="I31" s="16"/>
      <c r="J31" s="17"/>
    </row>
    <row collapsed="false" customFormat="false" customHeight="true" hidden="false" ht="15" outlineLevel="0" r="32">
      <c r="F32" s="1" t="s">
        <v>42</v>
      </c>
      <c r="G32" s="4" t="n">
        <f aca="false">G30/G28</f>
        <v>5726239891.82447</v>
      </c>
    </row>
    <row collapsed="false" customFormat="false" customHeight="true" hidden="false" ht="15" outlineLevel="0" r="33">
      <c r="A33" s="1" t="s">
        <v>58</v>
      </c>
      <c r="B33" s="6" t="n">
        <f aca="false">B28*B31</f>
        <v>1198.77228788176</v>
      </c>
      <c r="C33" s="2" t="s">
        <v>35</v>
      </c>
    </row>
    <row collapsed="false" customFormat="false" customHeight="true" hidden="false" ht="15" outlineLevel="0" r="34"/>
    <row collapsed="false" customFormat="false" customHeight="true" hidden="false" ht="15" outlineLevel="0" r="35">
      <c r="E35" s="24" t="s">
        <v>59</v>
      </c>
    </row>
    <row collapsed="false" customFormat="false" customHeight="true" hidden="false" ht="15" outlineLevel="0" r="36">
      <c r="A36" s="1" t="s">
        <v>60</v>
      </c>
      <c r="B36" s="6" t="n">
        <f aca="false">B19/B33</f>
        <v>0.00417093392176679</v>
      </c>
      <c r="E36" s="25" t="s">
        <v>61</v>
      </c>
      <c r="F36" s="6" t="n">
        <f aca="false">G27-(2*D20)</f>
        <v>6E-005</v>
      </c>
      <c r="G36" s="0" t="s">
        <v>38</v>
      </c>
    </row>
    <row collapsed="false" customFormat="false" customHeight="true" hidden="false" ht="15" outlineLevel="0" r="37">
      <c r="A37" s="1" t="s">
        <v>42</v>
      </c>
      <c r="B37" s="6" t="n">
        <f aca="false">B36*100</f>
        <v>0.417093392176679</v>
      </c>
      <c r="C37" s="2" t="s">
        <v>62</v>
      </c>
      <c r="E37" s="0" t="s">
        <v>63</v>
      </c>
      <c r="F37" s="6" t="n">
        <f aca="false">2*D20</f>
        <v>0.0006</v>
      </c>
      <c r="G37" s="0" t="s">
        <v>38</v>
      </c>
    </row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>
      <c r="E40" s="0" t="s">
        <v>64</v>
      </c>
    </row>
    <row collapsed="false" customFormat="false" customHeight="true" hidden="false" ht="15" outlineLevel="0" r="41">
      <c r="D41" s="1" t="s">
        <v>42</v>
      </c>
      <c r="E41" s="6" t="n">
        <f aca="false">((1-(3.14/6))*((F37)^3))+(3*((F37)^2)*(F36))+(3*(F37)*((F36)^2))+((F36)^3)</f>
        <v>1.74456E-010</v>
      </c>
      <c r="F41" s="0" t="s">
        <v>43</v>
      </c>
    </row>
    <row collapsed="false" customFormat="false" customHeight="true" hidden="false" ht="15" outlineLevel="0" r="42">
      <c r="A42" s="1" t="s">
        <v>65</v>
      </c>
      <c r="D42" s="1"/>
      <c r="E42" s="0" t="s">
        <v>66</v>
      </c>
    </row>
    <row collapsed="false" customFormat="false" customHeight="true" hidden="false" ht="15" outlineLevel="0" r="43">
      <c r="A43" s="1" t="s">
        <v>67</v>
      </c>
    </row>
    <row collapsed="false" customFormat="false" customHeight="true" hidden="false" ht="15" outlineLevel="0" r="44">
      <c r="D44" s="1" t="s">
        <v>42</v>
      </c>
      <c r="E44" s="6" t="n">
        <f aca="false">E41*G32</f>
        <v>0.99897690656813</v>
      </c>
      <c r="F44" s="0" t="s">
        <v>43</v>
      </c>
    </row>
    <row collapsed="false" customFormat="false" customHeight="true" hidden="false" ht="15" outlineLevel="0" r="45">
      <c r="A45" s="1" t="s">
        <v>68</v>
      </c>
    </row>
    <row collapsed="false" customFormat="false" customHeight="true" hidden="false" ht="15" outlineLevel="0" r="46">
      <c r="E46" s="0" t="s">
        <v>69</v>
      </c>
    </row>
    <row collapsed="false" customFormat="false" customHeight="true" hidden="false" ht="15" outlineLevel="0" r="47">
      <c r="A47" s="1" t="s">
        <v>70</v>
      </c>
      <c r="D47" s="1" t="s">
        <v>42</v>
      </c>
      <c r="E47" s="6" t="n">
        <f aca="false">E41*B28</f>
        <v>2.093472E-007</v>
      </c>
      <c r="F47" s="0" t="s">
        <v>35</v>
      </c>
    </row>
    <row collapsed="false" customFormat="false" customHeight="true" hidden="false" ht="15" outlineLevel="0" r="48"/>
    <row collapsed="false" customFormat="false" customHeight="true" hidden="false" ht="15" outlineLevel="0" r="49">
      <c r="E49" s="0" t="s">
        <v>71</v>
      </c>
    </row>
    <row collapsed="false" customFormat="false" customHeight="true" hidden="false" ht="15" outlineLevel="0" r="50">
      <c r="D50" s="1" t="s">
        <v>42</v>
      </c>
      <c r="E50" s="6" t="n">
        <f aca="false">E47/G28</f>
        <v>728.174305033809</v>
      </c>
      <c r="F50" s="0" t="s">
        <v>33</v>
      </c>
    </row>
    <row collapsed="false" customFormat="false" customHeight="true" hidden="false" ht="15" outlineLevel="0" r="51">
      <c r="A51" s="26" t="s">
        <v>72</v>
      </c>
    </row>
    <row collapsed="false" customFormat="false" customHeight="true" hidden="false" ht="15" outlineLevel="0" r="52">
      <c r="A52" s="1" t="s">
        <v>70</v>
      </c>
      <c r="B52" s="6" t="n">
        <f aca="false">1-(B31/G30)</f>
        <v>0.393188079138492</v>
      </c>
    </row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>
      <c r="A55" s="26"/>
    </row>
    <row collapsed="false" customFormat="false" customHeight="true" hidden="false" ht="15" outlineLevel="0" r="56">
      <c r="A56" s="1" t="s">
        <v>73</v>
      </c>
      <c r="B56" s="6" t="n">
        <f aca="false">B25</f>
        <v>5726239891.82447</v>
      </c>
    </row>
    <row collapsed="false" customFormat="false" customHeight="true" hidden="false" ht="15" outlineLevel="0" r="57">
      <c r="A57" s="1" t="s">
        <v>74</v>
      </c>
      <c r="B57" s="10" t="n">
        <f aca="false">1790</f>
        <v>1790</v>
      </c>
      <c r="C57" s="2" t="s">
        <v>75</v>
      </c>
      <c r="E57" s="20" t="s">
        <v>76</v>
      </c>
      <c r="F57" s="16"/>
      <c r="G57" s="16"/>
      <c r="H57" s="16"/>
      <c r="I57" s="16"/>
      <c r="J57" s="17"/>
    </row>
    <row collapsed="false" customFormat="false" customHeight="true" hidden="false" ht="15" outlineLevel="0" r="58">
      <c r="A58" s="1" t="s">
        <v>77</v>
      </c>
      <c r="E58" s="18"/>
      <c r="F58" s="16"/>
      <c r="G58" s="16"/>
      <c r="H58" s="16"/>
      <c r="I58" s="16"/>
      <c r="J58" s="17"/>
    </row>
    <row collapsed="false" customFormat="false" customHeight="true" hidden="false" ht="15" outlineLevel="0" r="59">
      <c r="E59" s="21" t="s">
        <v>78</v>
      </c>
      <c r="F59" s="16"/>
      <c r="G59" s="16" t="n">
        <f aca="false">(4*B20)*(1+(1-0.9))</f>
        <v>1.32</v>
      </c>
      <c r="H59" s="16" t="s">
        <v>37</v>
      </c>
      <c r="I59" s="16"/>
      <c r="J59" s="17"/>
    </row>
    <row collapsed="false" customFormat="false" customHeight="true" hidden="false" ht="15" outlineLevel="0" r="60">
      <c r="A60" s="1" t="s">
        <v>79</v>
      </c>
      <c r="B60" s="6" t="n">
        <f aca="false">B57^3</f>
        <v>5735339000</v>
      </c>
      <c r="E60" s="16" t="s">
        <v>80</v>
      </c>
      <c r="F60" s="16"/>
      <c r="G60" s="16"/>
      <c r="H60" s="16"/>
      <c r="I60" s="16"/>
      <c r="J60" s="17"/>
    </row>
    <row collapsed="false" customFormat="false" customHeight="true" hidden="false" ht="15" outlineLevel="0" r="61">
      <c r="E61" s="18" t="s">
        <v>81</v>
      </c>
      <c r="F61" s="16"/>
      <c r="G61" s="16" t="n">
        <f aca="false">G59/(SQRT(3))</f>
        <v>0.762102355330306</v>
      </c>
      <c r="H61" s="16" t="s">
        <v>37</v>
      </c>
      <c r="I61" s="16"/>
      <c r="J61" s="17"/>
    </row>
    <row collapsed="false" customFormat="false" customHeight="true" hidden="false" ht="15" outlineLevel="0" r="62">
      <c r="F62" s="16"/>
      <c r="G62" s="16" t="n">
        <f aca="false">G61*(10^(-3))</f>
        <v>0.000762102355330306</v>
      </c>
      <c r="H62" s="16" t="s">
        <v>38</v>
      </c>
      <c r="I62" s="16"/>
      <c r="J62" s="17"/>
    </row>
    <row collapsed="false" customFormat="false" customHeight="true" hidden="false" ht="15" outlineLevel="0" r="63">
      <c r="A63" s="1" t="s">
        <v>82</v>
      </c>
      <c r="B63" s="6" t="n">
        <f aca="false">B60-G32</f>
        <v>9099108.17553234</v>
      </c>
      <c r="E63" s="18" t="s">
        <v>83</v>
      </c>
      <c r="F63" s="16"/>
      <c r="G63" s="16" t="n">
        <f aca="false">G62^3</f>
        <v>4.42629047975842E-010</v>
      </c>
      <c r="H63" s="16" t="s">
        <v>43</v>
      </c>
      <c r="I63" s="16"/>
      <c r="J63" s="17"/>
    </row>
    <row collapsed="false" customFormat="false" customHeight="true" hidden="false" ht="15" outlineLevel="0" r="64">
      <c r="A64" s="1" t="s">
        <v>84</v>
      </c>
      <c r="B64" s="6" t="n">
        <f aca="false">B63/B60</f>
        <v>0.00158649875369744</v>
      </c>
      <c r="E64" s="18" t="s">
        <v>85</v>
      </c>
      <c r="F64" s="16"/>
      <c r="G64" s="16" t="n">
        <v>2</v>
      </c>
      <c r="H64" s="16"/>
      <c r="I64" s="16"/>
      <c r="J64" s="17"/>
    </row>
    <row collapsed="false" customFormat="false" customHeight="true" hidden="false" ht="15" outlineLevel="0" r="65">
      <c r="A65" s="1" t="s">
        <v>42</v>
      </c>
      <c r="B65" s="6" t="n">
        <f aca="false">B64*100</f>
        <v>0.158649875369744</v>
      </c>
      <c r="C65" s="2" t="s">
        <v>62</v>
      </c>
      <c r="E65" s="18" t="s">
        <v>86</v>
      </c>
      <c r="F65" s="16"/>
      <c r="G65" s="16" t="n">
        <f aca="false">G63*B25/2</f>
        <v>1.26730005589978</v>
      </c>
      <c r="H65" s="16" t="s">
        <v>43</v>
      </c>
      <c r="I65" s="16"/>
      <c r="J65" s="17"/>
    </row>
    <row collapsed="false" customFormat="false" customHeight="true" hidden="false" ht="15" outlineLevel="0" r="66">
      <c r="F66" s="16"/>
      <c r="G66" s="16"/>
      <c r="H66" s="16"/>
      <c r="I66" s="16"/>
      <c r="J66" s="17"/>
    </row>
    <row collapsed="false" customFormat="false" customHeight="true" hidden="false" ht="15" outlineLevel="0" r="67">
      <c r="E67" s="27"/>
      <c r="F67" s="28"/>
      <c r="G67" s="28"/>
      <c r="H67" s="28"/>
      <c r="I67" s="28"/>
      <c r="J67" s="29"/>
    </row>
    <row collapsed="false" customFormat="false" customHeight="true" hidden="false" ht="15" outlineLevel="0" r="68">
      <c r="E68" s="30" t="s">
        <v>87</v>
      </c>
    </row>
    <row collapsed="false" customFormat="false" customHeight="true" hidden="false" ht="15" outlineLevel="0" r="69"/>
    <row collapsed="false" customFormat="false" customHeight="true" hidden="false" ht="15" outlineLevel="0" r="70">
      <c r="E70" s="21" t="s">
        <v>78</v>
      </c>
      <c r="G70" s="6" t="n">
        <f aca="false">(4*B20)+((4*B20)*(1-0.9))</f>
        <v>1.32</v>
      </c>
      <c r="H70" s="0" t="s">
        <v>37</v>
      </c>
      <c r="J70" s="6" t="n">
        <f aca="false">B29/G28</f>
        <v>5726239891.82447</v>
      </c>
    </row>
    <row collapsed="false" customFormat="false" customHeight="true" hidden="false" ht="15" outlineLevel="0" r="71">
      <c r="E71" s="16" t="s">
        <v>80</v>
      </c>
    </row>
    <row collapsed="false" customFormat="false" customHeight="true" hidden="false" ht="15" outlineLevel="0" r="72">
      <c r="E72" s="18" t="s">
        <v>81</v>
      </c>
      <c r="G72" s="6" t="n">
        <f aca="false">G70/SQRT(2)</f>
        <v>0.933380951166243</v>
      </c>
      <c r="H72" s="0" t="s">
        <v>37</v>
      </c>
    </row>
    <row collapsed="false" customFormat="false" customHeight="true" hidden="false" ht="15" outlineLevel="0" r="73">
      <c r="F73" s="0" t="s">
        <v>42</v>
      </c>
      <c r="G73" s="6" t="n">
        <f aca="false">G72*(10^(-3))</f>
        <v>0.000933380951166243</v>
      </c>
      <c r="H73" s="0" t="s">
        <v>38</v>
      </c>
    </row>
    <row collapsed="false" customFormat="false" customHeight="true" hidden="false" ht="15" outlineLevel="0" r="74">
      <c r="E74" s="18" t="s">
        <v>83</v>
      </c>
      <c r="G74" s="6" t="n">
        <f aca="false">G73^3</f>
        <v>8.13161484656031E-010</v>
      </c>
      <c r="H74" s="16" t="s">
        <v>43</v>
      </c>
    </row>
    <row collapsed="false" customFormat="false" customHeight="true" hidden="false" ht="15" outlineLevel="0" r="75">
      <c r="E75" s="18" t="s">
        <v>85</v>
      </c>
      <c r="G75" s="0" t="n">
        <v>4</v>
      </c>
    </row>
    <row collapsed="false" customFormat="false" customHeight="true" hidden="false" ht="15" outlineLevel="0" r="76">
      <c r="E76" s="18" t="s">
        <v>86</v>
      </c>
      <c r="G76" s="6" t="n">
        <f aca="false">G74*B25/4</f>
        <v>1.16408943298314</v>
      </c>
      <c r="H76" s="16" t="s">
        <v>43</v>
      </c>
    </row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>
      <c r="F81" s="6" t="n">
        <f aca="false">1-(0.9989769/1.64627106)</f>
        <v>0.39318808167593</v>
      </c>
    </row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0" view="normal" windowProtection="false" workbookViewId="0" zoomScale="80" zoomScaleNormal="80" zoomScalePageLayoutView="100">
      <selection activeCell="A56" activeCellId="0" pane="topLeft" sqref="A56"/>
    </sheetView>
  </sheetViews>
  <cols>
    <col collapsed="false" hidden="false" max="1" min="1" style="1" width="45.1843137254902"/>
    <col collapsed="false" hidden="false" max="2" min="2" style="0" width="12.1921568627451"/>
    <col collapsed="false" hidden="false" max="3" min="3" style="1" width="15.9176470588235"/>
    <col collapsed="false" hidden="false" max="4" min="4" style="0" width="8.56862745098039"/>
    <col collapsed="false" hidden="false" max="5" min="5" style="0" width="15.2039215686275"/>
    <col collapsed="false" hidden="false" max="6" min="6" style="0" width="13.3372549019608"/>
    <col collapsed="false" hidden="false" max="7" min="7" style="0" width="12.0470588235294"/>
    <col collapsed="false" hidden="false" max="9" min="8" style="0" width="11.1882352941176"/>
    <col collapsed="false" hidden="false" max="10" min="10" style="0" width="11.043137254902"/>
    <col collapsed="false" hidden="false" max="1025" min="1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>
      <c r="A3" s="3" t="s">
        <v>0</v>
      </c>
      <c r="B3" s="4" t="n">
        <f aca="false">8.3144621</f>
        <v>8.3144621</v>
      </c>
      <c r="C3" s="3" t="s">
        <v>1</v>
      </c>
      <c r="E3" s="4" t="s">
        <v>2</v>
      </c>
      <c r="F3" s="4" t="s">
        <v>3</v>
      </c>
      <c r="J3" s="4" t="n">
        <f aca="false">B13</f>
        <v>7423.538334</v>
      </c>
    </row>
    <row collapsed="false" customFormat="false" customHeight="true" hidden="false" ht="15" outlineLevel="0" r="4">
      <c r="A4" s="3" t="s">
        <v>4</v>
      </c>
      <c r="B4" s="4" t="n">
        <v>0.02</v>
      </c>
      <c r="C4" s="3" t="s">
        <v>5</v>
      </c>
      <c r="E4" s="4" t="s">
        <v>6</v>
      </c>
      <c r="F4" s="4" t="s">
        <v>7</v>
      </c>
      <c r="J4" s="6" t="n">
        <f aca="false">(-(B3*B14))</f>
        <v>-1937.2696693</v>
      </c>
    </row>
    <row collapsed="false" customFormat="false" customHeight="true" hidden="false" ht="15" outlineLevel="0" r="5">
      <c r="A5" s="3" t="s">
        <v>8</v>
      </c>
      <c r="B5" s="4" t="n">
        <v>-5060000</v>
      </c>
      <c r="C5" s="3" t="s">
        <v>9</v>
      </c>
      <c r="E5" s="4" t="s">
        <v>10</v>
      </c>
      <c r="F5" s="4" t="s">
        <v>11</v>
      </c>
      <c r="J5" s="6" t="n">
        <f aca="false">(-(B3*B14*B6))+((B3*B8)/(B14^2))+(B4)</f>
        <v>-40605172268.5072</v>
      </c>
    </row>
    <row collapsed="false" customFormat="false" customHeight="true" hidden="false" ht="15" outlineLevel="0" r="6">
      <c r="A6" s="3" t="s">
        <v>12</v>
      </c>
      <c r="B6" s="4" t="n">
        <v>20960000</v>
      </c>
      <c r="C6" s="3" t="s">
        <v>9</v>
      </c>
      <c r="E6" s="4" t="s">
        <v>13</v>
      </c>
      <c r="F6" s="4" t="s">
        <v>14</v>
      </c>
      <c r="J6" s="6" t="n">
        <f aca="false">((B3*B8*B6)/(B14^2))+(B3*B14*B7*B6)-(B5*B4)</f>
        <v>-1.76997945918502E+018</v>
      </c>
    </row>
    <row collapsed="false" customFormat="false" customHeight="true" hidden="false" ht="15" outlineLevel="0" r="7">
      <c r="A7" s="3" t="s">
        <v>15</v>
      </c>
      <c r="B7" s="4" t="n">
        <v>-43590000</v>
      </c>
      <c r="C7" s="3" t="s">
        <v>9</v>
      </c>
      <c r="E7" s="4" t="s">
        <v>16</v>
      </c>
      <c r="F7" s="4" t="s">
        <v>17</v>
      </c>
      <c r="J7" s="6" t="n">
        <f aca="false">(-B3*B8*B7*B6)/(B14^2)</f>
        <v>705230359053.054</v>
      </c>
    </row>
    <row collapsed="false" customFormat="false" customHeight="true" hidden="false" ht="15" outlineLevel="0" r="8">
      <c r="A8" s="3" t="s">
        <v>18</v>
      </c>
      <c r="B8" s="4" t="n">
        <v>5.04</v>
      </c>
      <c r="C8" s="3" t="s">
        <v>19</v>
      </c>
    </row>
    <row collapsed="false" customFormat="false" customHeight="true" hidden="false" ht="15" outlineLevel="0" r="9"/>
    <row collapsed="false" customFormat="false" customHeight="true" hidden="false" ht="15" outlineLevel="0" r="10">
      <c r="F10" s="4" t="s">
        <v>20</v>
      </c>
    </row>
    <row collapsed="false" customFormat="false" customHeight="true" hidden="false" ht="15" outlineLevel="0" r="11"/>
    <row collapsed="false" customFormat="false" customHeight="true" hidden="false" ht="15" outlineLevel="0" r="12">
      <c r="A12" s="1" t="s">
        <v>21</v>
      </c>
      <c r="B12" s="0" t="n">
        <v>2.0158</v>
      </c>
      <c r="C12" s="1" t="s">
        <v>22</v>
      </c>
      <c r="D12" s="6" t="n">
        <f aca="false">B12/1000</f>
        <v>0.0020158</v>
      </c>
      <c r="E12" s="0" t="s">
        <v>23</v>
      </c>
      <c r="F12" s="0" t="s">
        <v>24</v>
      </c>
      <c r="G12" s="7" t="s">
        <v>25</v>
      </c>
      <c r="H12" s="7"/>
      <c r="J12" s="8"/>
    </row>
    <row collapsed="false" customFormat="false" customHeight="true" hidden="false" ht="15" outlineLevel="0" r="13">
      <c r="A13" s="1" t="s">
        <v>26</v>
      </c>
      <c r="B13" s="9" t="n">
        <v>7423.538334</v>
      </c>
      <c r="C13" s="1" t="s">
        <v>27</v>
      </c>
      <c r="G13" s="0" t="s">
        <v>28</v>
      </c>
      <c r="H13" s="8"/>
    </row>
    <row collapsed="false" customFormat="false" customHeight="true" hidden="false" ht="15" outlineLevel="0" r="14">
      <c r="A14" s="1" t="s">
        <v>29</v>
      </c>
      <c r="B14" s="9" t="n">
        <v>233</v>
      </c>
      <c r="C14" s="1" t="s">
        <v>30</v>
      </c>
    </row>
    <row collapsed="false" customFormat="false" customHeight="true" hidden="false" ht="15" outlineLevel="0" r="15">
      <c r="A15" s="1" t="s">
        <v>31</v>
      </c>
    </row>
    <row collapsed="false" customFormat="false" customHeight="true" hidden="false" ht="15" outlineLevel="0" r="16">
      <c r="A16" s="1" t="s">
        <v>32</v>
      </c>
      <c r="B16" s="10" t="n">
        <f aca="false">(B13*B12)/(B3*B14)</f>
        <v>7.72446335727969</v>
      </c>
      <c r="C16" s="1" t="s">
        <v>33</v>
      </c>
    </row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>
      <c r="A19" s="1" t="s">
        <v>34</v>
      </c>
      <c r="B19" s="9" t="n">
        <v>5</v>
      </c>
      <c r="C19" s="1" t="s">
        <v>35</v>
      </c>
    </row>
    <row collapsed="false" customFormat="false" customHeight="true" hidden="false" ht="15" outlineLevel="0" r="20">
      <c r="A20" s="1" t="s">
        <v>36</v>
      </c>
      <c r="B20" s="9" t="n">
        <v>0.3</v>
      </c>
      <c r="C20" s="1" t="s">
        <v>37</v>
      </c>
    </row>
    <row collapsed="false" customFormat="false" customHeight="true" hidden="false" ht="15" outlineLevel="0" r="21">
      <c r="A21" s="1" t="s">
        <v>39</v>
      </c>
      <c r="B21" s="6" t="n">
        <f aca="false">(4/3)*3.14*(B20^3)</f>
        <v>0.11304</v>
      </c>
      <c r="C21" s="1" t="s">
        <v>40</v>
      </c>
      <c r="E21" s="11"/>
      <c r="F21" s="12"/>
      <c r="G21" s="12" t="s">
        <v>41</v>
      </c>
      <c r="H21" s="12"/>
      <c r="I21" s="12"/>
      <c r="J21" s="13"/>
    </row>
    <row collapsed="false" customFormat="false" customHeight="true" hidden="false" ht="15" outlineLevel="0" r="22">
      <c r="A22" s="1" t="s">
        <v>42</v>
      </c>
      <c r="B22" s="6" t="n">
        <f aca="false">B21*10^(-9)</f>
        <v>1.1304E-010</v>
      </c>
      <c r="C22" s="1" t="s">
        <v>43</v>
      </c>
      <c r="E22" s="14"/>
      <c r="F22" s="15"/>
      <c r="G22" s="16"/>
      <c r="H22" s="16"/>
      <c r="I22" s="16"/>
      <c r="J22" s="17"/>
    </row>
    <row collapsed="false" customFormat="false" customHeight="true" hidden="false" ht="15" outlineLevel="0" r="23">
      <c r="E23" s="18" t="s">
        <v>44</v>
      </c>
      <c r="F23" s="16"/>
      <c r="G23" s="16" t="n">
        <v>90</v>
      </c>
      <c r="H23" s="19"/>
      <c r="I23" s="16"/>
      <c r="J23" s="17"/>
    </row>
    <row collapsed="false" customFormat="false" customHeight="true" hidden="false" ht="15" outlineLevel="0" r="24">
      <c r="A24" s="1" t="s">
        <v>45</v>
      </c>
      <c r="B24" s="6" t="n">
        <f aca="false">B16*B22</f>
        <v>8.73173337906897E-010</v>
      </c>
      <c r="C24" s="1" t="s">
        <v>35</v>
      </c>
      <c r="E24" s="18"/>
      <c r="F24" s="15"/>
      <c r="G24" s="16" t="n">
        <f aca="false">G23/100</f>
        <v>0.9</v>
      </c>
      <c r="H24" s="16"/>
      <c r="I24" s="16"/>
      <c r="J24" s="17"/>
    </row>
    <row collapsed="false" customFormat="false" customHeight="true" hidden="false" ht="15" outlineLevel="0" r="25">
      <c r="A25" s="1" t="s">
        <v>46</v>
      </c>
      <c r="B25" s="6" t="n">
        <f aca="false">B19/B24</f>
        <v>5726239891.82447</v>
      </c>
      <c r="E25" s="20" t="s">
        <v>47</v>
      </c>
      <c r="G25" s="16"/>
      <c r="H25" s="16"/>
      <c r="I25" s="16"/>
      <c r="J25" s="17"/>
    </row>
    <row collapsed="false" customFormat="false" customHeight="true" hidden="false" ht="15" outlineLevel="0" r="26">
      <c r="A26" s="1" t="s">
        <v>48</v>
      </c>
      <c r="B26" s="6" t="n">
        <f aca="false">B25*B22</f>
        <v>0.647294157371838</v>
      </c>
      <c r="C26" s="1" t="s">
        <v>43</v>
      </c>
      <c r="E26" s="21" t="s">
        <v>49</v>
      </c>
      <c r="G26" s="16" t="n">
        <f aca="false">(2*B20)+((2*(1-G24))*B20)</f>
        <v>0.66</v>
      </c>
      <c r="H26" s="0" t="s">
        <v>37</v>
      </c>
      <c r="I26" s="16"/>
      <c r="J26" s="17"/>
    </row>
    <row collapsed="false" customFormat="false" customHeight="true" hidden="false" ht="15" outlineLevel="0" r="27">
      <c r="E27" s="22"/>
      <c r="F27" s="21"/>
      <c r="G27" s="16" t="n">
        <f aca="false">G26*(10^(-3))</f>
        <v>0.00066</v>
      </c>
      <c r="H27" s="16" t="s">
        <v>38</v>
      </c>
      <c r="I27" s="16"/>
      <c r="J27" s="17"/>
    </row>
    <row collapsed="false" customFormat="false" customHeight="true" hidden="false" ht="15" outlineLevel="0" r="28">
      <c r="A28" s="1" t="s">
        <v>50</v>
      </c>
      <c r="B28" s="9" t="n">
        <v>1200</v>
      </c>
      <c r="C28" s="1" t="s">
        <v>33</v>
      </c>
      <c r="E28" s="22" t="s">
        <v>51</v>
      </c>
      <c r="F28" s="21"/>
      <c r="G28" s="16" t="n">
        <f aca="false">G27^3</f>
        <v>2.87496E-010</v>
      </c>
      <c r="H28" s="16" t="s">
        <v>43</v>
      </c>
      <c r="I28" s="16"/>
      <c r="J28" s="17"/>
    </row>
    <row collapsed="false" customFormat="false" customHeight="true" hidden="false" ht="15" outlineLevel="0" r="29">
      <c r="A29" s="1" t="s">
        <v>52</v>
      </c>
      <c r="B29" s="9" t="n">
        <f aca="false">G40</f>
        <v>1.26730005589978</v>
      </c>
      <c r="C29" s="1" t="s">
        <v>43</v>
      </c>
      <c r="E29" s="22" t="s">
        <v>53</v>
      </c>
      <c r="F29" s="21"/>
      <c r="G29" s="16" t="n">
        <v>1</v>
      </c>
      <c r="H29" s="16"/>
      <c r="I29" s="16"/>
      <c r="J29" s="17"/>
    </row>
    <row collapsed="false" customFormat="false" customHeight="true" hidden="false" ht="15" outlineLevel="0" r="30">
      <c r="A30" s="1" t="s">
        <v>54</v>
      </c>
      <c r="B30" s="6" t="n">
        <f aca="false">B26</f>
        <v>0.647294157371838</v>
      </c>
      <c r="C30" s="1" t="s">
        <v>43</v>
      </c>
      <c r="E30" s="23" t="s">
        <v>55</v>
      </c>
      <c r="F30" s="16"/>
      <c r="G30" s="16" t="n">
        <f aca="false">G28*B25</f>
        <v>1.64627106393997</v>
      </c>
      <c r="H30" s="16" t="s">
        <v>43</v>
      </c>
      <c r="I30" s="16"/>
      <c r="J30" s="17"/>
    </row>
    <row collapsed="false" customFormat="false" customHeight="true" hidden="false" ht="15" outlineLevel="0" r="31">
      <c r="A31" s="1" t="s">
        <v>56</v>
      </c>
      <c r="B31" s="6" t="n">
        <f aca="false">B29-B30</f>
        <v>0.620005898527938</v>
      </c>
      <c r="C31" s="1" t="s">
        <v>43</v>
      </c>
      <c r="E31" s="18"/>
      <c r="F31" s="16"/>
      <c r="G31" s="16"/>
      <c r="H31" s="16"/>
      <c r="I31" s="16"/>
      <c r="J31" s="17"/>
    </row>
    <row collapsed="false" customFormat="false" customHeight="true" hidden="false" ht="15" outlineLevel="0" r="32">
      <c r="E32" s="20" t="s">
        <v>76</v>
      </c>
      <c r="F32" s="16"/>
      <c r="G32" s="16"/>
      <c r="H32" s="16"/>
      <c r="I32" s="16"/>
      <c r="J32" s="17"/>
    </row>
    <row collapsed="false" customFormat="false" customHeight="true" hidden="false" ht="15" outlineLevel="0" r="33">
      <c r="A33" s="1" t="s">
        <v>58</v>
      </c>
      <c r="B33" s="6" t="n">
        <f aca="false">B28*B31</f>
        <v>744.007078233526</v>
      </c>
      <c r="C33" s="1" t="s">
        <v>35</v>
      </c>
      <c r="E33" s="18"/>
      <c r="F33" s="16"/>
      <c r="G33" s="16"/>
      <c r="H33" s="16"/>
      <c r="I33" s="16"/>
      <c r="J33" s="17"/>
    </row>
    <row collapsed="false" customFormat="false" customHeight="true" hidden="false" ht="15" outlineLevel="0" r="34">
      <c r="E34" s="31" t="s">
        <v>78</v>
      </c>
      <c r="F34" s="32"/>
      <c r="G34" s="32" t="n">
        <f aca="false">(4*B20)*(1+(1-0.9))</f>
        <v>1.32</v>
      </c>
      <c r="H34" s="32" t="s">
        <v>37</v>
      </c>
      <c r="I34" s="32"/>
      <c r="J34" s="33"/>
    </row>
    <row collapsed="false" customFormat="false" customHeight="true" hidden="false" ht="15" outlineLevel="0" r="35">
      <c r="E35" s="32" t="s">
        <v>80</v>
      </c>
      <c r="F35" s="32"/>
      <c r="G35" s="32"/>
      <c r="H35" s="32"/>
      <c r="I35" s="32"/>
      <c r="J35" s="33"/>
    </row>
    <row collapsed="false" customFormat="false" customHeight="true" hidden="false" ht="15" outlineLevel="0" r="36">
      <c r="A36" s="1" t="s">
        <v>60</v>
      </c>
      <c r="B36" s="6" t="n">
        <f aca="false">B19/B33</f>
        <v>0.00672036617161137</v>
      </c>
      <c r="E36" s="34" t="s">
        <v>81</v>
      </c>
      <c r="F36" s="32"/>
      <c r="G36" s="32" t="n">
        <f aca="false">G34/(SQRT(3))</f>
        <v>0.762102355330306</v>
      </c>
      <c r="H36" s="32" t="s">
        <v>37</v>
      </c>
      <c r="I36" s="32"/>
      <c r="J36" s="33"/>
    </row>
    <row collapsed="false" customFormat="false" customHeight="true" hidden="false" ht="15" outlineLevel="0" r="37">
      <c r="A37" s="1" t="s">
        <v>42</v>
      </c>
      <c r="B37" s="6" t="n">
        <f aca="false">B36*100</f>
        <v>0.672036617161137</v>
      </c>
      <c r="C37" s="2" t="s">
        <v>62</v>
      </c>
      <c r="E37" s="4"/>
      <c r="F37" s="32"/>
      <c r="G37" s="32" t="n">
        <f aca="false">G36*(10^(-3))</f>
        <v>0.000762102355330306</v>
      </c>
      <c r="H37" s="32" t="s">
        <v>38</v>
      </c>
      <c r="I37" s="32"/>
      <c r="J37" s="33"/>
    </row>
    <row collapsed="false" customFormat="false" customHeight="true" hidden="false" ht="15" outlineLevel="0" r="38">
      <c r="E38" s="34" t="s">
        <v>83</v>
      </c>
      <c r="F38" s="32"/>
      <c r="G38" s="32" t="n">
        <f aca="false">G37^3</f>
        <v>4.42629047975842E-010</v>
      </c>
      <c r="H38" s="32" t="s">
        <v>43</v>
      </c>
      <c r="I38" s="32"/>
      <c r="J38" s="33"/>
    </row>
    <row collapsed="false" customFormat="false" customHeight="true" hidden="false" ht="15" outlineLevel="0" r="39">
      <c r="E39" s="34" t="s">
        <v>85</v>
      </c>
      <c r="F39" s="32"/>
      <c r="G39" s="32" t="n">
        <v>2</v>
      </c>
      <c r="H39" s="32"/>
      <c r="I39" s="32"/>
      <c r="J39" s="33"/>
    </row>
    <row collapsed="false" customFormat="false" customHeight="true" hidden="false" ht="15" outlineLevel="0" r="40">
      <c r="E40" s="34" t="s">
        <v>86</v>
      </c>
      <c r="F40" s="32"/>
      <c r="G40" s="32" t="n">
        <f aca="false">G38*B25/2</f>
        <v>1.26730005589978</v>
      </c>
      <c r="H40" s="32" t="s">
        <v>43</v>
      </c>
      <c r="I40" s="32"/>
      <c r="J40" s="33"/>
    </row>
    <row collapsed="false" customFormat="false" customHeight="true" hidden="false" ht="15" outlineLevel="0" r="41">
      <c r="E41" s="34" t="s">
        <v>57</v>
      </c>
      <c r="F41" s="32"/>
      <c r="G41" s="32"/>
      <c r="H41" s="32"/>
      <c r="I41" s="32"/>
      <c r="J41" s="33"/>
    </row>
    <row collapsed="false" customFormat="false" customHeight="true" hidden="false" ht="15" outlineLevel="0" r="42">
      <c r="A42" s="1" t="s">
        <v>65</v>
      </c>
      <c r="E42" s="27"/>
      <c r="F42" s="35" t="s">
        <v>42</v>
      </c>
      <c r="G42" s="36" t="n">
        <f aca="false">G40/G38</f>
        <v>2863119945.91223</v>
      </c>
      <c r="H42" s="28"/>
      <c r="I42" s="28"/>
      <c r="J42" s="29"/>
    </row>
    <row collapsed="false" customFormat="false" customHeight="true" hidden="false" ht="15" outlineLevel="0" r="43">
      <c r="A43" s="1" t="s">
        <v>67</v>
      </c>
    </row>
    <row collapsed="false" customFormat="false" customHeight="true" hidden="false" ht="15" outlineLevel="0" r="44"/>
    <row collapsed="false" customFormat="false" customHeight="true" hidden="false" ht="15" outlineLevel="0" r="45">
      <c r="A45" s="1" t="s">
        <v>68</v>
      </c>
    </row>
    <row collapsed="false" customFormat="false" customHeight="true" hidden="false" ht="15" outlineLevel="0" r="46"/>
    <row collapsed="false" customFormat="false" customHeight="true" hidden="false" ht="15" outlineLevel="0" r="47">
      <c r="A47" s="1" t="s">
        <v>70</v>
      </c>
    </row>
    <row collapsed="false" customFormat="false" customHeight="true" hidden="false" ht="15" outlineLevel="0" r="48"/>
    <row collapsed="false" customFormat="false" customHeight="true" hidden="false" ht="15" outlineLevel="0" r="49">
      <c r="E49" s="30" t="s">
        <v>87</v>
      </c>
    </row>
    <row collapsed="false" customFormat="false" customHeight="true" hidden="false" ht="15" outlineLevel="0" r="50">
      <c r="A50" s="26" t="s">
        <v>88</v>
      </c>
    </row>
    <row collapsed="false" customFormat="false" customHeight="true" hidden="false" ht="15" outlineLevel="0" r="51">
      <c r="A51" s="1" t="s">
        <v>70</v>
      </c>
      <c r="B51" s="6" t="n">
        <f aca="false">1-(B31/G40)</f>
        <v>0.510766297498711</v>
      </c>
      <c r="E51" s="21" t="s">
        <v>78</v>
      </c>
      <c r="G51" s="6" t="n">
        <f aca="false">(4*B20)+((4*B20)*(1-0.9))</f>
        <v>1.32</v>
      </c>
      <c r="H51" s="0" t="s">
        <v>37</v>
      </c>
    </row>
    <row collapsed="false" customFormat="false" customHeight="true" hidden="false" ht="15" outlineLevel="0" r="52">
      <c r="E52" s="16" t="s">
        <v>80</v>
      </c>
    </row>
    <row collapsed="false" customFormat="false" customHeight="true" hidden="false" ht="15" outlineLevel="0" r="53">
      <c r="E53" s="18" t="s">
        <v>81</v>
      </c>
      <c r="G53" s="6" t="n">
        <f aca="false">G51/SQRT(2)</f>
        <v>0.933380951166243</v>
      </c>
      <c r="H53" s="0" t="s">
        <v>37</v>
      </c>
    </row>
    <row collapsed="false" customFormat="false" customHeight="true" hidden="false" ht="15" outlineLevel="0" r="54">
      <c r="F54" s="0" t="s">
        <v>42</v>
      </c>
      <c r="G54" s="6" t="n">
        <f aca="false">G53*(10^(-3))</f>
        <v>0.000933380951166243</v>
      </c>
      <c r="H54" s="0" t="s">
        <v>38</v>
      </c>
    </row>
    <row collapsed="false" customFormat="false" customHeight="true" hidden="false" ht="15" outlineLevel="0" r="55">
      <c r="A55" s="1" t="s">
        <v>89</v>
      </c>
      <c r="B55" s="6" t="n">
        <f aca="false">B25</f>
        <v>5726239891.82447</v>
      </c>
      <c r="E55" s="18" t="s">
        <v>83</v>
      </c>
      <c r="G55" s="6" t="n">
        <f aca="false">G54^3</f>
        <v>8.13161484656031E-010</v>
      </c>
      <c r="H55" s="16" t="s">
        <v>43</v>
      </c>
    </row>
    <row collapsed="false" customFormat="false" customHeight="true" hidden="false" ht="15" outlineLevel="0" r="56">
      <c r="A56" s="1" t="s">
        <v>74</v>
      </c>
      <c r="B56" s="10" t="n">
        <v>1420</v>
      </c>
      <c r="E56" s="18" t="s">
        <v>85</v>
      </c>
      <c r="G56" s="0" t="n">
        <v>4</v>
      </c>
    </row>
    <row collapsed="false" customFormat="false" customHeight="true" hidden="false" ht="15" outlineLevel="0" r="57">
      <c r="A57" s="1" t="s">
        <v>77</v>
      </c>
      <c r="E57" s="18" t="s">
        <v>86</v>
      </c>
      <c r="G57" s="6" t="n">
        <f aca="false">G55*B25/4</f>
        <v>1.16408943298314</v>
      </c>
      <c r="H57" s="16" t="s">
        <v>43</v>
      </c>
    </row>
    <row collapsed="false" customFormat="false" customHeight="true" hidden="false" ht="15" outlineLevel="0" r="58"/>
    <row collapsed="false" customFormat="false" customHeight="true" hidden="false" ht="15" outlineLevel="0" r="59">
      <c r="A59" s="1" t="s">
        <v>79</v>
      </c>
      <c r="B59" s="6" t="n">
        <f aca="false">B56^3</f>
        <v>2863288000</v>
      </c>
    </row>
    <row collapsed="false" customFormat="false" customHeight="true" hidden="false" ht="15" outlineLevel="0" r="60"/>
    <row collapsed="false" customFormat="false" customHeight="true" hidden="false" ht="15" outlineLevel="0" r="61">
      <c r="A61" s="1" t="s">
        <v>82</v>
      </c>
      <c r="B61" s="6" t="n">
        <f aca="false">B59-G42</f>
        <v>168054.087766171</v>
      </c>
    </row>
    <row collapsed="false" customFormat="false" customHeight="true" hidden="false" ht="15" outlineLevel="0" r="62">
      <c r="A62" s="1" t="s">
        <v>84</v>
      </c>
      <c r="B62" s="6" t="n">
        <f aca="false">B61/B59</f>
        <v>5.86926944708917E-005</v>
      </c>
    </row>
    <row collapsed="false" customFormat="false" customHeight="true" hidden="false" ht="15" outlineLevel="0" r="63">
      <c r="A63" s="1" t="s">
        <v>42</v>
      </c>
      <c r="B63" s="6" t="n">
        <f aca="false">B62*100</f>
        <v>0.00586926944708917</v>
      </c>
    </row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false" topLeftCell="A45" view="normal" windowProtection="false" workbookViewId="0" zoomScale="80" zoomScaleNormal="80" zoomScalePageLayoutView="100">
      <selection activeCell="B55" activeCellId="0" pane="topLeft" sqref="B55"/>
    </sheetView>
  </sheetViews>
  <cols>
    <col collapsed="false" hidden="false" max="1" min="1" style="1" width="45.1843137254902"/>
    <col collapsed="false" hidden="false" max="2" min="2" style="0" width="12.1921568627451"/>
    <col collapsed="false" hidden="false" max="3" min="3" style="1" width="15.9176470588235"/>
    <col collapsed="false" hidden="false" max="4" min="4" style="0" width="8.56862745098039"/>
    <col collapsed="false" hidden="false" max="5" min="5" style="0" width="15.2039215686275"/>
    <col collapsed="false" hidden="false" max="6" min="6" style="0" width="13.3372549019608"/>
    <col collapsed="false" hidden="false" max="7" min="7" style="0" width="12.0470588235294"/>
    <col collapsed="false" hidden="false" max="9" min="8" style="0" width="11.1882352941176"/>
    <col collapsed="false" hidden="false" max="10" min="10" style="0" width="11.043137254902"/>
    <col collapsed="false" hidden="false" max="1025" min="1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>
      <c r="A3" s="3" t="s">
        <v>0</v>
      </c>
      <c r="B3" s="4" t="n">
        <f aca="false">8.3144621</f>
        <v>8.3144621</v>
      </c>
      <c r="C3" s="3" t="s">
        <v>1</v>
      </c>
      <c r="E3" s="4" t="s">
        <v>2</v>
      </c>
      <c r="F3" s="4" t="s">
        <v>3</v>
      </c>
      <c r="J3" s="4" t="n">
        <f aca="false">B13</f>
        <v>7423.538334</v>
      </c>
    </row>
    <row collapsed="false" customFormat="false" customHeight="true" hidden="false" ht="15" outlineLevel="0" r="4">
      <c r="A4" s="3" t="s">
        <v>4</v>
      </c>
      <c r="B4" s="4" t="n">
        <v>0.02</v>
      </c>
      <c r="C4" s="3" t="s">
        <v>5</v>
      </c>
      <c r="E4" s="4" t="s">
        <v>6</v>
      </c>
      <c r="F4" s="4" t="s">
        <v>7</v>
      </c>
      <c r="J4" s="6" t="n">
        <f aca="false">(-(B3*B14))</f>
        <v>-1937.2696693</v>
      </c>
    </row>
    <row collapsed="false" customFormat="false" customHeight="true" hidden="false" ht="15" outlineLevel="0" r="5">
      <c r="A5" s="3" t="s">
        <v>8</v>
      </c>
      <c r="B5" s="4" t="n">
        <v>-5060000</v>
      </c>
      <c r="C5" s="3" t="s">
        <v>9</v>
      </c>
      <c r="E5" s="4" t="s">
        <v>10</v>
      </c>
      <c r="F5" s="4" t="s">
        <v>11</v>
      </c>
      <c r="J5" s="6" t="n">
        <f aca="false">(-(B3*B14*B6))+((B3*B8)/(B14^2))+(B4)</f>
        <v>-40605172268.5072</v>
      </c>
    </row>
    <row collapsed="false" customFormat="false" customHeight="true" hidden="false" ht="15" outlineLevel="0" r="6">
      <c r="A6" s="3" t="s">
        <v>12</v>
      </c>
      <c r="B6" s="4" t="n">
        <v>20960000</v>
      </c>
      <c r="C6" s="3" t="s">
        <v>9</v>
      </c>
      <c r="E6" s="4" t="s">
        <v>13</v>
      </c>
      <c r="F6" s="4" t="s">
        <v>14</v>
      </c>
      <c r="J6" s="6" t="n">
        <f aca="false">((B3*B8*B6)/(B14^2))+(B3*B14*B7*B6)-(B5*B4)</f>
        <v>-1.76997945918502E+018</v>
      </c>
    </row>
    <row collapsed="false" customFormat="false" customHeight="true" hidden="false" ht="15" outlineLevel="0" r="7">
      <c r="A7" s="3" t="s">
        <v>15</v>
      </c>
      <c r="B7" s="4" t="n">
        <v>-43590000</v>
      </c>
      <c r="C7" s="3" t="s">
        <v>9</v>
      </c>
      <c r="E7" s="4" t="s">
        <v>16</v>
      </c>
      <c r="F7" s="4" t="s">
        <v>17</v>
      </c>
      <c r="J7" s="6" t="n">
        <f aca="false">(-B3*B8*B7*B6)/(B14^2)</f>
        <v>705230359053.054</v>
      </c>
    </row>
    <row collapsed="false" customFormat="false" customHeight="true" hidden="false" ht="15" outlineLevel="0" r="8">
      <c r="A8" s="3" t="s">
        <v>18</v>
      </c>
      <c r="B8" s="4" t="n">
        <v>5.04</v>
      </c>
      <c r="C8" s="3" t="s">
        <v>19</v>
      </c>
    </row>
    <row collapsed="false" customFormat="false" customHeight="true" hidden="false" ht="15" outlineLevel="0" r="9"/>
    <row collapsed="false" customFormat="false" customHeight="true" hidden="false" ht="15" outlineLevel="0" r="10">
      <c r="F10" s="4" t="s">
        <v>20</v>
      </c>
    </row>
    <row collapsed="false" customFormat="false" customHeight="true" hidden="false" ht="15" outlineLevel="0" r="11"/>
    <row collapsed="false" customFormat="false" customHeight="true" hidden="false" ht="15" outlineLevel="0" r="12">
      <c r="A12" s="1" t="s">
        <v>21</v>
      </c>
      <c r="B12" s="0" t="n">
        <v>2.0158</v>
      </c>
      <c r="C12" s="1" t="s">
        <v>22</v>
      </c>
      <c r="D12" s="6" t="n">
        <f aca="false">B12/1000</f>
        <v>0.0020158</v>
      </c>
      <c r="E12" s="0" t="s">
        <v>23</v>
      </c>
      <c r="F12" s="0" t="s">
        <v>24</v>
      </c>
      <c r="G12" s="7" t="s">
        <v>25</v>
      </c>
      <c r="H12" s="7"/>
      <c r="J12" s="8"/>
    </row>
    <row collapsed="false" customFormat="false" customHeight="true" hidden="false" ht="15" outlineLevel="0" r="13">
      <c r="A13" s="1" t="s">
        <v>26</v>
      </c>
      <c r="B13" s="9" t="n">
        <v>7423.538334</v>
      </c>
      <c r="C13" s="1" t="s">
        <v>27</v>
      </c>
      <c r="G13" s="0" t="s">
        <v>28</v>
      </c>
      <c r="H13" s="8"/>
    </row>
    <row collapsed="false" customFormat="false" customHeight="true" hidden="false" ht="15" outlineLevel="0" r="14">
      <c r="A14" s="1" t="s">
        <v>29</v>
      </c>
      <c r="B14" s="9" t="n">
        <v>233</v>
      </c>
      <c r="C14" s="1" t="s">
        <v>30</v>
      </c>
    </row>
    <row collapsed="false" customFormat="false" customHeight="true" hidden="false" ht="15" outlineLevel="0" r="15">
      <c r="A15" s="1" t="s">
        <v>31</v>
      </c>
    </row>
    <row collapsed="false" customFormat="false" customHeight="true" hidden="false" ht="15" outlineLevel="0" r="16">
      <c r="A16" s="1" t="s">
        <v>32</v>
      </c>
      <c r="B16" s="6" t="n">
        <f aca="false">(B13*B12)/(B3*B14)</f>
        <v>7.72446335727969</v>
      </c>
      <c r="C16" s="1" t="s">
        <v>33</v>
      </c>
    </row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>
      <c r="A19" s="1" t="s">
        <v>34</v>
      </c>
      <c r="B19" s="9" t="n">
        <v>5</v>
      </c>
      <c r="C19" s="1" t="s">
        <v>35</v>
      </c>
    </row>
    <row collapsed="false" customFormat="false" customHeight="true" hidden="false" ht="15" outlineLevel="0" r="20">
      <c r="A20" s="1" t="s">
        <v>36</v>
      </c>
      <c r="B20" s="9" t="n">
        <v>0.3</v>
      </c>
      <c r="C20" s="1" t="s">
        <v>37</v>
      </c>
    </row>
    <row collapsed="false" customFormat="false" customHeight="true" hidden="false" ht="15" outlineLevel="0" r="21">
      <c r="A21" s="1" t="s">
        <v>39</v>
      </c>
      <c r="B21" s="6" t="n">
        <f aca="false">(4/3)*3.14*(B20^3)</f>
        <v>0.11304</v>
      </c>
      <c r="C21" s="1" t="s">
        <v>40</v>
      </c>
      <c r="E21" s="11"/>
      <c r="F21" s="12"/>
      <c r="G21" s="12" t="s">
        <v>41</v>
      </c>
      <c r="H21" s="12"/>
      <c r="I21" s="12"/>
      <c r="J21" s="13"/>
    </row>
    <row collapsed="false" customFormat="false" customHeight="true" hidden="false" ht="15" outlineLevel="0" r="22">
      <c r="A22" s="1" t="s">
        <v>42</v>
      </c>
      <c r="B22" s="6" t="n">
        <f aca="false">B21*10^(-9)</f>
        <v>1.1304E-010</v>
      </c>
      <c r="C22" s="1" t="s">
        <v>43</v>
      </c>
      <c r="E22" s="14"/>
      <c r="F22" s="15"/>
      <c r="G22" s="16"/>
      <c r="H22" s="16"/>
      <c r="I22" s="16"/>
      <c r="J22" s="17"/>
    </row>
    <row collapsed="false" customFormat="false" customHeight="true" hidden="false" ht="15" outlineLevel="0" r="23">
      <c r="E23" s="18" t="s">
        <v>44</v>
      </c>
      <c r="F23" s="16"/>
      <c r="G23" s="16" t="n">
        <v>90</v>
      </c>
      <c r="H23" s="19"/>
      <c r="I23" s="16"/>
      <c r="J23" s="17"/>
    </row>
    <row collapsed="false" customFormat="false" customHeight="true" hidden="false" ht="15" outlineLevel="0" r="24">
      <c r="A24" s="1" t="s">
        <v>45</v>
      </c>
      <c r="B24" s="6" t="n">
        <f aca="false">B16*B22</f>
        <v>8.73173337906897E-010</v>
      </c>
      <c r="C24" s="1" t="s">
        <v>35</v>
      </c>
      <c r="E24" s="18"/>
      <c r="F24" s="15"/>
      <c r="G24" s="16" t="n">
        <f aca="false">G23/100</f>
        <v>0.9</v>
      </c>
      <c r="H24" s="16"/>
      <c r="I24" s="16"/>
      <c r="J24" s="17"/>
    </row>
    <row collapsed="false" customFormat="false" customHeight="true" hidden="false" ht="15" outlineLevel="0" r="25">
      <c r="A25" s="1" t="s">
        <v>46</v>
      </c>
      <c r="B25" s="6" t="n">
        <f aca="false">B19/B24</f>
        <v>5726239891.82447</v>
      </c>
      <c r="E25" s="20" t="s">
        <v>47</v>
      </c>
      <c r="G25" s="16"/>
      <c r="H25" s="16"/>
      <c r="I25" s="16"/>
      <c r="J25" s="17"/>
    </row>
    <row collapsed="false" customFormat="false" customHeight="true" hidden="false" ht="15" outlineLevel="0" r="26">
      <c r="A26" s="1" t="s">
        <v>48</v>
      </c>
      <c r="B26" s="6" t="n">
        <f aca="false">B25*B22</f>
        <v>0.647294157371838</v>
      </c>
      <c r="C26" s="1" t="s">
        <v>43</v>
      </c>
      <c r="E26" s="21" t="s">
        <v>49</v>
      </c>
      <c r="G26" s="16" t="n">
        <f aca="false">(2*B20)+((2*(1-G24))*B20)</f>
        <v>0.66</v>
      </c>
      <c r="H26" s="0" t="s">
        <v>37</v>
      </c>
      <c r="I26" s="16"/>
      <c r="J26" s="17"/>
    </row>
    <row collapsed="false" customFormat="false" customHeight="true" hidden="false" ht="15" outlineLevel="0" r="27">
      <c r="E27" s="22"/>
      <c r="F27" s="21"/>
      <c r="G27" s="16" t="n">
        <f aca="false">G26*(10^(-3))</f>
        <v>0.00066</v>
      </c>
      <c r="H27" s="16" t="s">
        <v>38</v>
      </c>
      <c r="I27" s="16"/>
      <c r="J27" s="17"/>
    </row>
    <row collapsed="false" customFormat="false" customHeight="true" hidden="false" ht="15" outlineLevel="0" r="28">
      <c r="A28" s="1" t="s">
        <v>50</v>
      </c>
      <c r="B28" s="9" t="n">
        <v>1200</v>
      </c>
      <c r="C28" s="1" t="s">
        <v>33</v>
      </c>
      <c r="E28" s="22" t="s">
        <v>51</v>
      </c>
      <c r="F28" s="21"/>
      <c r="G28" s="16" t="n">
        <f aca="false">G27^3</f>
        <v>2.87496E-010</v>
      </c>
      <c r="H28" s="16" t="s">
        <v>43</v>
      </c>
      <c r="I28" s="16"/>
      <c r="J28" s="17"/>
    </row>
    <row collapsed="false" customFormat="false" customHeight="true" hidden="false" ht="15" outlineLevel="0" r="29">
      <c r="A29" s="1" t="s">
        <v>52</v>
      </c>
      <c r="B29" s="9" t="n">
        <f aca="false">G51</f>
        <v>1.16408943298314</v>
      </c>
      <c r="C29" s="1" t="s">
        <v>43</v>
      </c>
      <c r="E29" s="22" t="s">
        <v>53</v>
      </c>
      <c r="F29" s="21"/>
      <c r="G29" s="16" t="n">
        <v>1</v>
      </c>
      <c r="H29" s="16"/>
      <c r="I29" s="16"/>
      <c r="J29" s="17"/>
    </row>
    <row collapsed="false" customFormat="false" customHeight="true" hidden="false" ht="15" outlineLevel="0" r="30">
      <c r="A30" s="1" t="s">
        <v>54</v>
      </c>
      <c r="B30" s="6" t="n">
        <f aca="false">B26</f>
        <v>0.647294157371838</v>
      </c>
      <c r="C30" s="1" t="s">
        <v>43</v>
      </c>
      <c r="E30" s="23" t="s">
        <v>55</v>
      </c>
      <c r="F30" s="16"/>
      <c r="G30" s="16" t="n">
        <f aca="false">G28*B25</f>
        <v>1.64627106393997</v>
      </c>
      <c r="H30" s="16" t="s">
        <v>43</v>
      </c>
      <c r="I30" s="16"/>
      <c r="J30" s="17"/>
    </row>
    <row collapsed="false" customFormat="false" customHeight="true" hidden="false" ht="15" outlineLevel="0" r="31">
      <c r="A31" s="1" t="s">
        <v>56</v>
      </c>
      <c r="B31" s="6" t="n">
        <f aca="false">B29-B30</f>
        <v>0.516795275611305</v>
      </c>
      <c r="C31" s="1" t="s">
        <v>43</v>
      </c>
      <c r="E31" s="18"/>
      <c r="F31" s="16"/>
      <c r="G31" s="16"/>
      <c r="H31" s="16"/>
      <c r="I31" s="16"/>
      <c r="J31" s="17"/>
    </row>
    <row collapsed="false" customFormat="false" customHeight="true" hidden="false" ht="15" outlineLevel="0" r="32">
      <c r="E32" s="20" t="s">
        <v>76</v>
      </c>
      <c r="F32" s="16"/>
      <c r="G32" s="16"/>
      <c r="H32" s="16"/>
      <c r="I32" s="16"/>
      <c r="J32" s="17"/>
    </row>
    <row collapsed="false" customFormat="false" customHeight="true" hidden="false" ht="15" outlineLevel="0" r="33">
      <c r="A33" s="1" t="s">
        <v>58</v>
      </c>
      <c r="B33" s="6" t="n">
        <f aca="false">B28*B31</f>
        <v>620.154330733567</v>
      </c>
      <c r="C33" s="1" t="s">
        <v>35</v>
      </c>
      <c r="E33" s="18"/>
      <c r="F33" s="16"/>
      <c r="G33" s="16"/>
      <c r="H33" s="16"/>
      <c r="I33" s="16"/>
      <c r="J33" s="17"/>
    </row>
    <row collapsed="false" customFormat="false" customHeight="true" hidden="false" ht="15" outlineLevel="0" r="34">
      <c r="E34" s="21" t="s">
        <v>78</v>
      </c>
      <c r="F34" s="16"/>
      <c r="G34" s="16" t="n">
        <f aca="false">(4*B20)*(1+(1-0.9))</f>
        <v>1.32</v>
      </c>
      <c r="H34" s="16" t="s">
        <v>37</v>
      </c>
      <c r="I34" s="16"/>
      <c r="J34" s="17"/>
    </row>
    <row collapsed="false" customFormat="false" customHeight="true" hidden="false" ht="15" outlineLevel="0" r="35">
      <c r="E35" s="16" t="s">
        <v>80</v>
      </c>
      <c r="F35" s="16"/>
      <c r="G35" s="16"/>
      <c r="H35" s="16"/>
      <c r="I35" s="16"/>
      <c r="J35" s="17"/>
    </row>
    <row collapsed="false" customFormat="false" customHeight="true" hidden="false" ht="15" outlineLevel="0" r="36">
      <c r="A36" s="1" t="s">
        <v>60</v>
      </c>
      <c r="B36" s="6" t="n">
        <f aca="false">B19/B33</f>
        <v>0.00806250920490326</v>
      </c>
      <c r="E36" s="18" t="s">
        <v>81</v>
      </c>
      <c r="F36" s="16"/>
      <c r="G36" s="16" t="n">
        <f aca="false">G34/(SQRT(3))</f>
        <v>0.762102355330306</v>
      </c>
      <c r="H36" s="16" t="s">
        <v>37</v>
      </c>
      <c r="I36" s="16"/>
      <c r="J36" s="17"/>
    </row>
    <row collapsed="false" customFormat="false" customHeight="true" hidden="false" ht="15" outlineLevel="0" r="37">
      <c r="A37" s="1" t="s">
        <v>42</v>
      </c>
      <c r="B37" s="6" t="n">
        <f aca="false">B36*100</f>
        <v>0.806250920490326</v>
      </c>
      <c r="C37" s="2" t="s">
        <v>62</v>
      </c>
      <c r="F37" s="16"/>
      <c r="G37" s="16" t="n">
        <f aca="false">G36*(10^(-3))</f>
        <v>0.000762102355330306</v>
      </c>
      <c r="H37" s="16" t="s">
        <v>38</v>
      </c>
      <c r="I37" s="16"/>
      <c r="J37" s="17"/>
    </row>
    <row collapsed="false" customFormat="false" customHeight="true" hidden="false" ht="15" outlineLevel="0" r="38">
      <c r="E38" s="18" t="s">
        <v>83</v>
      </c>
      <c r="F38" s="16"/>
      <c r="G38" s="16" t="n">
        <f aca="false">G37^3</f>
        <v>4.42629047975842E-010</v>
      </c>
      <c r="H38" s="16" t="s">
        <v>43</v>
      </c>
      <c r="I38" s="16"/>
      <c r="J38" s="17"/>
    </row>
    <row collapsed="false" customFormat="false" customHeight="true" hidden="false" ht="15" outlineLevel="0" r="39">
      <c r="E39" s="18" t="s">
        <v>85</v>
      </c>
      <c r="F39" s="16"/>
      <c r="G39" s="16" t="n">
        <v>2</v>
      </c>
      <c r="H39" s="16"/>
      <c r="I39" s="16"/>
      <c r="J39" s="17"/>
    </row>
    <row collapsed="false" customFormat="false" customHeight="true" hidden="false" ht="15" outlineLevel="0" r="40">
      <c r="E40" s="18" t="s">
        <v>86</v>
      </c>
      <c r="F40" s="16"/>
      <c r="G40" s="16" t="n">
        <f aca="false">G38*B25/2</f>
        <v>1.26730005589978</v>
      </c>
      <c r="H40" s="16" t="s">
        <v>43</v>
      </c>
      <c r="I40" s="16"/>
      <c r="J40" s="17"/>
    </row>
    <row collapsed="false" customFormat="false" customHeight="true" hidden="false" ht="15" outlineLevel="0" r="41">
      <c r="F41" s="16"/>
      <c r="G41" s="16"/>
      <c r="H41" s="16"/>
      <c r="I41" s="16"/>
      <c r="J41" s="17"/>
    </row>
    <row collapsed="false" customFormat="false" customHeight="true" hidden="false" ht="15" outlineLevel="0" r="42">
      <c r="A42" s="1" t="s">
        <v>65</v>
      </c>
      <c r="E42" s="27"/>
      <c r="F42" s="28"/>
      <c r="G42" s="28"/>
      <c r="H42" s="28"/>
      <c r="I42" s="28"/>
      <c r="J42" s="29"/>
    </row>
    <row collapsed="false" customFormat="false" customHeight="true" hidden="false" ht="15" outlineLevel="0" r="43">
      <c r="A43" s="1" t="s">
        <v>67</v>
      </c>
      <c r="E43" s="37" t="s">
        <v>87</v>
      </c>
      <c r="F43" s="4"/>
      <c r="G43" s="4"/>
      <c r="H43" s="4"/>
      <c r="I43" s="4"/>
    </row>
    <row collapsed="false" customFormat="false" customHeight="true" hidden="false" ht="15" outlineLevel="0" r="44">
      <c r="E44" s="4"/>
      <c r="F44" s="4"/>
      <c r="G44" s="4"/>
      <c r="H44" s="4"/>
      <c r="I44" s="4"/>
    </row>
    <row collapsed="false" customFormat="false" customHeight="true" hidden="false" ht="15" outlineLevel="0" r="45">
      <c r="A45" s="1" t="s">
        <v>68</v>
      </c>
      <c r="E45" s="31" t="s">
        <v>78</v>
      </c>
      <c r="F45" s="4"/>
      <c r="G45" s="4" t="n">
        <f aca="false">(4*B20)+((4*B20)*(1-0.9))</f>
        <v>1.32</v>
      </c>
      <c r="H45" s="4" t="s">
        <v>37</v>
      </c>
      <c r="I45" s="4"/>
    </row>
    <row collapsed="false" customFormat="false" customHeight="true" hidden="false" ht="15" outlineLevel="0" r="46">
      <c r="E46" s="32" t="s">
        <v>80</v>
      </c>
      <c r="F46" s="4"/>
      <c r="G46" s="4"/>
      <c r="H46" s="4"/>
      <c r="I46" s="4"/>
    </row>
    <row collapsed="false" customFormat="false" customHeight="true" hidden="false" ht="15" outlineLevel="0" r="47">
      <c r="A47" s="1" t="s">
        <v>70</v>
      </c>
      <c r="E47" s="34" t="s">
        <v>81</v>
      </c>
      <c r="F47" s="4"/>
      <c r="G47" s="4" t="n">
        <f aca="false">G45/SQRT(2)</f>
        <v>0.933380951166243</v>
      </c>
      <c r="H47" s="4" t="s">
        <v>37</v>
      </c>
      <c r="I47" s="4"/>
    </row>
    <row collapsed="false" customFormat="false" customHeight="true" hidden="false" ht="15" outlineLevel="0" r="48">
      <c r="E48" s="4"/>
      <c r="F48" s="4" t="s">
        <v>42</v>
      </c>
      <c r="G48" s="4" t="n">
        <f aca="false">G47*(10^(-3))</f>
        <v>0.000933380951166243</v>
      </c>
      <c r="H48" s="4" t="s">
        <v>38</v>
      </c>
      <c r="I48" s="4"/>
    </row>
    <row collapsed="false" customFormat="false" customHeight="true" hidden="false" ht="15" outlineLevel="0" r="49">
      <c r="E49" s="34" t="s">
        <v>90</v>
      </c>
      <c r="F49" s="4"/>
      <c r="G49" s="4" t="n">
        <f aca="false">G48^3</f>
        <v>8.13161484656031E-010</v>
      </c>
      <c r="H49" s="32" t="s">
        <v>43</v>
      </c>
      <c r="I49" s="4"/>
    </row>
    <row collapsed="false" customFormat="false" customHeight="true" hidden="false" ht="15" outlineLevel="0" r="50">
      <c r="E50" s="34" t="s">
        <v>85</v>
      </c>
      <c r="F50" s="4"/>
      <c r="G50" s="4" t="n">
        <v>4</v>
      </c>
      <c r="H50" s="4"/>
      <c r="I50" s="4"/>
    </row>
    <row collapsed="false" customFormat="false" customHeight="true" hidden="false" ht="15" outlineLevel="0" r="51">
      <c r="A51" s="26" t="s">
        <v>91</v>
      </c>
      <c r="E51" s="34" t="s">
        <v>86</v>
      </c>
      <c r="F51" s="4"/>
      <c r="G51" s="4" t="n">
        <f aca="false">G49*B25/4</f>
        <v>1.16408943298314</v>
      </c>
      <c r="H51" s="32" t="s">
        <v>43</v>
      </c>
      <c r="I51" s="4"/>
    </row>
    <row collapsed="false" customFormat="false" customHeight="true" hidden="false" ht="15" outlineLevel="0" r="52">
      <c r="A52" s="1" t="s">
        <v>70</v>
      </c>
      <c r="B52" s="6" t="n">
        <f aca="false">1-(B31/G51)</f>
        <v>0.556051914081082</v>
      </c>
      <c r="E52" s="34" t="s">
        <v>57</v>
      </c>
      <c r="F52" s="4"/>
      <c r="G52" s="4"/>
      <c r="H52" s="4"/>
      <c r="I52" s="4"/>
    </row>
    <row collapsed="false" customFormat="false" customHeight="true" hidden="false" ht="15" outlineLevel="0" r="53">
      <c r="F53" s="1" t="s">
        <v>42</v>
      </c>
      <c r="G53" s="4" t="n">
        <f aca="false">G51/G49</f>
        <v>1431559972.95612</v>
      </c>
    </row>
    <row collapsed="false" customFormat="false" customHeight="true" hidden="false" ht="15" outlineLevel="0" r="54"/>
    <row collapsed="false" customFormat="false" customHeight="true" hidden="false" ht="15" outlineLevel="0" r="55">
      <c r="A55" s="1" t="s">
        <v>92</v>
      </c>
      <c r="B55" s="6" t="n">
        <f aca="false">B25</f>
        <v>5726239891.82447</v>
      </c>
    </row>
    <row collapsed="false" customFormat="false" customHeight="true" hidden="false" ht="15" outlineLevel="0" r="56">
      <c r="A56" s="1" t="s">
        <v>74</v>
      </c>
      <c r="B56" s="10" t="n">
        <v>1128</v>
      </c>
    </row>
    <row collapsed="false" customFormat="false" customHeight="true" hidden="false" ht="15" outlineLevel="0" r="57">
      <c r="A57" s="1" t="s">
        <v>77</v>
      </c>
    </row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>
      <c r="A60" s="1" t="s">
        <v>93</v>
      </c>
      <c r="B60" s="6" t="n">
        <f aca="false">B56^3</f>
        <v>1435249152</v>
      </c>
    </row>
    <row collapsed="false" customFormat="false" customHeight="true" hidden="false" ht="15" outlineLevel="0" r="61"/>
    <row collapsed="false" customFormat="false" customHeight="true" hidden="false" ht="15" outlineLevel="0" r="62">
      <c r="A62" s="1" t="s">
        <v>82</v>
      </c>
      <c r="B62" s="6" t="n">
        <f aca="false">B60-G53</f>
        <v>3689179.04388309</v>
      </c>
    </row>
    <row collapsed="false" customFormat="false" customHeight="true" hidden="false" ht="15" outlineLevel="0" r="63">
      <c r="A63" s="1" t="s">
        <v>84</v>
      </c>
      <c r="B63" s="6" t="n">
        <f aca="false">B62/B60</f>
        <v>0.00257041018888063</v>
      </c>
    </row>
    <row collapsed="false" customFormat="false" customHeight="true" hidden="false" ht="15" outlineLevel="0" r="64">
      <c r="A64" s="1" t="s">
        <v>42</v>
      </c>
      <c r="B64" s="6" t="n">
        <f aca="false">B63*100</f>
        <v>0.257041018888063</v>
      </c>
      <c r="C64" s="2" t="s">
        <v>62</v>
      </c>
    </row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2013-12-14T12:27:12.00Z</dcterms:created>
  <dc:creator>lnmiit</dc:creator>
  <cp:lastModifiedBy>User</cp:lastModifiedBy>
  <dcterms:modified xsi:type="dcterms:W3CDTF">2013-12-19T16:28:08.00Z</dcterms:modified>
  <cp:revision>0</cp:revision>
</cp:coreProperties>
</file>