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analyze_nhej\"/>
    </mc:Choice>
  </mc:AlternateContent>
  <xr:revisionPtr revIDLastSave="0" documentId="13_ncr:1_{7DEA7241-B263-4CFF-97D1-3329D5D766FA}" xr6:coauthVersionLast="47" xr6:coauthVersionMax="47" xr10:uidLastSave="{00000000-0000-0000-0000-000000000000}"/>
  <bookViews>
    <workbookView xWindow="-120" yWindow="-120" windowWidth="24240" windowHeight="13020" activeTab="2" xr2:uid="{2091B41C-DDD2-4E50-B30A-30FF3CA370E5}"/>
  </bookViews>
  <sheets>
    <sheet name="globals" sheetId="3" r:id="rId1"/>
    <sheet name="1_total_reads" sheetId="8" r:id="rId2"/>
    <sheet name="1_repeats" sheetId="1" r:id="rId3"/>
    <sheet name="2_combine" sheetId="7" r:id="rId4"/>
    <sheet name="3_graph" sheetId="4" r:id="rId5"/>
    <sheet name="4_graph_combined" sheetId="5" r:id="rId6"/>
    <sheet name="5_histogram_3d" sheetId="11" r:id="rId7"/>
    <sheet name="6_common_layout" sheetId="14" r:id="rId8"/>
    <sheet name="7_plot_graph" sheetId="13" r:id="rId9"/>
  </sheets>
  <definedNames>
    <definedName name="graphs">globals!$A$9</definedName>
    <definedName name="graphs_combined">globals!$A$7</definedName>
    <definedName name="graphs_individual">globals!$A$6</definedName>
    <definedName name="histogram_3d">globals!$A$5</definedName>
    <definedName name="layouts">globals!$A$8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subst_type">globals!$B$1</definedName>
    <definedName name="var_2_nodsb_offset">'2_combine'!$A$43</definedName>
    <definedName name="var_4_anti_offset">'4_graph_combined'!$A$19</definedName>
    <definedName name="var_6_1dsb_offset">'6_common_layout'!$A$6</definedName>
    <definedName name="var_6_anti_offset">'6_common_layout'!$A$11</definedName>
    <definedName name="var_6_layout">'6_common_layout'!$B$1</definedName>
    <definedName name="var_7_common_layout">'7_plot_graph'!$B$1</definedName>
    <definedName name="var_7_common_layout_combined">#REF!</definedName>
    <definedName name="var_7_ext">'7_plot_graph'!$D$1</definedName>
    <definedName name="var_7_ext_combined">#REF!</definedName>
    <definedName name="var_7_height">'7_plot_graph'!$J$1</definedName>
    <definedName name="var_7_layout">'7_plot_graph'!$F$1</definedName>
    <definedName name="var_7_layout_combined">#REF!</definedName>
    <definedName name="var_7_width">'7_plot_graph'!$H$1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33" i="1" l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A109" i="8"/>
  <c r="A110" i="8"/>
  <c r="A111" i="8"/>
  <c r="A112" i="8"/>
  <c r="A113" i="8"/>
  <c r="A114" i="8"/>
  <c r="A115" i="8"/>
  <c r="A116" i="8"/>
  <c r="M63" i="13"/>
  <c r="M64" i="13"/>
  <c r="M48" i="13"/>
  <c r="M52" i="13"/>
  <c r="M56" i="13"/>
  <c r="M60" i="13"/>
  <c r="Z6" i="13"/>
  <c r="Z10" i="13"/>
  <c r="Z14" i="13"/>
  <c r="Z18" i="13"/>
  <c r="Z22" i="13"/>
  <c r="Z26" i="13"/>
  <c r="Z30" i="13"/>
  <c r="Z34" i="13"/>
  <c r="Z38" i="13"/>
  <c r="Z42" i="13"/>
  <c r="K63" i="13"/>
  <c r="K6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V4" i="13"/>
  <c r="V5" i="13"/>
  <c r="V7" i="13"/>
  <c r="V8" i="13"/>
  <c r="V9" i="13"/>
  <c r="V10" i="13"/>
  <c r="V11" i="13"/>
  <c r="V12" i="13"/>
  <c r="V13" i="13"/>
  <c r="V14" i="13"/>
  <c r="V16" i="13"/>
  <c r="V17" i="13"/>
  <c r="V19" i="13"/>
  <c r="V20" i="13"/>
  <c r="V21" i="13"/>
  <c r="V22" i="13"/>
  <c r="V23" i="13"/>
  <c r="V24" i="13"/>
  <c r="V25" i="13"/>
  <c r="V26" i="13"/>
  <c r="V27" i="13"/>
  <c r="V28" i="13"/>
  <c r="V29" i="13"/>
  <c r="V30" i="13"/>
  <c r="V31" i="13"/>
  <c r="V32" i="13"/>
  <c r="V33" i="13"/>
  <c r="V34" i="13"/>
  <c r="V35" i="13"/>
  <c r="V36" i="13"/>
  <c r="V37" i="13"/>
  <c r="V38" i="13"/>
  <c r="V40" i="13"/>
  <c r="V41" i="13"/>
  <c r="V42" i="13"/>
  <c r="F1" i="13"/>
  <c r="M45" i="13" s="1"/>
  <c r="F13" i="14"/>
  <c r="G9" i="14"/>
  <c r="G8" i="14"/>
  <c r="G4" i="14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4" i="11"/>
  <c r="I45" i="7"/>
  <c r="I44" i="4" s="1"/>
  <c r="I44" i="11" s="1"/>
  <c r="I46" i="7"/>
  <c r="I47" i="7"/>
  <c r="I48" i="7"/>
  <c r="I49" i="7"/>
  <c r="I50" i="7"/>
  <c r="I51" i="7"/>
  <c r="I52" i="7"/>
  <c r="I53" i="7"/>
  <c r="I52" i="4" s="1"/>
  <c r="I52" i="11" s="1"/>
  <c r="I54" i="7"/>
  <c r="I53" i="4" s="1"/>
  <c r="I53" i="11" s="1"/>
  <c r="I55" i="7"/>
  <c r="I56" i="7"/>
  <c r="I55" i="4" s="1"/>
  <c r="I55" i="11" s="1"/>
  <c r="H45" i="7"/>
  <c r="K44" i="4" s="1"/>
  <c r="H46" i="7"/>
  <c r="H47" i="7"/>
  <c r="H48" i="7"/>
  <c r="H49" i="7"/>
  <c r="H50" i="7"/>
  <c r="H51" i="7"/>
  <c r="H52" i="7"/>
  <c r="H53" i="7"/>
  <c r="K52" i="4" s="1"/>
  <c r="K52" i="11" s="1"/>
  <c r="H54" i="7"/>
  <c r="H55" i="7"/>
  <c r="K54" i="4" s="1"/>
  <c r="K54" i="11" s="1"/>
  <c r="H56" i="7"/>
  <c r="K55" i="4" s="1"/>
  <c r="K55" i="11" s="1"/>
  <c r="G45" i="7"/>
  <c r="H44" i="4" s="1"/>
  <c r="H44" i="11" s="1"/>
  <c r="N44" i="11" s="1"/>
  <c r="G46" i="7"/>
  <c r="G47" i="7"/>
  <c r="H46" i="4" s="1"/>
  <c r="H46" i="11" s="1"/>
  <c r="N46" i="11" s="1"/>
  <c r="G48" i="7"/>
  <c r="G49" i="7"/>
  <c r="G50" i="7"/>
  <c r="G51" i="7"/>
  <c r="H50" i="4" s="1"/>
  <c r="H50" i="11" s="1"/>
  <c r="N50" i="11" s="1"/>
  <c r="G52" i="7"/>
  <c r="H51" i="4" s="1"/>
  <c r="H51" i="11" s="1"/>
  <c r="N51" i="11" s="1"/>
  <c r="G53" i="7"/>
  <c r="H52" i="4" s="1"/>
  <c r="H52" i="11" s="1"/>
  <c r="N52" i="11" s="1"/>
  <c r="G54" i="7"/>
  <c r="H53" i="4" s="1"/>
  <c r="H53" i="11" s="1"/>
  <c r="N53" i="11" s="1"/>
  <c r="G55" i="7"/>
  <c r="H54" i="4" s="1"/>
  <c r="H54" i="11" s="1"/>
  <c r="N54" i="11" s="1"/>
  <c r="G56" i="7"/>
  <c r="H55" i="4" s="1"/>
  <c r="H55" i="11" s="1"/>
  <c r="N55" i="11" s="1"/>
  <c r="F45" i="7"/>
  <c r="F46" i="7"/>
  <c r="F47" i="7"/>
  <c r="F48" i="7"/>
  <c r="F49" i="7"/>
  <c r="F50" i="7"/>
  <c r="F51" i="7"/>
  <c r="F52" i="7"/>
  <c r="F53" i="7"/>
  <c r="F54" i="7"/>
  <c r="F55" i="7"/>
  <c r="J55" i="7" s="1"/>
  <c r="F56" i="7"/>
  <c r="D45" i="7"/>
  <c r="F44" i="4" s="1"/>
  <c r="F44" i="11" s="1"/>
  <c r="D46" i="7"/>
  <c r="D47" i="7"/>
  <c r="D48" i="7"/>
  <c r="F47" i="4" s="1"/>
  <c r="F47" i="11" s="1"/>
  <c r="D49" i="7"/>
  <c r="F48" i="4" s="1"/>
  <c r="F48" i="11" s="1"/>
  <c r="D50" i="7"/>
  <c r="F49" i="4" s="1"/>
  <c r="F49" i="11" s="1"/>
  <c r="D51" i="7"/>
  <c r="D52" i="7"/>
  <c r="F51" i="4" s="1"/>
  <c r="F51" i="11" s="1"/>
  <c r="D53" i="7"/>
  <c r="F52" i="4" s="1"/>
  <c r="F52" i="11" s="1"/>
  <c r="D54" i="7"/>
  <c r="D55" i="7"/>
  <c r="F54" i="4" s="1"/>
  <c r="F54" i="11" s="1"/>
  <c r="D56" i="7"/>
  <c r="F55" i="4" s="1"/>
  <c r="F55" i="11" s="1"/>
  <c r="C45" i="7"/>
  <c r="C44" i="4" s="1"/>
  <c r="C46" i="7"/>
  <c r="C45" i="4" s="1"/>
  <c r="C45" i="11" s="1"/>
  <c r="M45" i="11" s="1"/>
  <c r="C47" i="7"/>
  <c r="C46" i="4" s="1"/>
  <c r="C46" i="11" s="1"/>
  <c r="M46" i="11" s="1"/>
  <c r="C48" i="7"/>
  <c r="C47" i="4" s="1"/>
  <c r="C49" i="7"/>
  <c r="C48" i="4" s="1"/>
  <c r="C48" i="11" s="1"/>
  <c r="M48" i="11" s="1"/>
  <c r="C50" i="7"/>
  <c r="C51" i="7"/>
  <c r="C50" i="4" s="1"/>
  <c r="C52" i="7"/>
  <c r="C51" i="4" s="1"/>
  <c r="C51" i="11" s="1"/>
  <c r="M51" i="11" s="1"/>
  <c r="C53" i="7"/>
  <c r="C52" i="4" s="1"/>
  <c r="C52" i="11" s="1"/>
  <c r="M52" i="11" s="1"/>
  <c r="C54" i="7"/>
  <c r="C53" i="4" s="1"/>
  <c r="C55" i="7"/>
  <c r="C54" i="4" s="1"/>
  <c r="C54" i="11" s="1"/>
  <c r="M54" i="11" s="1"/>
  <c r="C56" i="7"/>
  <c r="C55" i="4" s="1"/>
  <c r="C55" i="11" s="1"/>
  <c r="M55" i="11" s="1"/>
  <c r="I2" i="7"/>
  <c r="I3" i="7"/>
  <c r="I3" i="4" s="1"/>
  <c r="I3" i="11" s="1"/>
  <c r="I4" i="7"/>
  <c r="I4" i="4" s="1"/>
  <c r="I5" i="13" s="1"/>
  <c r="Q5" i="13" s="1"/>
  <c r="I5" i="7"/>
  <c r="I6" i="7"/>
  <c r="I7" i="7"/>
  <c r="I8" i="7"/>
  <c r="I8" i="4" s="1"/>
  <c r="I9" i="7"/>
  <c r="I10" i="7"/>
  <c r="I11" i="7"/>
  <c r="I12" i="7"/>
  <c r="I12" i="4" s="1"/>
  <c r="I13" i="13" s="1"/>
  <c r="Q13" i="13" s="1"/>
  <c r="I13" i="7"/>
  <c r="I14" i="7"/>
  <c r="I14" i="4" s="1"/>
  <c r="I14" i="11" s="1"/>
  <c r="I15" i="7"/>
  <c r="I16" i="7"/>
  <c r="I16" i="4" s="1"/>
  <c r="I17" i="13" s="1"/>
  <c r="Q17" i="13" s="1"/>
  <c r="I17" i="7"/>
  <c r="I17" i="4" s="1"/>
  <c r="I18" i="13" s="1"/>
  <c r="W18" i="13" s="1"/>
  <c r="I18" i="7"/>
  <c r="I19" i="7"/>
  <c r="I20" i="7"/>
  <c r="I21" i="7"/>
  <c r="I22" i="7"/>
  <c r="I23" i="7"/>
  <c r="I24" i="7"/>
  <c r="I24" i="4" s="1"/>
  <c r="I25" i="13" s="1"/>
  <c r="Q25" i="13" s="1"/>
  <c r="I25" i="7"/>
  <c r="I26" i="7"/>
  <c r="I27" i="7"/>
  <c r="I28" i="7"/>
  <c r="I29" i="7"/>
  <c r="I30" i="7"/>
  <c r="I31" i="7"/>
  <c r="I32" i="7"/>
  <c r="I32" i="4" s="1"/>
  <c r="I33" i="7"/>
  <c r="I34" i="7"/>
  <c r="I35" i="7"/>
  <c r="I36" i="7"/>
  <c r="I37" i="7"/>
  <c r="I38" i="7"/>
  <c r="I39" i="7"/>
  <c r="I40" i="7"/>
  <c r="I40" i="4" s="1"/>
  <c r="I41" i="7"/>
  <c r="H2" i="7"/>
  <c r="H3" i="7"/>
  <c r="K3" i="4" s="1"/>
  <c r="K4" i="13" s="1"/>
  <c r="H4" i="7"/>
  <c r="K4" i="4" s="1"/>
  <c r="K5" i="13" s="1"/>
  <c r="H5" i="7"/>
  <c r="H6" i="7"/>
  <c r="H7" i="7"/>
  <c r="K7" i="4" s="1"/>
  <c r="K8" i="13" s="1"/>
  <c r="H8" i="7"/>
  <c r="H9" i="7"/>
  <c r="H10" i="7"/>
  <c r="H11" i="7"/>
  <c r="K11" i="4" s="1"/>
  <c r="K12" i="13" s="1"/>
  <c r="H12" i="7"/>
  <c r="H13" i="7"/>
  <c r="K13" i="4" s="1"/>
  <c r="K14" i="13" s="1"/>
  <c r="H14" i="7"/>
  <c r="H15" i="7"/>
  <c r="K15" i="4" s="1"/>
  <c r="K16" i="13" s="1"/>
  <c r="H16" i="7"/>
  <c r="H17" i="7"/>
  <c r="H18" i="7"/>
  <c r="H19" i="7"/>
  <c r="K19" i="4" s="1"/>
  <c r="K20" i="13" s="1"/>
  <c r="H20" i="7"/>
  <c r="H21" i="7"/>
  <c r="H22" i="7"/>
  <c r="H23" i="7"/>
  <c r="H24" i="7"/>
  <c r="H25" i="7"/>
  <c r="H26" i="7"/>
  <c r="H27" i="7"/>
  <c r="K27" i="4" s="1"/>
  <c r="K28" i="13" s="1"/>
  <c r="H28" i="7"/>
  <c r="H29" i="7"/>
  <c r="K29" i="4" s="1"/>
  <c r="K30" i="13" s="1"/>
  <c r="H30" i="7"/>
  <c r="H31" i="7"/>
  <c r="H32" i="7"/>
  <c r="H33" i="7"/>
  <c r="H34" i="7"/>
  <c r="H35" i="7"/>
  <c r="K35" i="4" s="1"/>
  <c r="K36" i="13" s="1"/>
  <c r="H36" i="7"/>
  <c r="H37" i="7"/>
  <c r="H38" i="7"/>
  <c r="H39" i="7"/>
  <c r="H40" i="7"/>
  <c r="H41" i="7"/>
  <c r="G2" i="7"/>
  <c r="G3" i="7"/>
  <c r="G4" i="7"/>
  <c r="H4" i="4" s="1"/>
  <c r="H5" i="13" s="1"/>
  <c r="G5" i="7"/>
  <c r="G6" i="7"/>
  <c r="G7" i="7"/>
  <c r="G8" i="7"/>
  <c r="H8" i="4" s="1"/>
  <c r="G9" i="7"/>
  <c r="G10" i="7"/>
  <c r="G11" i="7"/>
  <c r="G12" i="7"/>
  <c r="H12" i="4" s="1"/>
  <c r="H13" i="13" s="1"/>
  <c r="G13" i="7"/>
  <c r="G14" i="7"/>
  <c r="H14" i="4" s="1"/>
  <c r="H14" i="11" s="1"/>
  <c r="N14" i="11" s="1"/>
  <c r="G15" i="7"/>
  <c r="G16" i="7"/>
  <c r="H16" i="4" s="1"/>
  <c r="H17" i="13" s="1"/>
  <c r="G17" i="7"/>
  <c r="H17" i="4" s="1"/>
  <c r="H18" i="13" s="1"/>
  <c r="G18" i="7"/>
  <c r="G19" i="7"/>
  <c r="H19" i="4" s="1"/>
  <c r="H19" i="11" s="1"/>
  <c r="N19" i="11" s="1"/>
  <c r="G20" i="7"/>
  <c r="G21" i="7"/>
  <c r="G22" i="7"/>
  <c r="G23" i="7"/>
  <c r="G24" i="7"/>
  <c r="G25" i="7"/>
  <c r="H25" i="4" s="1"/>
  <c r="H26" i="13" s="1"/>
  <c r="G26" i="7"/>
  <c r="G27" i="7"/>
  <c r="H27" i="4" s="1"/>
  <c r="H27" i="11" s="1"/>
  <c r="N27" i="11" s="1"/>
  <c r="G28" i="7"/>
  <c r="G29" i="7"/>
  <c r="G30" i="7"/>
  <c r="G31" i="7"/>
  <c r="G32" i="7"/>
  <c r="G33" i="7"/>
  <c r="H33" i="4" s="1"/>
  <c r="H34" i="13" s="1"/>
  <c r="G34" i="7"/>
  <c r="G35" i="7"/>
  <c r="H35" i="4" s="1"/>
  <c r="H35" i="11" s="1"/>
  <c r="N35" i="11" s="1"/>
  <c r="G36" i="7"/>
  <c r="G37" i="7"/>
  <c r="G38" i="7"/>
  <c r="G39" i="7"/>
  <c r="G40" i="7"/>
  <c r="G41" i="7"/>
  <c r="H41" i="4" s="1"/>
  <c r="H42" i="13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J15" i="4" s="1"/>
  <c r="J15" i="11" s="1"/>
  <c r="F16" i="7"/>
  <c r="F17" i="7"/>
  <c r="F18" i="7"/>
  <c r="F19" i="7"/>
  <c r="F20" i="7"/>
  <c r="J20" i="4" s="1"/>
  <c r="J21" i="13" s="1"/>
  <c r="F21" i="7"/>
  <c r="F22" i="7"/>
  <c r="F23" i="7"/>
  <c r="F24" i="7"/>
  <c r="F25" i="7"/>
  <c r="F26" i="7"/>
  <c r="F27" i="7"/>
  <c r="F28" i="7"/>
  <c r="J28" i="4" s="1"/>
  <c r="J28" i="11" s="1"/>
  <c r="F29" i="7"/>
  <c r="F30" i="7"/>
  <c r="F31" i="7"/>
  <c r="F32" i="7"/>
  <c r="F33" i="7"/>
  <c r="F34" i="7"/>
  <c r="J34" i="4" s="1"/>
  <c r="J34" i="11" s="1"/>
  <c r="F35" i="7"/>
  <c r="F36" i="7"/>
  <c r="J36" i="4" s="1"/>
  <c r="J36" i="11" s="1"/>
  <c r="F37" i="7"/>
  <c r="F38" i="7"/>
  <c r="F39" i="7"/>
  <c r="F40" i="7"/>
  <c r="F41" i="7"/>
  <c r="D2" i="7"/>
  <c r="D3" i="7"/>
  <c r="D4" i="7"/>
  <c r="D5" i="7"/>
  <c r="F5" i="4" s="1"/>
  <c r="F6" i="13" s="1"/>
  <c r="D6" i="7"/>
  <c r="D7" i="7"/>
  <c r="D8" i="7"/>
  <c r="D9" i="7"/>
  <c r="D10" i="7"/>
  <c r="D11" i="7"/>
  <c r="D12" i="7"/>
  <c r="F12" i="4" s="1"/>
  <c r="F13" i="13" s="1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F28" i="4" s="1"/>
  <c r="F29" i="13" s="1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C2" i="7"/>
  <c r="C3" i="7"/>
  <c r="C4" i="7"/>
  <c r="C5" i="7"/>
  <c r="C5" i="4" s="1"/>
  <c r="B4" i="5" s="1"/>
  <c r="C6" i="7"/>
  <c r="C7" i="7"/>
  <c r="C8" i="7"/>
  <c r="C9" i="7"/>
  <c r="C9" i="4" s="1"/>
  <c r="C10" i="13" s="1"/>
  <c r="C10" i="7"/>
  <c r="C11" i="7"/>
  <c r="C12" i="7"/>
  <c r="C13" i="7"/>
  <c r="C13" i="4" s="1"/>
  <c r="C14" i="13" s="1"/>
  <c r="C14" i="7"/>
  <c r="C15" i="7"/>
  <c r="C16" i="7"/>
  <c r="C17" i="7"/>
  <c r="C18" i="7"/>
  <c r="C19" i="7"/>
  <c r="C20" i="7"/>
  <c r="C20" i="4" s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6" i="4" s="1"/>
  <c r="C37" i="13" s="1"/>
  <c r="C37" i="7"/>
  <c r="C38" i="7"/>
  <c r="C39" i="7"/>
  <c r="C40" i="7"/>
  <c r="C41" i="7"/>
  <c r="L55" i="4"/>
  <c r="L54" i="4"/>
  <c r="L53" i="4"/>
  <c r="L52" i="4"/>
  <c r="L51" i="4"/>
  <c r="L50" i="4"/>
  <c r="L49" i="4"/>
  <c r="L48" i="4"/>
  <c r="L47" i="4"/>
  <c r="L46" i="4"/>
  <c r="L45" i="4"/>
  <c r="L44" i="4"/>
  <c r="I33" i="5"/>
  <c r="I32" i="5"/>
  <c r="I31" i="5"/>
  <c r="I30" i="5"/>
  <c r="I29" i="5"/>
  <c r="I28" i="5"/>
  <c r="I27" i="5"/>
  <c r="I26" i="5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M3" i="1" s="1"/>
  <c r="P2" i="7" s="1" a="1"/>
  <c r="P2" i="7" s="1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I22" i="5"/>
  <c r="I2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I2" i="1" a="1"/>
  <c r="I2" i="1" s="1"/>
  <c r="E2" i="7" s="1"/>
  <c r="I3" i="1" a="1"/>
  <c r="I3" i="1" s="1"/>
  <c r="I4" i="1" a="1"/>
  <c r="I4" i="1" s="1"/>
  <c r="I5" i="1" a="1"/>
  <c r="I5" i="1" s="1"/>
  <c r="I6" i="1" a="1"/>
  <c r="I6" i="1" s="1"/>
  <c r="E3" i="7" s="1"/>
  <c r="I7" i="1" a="1"/>
  <c r="I7" i="1" s="1"/>
  <c r="I8" i="1" a="1"/>
  <c r="I8" i="1" s="1"/>
  <c r="I9" i="1" a="1"/>
  <c r="I9" i="1" s="1"/>
  <c r="I10" i="1" a="1"/>
  <c r="I10" i="1" s="1"/>
  <c r="E4" i="7" s="1"/>
  <c r="I11" i="1" a="1"/>
  <c r="I11" i="1" s="1"/>
  <c r="I12" i="1" a="1"/>
  <c r="I12" i="1" s="1"/>
  <c r="I13" i="1" a="1"/>
  <c r="I13" i="1" s="1"/>
  <c r="I14" i="1" a="1"/>
  <c r="I14" i="1" s="1"/>
  <c r="E5" i="7" s="1"/>
  <c r="I15" i="1" a="1"/>
  <c r="I15" i="1" s="1"/>
  <c r="I16" i="1" a="1"/>
  <c r="I16" i="1" s="1"/>
  <c r="I17" i="1" a="1"/>
  <c r="I17" i="1" s="1"/>
  <c r="I18" i="1" a="1"/>
  <c r="I18" i="1" s="1"/>
  <c r="E6" i="7" s="1"/>
  <c r="I19" i="1" a="1"/>
  <c r="I19" i="1" s="1"/>
  <c r="I20" i="1" a="1"/>
  <c r="I20" i="1" s="1"/>
  <c r="I21" i="1" a="1"/>
  <c r="I21" i="1" s="1"/>
  <c r="I22" i="1" a="1"/>
  <c r="I22" i="1" s="1"/>
  <c r="E7" i="7" s="1"/>
  <c r="I23" i="1" a="1"/>
  <c r="I23" i="1" s="1"/>
  <c r="I24" i="1" a="1"/>
  <c r="I24" i="1" s="1"/>
  <c r="I25" i="1" a="1"/>
  <c r="I25" i="1" s="1"/>
  <c r="I26" i="1" a="1"/>
  <c r="I26" i="1" s="1"/>
  <c r="E8" i="7" s="1"/>
  <c r="I27" i="1" a="1"/>
  <c r="I27" i="1" s="1"/>
  <c r="I28" i="1" a="1"/>
  <c r="I28" i="1" s="1"/>
  <c r="I29" i="1" a="1"/>
  <c r="I29" i="1" s="1"/>
  <c r="I30" i="1" a="1"/>
  <c r="I30" i="1" s="1"/>
  <c r="E9" i="7" s="1"/>
  <c r="I31" i="1" a="1"/>
  <c r="I31" i="1" s="1"/>
  <c r="I32" i="1" a="1"/>
  <c r="I32" i="1" s="1"/>
  <c r="I33" i="1" a="1"/>
  <c r="I33" i="1" s="1"/>
  <c r="I34" i="1" a="1"/>
  <c r="I34" i="1" s="1"/>
  <c r="E10" i="7" s="1"/>
  <c r="I35" i="1" a="1"/>
  <c r="I35" i="1" s="1"/>
  <c r="I36" i="1" a="1"/>
  <c r="I36" i="1" s="1"/>
  <c r="I37" i="1" a="1"/>
  <c r="I37" i="1" s="1"/>
  <c r="I38" i="1" a="1"/>
  <c r="I38" i="1" s="1"/>
  <c r="E11" i="7" s="1"/>
  <c r="I39" i="1" a="1"/>
  <c r="I39" i="1" s="1"/>
  <c r="I40" i="1" a="1"/>
  <c r="I40" i="1" s="1"/>
  <c r="I41" i="1" a="1"/>
  <c r="I41" i="1" s="1"/>
  <c r="I42" i="1" a="1"/>
  <c r="I42" i="1" s="1"/>
  <c r="E12" i="7" s="1"/>
  <c r="I43" i="1" a="1"/>
  <c r="I43" i="1" s="1"/>
  <c r="I44" i="1" a="1"/>
  <c r="I44" i="1" s="1"/>
  <c r="I45" i="1" a="1"/>
  <c r="I45" i="1" s="1"/>
  <c r="I46" i="1" a="1"/>
  <c r="I46" i="1" s="1"/>
  <c r="E13" i="7" s="1"/>
  <c r="I47" i="1" a="1"/>
  <c r="I47" i="1" s="1"/>
  <c r="I48" i="1" a="1"/>
  <c r="I48" i="1" s="1"/>
  <c r="I49" i="1" a="1"/>
  <c r="I49" i="1" s="1"/>
  <c r="I50" i="1" a="1"/>
  <c r="I50" i="1" s="1"/>
  <c r="E14" i="7" s="1"/>
  <c r="I51" i="1" a="1"/>
  <c r="I51" i="1" s="1"/>
  <c r="I52" i="1" a="1"/>
  <c r="I52" i="1" s="1"/>
  <c r="I53" i="1" a="1"/>
  <c r="I53" i="1" s="1"/>
  <c r="I54" i="1" a="1"/>
  <c r="I54" i="1" s="1"/>
  <c r="E15" i="7" s="1"/>
  <c r="I55" i="1" a="1"/>
  <c r="I55" i="1" s="1"/>
  <c r="I56" i="1" a="1"/>
  <c r="I56" i="1" s="1"/>
  <c r="I57" i="1" a="1"/>
  <c r="I57" i="1" s="1"/>
  <c r="I58" i="1" a="1"/>
  <c r="I58" i="1" s="1"/>
  <c r="E16" i="7" s="1"/>
  <c r="I59" i="1" a="1"/>
  <c r="I59" i="1" s="1"/>
  <c r="I60" i="1" a="1"/>
  <c r="I60" i="1" s="1"/>
  <c r="I61" i="1" a="1"/>
  <c r="I61" i="1" s="1"/>
  <c r="I74" i="1" a="1"/>
  <c r="I74" i="1" s="1"/>
  <c r="E20" i="7" s="1"/>
  <c r="I75" i="1" a="1"/>
  <c r="I75" i="1" s="1"/>
  <c r="I76" i="1" a="1"/>
  <c r="I76" i="1" s="1"/>
  <c r="I77" i="1" a="1"/>
  <c r="I77" i="1" s="1"/>
  <c r="I78" i="1" a="1"/>
  <c r="I78" i="1" s="1"/>
  <c r="E21" i="7" s="1"/>
  <c r="I79" i="1" a="1"/>
  <c r="I79" i="1" s="1"/>
  <c r="I80" i="1" a="1"/>
  <c r="I80" i="1" s="1"/>
  <c r="I81" i="1" a="1"/>
  <c r="I81" i="1" s="1"/>
  <c r="I82" i="1" a="1"/>
  <c r="I82" i="1" s="1"/>
  <c r="E22" i="7" s="1"/>
  <c r="I83" i="1" a="1"/>
  <c r="I83" i="1" s="1"/>
  <c r="I84" i="1" a="1"/>
  <c r="I84" i="1" s="1"/>
  <c r="I85" i="1" a="1"/>
  <c r="I85" i="1" s="1"/>
  <c r="I62" i="1" a="1"/>
  <c r="I62" i="1" s="1"/>
  <c r="E17" i="7" s="1"/>
  <c r="I63" i="1" a="1"/>
  <c r="I63" i="1" s="1"/>
  <c r="I64" i="1" a="1"/>
  <c r="I64" i="1" s="1"/>
  <c r="I65" i="1" a="1"/>
  <c r="I65" i="1" s="1"/>
  <c r="I66" i="1" a="1"/>
  <c r="I66" i="1" s="1"/>
  <c r="E18" i="7" s="1"/>
  <c r="I67" i="1" a="1"/>
  <c r="I67" i="1" s="1"/>
  <c r="I68" i="1" a="1"/>
  <c r="I68" i="1" s="1"/>
  <c r="I69" i="1" a="1"/>
  <c r="I69" i="1" s="1"/>
  <c r="I70" i="1" a="1"/>
  <c r="I70" i="1" s="1"/>
  <c r="E19" i="7" s="1"/>
  <c r="I71" i="1" a="1"/>
  <c r="I71" i="1" s="1"/>
  <c r="I72" i="1" a="1"/>
  <c r="I72" i="1" s="1"/>
  <c r="I73" i="1" a="1"/>
  <c r="I73" i="1" s="1"/>
  <c r="I86" i="1" a="1"/>
  <c r="I86" i="1" s="1"/>
  <c r="E23" i="7" s="1"/>
  <c r="I87" i="1" a="1"/>
  <c r="I87" i="1" s="1"/>
  <c r="I88" i="1" a="1"/>
  <c r="I88" i="1" s="1"/>
  <c r="I89" i="1" a="1"/>
  <c r="I89" i="1" s="1"/>
  <c r="I90" i="1" a="1"/>
  <c r="I90" i="1" s="1"/>
  <c r="E24" i="7" s="1"/>
  <c r="I91" i="1" a="1"/>
  <c r="I91" i="1" s="1"/>
  <c r="I92" i="1" a="1"/>
  <c r="I92" i="1" s="1"/>
  <c r="I93" i="1" a="1"/>
  <c r="I93" i="1" s="1"/>
  <c r="I94" i="1" a="1"/>
  <c r="I94" i="1" s="1"/>
  <c r="E25" i="7" s="1"/>
  <c r="I95" i="1" a="1"/>
  <c r="I95" i="1" s="1"/>
  <c r="I96" i="1" a="1"/>
  <c r="I96" i="1" s="1"/>
  <c r="I97" i="1" a="1"/>
  <c r="I97" i="1" s="1"/>
  <c r="I146" i="1" a="1"/>
  <c r="I146" i="1" s="1"/>
  <c r="E38" i="7" s="1"/>
  <c r="I147" i="1" a="1"/>
  <c r="I147" i="1" s="1"/>
  <c r="I148" i="1" a="1"/>
  <c r="I148" i="1" s="1"/>
  <c r="I149" i="1" a="1"/>
  <c r="I149" i="1" s="1"/>
  <c r="I150" i="1" a="1"/>
  <c r="I150" i="1" s="1"/>
  <c r="E39" i="7" s="1"/>
  <c r="I151" i="1" a="1"/>
  <c r="I151" i="1" s="1"/>
  <c r="I152" i="1" a="1"/>
  <c r="I152" i="1" s="1"/>
  <c r="I153" i="1" a="1"/>
  <c r="I153" i="1" s="1"/>
  <c r="I154" i="1" a="1"/>
  <c r="I154" i="1" s="1"/>
  <c r="E40" i="7" s="1"/>
  <c r="I155" i="1" a="1"/>
  <c r="I155" i="1" s="1"/>
  <c r="I156" i="1" a="1"/>
  <c r="I156" i="1" s="1"/>
  <c r="I157" i="1" a="1"/>
  <c r="I157" i="1" s="1"/>
  <c r="I158" i="1" a="1"/>
  <c r="I158" i="1" s="1"/>
  <c r="E41" i="7" s="1"/>
  <c r="I159" i="1" a="1"/>
  <c r="I159" i="1" s="1"/>
  <c r="I160" i="1" a="1"/>
  <c r="I160" i="1" s="1"/>
  <c r="I161" i="1" a="1"/>
  <c r="I161" i="1" s="1"/>
  <c r="I98" i="1" a="1"/>
  <c r="I98" i="1" s="1"/>
  <c r="E26" i="7" s="1"/>
  <c r="I99" i="1" a="1"/>
  <c r="I99" i="1" s="1"/>
  <c r="I100" i="1" a="1"/>
  <c r="I100" i="1" s="1"/>
  <c r="I101" i="1" a="1"/>
  <c r="I101" i="1" s="1"/>
  <c r="I102" i="1" a="1"/>
  <c r="I102" i="1" s="1"/>
  <c r="E27" i="7" s="1"/>
  <c r="I103" i="1" a="1"/>
  <c r="I103" i="1" s="1"/>
  <c r="I104" i="1" a="1"/>
  <c r="I104" i="1" s="1"/>
  <c r="I105" i="1" a="1"/>
  <c r="I105" i="1" s="1"/>
  <c r="I106" i="1" a="1"/>
  <c r="I106" i="1" s="1"/>
  <c r="E28" i="7" s="1"/>
  <c r="I107" i="1" a="1"/>
  <c r="I107" i="1" s="1"/>
  <c r="I108" i="1" a="1"/>
  <c r="I108" i="1" s="1"/>
  <c r="I109" i="1" a="1"/>
  <c r="I109" i="1" s="1"/>
  <c r="I122" i="1" a="1"/>
  <c r="I122" i="1" s="1"/>
  <c r="E32" i="7" s="1"/>
  <c r="I123" i="1" a="1"/>
  <c r="I123" i="1" s="1"/>
  <c r="I124" i="1" a="1"/>
  <c r="I124" i="1" s="1"/>
  <c r="I125" i="1" a="1"/>
  <c r="I125" i="1" s="1"/>
  <c r="I126" i="1" a="1"/>
  <c r="I126" i="1" s="1"/>
  <c r="E33" i="7" s="1"/>
  <c r="I127" i="1" a="1"/>
  <c r="I127" i="1" s="1"/>
  <c r="I128" i="1" a="1"/>
  <c r="I128" i="1" s="1"/>
  <c r="I129" i="1" a="1"/>
  <c r="I129" i="1" s="1"/>
  <c r="I130" i="1" a="1"/>
  <c r="I130" i="1" s="1"/>
  <c r="E34" i="7" s="1"/>
  <c r="I131" i="1" a="1"/>
  <c r="I131" i="1" s="1"/>
  <c r="I132" i="1" a="1"/>
  <c r="I132" i="1" s="1"/>
  <c r="I133" i="1" a="1"/>
  <c r="I133" i="1" s="1"/>
  <c r="I110" i="1" a="1"/>
  <c r="I110" i="1" s="1"/>
  <c r="E29" i="7" s="1"/>
  <c r="I111" i="1" a="1"/>
  <c r="I111" i="1" s="1"/>
  <c r="I112" i="1" a="1"/>
  <c r="I112" i="1" s="1"/>
  <c r="I113" i="1" a="1"/>
  <c r="I113" i="1" s="1"/>
  <c r="I114" i="1" a="1"/>
  <c r="I114" i="1" s="1"/>
  <c r="E30" i="7" s="1"/>
  <c r="I115" i="1" a="1"/>
  <c r="I115" i="1" s="1"/>
  <c r="I116" i="1" a="1"/>
  <c r="I116" i="1" s="1"/>
  <c r="I117" i="1" a="1"/>
  <c r="I117" i="1" s="1"/>
  <c r="I118" i="1" a="1"/>
  <c r="I118" i="1" s="1"/>
  <c r="E31" i="7" s="1"/>
  <c r="I119" i="1" a="1"/>
  <c r="I119" i="1" s="1"/>
  <c r="I120" i="1" a="1"/>
  <c r="I120" i="1" s="1"/>
  <c r="I121" i="1" a="1"/>
  <c r="I121" i="1" s="1"/>
  <c r="I134" i="1" a="1"/>
  <c r="I134" i="1" s="1"/>
  <c r="E35" i="7" s="1"/>
  <c r="I135" i="1" a="1"/>
  <c r="I135" i="1" s="1"/>
  <c r="I136" i="1" a="1"/>
  <c r="I136" i="1" s="1"/>
  <c r="I137" i="1" a="1"/>
  <c r="I137" i="1" s="1"/>
  <c r="I138" i="1" a="1"/>
  <c r="I138" i="1" s="1"/>
  <c r="E36" i="7" s="1"/>
  <c r="I139" i="1" a="1"/>
  <c r="I139" i="1" s="1"/>
  <c r="I140" i="1" a="1"/>
  <c r="I140" i="1" s="1"/>
  <c r="I141" i="1" a="1"/>
  <c r="I141" i="1" s="1"/>
  <c r="I142" i="1" a="1"/>
  <c r="I142" i="1" s="1"/>
  <c r="E37" i="7" s="1"/>
  <c r="I143" i="1" a="1"/>
  <c r="I143" i="1" s="1"/>
  <c r="I144" i="1" a="1"/>
  <c r="I144" i="1" s="1"/>
  <c r="I145" i="1" a="1"/>
  <c r="I145" i="1" s="1"/>
  <c r="I162" i="1" a="1"/>
  <c r="I162" i="1" s="1"/>
  <c r="E45" i="7" s="1"/>
  <c r="I168" i="1" a="1"/>
  <c r="I168" i="1" s="1"/>
  <c r="E51" i="7" s="1"/>
  <c r="I163" i="1" a="1"/>
  <c r="I163" i="1" s="1"/>
  <c r="E46" i="7" s="1"/>
  <c r="I169" i="1" a="1"/>
  <c r="I169" i="1" s="1"/>
  <c r="E52" i="7" s="1"/>
  <c r="I164" i="1" a="1"/>
  <c r="I164" i="1" s="1"/>
  <c r="E47" i="7" s="1"/>
  <c r="I170" i="1" a="1"/>
  <c r="I170" i="1" s="1"/>
  <c r="E53" i="7" s="1"/>
  <c r="I165" i="1" a="1"/>
  <c r="I165" i="1" s="1"/>
  <c r="E48" i="7" s="1"/>
  <c r="I171" i="1" a="1"/>
  <c r="I171" i="1" s="1"/>
  <c r="E54" i="7" s="1"/>
  <c r="I166" i="1" a="1"/>
  <c r="I166" i="1" s="1"/>
  <c r="E49" i="7" s="1"/>
  <c r="I172" i="1" a="1"/>
  <c r="I172" i="1" s="1"/>
  <c r="E55" i="7" s="1"/>
  <c r="I167" i="1" a="1"/>
  <c r="I167" i="1" s="1"/>
  <c r="E50" i="7" s="1"/>
  <c r="I173" i="1" a="1"/>
  <c r="I173" i="1" s="1"/>
  <c r="E56" i="7" s="1"/>
  <c r="K2" i="1"/>
  <c r="K2" i="7" s="1" a="1"/>
  <c r="K2" i="7" s="1"/>
  <c r="K3" i="1"/>
  <c r="L2" i="7" s="1" a="1"/>
  <c r="L2" i="7" s="1"/>
  <c r="K4" i="1"/>
  <c r="M2" i="7" s="1" a="1"/>
  <c r="M2" i="7" s="1"/>
  <c r="K5" i="1"/>
  <c r="N2" i="7" s="1" a="1"/>
  <c r="N2" i="7" s="1"/>
  <c r="K6" i="1"/>
  <c r="K3" i="7" s="1" a="1"/>
  <c r="K3" i="7" s="1"/>
  <c r="K7" i="1"/>
  <c r="L3" i="7" s="1" a="1"/>
  <c r="L3" i="7" s="1"/>
  <c r="K8" i="1"/>
  <c r="M3" i="7" s="1" a="1"/>
  <c r="M3" i="7" s="1"/>
  <c r="K9" i="1"/>
  <c r="N3" i="7" s="1" a="1"/>
  <c r="N3" i="7" s="1"/>
  <c r="K10" i="1"/>
  <c r="K4" i="7" s="1" a="1"/>
  <c r="K4" i="7" s="1"/>
  <c r="K11" i="1"/>
  <c r="L4" i="7" s="1" a="1"/>
  <c r="L4" i="7" s="1"/>
  <c r="K12" i="1"/>
  <c r="M4" i="7" s="1" a="1"/>
  <c r="M4" i="7" s="1"/>
  <c r="K13" i="1"/>
  <c r="N4" i="7" s="1" a="1"/>
  <c r="N4" i="7" s="1"/>
  <c r="K14" i="1"/>
  <c r="K5" i="7" s="1" a="1"/>
  <c r="K5" i="7" s="1"/>
  <c r="K15" i="1"/>
  <c r="L5" i="7" s="1" a="1"/>
  <c r="L5" i="7" s="1"/>
  <c r="K16" i="1"/>
  <c r="M5" i="7" s="1" a="1"/>
  <c r="M5" i="7" s="1"/>
  <c r="K17" i="1"/>
  <c r="N5" i="7" s="1" a="1"/>
  <c r="N5" i="7" s="1"/>
  <c r="K18" i="1"/>
  <c r="K6" i="7" s="1" a="1"/>
  <c r="K6" i="7" s="1"/>
  <c r="K19" i="1"/>
  <c r="L6" i="7" s="1" a="1"/>
  <c r="L6" i="7" s="1"/>
  <c r="K20" i="1"/>
  <c r="M6" i="7" s="1" a="1"/>
  <c r="M6" i="7" s="1"/>
  <c r="K21" i="1"/>
  <c r="N6" i="7" s="1" a="1"/>
  <c r="N6" i="7" s="1"/>
  <c r="K22" i="1"/>
  <c r="K7" i="7" s="1" a="1"/>
  <c r="K7" i="7" s="1"/>
  <c r="K23" i="1"/>
  <c r="L7" i="7" s="1" a="1"/>
  <c r="L7" i="7" s="1"/>
  <c r="K24" i="1"/>
  <c r="M7" i="7" s="1" a="1"/>
  <c r="M7" i="7" s="1"/>
  <c r="K25" i="1"/>
  <c r="N7" i="7" s="1" a="1"/>
  <c r="N7" i="7" s="1"/>
  <c r="K26" i="1"/>
  <c r="K8" i="7" s="1" a="1"/>
  <c r="K8" i="7" s="1"/>
  <c r="K27" i="1"/>
  <c r="L8" i="7" s="1" a="1"/>
  <c r="L8" i="7" s="1"/>
  <c r="K28" i="1"/>
  <c r="M8" i="7" s="1" a="1"/>
  <c r="M8" i="7" s="1"/>
  <c r="K29" i="1"/>
  <c r="N8" i="7" s="1" a="1"/>
  <c r="N8" i="7" s="1"/>
  <c r="K30" i="1"/>
  <c r="K9" i="7" s="1" a="1"/>
  <c r="K9" i="7" s="1"/>
  <c r="K31" i="1"/>
  <c r="L9" i="7" s="1" a="1"/>
  <c r="L9" i="7" s="1"/>
  <c r="K32" i="1"/>
  <c r="M9" i="7" s="1" a="1"/>
  <c r="M9" i="7" s="1"/>
  <c r="K33" i="1"/>
  <c r="N9" i="7" s="1" a="1"/>
  <c r="N9" i="7" s="1"/>
  <c r="K34" i="1"/>
  <c r="K10" i="7" s="1" a="1"/>
  <c r="K10" i="7" s="1"/>
  <c r="K35" i="1"/>
  <c r="L10" i="7" s="1" a="1"/>
  <c r="L10" i="7" s="1"/>
  <c r="K36" i="1"/>
  <c r="M10" i="7" s="1" a="1"/>
  <c r="M10" i="7" s="1"/>
  <c r="K37" i="1"/>
  <c r="N10" i="7" s="1" a="1"/>
  <c r="N10" i="7" s="1"/>
  <c r="K38" i="1"/>
  <c r="K11" i="7" s="1" a="1"/>
  <c r="K11" i="7" s="1"/>
  <c r="K39" i="1"/>
  <c r="L11" i="7" s="1" a="1"/>
  <c r="L11" i="7" s="1"/>
  <c r="K40" i="1"/>
  <c r="M11" i="7" s="1" a="1"/>
  <c r="M11" i="7" s="1"/>
  <c r="K41" i="1"/>
  <c r="N11" i="7" s="1" a="1"/>
  <c r="N11" i="7" s="1"/>
  <c r="K42" i="1"/>
  <c r="K12" i="7" s="1" a="1"/>
  <c r="K12" i="7" s="1"/>
  <c r="K43" i="1"/>
  <c r="L12" i="7" s="1" a="1"/>
  <c r="L12" i="7" s="1"/>
  <c r="K44" i="1"/>
  <c r="M12" i="7" s="1" a="1"/>
  <c r="M12" i="7" s="1"/>
  <c r="K45" i="1"/>
  <c r="N12" i="7" s="1" a="1"/>
  <c r="N12" i="7" s="1"/>
  <c r="K46" i="1"/>
  <c r="K13" i="7" s="1" a="1"/>
  <c r="K13" i="7" s="1"/>
  <c r="K47" i="1"/>
  <c r="L13" i="7" s="1" a="1"/>
  <c r="L13" i="7" s="1"/>
  <c r="K48" i="1"/>
  <c r="M13" i="7" s="1" a="1"/>
  <c r="M13" i="7" s="1"/>
  <c r="K49" i="1"/>
  <c r="N13" i="7" s="1" a="1"/>
  <c r="N13" i="7" s="1"/>
  <c r="K50" i="1"/>
  <c r="K14" i="7" s="1" a="1"/>
  <c r="K14" i="7" s="1"/>
  <c r="K51" i="1"/>
  <c r="L14" i="7" s="1" a="1"/>
  <c r="L14" i="7" s="1"/>
  <c r="K52" i="1"/>
  <c r="M14" i="7" s="1" a="1"/>
  <c r="M14" i="7" s="1"/>
  <c r="K53" i="1"/>
  <c r="N14" i="7" s="1" a="1"/>
  <c r="N14" i="7" s="1"/>
  <c r="K54" i="1"/>
  <c r="K15" i="7" s="1" a="1"/>
  <c r="K15" i="7" s="1"/>
  <c r="K55" i="1"/>
  <c r="L15" i="7" s="1" a="1"/>
  <c r="L15" i="7" s="1"/>
  <c r="K56" i="1"/>
  <c r="M15" i="7" s="1" a="1"/>
  <c r="M15" i="7" s="1"/>
  <c r="K57" i="1"/>
  <c r="N15" i="7" s="1" a="1"/>
  <c r="N15" i="7" s="1"/>
  <c r="K58" i="1"/>
  <c r="K16" i="7" s="1" a="1"/>
  <c r="K16" i="7" s="1"/>
  <c r="K59" i="1"/>
  <c r="L16" i="7" s="1" a="1"/>
  <c r="L16" i="7" s="1"/>
  <c r="K60" i="1"/>
  <c r="M16" i="7" s="1" a="1"/>
  <c r="M16" i="7" s="1"/>
  <c r="K61" i="1"/>
  <c r="N16" i="7" s="1" a="1"/>
  <c r="N16" i="7" s="1"/>
  <c r="K74" i="1"/>
  <c r="K20" i="7" s="1" a="1"/>
  <c r="K20" i="7" s="1"/>
  <c r="K75" i="1"/>
  <c r="L20" i="7" s="1" a="1"/>
  <c r="L20" i="7" s="1"/>
  <c r="K76" i="1"/>
  <c r="M20" i="7" s="1" a="1"/>
  <c r="M20" i="7" s="1"/>
  <c r="K77" i="1"/>
  <c r="N20" i="7" s="1" a="1"/>
  <c r="N20" i="7" s="1"/>
  <c r="K78" i="1"/>
  <c r="K21" i="7" s="1" a="1"/>
  <c r="K21" i="7" s="1"/>
  <c r="K79" i="1"/>
  <c r="L21" i="7" s="1" a="1"/>
  <c r="L21" i="7" s="1"/>
  <c r="K80" i="1"/>
  <c r="M21" i="7" s="1" a="1"/>
  <c r="M21" i="7" s="1"/>
  <c r="K81" i="1"/>
  <c r="N21" i="7" s="1" a="1"/>
  <c r="N21" i="7" s="1"/>
  <c r="K82" i="1"/>
  <c r="K22" i="7" s="1" a="1"/>
  <c r="K22" i="7" s="1"/>
  <c r="K83" i="1"/>
  <c r="L22" i="7" s="1" a="1"/>
  <c r="L22" i="7" s="1"/>
  <c r="K84" i="1"/>
  <c r="M22" i="7" s="1" a="1"/>
  <c r="M22" i="7" s="1"/>
  <c r="K85" i="1"/>
  <c r="N22" i="7" s="1" a="1"/>
  <c r="N22" i="7" s="1"/>
  <c r="K62" i="1"/>
  <c r="K17" i="7" s="1" a="1"/>
  <c r="K17" i="7" s="1"/>
  <c r="K63" i="1"/>
  <c r="L17" i="7" s="1" a="1"/>
  <c r="L17" i="7" s="1"/>
  <c r="K64" i="1"/>
  <c r="M17" i="7" s="1" a="1"/>
  <c r="M17" i="7" s="1"/>
  <c r="K65" i="1"/>
  <c r="N17" i="7" s="1" a="1"/>
  <c r="N17" i="7" s="1"/>
  <c r="K66" i="1"/>
  <c r="K18" i="7" s="1" a="1"/>
  <c r="K18" i="7" s="1"/>
  <c r="K67" i="1"/>
  <c r="L18" i="7" s="1" a="1"/>
  <c r="L18" i="7" s="1"/>
  <c r="K68" i="1"/>
  <c r="M18" i="7" s="1" a="1"/>
  <c r="M18" i="7" s="1"/>
  <c r="K69" i="1"/>
  <c r="N18" i="7" s="1" a="1"/>
  <c r="N18" i="7" s="1"/>
  <c r="K70" i="1"/>
  <c r="K19" i="7" s="1" a="1"/>
  <c r="K19" i="7" s="1"/>
  <c r="K71" i="1"/>
  <c r="L19" i="7" s="1" a="1"/>
  <c r="L19" i="7" s="1"/>
  <c r="K72" i="1"/>
  <c r="M19" i="7" s="1" a="1"/>
  <c r="M19" i="7" s="1"/>
  <c r="K73" i="1"/>
  <c r="N19" i="7" s="1" a="1"/>
  <c r="N19" i="7" s="1"/>
  <c r="K86" i="1"/>
  <c r="K23" i="7" s="1" a="1"/>
  <c r="K23" i="7" s="1"/>
  <c r="K87" i="1"/>
  <c r="L23" i="7" s="1" a="1"/>
  <c r="L23" i="7" s="1"/>
  <c r="K88" i="1"/>
  <c r="M23" i="7" s="1" a="1"/>
  <c r="M23" i="7" s="1"/>
  <c r="K89" i="1"/>
  <c r="N23" i="7" s="1" a="1"/>
  <c r="N23" i="7" s="1"/>
  <c r="K90" i="1"/>
  <c r="K24" i="7" s="1" a="1"/>
  <c r="K24" i="7" s="1"/>
  <c r="K91" i="1"/>
  <c r="L24" i="7" s="1" a="1"/>
  <c r="L24" i="7" s="1"/>
  <c r="K92" i="1"/>
  <c r="M24" i="7" s="1" a="1"/>
  <c r="M24" i="7" s="1"/>
  <c r="K93" i="1"/>
  <c r="N24" i="7" s="1" a="1"/>
  <c r="N24" i="7" s="1"/>
  <c r="K94" i="1"/>
  <c r="K25" i="7" s="1" a="1"/>
  <c r="K25" i="7" s="1"/>
  <c r="K95" i="1"/>
  <c r="L25" i="7" s="1" a="1"/>
  <c r="L25" i="7" s="1"/>
  <c r="K96" i="1"/>
  <c r="M25" i="7" s="1" a="1"/>
  <c r="M25" i="7" s="1"/>
  <c r="K97" i="1"/>
  <c r="N25" i="7" s="1" a="1"/>
  <c r="N25" i="7" s="1"/>
  <c r="K146" i="1"/>
  <c r="K38" i="7" s="1" a="1"/>
  <c r="K38" i="7" s="1"/>
  <c r="K147" i="1"/>
  <c r="L38" i="7" s="1" a="1"/>
  <c r="L38" i="7" s="1"/>
  <c r="K148" i="1"/>
  <c r="M38" i="7" s="1" a="1"/>
  <c r="M38" i="7" s="1"/>
  <c r="K149" i="1"/>
  <c r="N38" i="7" s="1" a="1"/>
  <c r="N38" i="7" s="1"/>
  <c r="K150" i="1"/>
  <c r="K39" i="7" s="1" a="1"/>
  <c r="K39" i="7" s="1"/>
  <c r="K151" i="1"/>
  <c r="L39" i="7" s="1" a="1"/>
  <c r="L39" i="7" s="1"/>
  <c r="K152" i="1"/>
  <c r="M39" i="7" s="1" a="1"/>
  <c r="M39" i="7" s="1"/>
  <c r="K153" i="1"/>
  <c r="N39" i="7" s="1" a="1"/>
  <c r="N39" i="7" s="1"/>
  <c r="K154" i="1"/>
  <c r="K40" i="7" s="1" a="1"/>
  <c r="K40" i="7" s="1"/>
  <c r="K155" i="1"/>
  <c r="L40" i="7" s="1" a="1"/>
  <c r="L40" i="7" s="1"/>
  <c r="K156" i="1"/>
  <c r="M40" i="7" s="1" a="1"/>
  <c r="M40" i="7" s="1"/>
  <c r="K157" i="1"/>
  <c r="N40" i="7" s="1" a="1"/>
  <c r="N40" i="7" s="1"/>
  <c r="K158" i="1"/>
  <c r="K41" i="7" s="1" a="1"/>
  <c r="K41" i="7" s="1"/>
  <c r="K159" i="1"/>
  <c r="L41" i="7" s="1" a="1"/>
  <c r="L41" i="7" s="1"/>
  <c r="K160" i="1"/>
  <c r="M41" i="7" s="1" a="1"/>
  <c r="M41" i="7" s="1"/>
  <c r="K161" i="1"/>
  <c r="N41" i="7" s="1" a="1"/>
  <c r="N41" i="7" s="1"/>
  <c r="K162" i="1"/>
  <c r="K45" i="7" s="1"/>
  <c r="K168" i="1"/>
  <c r="K51" i="7" s="1"/>
  <c r="K163" i="1"/>
  <c r="K46" i="7" s="1"/>
  <c r="K169" i="1"/>
  <c r="K52" i="7" s="1"/>
  <c r="K164" i="1"/>
  <c r="K47" i="7" s="1"/>
  <c r="K170" i="1"/>
  <c r="K53" i="7" s="1"/>
  <c r="K165" i="1"/>
  <c r="K48" i="7" s="1"/>
  <c r="K171" i="1"/>
  <c r="K54" i="7" s="1"/>
  <c r="K166" i="1"/>
  <c r="K49" i="7" s="1"/>
  <c r="K172" i="1"/>
  <c r="K55" i="7" s="1"/>
  <c r="K167" i="1"/>
  <c r="K50" i="7" s="1"/>
  <c r="K173" i="1"/>
  <c r="K56" i="7" s="1"/>
  <c r="K98" i="1"/>
  <c r="K26" i="7" s="1" a="1"/>
  <c r="K26" i="7" s="1"/>
  <c r="K99" i="1"/>
  <c r="L26" i="7" s="1" a="1"/>
  <c r="L26" i="7" s="1"/>
  <c r="K100" i="1"/>
  <c r="M26" i="7" s="1" a="1"/>
  <c r="M26" i="7" s="1"/>
  <c r="K101" i="1"/>
  <c r="N26" i="7" s="1" a="1"/>
  <c r="N26" i="7" s="1"/>
  <c r="K102" i="1"/>
  <c r="K27" i="7" s="1" a="1"/>
  <c r="K27" i="7" s="1"/>
  <c r="K103" i="1"/>
  <c r="L27" i="7" s="1" a="1"/>
  <c r="L27" i="7" s="1"/>
  <c r="K104" i="1"/>
  <c r="M27" i="7" s="1" a="1"/>
  <c r="M27" i="7" s="1"/>
  <c r="K105" i="1"/>
  <c r="N27" i="7" s="1" a="1"/>
  <c r="N27" i="7" s="1"/>
  <c r="K106" i="1"/>
  <c r="K28" i="7" s="1" a="1"/>
  <c r="K28" i="7" s="1"/>
  <c r="K107" i="1"/>
  <c r="L28" i="7" s="1" a="1"/>
  <c r="L28" i="7" s="1"/>
  <c r="K108" i="1"/>
  <c r="M28" i="7" s="1" a="1"/>
  <c r="M28" i="7" s="1"/>
  <c r="K109" i="1"/>
  <c r="N28" i="7" s="1" a="1"/>
  <c r="N28" i="7" s="1"/>
  <c r="K122" i="1"/>
  <c r="K32" i="7" s="1" a="1"/>
  <c r="K32" i="7" s="1"/>
  <c r="K123" i="1"/>
  <c r="L32" i="7" s="1" a="1"/>
  <c r="L32" i="7" s="1"/>
  <c r="K124" i="1"/>
  <c r="M32" i="7" s="1" a="1"/>
  <c r="M32" i="7" s="1"/>
  <c r="K125" i="1"/>
  <c r="N32" i="7" s="1" a="1"/>
  <c r="N32" i="7" s="1"/>
  <c r="K126" i="1"/>
  <c r="K33" i="7" s="1" a="1"/>
  <c r="K33" i="7" s="1"/>
  <c r="K127" i="1"/>
  <c r="L33" i="7" s="1" a="1"/>
  <c r="L33" i="7" s="1"/>
  <c r="K128" i="1"/>
  <c r="M33" i="7" s="1" a="1"/>
  <c r="M33" i="7" s="1"/>
  <c r="K129" i="1"/>
  <c r="N33" i="7" s="1" a="1"/>
  <c r="N33" i="7" s="1"/>
  <c r="K130" i="1"/>
  <c r="K34" i="7" s="1" a="1"/>
  <c r="K34" i="7" s="1"/>
  <c r="K131" i="1"/>
  <c r="L34" i="7" s="1" a="1"/>
  <c r="L34" i="7" s="1"/>
  <c r="K132" i="1"/>
  <c r="M34" i="7" s="1" a="1"/>
  <c r="M34" i="7" s="1"/>
  <c r="K133" i="1"/>
  <c r="N34" i="7" s="1" a="1"/>
  <c r="N34" i="7" s="1"/>
  <c r="K110" i="1"/>
  <c r="K29" i="7" s="1" a="1"/>
  <c r="K29" i="7" s="1"/>
  <c r="K111" i="1"/>
  <c r="L29" i="7" s="1" a="1"/>
  <c r="L29" i="7" s="1"/>
  <c r="K112" i="1"/>
  <c r="M29" i="7" s="1" a="1"/>
  <c r="M29" i="7" s="1"/>
  <c r="K113" i="1"/>
  <c r="N29" i="7" s="1" a="1"/>
  <c r="N29" i="7" s="1"/>
  <c r="K114" i="1"/>
  <c r="K30" i="7" s="1" a="1"/>
  <c r="K30" i="7" s="1"/>
  <c r="K115" i="1"/>
  <c r="L30" i="7" s="1" a="1"/>
  <c r="L30" i="7" s="1"/>
  <c r="K116" i="1"/>
  <c r="M30" i="7" s="1" a="1"/>
  <c r="M30" i="7" s="1"/>
  <c r="K117" i="1"/>
  <c r="N30" i="7" s="1" a="1"/>
  <c r="N30" i="7" s="1"/>
  <c r="K118" i="1"/>
  <c r="K31" i="7" s="1" a="1"/>
  <c r="K31" i="7" s="1"/>
  <c r="K119" i="1"/>
  <c r="L31" i="7" s="1" a="1"/>
  <c r="L31" i="7" s="1"/>
  <c r="K120" i="1"/>
  <c r="M31" i="7" s="1" a="1"/>
  <c r="M31" i="7" s="1"/>
  <c r="K121" i="1"/>
  <c r="N31" i="7" s="1" a="1"/>
  <c r="N31" i="7" s="1"/>
  <c r="K134" i="1"/>
  <c r="K35" i="7" s="1" a="1"/>
  <c r="K35" i="7" s="1"/>
  <c r="K135" i="1"/>
  <c r="L35" i="7" s="1" a="1"/>
  <c r="L35" i="7" s="1"/>
  <c r="K136" i="1"/>
  <c r="M35" i="7" s="1" a="1"/>
  <c r="M35" i="7" s="1"/>
  <c r="K137" i="1"/>
  <c r="N35" i="7" s="1" a="1"/>
  <c r="N35" i="7" s="1"/>
  <c r="K138" i="1"/>
  <c r="K36" i="7" s="1" a="1"/>
  <c r="K36" i="7" s="1"/>
  <c r="K139" i="1"/>
  <c r="L36" i="7" s="1" a="1"/>
  <c r="L36" i="7" s="1"/>
  <c r="K140" i="1"/>
  <c r="M36" i="7" s="1" a="1"/>
  <c r="M36" i="7" s="1"/>
  <c r="K141" i="1"/>
  <c r="N36" i="7" s="1" a="1"/>
  <c r="N36" i="7" s="1"/>
  <c r="K142" i="1"/>
  <c r="K37" i="7" s="1" a="1"/>
  <c r="K37" i="7" s="1"/>
  <c r="K143" i="1"/>
  <c r="L37" i="7" s="1" a="1"/>
  <c r="L37" i="7" s="1"/>
  <c r="K144" i="1"/>
  <c r="M37" i="7" s="1" a="1"/>
  <c r="M37" i="7" s="1"/>
  <c r="K145" i="1"/>
  <c r="N37" i="7" s="1" a="1"/>
  <c r="N37" i="7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74" i="1"/>
  <c r="J75" i="1"/>
  <c r="J76" i="1"/>
  <c r="J77" i="1"/>
  <c r="J78" i="1"/>
  <c r="J79" i="1"/>
  <c r="J80" i="1"/>
  <c r="J81" i="1"/>
  <c r="J82" i="1"/>
  <c r="J83" i="1"/>
  <c r="J84" i="1"/>
  <c r="J85" i="1"/>
  <c r="J62" i="1"/>
  <c r="J63" i="1"/>
  <c r="J64" i="1"/>
  <c r="J65" i="1"/>
  <c r="J66" i="1"/>
  <c r="J67" i="1"/>
  <c r="J68" i="1"/>
  <c r="J69" i="1"/>
  <c r="J70" i="1"/>
  <c r="J71" i="1"/>
  <c r="J72" i="1"/>
  <c r="J73" i="1"/>
  <c r="J86" i="1"/>
  <c r="J87" i="1"/>
  <c r="J88" i="1"/>
  <c r="J89" i="1"/>
  <c r="J90" i="1"/>
  <c r="J91" i="1"/>
  <c r="J92" i="1"/>
  <c r="J93" i="1"/>
  <c r="J94" i="1"/>
  <c r="J95" i="1"/>
  <c r="J96" i="1"/>
  <c r="J97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8" i="1"/>
  <c r="J163" i="1"/>
  <c r="J169" i="1"/>
  <c r="J164" i="1"/>
  <c r="J170" i="1"/>
  <c r="J165" i="1"/>
  <c r="J171" i="1"/>
  <c r="J166" i="1"/>
  <c r="J172" i="1"/>
  <c r="J167" i="1"/>
  <c r="J173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L145" i="1"/>
  <c r="L144" i="1"/>
  <c r="L143" i="1"/>
  <c r="L142" i="1"/>
  <c r="B37" i="7" s="1"/>
  <c r="L141" i="1"/>
  <c r="L140" i="1"/>
  <c r="L139" i="1"/>
  <c r="L138" i="1"/>
  <c r="B36" i="7" s="1"/>
  <c r="L137" i="1"/>
  <c r="L136" i="1"/>
  <c r="L135" i="1"/>
  <c r="L134" i="1"/>
  <c r="B35" i="7" s="1"/>
  <c r="L121" i="1"/>
  <c r="L120" i="1"/>
  <c r="L119" i="1"/>
  <c r="L118" i="1"/>
  <c r="B31" i="7" s="1"/>
  <c r="L117" i="1"/>
  <c r="L116" i="1"/>
  <c r="L115" i="1"/>
  <c r="L114" i="1"/>
  <c r="B30" i="7" s="1"/>
  <c r="L113" i="1"/>
  <c r="L112" i="1"/>
  <c r="L111" i="1"/>
  <c r="L110" i="1"/>
  <c r="B29" i="7" s="1"/>
  <c r="L133" i="1"/>
  <c r="L132" i="1"/>
  <c r="L131" i="1"/>
  <c r="L130" i="1"/>
  <c r="B34" i="7" s="1"/>
  <c r="L129" i="1"/>
  <c r="L128" i="1"/>
  <c r="L127" i="1"/>
  <c r="L126" i="1"/>
  <c r="B33" i="7" s="1"/>
  <c r="L125" i="1"/>
  <c r="L124" i="1"/>
  <c r="L123" i="1"/>
  <c r="L122" i="1"/>
  <c r="B32" i="7" s="1"/>
  <c r="L109" i="1"/>
  <c r="L108" i="1"/>
  <c r="L107" i="1"/>
  <c r="L106" i="1"/>
  <c r="B28" i="7" s="1"/>
  <c r="L105" i="1"/>
  <c r="L104" i="1"/>
  <c r="L103" i="1"/>
  <c r="L102" i="1"/>
  <c r="B27" i="7" s="1"/>
  <c r="L101" i="1"/>
  <c r="L100" i="1"/>
  <c r="L99" i="1"/>
  <c r="L98" i="1"/>
  <c r="B26" i="7" s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B13" i="7" s="1"/>
  <c r="L47" i="1"/>
  <c r="L48" i="1"/>
  <c r="L49" i="1"/>
  <c r="L50" i="1"/>
  <c r="B14" i="7" s="1"/>
  <c r="L51" i="1"/>
  <c r="L52" i="1"/>
  <c r="L53" i="1"/>
  <c r="L54" i="1"/>
  <c r="B15" i="7" s="1"/>
  <c r="L55" i="1"/>
  <c r="L56" i="1"/>
  <c r="L57" i="1"/>
  <c r="L58" i="1"/>
  <c r="B16" i="7" s="1"/>
  <c r="L59" i="1"/>
  <c r="L60" i="1"/>
  <c r="L61" i="1"/>
  <c r="L74" i="1"/>
  <c r="B20" i="7" s="1"/>
  <c r="L75" i="1"/>
  <c r="L76" i="1"/>
  <c r="L77" i="1"/>
  <c r="L78" i="1"/>
  <c r="B21" i="7" s="1"/>
  <c r="L79" i="1"/>
  <c r="L80" i="1"/>
  <c r="L81" i="1"/>
  <c r="L82" i="1"/>
  <c r="B22" i="7" s="1"/>
  <c r="L83" i="1"/>
  <c r="L84" i="1"/>
  <c r="L85" i="1"/>
  <c r="L62" i="1"/>
  <c r="B17" i="7" s="1"/>
  <c r="L63" i="1"/>
  <c r="L64" i="1"/>
  <c r="L65" i="1"/>
  <c r="L66" i="1"/>
  <c r="B18" i="7" s="1"/>
  <c r="L67" i="1"/>
  <c r="L68" i="1"/>
  <c r="L69" i="1"/>
  <c r="L70" i="1"/>
  <c r="B19" i="7" s="1"/>
  <c r="L71" i="1"/>
  <c r="L72" i="1"/>
  <c r="L73" i="1"/>
  <c r="L86" i="1"/>
  <c r="B23" i="7" s="1"/>
  <c r="L87" i="1"/>
  <c r="L88" i="1"/>
  <c r="L89" i="1"/>
  <c r="L90" i="1"/>
  <c r="B24" i="7" s="1"/>
  <c r="L91" i="1"/>
  <c r="L92" i="1"/>
  <c r="L93" i="1"/>
  <c r="L94" i="1"/>
  <c r="B25" i="7" s="1"/>
  <c r="L95" i="1"/>
  <c r="L96" i="1"/>
  <c r="L97" i="1"/>
  <c r="L146" i="1"/>
  <c r="B38" i="7" s="1"/>
  <c r="L147" i="1"/>
  <c r="L148" i="1"/>
  <c r="L149" i="1"/>
  <c r="L150" i="1"/>
  <c r="B39" i="7" s="1"/>
  <c r="L151" i="1"/>
  <c r="L152" i="1"/>
  <c r="L153" i="1"/>
  <c r="L154" i="1"/>
  <c r="B40" i="7" s="1"/>
  <c r="L155" i="1"/>
  <c r="L156" i="1"/>
  <c r="L157" i="1"/>
  <c r="L158" i="1"/>
  <c r="B41" i="7" s="1"/>
  <c r="L159" i="1"/>
  <c r="L160" i="1"/>
  <c r="L161" i="1"/>
  <c r="L162" i="1"/>
  <c r="B45" i="7" s="1"/>
  <c r="L168" i="1"/>
  <c r="B51" i="7" s="1"/>
  <c r="L163" i="1"/>
  <c r="B46" i="7" s="1"/>
  <c r="L169" i="1"/>
  <c r="B52" i="7" s="1"/>
  <c r="L164" i="1"/>
  <c r="B47" i="7" s="1"/>
  <c r="L170" i="1"/>
  <c r="B53" i="7" s="1"/>
  <c r="L165" i="1"/>
  <c r="B48" i="7" s="1"/>
  <c r="L171" i="1"/>
  <c r="B54" i="7" s="1"/>
  <c r="L166" i="1"/>
  <c r="B49" i="7" s="1"/>
  <c r="L172" i="1"/>
  <c r="B55" i="7" s="1"/>
  <c r="L167" i="1"/>
  <c r="B50" i="7" s="1"/>
  <c r="L173" i="1"/>
  <c r="B56" i="7" s="1"/>
  <c r="J47" i="7" l="1"/>
  <c r="M170" i="1"/>
  <c r="L53" i="7" s="1"/>
  <c r="M166" i="1"/>
  <c r="L49" i="7" s="1"/>
  <c r="M162" i="1"/>
  <c r="L45" i="7" s="1"/>
  <c r="M142" i="1"/>
  <c r="O37" i="7" s="1" a="1"/>
  <c r="O37" i="7" s="1"/>
  <c r="M138" i="1"/>
  <c r="O36" i="7" s="1" a="1"/>
  <c r="O36" i="7" s="1"/>
  <c r="M134" i="1"/>
  <c r="O35" i="7" s="1" a="1"/>
  <c r="O35" i="7" s="1"/>
  <c r="M118" i="1"/>
  <c r="O31" i="7" s="1" a="1"/>
  <c r="O31" i="7" s="1"/>
  <c r="M114" i="1"/>
  <c r="O30" i="7" s="1" a="1"/>
  <c r="O30" i="7" s="1"/>
  <c r="M110" i="1"/>
  <c r="O29" i="7" s="1" a="1"/>
  <c r="O29" i="7" s="1"/>
  <c r="M130" i="1"/>
  <c r="O34" i="7" s="1" a="1"/>
  <c r="O34" i="7" s="1"/>
  <c r="M126" i="1"/>
  <c r="O33" i="7" s="1" a="1"/>
  <c r="O33" i="7" s="1"/>
  <c r="M122" i="1"/>
  <c r="O32" i="7" s="1" a="1"/>
  <c r="O32" i="7" s="1"/>
  <c r="M106" i="1"/>
  <c r="O28" i="7" s="1" a="1"/>
  <c r="O28" i="7" s="1"/>
  <c r="M102" i="1"/>
  <c r="O27" i="7" s="1" a="1"/>
  <c r="O27" i="7" s="1"/>
  <c r="M98" i="1"/>
  <c r="O26" i="7" s="1" a="1"/>
  <c r="O26" i="7" s="1"/>
  <c r="M158" i="1"/>
  <c r="O41" i="7" s="1" a="1"/>
  <c r="O41" i="7" s="1"/>
  <c r="M154" i="1"/>
  <c r="O40" i="7" s="1" a="1"/>
  <c r="O40" i="7" s="1"/>
  <c r="M150" i="1"/>
  <c r="O39" i="7" s="1" a="1"/>
  <c r="O39" i="7" s="1"/>
  <c r="M146" i="1"/>
  <c r="O38" i="7" s="1" a="1"/>
  <c r="O38" i="7" s="1"/>
  <c r="M94" i="1"/>
  <c r="O25" i="7" s="1" a="1"/>
  <c r="O25" i="7" s="1"/>
  <c r="M90" i="1"/>
  <c r="O24" i="7" s="1" a="1"/>
  <c r="O24" i="7" s="1"/>
  <c r="M86" i="1"/>
  <c r="O23" i="7" s="1" a="1"/>
  <c r="O23" i="7" s="1"/>
  <c r="M82" i="1"/>
  <c r="O22" i="7" s="1" a="1"/>
  <c r="O22" i="7" s="1"/>
  <c r="M78" i="1"/>
  <c r="O21" i="7" s="1" a="1"/>
  <c r="O21" i="7" s="1"/>
  <c r="M74" i="1"/>
  <c r="O20" i="7" s="1" a="1"/>
  <c r="O20" i="7" s="1"/>
  <c r="M70" i="1"/>
  <c r="O19" i="7" s="1" a="1"/>
  <c r="O19" i="7" s="1"/>
  <c r="M66" i="1"/>
  <c r="O18" i="7" s="1" a="1"/>
  <c r="O18" i="7" s="1"/>
  <c r="M62" i="1"/>
  <c r="O17" i="7" s="1" a="1"/>
  <c r="O17" i="7" s="1"/>
  <c r="M58" i="1"/>
  <c r="O16" i="7" s="1" a="1"/>
  <c r="O16" i="7" s="1"/>
  <c r="M54" i="1"/>
  <c r="O15" i="7" s="1" a="1"/>
  <c r="O15" i="7" s="1"/>
  <c r="M50" i="1"/>
  <c r="O14" i="7" s="1" a="1"/>
  <c r="O14" i="7" s="1"/>
  <c r="M46" i="1"/>
  <c r="O13" i="7" s="1" a="1"/>
  <c r="O13" i="7" s="1"/>
  <c r="M42" i="1"/>
  <c r="O12" i="7" s="1" a="1"/>
  <c r="O12" i="7" s="1"/>
  <c r="M38" i="1"/>
  <c r="O11" i="7" s="1" a="1"/>
  <c r="O11" i="7" s="1"/>
  <c r="M34" i="1"/>
  <c r="O10" i="7" s="1" a="1"/>
  <c r="O10" i="7" s="1"/>
  <c r="M30" i="1"/>
  <c r="O9" i="7" s="1" a="1"/>
  <c r="O9" i="7" s="1"/>
  <c r="M26" i="1"/>
  <c r="O8" i="7" s="1" a="1"/>
  <c r="O8" i="7" s="1"/>
  <c r="M22" i="1"/>
  <c r="O7" i="7" s="1" a="1"/>
  <c r="O7" i="7" s="1"/>
  <c r="M18" i="1"/>
  <c r="O6" i="7" s="1" a="1"/>
  <c r="O6" i="7" s="1"/>
  <c r="M14" i="1"/>
  <c r="O5" i="7" s="1" a="1"/>
  <c r="O5" i="7" s="1"/>
  <c r="M10" i="1"/>
  <c r="O4" i="7" s="1" a="1"/>
  <c r="O4" i="7" s="1"/>
  <c r="M6" i="1"/>
  <c r="O3" i="7" s="1" a="1"/>
  <c r="O3" i="7" s="1"/>
  <c r="M2" i="1"/>
  <c r="O2" i="7" s="1" a="1"/>
  <c r="O2" i="7" s="1"/>
  <c r="M173" i="1"/>
  <c r="L56" i="7" s="1"/>
  <c r="M169" i="1"/>
  <c r="L52" i="7" s="1"/>
  <c r="M165" i="1"/>
  <c r="L48" i="7" s="1"/>
  <c r="M145" i="1"/>
  <c r="R37" i="7" s="1" a="1"/>
  <c r="R37" i="7" s="1"/>
  <c r="M141" i="1"/>
  <c r="R36" i="7" s="1" a="1"/>
  <c r="R36" i="7" s="1"/>
  <c r="M137" i="1"/>
  <c r="R35" i="7" s="1" a="1"/>
  <c r="R35" i="7" s="1"/>
  <c r="M121" i="1"/>
  <c r="R31" i="7" s="1" a="1"/>
  <c r="R31" i="7" s="1"/>
  <c r="M117" i="1"/>
  <c r="R30" i="7" s="1" a="1"/>
  <c r="R30" i="7" s="1"/>
  <c r="M113" i="1"/>
  <c r="R29" i="7" s="1" a="1"/>
  <c r="R29" i="7" s="1"/>
  <c r="M133" i="1"/>
  <c r="R34" i="7" s="1" a="1"/>
  <c r="R34" i="7" s="1"/>
  <c r="M129" i="1"/>
  <c r="R33" i="7" s="1" a="1"/>
  <c r="R33" i="7" s="1"/>
  <c r="M125" i="1"/>
  <c r="R32" i="7" s="1" a="1"/>
  <c r="R32" i="7" s="1"/>
  <c r="M109" i="1"/>
  <c r="R28" i="7" s="1" a="1"/>
  <c r="R28" i="7" s="1"/>
  <c r="M105" i="1"/>
  <c r="R27" i="7" s="1" a="1"/>
  <c r="R27" i="7" s="1"/>
  <c r="M101" i="1"/>
  <c r="R26" i="7" s="1" a="1"/>
  <c r="R26" i="7" s="1"/>
  <c r="M161" i="1"/>
  <c r="R41" i="7" s="1" a="1"/>
  <c r="R41" i="7" s="1"/>
  <c r="M157" i="1"/>
  <c r="R40" i="7" s="1" a="1"/>
  <c r="R40" i="7" s="1"/>
  <c r="M153" i="1"/>
  <c r="R39" i="7" s="1" a="1"/>
  <c r="R39" i="7" s="1"/>
  <c r="M149" i="1"/>
  <c r="R38" i="7" s="1" a="1"/>
  <c r="R38" i="7" s="1"/>
  <c r="M97" i="1"/>
  <c r="R25" i="7" s="1" a="1"/>
  <c r="R25" i="7" s="1"/>
  <c r="M93" i="1"/>
  <c r="R24" i="7" s="1" a="1"/>
  <c r="R24" i="7" s="1"/>
  <c r="M89" i="1"/>
  <c r="R23" i="7" s="1" a="1"/>
  <c r="R23" i="7" s="1"/>
  <c r="M85" i="1"/>
  <c r="R22" i="7" s="1" a="1"/>
  <c r="R22" i="7" s="1"/>
  <c r="M81" i="1"/>
  <c r="R21" i="7" s="1" a="1"/>
  <c r="R21" i="7" s="1"/>
  <c r="M77" i="1"/>
  <c r="R20" i="7" s="1" a="1"/>
  <c r="R20" i="7" s="1"/>
  <c r="M73" i="1"/>
  <c r="R19" i="7" s="1" a="1"/>
  <c r="R19" i="7" s="1"/>
  <c r="M69" i="1"/>
  <c r="R18" i="7" s="1" a="1"/>
  <c r="R18" i="7" s="1"/>
  <c r="M65" i="1"/>
  <c r="R17" i="7" s="1" a="1"/>
  <c r="R17" i="7" s="1"/>
  <c r="M61" i="1"/>
  <c r="R16" i="7" s="1" a="1"/>
  <c r="R16" i="7" s="1"/>
  <c r="M57" i="1"/>
  <c r="R15" i="7" s="1" a="1"/>
  <c r="R15" i="7" s="1"/>
  <c r="M53" i="1"/>
  <c r="R14" i="7" s="1" a="1"/>
  <c r="R14" i="7" s="1"/>
  <c r="M49" i="1"/>
  <c r="R13" i="7" s="1" a="1"/>
  <c r="R13" i="7" s="1"/>
  <c r="M45" i="1"/>
  <c r="R12" i="7" s="1" a="1"/>
  <c r="R12" i="7" s="1"/>
  <c r="M41" i="1"/>
  <c r="R11" i="7" s="1" a="1"/>
  <c r="R11" i="7" s="1"/>
  <c r="M37" i="1"/>
  <c r="R10" i="7" s="1" a="1"/>
  <c r="R10" i="7" s="1"/>
  <c r="M33" i="1"/>
  <c r="R9" i="7" s="1" a="1"/>
  <c r="R9" i="7" s="1"/>
  <c r="M29" i="1"/>
  <c r="R8" i="7" s="1" a="1"/>
  <c r="R8" i="7" s="1"/>
  <c r="M25" i="1"/>
  <c r="R7" i="7" s="1" a="1"/>
  <c r="R7" i="7" s="1"/>
  <c r="M21" i="1"/>
  <c r="R6" i="7" s="1" a="1"/>
  <c r="R6" i="7" s="1"/>
  <c r="M17" i="1"/>
  <c r="R5" i="7" s="1" a="1"/>
  <c r="R5" i="7" s="1"/>
  <c r="M13" i="1"/>
  <c r="R4" i="7" s="1" a="1"/>
  <c r="R4" i="7" s="1"/>
  <c r="M9" i="1"/>
  <c r="R3" i="7" s="1" a="1"/>
  <c r="R3" i="7" s="1"/>
  <c r="M5" i="1"/>
  <c r="R2" i="7" s="1" a="1"/>
  <c r="R2" i="7" s="1"/>
  <c r="M172" i="1"/>
  <c r="L55" i="7" s="1"/>
  <c r="M168" i="1"/>
  <c r="L51" i="7" s="1"/>
  <c r="M164" i="1"/>
  <c r="L47" i="7" s="1"/>
  <c r="M144" i="1"/>
  <c r="Q37" i="7" s="1" a="1"/>
  <c r="Q37" i="7" s="1"/>
  <c r="M140" i="1"/>
  <c r="Q36" i="7" s="1" a="1"/>
  <c r="Q36" i="7" s="1"/>
  <c r="M136" i="1"/>
  <c r="Q35" i="7" s="1" a="1"/>
  <c r="Q35" i="7" s="1"/>
  <c r="M120" i="1"/>
  <c r="Q31" i="7" s="1" a="1"/>
  <c r="Q31" i="7" s="1"/>
  <c r="M116" i="1"/>
  <c r="Q30" i="7" s="1" a="1"/>
  <c r="Q30" i="7" s="1"/>
  <c r="M112" i="1"/>
  <c r="Q29" i="7" s="1" a="1"/>
  <c r="Q29" i="7" s="1"/>
  <c r="M132" i="1"/>
  <c r="Q34" i="7" s="1" a="1"/>
  <c r="Q34" i="7" s="1"/>
  <c r="M128" i="1"/>
  <c r="Q33" i="7" s="1" a="1"/>
  <c r="Q33" i="7" s="1"/>
  <c r="M124" i="1"/>
  <c r="Q32" i="7" s="1" a="1"/>
  <c r="Q32" i="7" s="1"/>
  <c r="M108" i="1"/>
  <c r="Q28" i="7" s="1" a="1"/>
  <c r="Q28" i="7" s="1"/>
  <c r="M104" i="1"/>
  <c r="Q27" i="7" s="1" a="1"/>
  <c r="Q27" i="7" s="1"/>
  <c r="M100" i="1"/>
  <c r="Q26" i="7" s="1" a="1"/>
  <c r="Q26" i="7" s="1"/>
  <c r="M160" i="1"/>
  <c r="Q41" i="7" s="1" a="1"/>
  <c r="Q41" i="7" s="1"/>
  <c r="M156" i="1"/>
  <c r="Q40" i="7" s="1" a="1"/>
  <c r="Q40" i="7" s="1"/>
  <c r="M152" i="1"/>
  <c r="Q39" i="7" s="1" a="1"/>
  <c r="Q39" i="7" s="1"/>
  <c r="M148" i="1"/>
  <c r="Q38" i="7" s="1" a="1"/>
  <c r="Q38" i="7" s="1"/>
  <c r="M96" i="1"/>
  <c r="Q25" i="7" s="1" a="1"/>
  <c r="Q25" i="7" s="1"/>
  <c r="M92" i="1"/>
  <c r="Q24" i="7" s="1" a="1"/>
  <c r="Q24" i="7" s="1"/>
  <c r="M88" i="1"/>
  <c r="Q23" i="7" s="1" a="1"/>
  <c r="Q23" i="7" s="1"/>
  <c r="M84" i="1"/>
  <c r="Q22" i="7" s="1" a="1"/>
  <c r="Q22" i="7" s="1"/>
  <c r="M80" i="1"/>
  <c r="Q21" i="7" s="1" a="1"/>
  <c r="Q21" i="7" s="1"/>
  <c r="M76" i="1"/>
  <c r="Q20" i="7" s="1" a="1"/>
  <c r="Q20" i="7" s="1"/>
  <c r="M72" i="1"/>
  <c r="Q19" i="7" s="1" a="1"/>
  <c r="Q19" i="7" s="1"/>
  <c r="M68" i="1"/>
  <c r="Q18" i="7" s="1" a="1"/>
  <c r="Q18" i="7" s="1"/>
  <c r="M64" i="1"/>
  <c r="Q17" i="7" s="1" a="1"/>
  <c r="Q17" i="7" s="1"/>
  <c r="M60" i="1"/>
  <c r="Q16" i="7" s="1" a="1"/>
  <c r="Q16" i="7" s="1"/>
  <c r="M56" i="1"/>
  <c r="Q15" i="7" s="1" a="1"/>
  <c r="Q15" i="7" s="1"/>
  <c r="M52" i="1"/>
  <c r="Q14" i="7" s="1" a="1"/>
  <c r="Q14" i="7" s="1"/>
  <c r="M48" i="1"/>
  <c r="Q13" i="7" s="1" a="1"/>
  <c r="Q13" i="7" s="1"/>
  <c r="M44" i="1"/>
  <c r="Q12" i="7" s="1" a="1"/>
  <c r="Q12" i="7" s="1"/>
  <c r="M40" i="1"/>
  <c r="Q11" i="7" s="1" a="1"/>
  <c r="Q11" i="7" s="1"/>
  <c r="M36" i="1"/>
  <c r="Q10" i="7" s="1" a="1"/>
  <c r="Q10" i="7" s="1"/>
  <c r="M32" i="1"/>
  <c r="Q9" i="7" s="1" a="1"/>
  <c r="Q9" i="7" s="1"/>
  <c r="M28" i="1"/>
  <c r="Q8" i="7" s="1" a="1"/>
  <c r="Q8" i="7" s="1"/>
  <c r="M24" i="1"/>
  <c r="Q7" i="7" s="1" a="1"/>
  <c r="Q7" i="7" s="1"/>
  <c r="M20" i="1"/>
  <c r="Q6" i="7" s="1" a="1"/>
  <c r="Q6" i="7" s="1"/>
  <c r="M16" i="1"/>
  <c r="Q5" i="7" s="1" a="1"/>
  <c r="Q5" i="7" s="1"/>
  <c r="M12" i="1"/>
  <c r="Q4" i="7" s="1" a="1"/>
  <c r="Q4" i="7" s="1"/>
  <c r="M8" i="1"/>
  <c r="Q3" i="7" s="1" a="1"/>
  <c r="Q3" i="7" s="1"/>
  <c r="M4" i="1"/>
  <c r="Q2" i="7" s="1" a="1"/>
  <c r="Q2" i="7" s="1"/>
  <c r="M171" i="1"/>
  <c r="L54" i="7" s="1"/>
  <c r="M167" i="1"/>
  <c r="L50" i="7" s="1"/>
  <c r="M163" i="1"/>
  <c r="L46" i="7" s="1"/>
  <c r="M143" i="1"/>
  <c r="P37" i="7" s="1" a="1"/>
  <c r="P37" i="7" s="1"/>
  <c r="M139" i="1"/>
  <c r="P36" i="7" s="1" a="1"/>
  <c r="P36" i="7" s="1"/>
  <c r="M135" i="1"/>
  <c r="P35" i="7" s="1" a="1"/>
  <c r="P35" i="7" s="1"/>
  <c r="M119" i="1"/>
  <c r="P31" i="7" s="1" a="1"/>
  <c r="P31" i="7" s="1"/>
  <c r="M115" i="1"/>
  <c r="P30" i="7" s="1" a="1"/>
  <c r="P30" i="7" s="1"/>
  <c r="M111" i="1"/>
  <c r="P29" i="7" s="1" a="1"/>
  <c r="P29" i="7" s="1"/>
  <c r="M131" i="1"/>
  <c r="P34" i="7" s="1" a="1"/>
  <c r="P34" i="7" s="1"/>
  <c r="M127" i="1"/>
  <c r="P33" i="7" s="1" a="1"/>
  <c r="P33" i="7" s="1"/>
  <c r="M123" i="1"/>
  <c r="P32" i="7" s="1" a="1"/>
  <c r="P32" i="7" s="1"/>
  <c r="M107" i="1"/>
  <c r="P28" i="7" s="1" a="1"/>
  <c r="P28" i="7" s="1"/>
  <c r="M103" i="1"/>
  <c r="P27" i="7" s="1" a="1"/>
  <c r="P27" i="7" s="1"/>
  <c r="M99" i="1"/>
  <c r="P26" i="7" s="1" a="1"/>
  <c r="P26" i="7" s="1"/>
  <c r="M159" i="1"/>
  <c r="P41" i="7" s="1" a="1"/>
  <c r="P41" i="7" s="1"/>
  <c r="M155" i="1"/>
  <c r="P40" i="7" s="1" a="1"/>
  <c r="P40" i="7" s="1"/>
  <c r="M151" i="1"/>
  <c r="P39" i="7" s="1" a="1"/>
  <c r="P39" i="7" s="1"/>
  <c r="M147" i="1"/>
  <c r="P38" i="7" s="1" a="1"/>
  <c r="P38" i="7" s="1"/>
  <c r="M95" i="1"/>
  <c r="P25" i="7" s="1" a="1"/>
  <c r="P25" i="7" s="1"/>
  <c r="M91" i="1"/>
  <c r="P24" i="7" s="1" a="1"/>
  <c r="P24" i="7" s="1"/>
  <c r="M87" i="1"/>
  <c r="P23" i="7" s="1" a="1"/>
  <c r="P23" i="7" s="1"/>
  <c r="M83" i="1"/>
  <c r="P22" i="7" s="1" a="1"/>
  <c r="P22" i="7" s="1"/>
  <c r="M79" i="1"/>
  <c r="P21" i="7" s="1" a="1"/>
  <c r="P21" i="7" s="1"/>
  <c r="M75" i="1"/>
  <c r="P20" i="7" s="1" a="1"/>
  <c r="P20" i="7" s="1"/>
  <c r="M71" i="1"/>
  <c r="P19" i="7" s="1" a="1"/>
  <c r="P19" i="7" s="1"/>
  <c r="M67" i="1"/>
  <c r="P18" i="7" s="1" a="1"/>
  <c r="P18" i="7" s="1"/>
  <c r="M63" i="1"/>
  <c r="P17" i="7" s="1" a="1"/>
  <c r="P17" i="7" s="1"/>
  <c r="M59" i="1"/>
  <c r="P16" i="7" s="1" a="1"/>
  <c r="P16" i="7" s="1"/>
  <c r="M55" i="1"/>
  <c r="P15" i="7" s="1" a="1"/>
  <c r="P15" i="7" s="1"/>
  <c r="M51" i="1"/>
  <c r="P14" i="7" s="1" a="1"/>
  <c r="P14" i="7" s="1"/>
  <c r="M47" i="1"/>
  <c r="P13" i="7" s="1" a="1"/>
  <c r="P13" i="7" s="1"/>
  <c r="M43" i="1"/>
  <c r="P12" i="7" s="1" a="1"/>
  <c r="P12" i="7" s="1"/>
  <c r="M39" i="1"/>
  <c r="P11" i="7" s="1" a="1"/>
  <c r="P11" i="7" s="1"/>
  <c r="M35" i="1"/>
  <c r="P10" i="7" s="1" a="1"/>
  <c r="P10" i="7" s="1"/>
  <c r="M31" i="1"/>
  <c r="P9" i="7" s="1" a="1"/>
  <c r="P9" i="7" s="1"/>
  <c r="M27" i="1"/>
  <c r="P8" i="7" s="1" a="1"/>
  <c r="P8" i="7" s="1"/>
  <c r="M23" i="1"/>
  <c r="P7" i="7" s="1" a="1"/>
  <c r="P7" i="7" s="1"/>
  <c r="M19" i="1"/>
  <c r="P6" i="7" s="1" a="1"/>
  <c r="P6" i="7" s="1"/>
  <c r="M15" i="1"/>
  <c r="P5" i="7" s="1" a="1"/>
  <c r="P5" i="7" s="1"/>
  <c r="M11" i="1"/>
  <c r="P4" i="7" s="1" a="1"/>
  <c r="P4" i="7" s="1"/>
  <c r="M7" i="1"/>
  <c r="P3" i="7" s="1" a="1"/>
  <c r="P3" i="7" s="1"/>
  <c r="Z41" i="13"/>
  <c r="Z37" i="13"/>
  <c r="Z33" i="13"/>
  <c r="Z29" i="13"/>
  <c r="Z25" i="13"/>
  <c r="Z21" i="13"/>
  <c r="Z17" i="13"/>
  <c r="Z13" i="13"/>
  <c r="Z9" i="13"/>
  <c r="Z5" i="13"/>
  <c r="M59" i="13"/>
  <c r="M55" i="13"/>
  <c r="M51" i="13"/>
  <c r="M47" i="13"/>
  <c r="Z40" i="13"/>
  <c r="Z36" i="13"/>
  <c r="Z32" i="13"/>
  <c r="Z28" i="13"/>
  <c r="Z24" i="13"/>
  <c r="Z20" i="13"/>
  <c r="Z16" i="13"/>
  <c r="Z12" i="13"/>
  <c r="Z8" i="13"/>
  <c r="Z4" i="13"/>
  <c r="M58" i="13"/>
  <c r="M54" i="13"/>
  <c r="M50" i="13"/>
  <c r="M46" i="13"/>
  <c r="Z39" i="13"/>
  <c r="Z35" i="13"/>
  <c r="Z31" i="13"/>
  <c r="Z27" i="13"/>
  <c r="Z23" i="13"/>
  <c r="Z19" i="13"/>
  <c r="Z15" i="13"/>
  <c r="Z11" i="13"/>
  <c r="Z7" i="13"/>
  <c r="Z3" i="13"/>
  <c r="M57" i="13"/>
  <c r="M53" i="13"/>
  <c r="M49" i="13"/>
  <c r="Q18" i="13"/>
  <c r="X18" i="13"/>
  <c r="Y18" i="13" s="1"/>
  <c r="L55" i="13" s="1"/>
  <c r="X25" i="13"/>
  <c r="X17" i="13"/>
  <c r="X13" i="13"/>
  <c r="X5" i="13"/>
  <c r="W25" i="13"/>
  <c r="W17" i="13"/>
  <c r="W13" i="13"/>
  <c r="W5" i="13"/>
  <c r="R18" i="13"/>
  <c r="R25" i="13"/>
  <c r="R17" i="13"/>
  <c r="R13" i="13"/>
  <c r="R5" i="13"/>
  <c r="P18" i="13"/>
  <c r="P25" i="13"/>
  <c r="P17" i="13"/>
  <c r="P13" i="13"/>
  <c r="P5" i="13"/>
  <c r="O18" i="13"/>
  <c r="O25" i="13"/>
  <c r="O17" i="13"/>
  <c r="O13" i="13"/>
  <c r="O5" i="13"/>
  <c r="C55" i="13"/>
  <c r="C56" i="13"/>
  <c r="D55" i="13"/>
  <c r="D56" i="13"/>
  <c r="E47" i="13"/>
  <c r="E48" i="13"/>
  <c r="N13" i="13"/>
  <c r="J48" i="7"/>
  <c r="B47" i="4" s="1"/>
  <c r="F8" i="14" a="1"/>
  <c r="F8" i="14" s="1"/>
  <c r="C8" i="14" s="1"/>
  <c r="B14" i="5"/>
  <c r="J37" i="13"/>
  <c r="J29" i="13"/>
  <c r="J16" i="13"/>
  <c r="J35" i="13"/>
  <c r="I41" i="13"/>
  <c r="I33" i="13"/>
  <c r="I9" i="13"/>
  <c r="I4" i="13"/>
  <c r="I15" i="13"/>
  <c r="H9" i="13"/>
  <c r="H36" i="13"/>
  <c r="H28" i="13"/>
  <c r="H20" i="13"/>
  <c r="H15" i="13"/>
  <c r="C6" i="13"/>
  <c r="C21" i="13"/>
  <c r="J50" i="7"/>
  <c r="B49" i="4" s="1"/>
  <c r="J49" i="7"/>
  <c r="B48" i="4" s="1"/>
  <c r="J54" i="7"/>
  <c r="B53" i="4" s="1"/>
  <c r="J46" i="7"/>
  <c r="B45" i="4" s="1"/>
  <c r="J45" i="7"/>
  <c r="J53" i="7"/>
  <c r="J56" i="7"/>
  <c r="E33" i="5"/>
  <c r="E32" i="5"/>
  <c r="E31" i="5"/>
  <c r="B5" i="5"/>
  <c r="B15" i="5"/>
  <c r="K29" i="11"/>
  <c r="K13" i="11"/>
  <c r="B32" i="5"/>
  <c r="K4" i="11"/>
  <c r="B26" i="5"/>
  <c r="C26" i="5"/>
  <c r="B30" i="5"/>
  <c r="K35" i="11"/>
  <c r="K27" i="11"/>
  <c r="K19" i="11"/>
  <c r="K15" i="11"/>
  <c r="K11" i="11"/>
  <c r="K7" i="11"/>
  <c r="K3" i="11"/>
  <c r="B28" i="5"/>
  <c r="J45" i="4"/>
  <c r="C13" i="11"/>
  <c r="M13" i="11" s="1"/>
  <c r="C9" i="11"/>
  <c r="M9" i="11" s="1"/>
  <c r="C5" i="11"/>
  <c r="M5" i="11" s="1"/>
  <c r="F5" i="11"/>
  <c r="J20" i="11"/>
  <c r="H16" i="11"/>
  <c r="N16" i="11" s="1"/>
  <c r="H12" i="11"/>
  <c r="N12" i="11" s="1"/>
  <c r="H8" i="11"/>
  <c r="N8" i="11" s="1"/>
  <c r="H4" i="11"/>
  <c r="N4" i="11" s="1"/>
  <c r="I40" i="11"/>
  <c r="I32" i="11"/>
  <c r="I24" i="11"/>
  <c r="I16" i="11"/>
  <c r="I12" i="11"/>
  <c r="I8" i="11"/>
  <c r="I4" i="11"/>
  <c r="C36" i="11"/>
  <c r="M36" i="11" s="1"/>
  <c r="C20" i="11"/>
  <c r="M20" i="11" s="1"/>
  <c r="F28" i="11"/>
  <c r="F12" i="11"/>
  <c r="H41" i="11"/>
  <c r="N41" i="11" s="1"/>
  <c r="H33" i="11"/>
  <c r="N33" i="11" s="1"/>
  <c r="H25" i="11"/>
  <c r="N25" i="11" s="1"/>
  <c r="H17" i="11"/>
  <c r="N17" i="11" s="1"/>
  <c r="I17" i="11"/>
  <c r="K44" i="11"/>
  <c r="J51" i="7"/>
  <c r="B50" i="4" s="1"/>
  <c r="C47" i="11"/>
  <c r="M47" i="11" s="1"/>
  <c r="C50" i="11"/>
  <c r="M50" i="11" s="1"/>
  <c r="C53" i="11"/>
  <c r="M53" i="11" s="1"/>
  <c r="C44" i="11"/>
  <c r="M44" i="11" s="1"/>
  <c r="J54" i="4"/>
  <c r="E54" i="4"/>
  <c r="J50" i="4"/>
  <c r="B33" i="5"/>
  <c r="B29" i="5"/>
  <c r="B31" i="5"/>
  <c r="B27" i="5"/>
  <c r="C27" i="5"/>
  <c r="D44" i="4"/>
  <c r="E52" i="4"/>
  <c r="E48" i="4"/>
  <c r="E44" i="4"/>
  <c r="J44" i="4"/>
  <c r="J52" i="7"/>
  <c r="J55" i="4"/>
  <c r="J47" i="4"/>
  <c r="B6" i="7"/>
  <c r="B7" i="7"/>
  <c r="D53" i="4"/>
  <c r="B11" i="7"/>
  <c r="B3" i="7"/>
  <c r="D3" i="4" s="1"/>
  <c r="D4" i="13" s="1"/>
  <c r="D54" i="4"/>
  <c r="D52" i="4"/>
  <c r="B10" i="7"/>
  <c r="B2" i="7"/>
  <c r="B9" i="7"/>
  <c r="B5" i="7"/>
  <c r="D55" i="4"/>
  <c r="B12" i="7"/>
  <c r="B8" i="7"/>
  <c r="B4" i="7"/>
  <c r="F16" i="4"/>
  <c r="F17" i="13" s="1"/>
  <c r="N17" i="13" s="1"/>
  <c r="F36" i="4"/>
  <c r="F37" i="13" s="1"/>
  <c r="F8" i="4"/>
  <c r="C28" i="4"/>
  <c r="C29" i="13" s="1"/>
  <c r="F20" i="4"/>
  <c r="E39" i="4"/>
  <c r="E40" i="13" s="1"/>
  <c r="D27" i="4"/>
  <c r="D28" i="13" s="1"/>
  <c r="D15" i="4"/>
  <c r="D16" i="13" s="1"/>
  <c r="D35" i="4"/>
  <c r="D36" i="13" s="1"/>
  <c r="C15" i="4"/>
  <c r="C16" i="13" s="1"/>
  <c r="F14" i="4"/>
  <c r="I47" i="4"/>
  <c r="H47" i="4"/>
  <c r="D29" i="4"/>
  <c r="D30" i="13" s="1"/>
  <c r="D13" i="4"/>
  <c r="D14" i="13" s="1"/>
  <c r="D51" i="4"/>
  <c r="K51" i="4"/>
  <c r="D47" i="4"/>
  <c r="I51" i="4"/>
  <c r="K47" i="4"/>
  <c r="J51" i="4"/>
  <c r="D50" i="4"/>
  <c r="E50" i="4"/>
  <c r="E46" i="4"/>
  <c r="F50" i="4"/>
  <c r="F46" i="4"/>
  <c r="I54" i="4"/>
  <c r="I50" i="4"/>
  <c r="I46" i="4"/>
  <c r="J46" i="4"/>
  <c r="K50" i="4"/>
  <c r="K46" i="4"/>
  <c r="C49" i="4"/>
  <c r="D49" i="4"/>
  <c r="D45" i="4"/>
  <c r="E49" i="4"/>
  <c r="F53" i="4"/>
  <c r="F45" i="4"/>
  <c r="H49" i="4"/>
  <c r="H45" i="4"/>
  <c r="I49" i="4"/>
  <c r="I45" i="4"/>
  <c r="J53" i="4"/>
  <c r="J49" i="4"/>
  <c r="K53" i="4"/>
  <c r="K49" i="4"/>
  <c r="K45" i="4"/>
  <c r="G44" i="4" a="1"/>
  <c r="G44" i="4" s="1"/>
  <c r="D48" i="4"/>
  <c r="H48" i="4"/>
  <c r="I48" i="4"/>
  <c r="J52" i="4"/>
  <c r="J48" i="4"/>
  <c r="K48" i="4"/>
  <c r="G47" i="4" a="1"/>
  <c r="G47" i="4" s="1"/>
  <c r="K12" i="4"/>
  <c r="K13" i="13" s="1"/>
  <c r="K16" i="4"/>
  <c r="K17" i="13" s="1"/>
  <c r="K24" i="4"/>
  <c r="K25" i="13" s="1"/>
  <c r="J27" i="4"/>
  <c r="J28" i="13" s="1"/>
  <c r="J23" i="4"/>
  <c r="J24" i="13" s="1"/>
  <c r="J19" i="4"/>
  <c r="J20" i="13" s="1"/>
  <c r="H15" i="4"/>
  <c r="H16" i="13" s="1"/>
  <c r="H7" i="4"/>
  <c r="H3" i="4"/>
  <c r="I28" i="4"/>
  <c r="I29" i="13" s="1"/>
  <c r="I20" i="4"/>
  <c r="K33" i="4"/>
  <c r="K34" i="13" s="1"/>
  <c r="K31" i="4"/>
  <c r="K32" i="13" s="1"/>
  <c r="K30" i="4"/>
  <c r="K31" i="13" s="1"/>
  <c r="I41" i="4"/>
  <c r="I42" i="13" s="1"/>
  <c r="I37" i="4"/>
  <c r="I38" i="13" s="1"/>
  <c r="I36" i="4"/>
  <c r="I37" i="13" s="1"/>
  <c r="E34" i="4"/>
  <c r="E35" i="13" s="1"/>
  <c r="C14" i="4"/>
  <c r="H26" i="4"/>
  <c r="I15" i="4"/>
  <c r="I16" i="13" s="1"/>
  <c r="H30" i="4"/>
  <c r="H31" i="13" s="1"/>
  <c r="K40" i="4"/>
  <c r="C41" i="4"/>
  <c r="C42" i="13" s="1"/>
  <c r="C33" i="4"/>
  <c r="C34" i="13" s="1"/>
  <c r="C25" i="4"/>
  <c r="C26" i="13" s="1"/>
  <c r="C21" i="4"/>
  <c r="C22" i="13" s="1"/>
  <c r="F37" i="4"/>
  <c r="F33" i="4"/>
  <c r="F34" i="13" s="1"/>
  <c r="N34" i="13" s="1"/>
  <c r="F29" i="4"/>
  <c r="F30" i="13" s="1"/>
  <c r="F25" i="4"/>
  <c r="F26" i="13" s="1"/>
  <c r="N26" i="13" s="1"/>
  <c r="F21" i="4"/>
  <c r="F22" i="13" s="1"/>
  <c r="F17" i="4"/>
  <c r="F18" i="13" s="1"/>
  <c r="F13" i="4"/>
  <c r="F14" i="13" s="1"/>
  <c r="G55" i="4" a="1"/>
  <c r="G55" i="4" s="1"/>
  <c r="G48" i="4" a="1"/>
  <c r="G48" i="4" s="1"/>
  <c r="D26" i="4"/>
  <c r="D27" i="13" s="1"/>
  <c r="D23" i="4"/>
  <c r="D24" i="13" s="1"/>
  <c r="D22" i="4"/>
  <c r="D23" i="13" s="1"/>
  <c r="D14" i="4"/>
  <c r="D15" i="13" s="1"/>
  <c r="K14" i="4"/>
  <c r="K15" i="13" s="1"/>
  <c r="K18" i="4"/>
  <c r="K19" i="13" s="1"/>
  <c r="K22" i="4"/>
  <c r="K23" i="13" s="1"/>
  <c r="K26" i="4"/>
  <c r="K27" i="13" s="1"/>
  <c r="H29" i="4"/>
  <c r="H30" i="13" s="1"/>
  <c r="H21" i="4"/>
  <c r="H22" i="13" s="1"/>
  <c r="H13" i="4"/>
  <c r="J33" i="4"/>
  <c r="J34" i="13" s="1"/>
  <c r="J32" i="4"/>
  <c r="J33" i="13" s="1"/>
  <c r="J31" i="4"/>
  <c r="J32" i="13" s="1"/>
  <c r="J30" i="4"/>
  <c r="J31" i="13" s="1"/>
  <c r="H38" i="4"/>
  <c r="H37" i="4"/>
  <c r="H36" i="4"/>
  <c r="H37" i="13" s="1"/>
  <c r="H34" i="4"/>
  <c r="H35" i="13" s="1"/>
  <c r="C40" i="4"/>
  <c r="C32" i="4"/>
  <c r="C24" i="4"/>
  <c r="C25" i="13" s="1"/>
  <c r="C16" i="4"/>
  <c r="C17" i="13" s="1"/>
  <c r="C12" i="4"/>
  <c r="C13" i="13" s="1"/>
  <c r="C8" i="4"/>
  <c r="C4" i="4"/>
  <c r="C5" i="13" s="1"/>
  <c r="F40" i="4"/>
  <c r="F32" i="4"/>
  <c r="F24" i="4"/>
  <c r="F25" i="13" s="1"/>
  <c r="G54" i="4" a="1"/>
  <c r="G54" i="4" s="1"/>
  <c r="K8" i="4"/>
  <c r="K9" i="13" s="1"/>
  <c r="K20" i="4"/>
  <c r="K21" i="13" s="1"/>
  <c r="K28" i="4"/>
  <c r="K29" i="13" s="1"/>
  <c r="H23" i="4"/>
  <c r="H24" i="13" s="1"/>
  <c r="H11" i="4"/>
  <c r="K32" i="4"/>
  <c r="K33" i="13" s="1"/>
  <c r="I38" i="4"/>
  <c r="E41" i="4"/>
  <c r="E42" i="13" s="1"/>
  <c r="E38" i="4"/>
  <c r="E39" i="13" s="1"/>
  <c r="J14" i="4"/>
  <c r="J15" i="13" s="1"/>
  <c r="H22" i="4"/>
  <c r="H23" i="13" s="1"/>
  <c r="H18" i="4"/>
  <c r="H19" i="13" s="1"/>
  <c r="H31" i="4"/>
  <c r="H32" i="13" s="1"/>
  <c r="K41" i="4"/>
  <c r="K39" i="4"/>
  <c r="K38" i="4"/>
  <c r="K34" i="4"/>
  <c r="K35" i="13" s="1"/>
  <c r="C37" i="4"/>
  <c r="C38" i="13" s="1"/>
  <c r="C29" i="4"/>
  <c r="C30" i="13" s="1"/>
  <c r="C17" i="4"/>
  <c r="C18" i="13" s="1"/>
  <c r="F41" i="4"/>
  <c r="F42" i="13" s="1"/>
  <c r="F9" i="4"/>
  <c r="F10" i="13" s="1"/>
  <c r="G51" i="4" a="1"/>
  <c r="G51" i="4" s="1"/>
  <c r="D28" i="4"/>
  <c r="D29" i="13" s="1"/>
  <c r="D25" i="4"/>
  <c r="D26" i="13" s="1"/>
  <c r="D24" i="4"/>
  <c r="D25" i="13" s="1"/>
  <c r="D30" i="4"/>
  <c r="D31" i="13" s="1"/>
  <c r="D31" i="4"/>
  <c r="D32" i="13" s="1"/>
  <c r="D32" i="4"/>
  <c r="D33" i="13" s="1"/>
  <c r="D33" i="4"/>
  <c r="D34" i="13" s="1"/>
  <c r="D34" i="4"/>
  <c r="D35" i="13" s="1"/>
  <c r="K23" i="4"/>
  <c r="K24" i="13" s="1"/>
  <c r="J24" i="4"/>
  <c r="J25" i="13" s="1"/>
  <c r="J16" i="4"/>
  <c r="J17" i="13" s="1"/>
  <c r="J12" i="4"/>
  <c r="J13" i="13" s="1"/>
  <c r="J8" i="4"/>
  <c r="J9" i="13" s="1"/>
  <c r="J4" i="4"/>
  <c r="J5" i="13" s="1"/>
  <c r="H28" i="4"/>
  <c r="H29" i="13" s="1"/>
  <c r="N29" i="13" s="1"/>
  <c r="H24" i="4"/>
  <c r="H25" i="13" s="1"/>
  <c r="N25" i="13" s="1"/>
  <c r="H20" i="4"/>
  <c r="I29" i="4"/>
  <c r="I30" i="13" s="1"/>
  <c r="I25" i="4"/>
  <c r="I26" i="13" s="1"/>
  <c r="I21" i="4"/>
  <c r="I22" i="13" s="1"/>
  <c r="I13" i="4"/>
  <c r="I14" i="13" s="1"/>
  <c r="I9" i="4"/>
  <c r="I10" i="13" s="1"/>
  <c r="I5" i="4"/>
  <c r="I6" i="13" s="1"/>
  <c r="I33" i="4"/>
  <c r="I34" i="13" s="1"/>
  <c r="I31" i="4"/>
  <c r="I32" i="13" s="1"/>
  <c r="E30" i="4"/>
  <c r="E31" i="13" s="1"/>
  <c r="J40" i="4"/>
  <c r="J41" i="13" s="1"/>
  <c r="J39" i="4"/>
  <c r="J40" i="13" s="1"/>
  <c r="J38" i="4"/>
  <c r="J39" i="13" s="1"/>
  <c r="J37" i="4"/>
  <c r="J38" i="13" s="1"/>
  <c r="J35" i="4"/>
  <c r="J36" i="13" s="1"/>
  <c r="C39" i="4"/>
  <c r="C40" i="13" s="1"/>
  <c r="C35" i="4"/>
  <c r="C36" i="13" s="1"/>
  <c r="C31" i="4"/>
  <c r="C32" i="13" s="1"/>
  <c r="C27" i="4"/>
  <c r="C28" i="13" s="1"/>
  <c r="C23" i="4"/>
  <c r="C24" i="13" s="1"/>
  <c r="C19" i="4"/>
  <c r="C20" i="13" s="1"/>
  <c r="F19" i="4"/>
  <c r="F20" i="13" s="1"/>
  <c r="F15" i="4"/>
  <c r="F16" i="13" s="1"/>
  <c r="F11" i="4"/>
  <c r="F12" i="13" s="1"/>
  <c r="G49" i="4" a="1"/>
  <c r="G49" i="4" s="1"/>
  <c r="G52" i="4" a="1"/>
  <c r="G52" i="4" s="1"/>
  <c r="K37" i="4"/>
  <c r="K38" i="13" s="1"/>
  <c r="K25" i="4"/>
  <c r="K26" i="13" s="1"/>
  <c r="K21" i="4"/>
  <c r="K22" i="13" s="1"/>
  <c r="K17" i="4"/>
  <c r="K18" i="13" s="1"/>
  <c r="K9" i="4"/>
  <c r="K10" i="13" s="1"/>
  <c r="K5" i="4"/>
  <c r="K6" i="13" s="1"/>
  <c r="K36" i="4"/>
  <c r="K37" i="13" s="1"/>
  <c r="K10" i="4"/>
  <c r="K11" i="13" s="1"/>
  <c r="K6" i="4"/>
  <c r="K7" i="13" s="1"/>
  <c r="K2" i="4"/>
  <c r="K3" i="13" s="1"/>
  <c r="J41" i="4"/>
  <c r="J42" i="13" s="1"/>
  <c r="J29" i="4"/>
  <c r="J30" i="13" s="1"/>
  <c r="J25" i="4"/>
  <c r="J26" i="13" s="1"/>
  <c r="J21" i="4"/>
  <c r="J22" i="13" s="1"/>
  <c r="J17" i="4"/>
  <c r="J18" i="13" s="1"/>
  <c r="J13" i="4"/>
  <c r="J14" i="13" s="1"/>
  <c r="J9" i="4"/>
  <c r="J10" i="13" s="1"/>
  <c r="J5" i="4"/>
  <c r="J6" i="13" s="1"/>
  <c r="J11" i="4"/>
  <c r="J12" i="13" s="1"/>
  <c r="J7" i="4"/>
  <c r="J8" i="13" s="1"/>
  <c r="J3" i="4"/>
  <c r="J4" i="13" s="1"/>
  <c r="J26" i="4"/>
  <c r="J27" i="13" s="1"/>
  <c r="J22" i="4"/>
  <c r="J23" i="13" s="1"/>
  <c r="J18" i="4"/>
  <c r="J19" i="13" s="1"/>
  <c r="J10" i="4"/>
  <c r="J11" i="13" s="1"/>
  <c r="J6" i="4"/>
  <c r="J7" i="13" s="1"/>
  <c r="J2" i="4"/>
  <c r="I39" i="4"/>
  <c r="I40" i="13" s="1"/>
  <c r="I35" i="4"/>
  <c r="I36" i="13" s="1"/>
  <c r="I27" i="4"/>
  <c r="I28" i="13" s="1"/>
  <c r="I23" i="4"/>
  <c r="I24" i="13" s="1"/>
  <c r="I19" i="4"/>
  <c r="I20" i="13" s="1"/>
  <c r="I11" i="4"/>
  <c r="I12" i="13" s="1"/>
  <c r="I7" i="4"/>
  <c r="I8" i="13" s="1"/>
  <c r="I34" i="4"/>
  <c r="I35" i="13" s="1"/>
  <c r="I30" i="4"/>
  <c r="I31" i="13" s="1"/>
  <c r="I26" i="4"/>
  <c r="I22" i="4"/>
  <c r="I23" i="13" s="1"/>
  <c r="I18" i="4"/>
  <c r="I19" i="13" s="1"/>
  <c r="I10" i="4"/>
  <c r="I11" i="13" s="1"/>
  <c r="I6" i="4"/>
  <c r="I7" i="13" s="1"/>
  <c r="I2" i="4"/>
  <c r="H9" i="4"/>
  <c r="H5" i="4"/>
  <c r="H40" i="4"/>
  <c r="H32" i="4"/>
  <c r="H39" i="4"/>
  <c r="H40" i="13" s="1"/>
  <c r="H10" i="4"/>
  <c r="H6" i="4"/>
  <c r="H2" i="4"/>
  <c r="F4" i="4"/>
  <c r="F5" i="13" s="1"/>
  <c r="N5" i="13" s="1"/>
  <c r="F39" i="4"/>
  <c r="F40" i="13" s="1"/>
  <c r="F35" i="4"/>
  <c r="F36" i="13" s="1"/>
  <c r="F31" i="4"/>
  <c r="F32" i="13" s="1"/>
  <c r="F27" i="4"/>
  <c r="F28" i="13" s="1"/>
  <c r="F23" i="4"/>
  <c r="F24" i="13" s="1"/>
  <c r="F7" i="4"/>
  <c r="F8" i="13" s="1"/>
  <c r="F3" i="4"/>
  <c r="F4" i="13" s="1"/>
  <c r="G12" i="4" a="1"/>
  <c r="G12" i="4" s="1"/>
  <c r="G13" i="13" s="1"/>
  <c r="F38" i="4"/>
  <c r="F34" i="4"/>
  <c r="F35" i="13" s="1"/>
  <c r="F30" i="4"/>
  <c r="F31" i="13" s="1"/>
  <c r="F26" i="4"/>
  <c r="F22" i="4"/>
  <c r="F23" i="13" s="1"/>
  <c r="F18" i="4"/>
  <c r="F19" i="13" s="1"/>
  <c r="F10" i="4"/>
  <c r="F11" i="13" s="1"/>
  <c r="F6" i="4"/>
  <c r="F7" i="13" s="1"/>
  <c r="F2" i="4"/>
  <c r="E40" i="4"/>
  <c r="E41" i="13" s="1"/>
  <c r="D21" i="4"/>
  <c r="D22" i="13" s="1"/>
  <c r="D20" i="4"/>
  <c r="D21" i="13" s="1"/>
  <c r="D16" i="4"/>
  <c r="D17" i="13" s="1"/>
  <c r="C11" i="4"/>
  <c r="C12" i="13" s="1"/>
  <c r="C7" i="4"/>
  <c r="C8" i="13" s="1"/>
  <c r="C3" i="4"/>
  <c r="C4" i="13" s="1"/>
  <c r="C38" i="4"/>
  <c r="C34" i="4"/>
  <c r="C35" i="13" s="1"/>
  <c r="C30" i="4"/>
  <c r="C31" i="13" s="1"/>
  <c r="C26" i="4"/>
  <c r="C22" i="4"/>
  <c r="C23" i="13" s="1"/>
  <c r="C18" i="4"/>
  <c r="C19" i="13" s="1"/>
  <c r="C10" i="4"/>
  <c r="C11" i="13" s="1"/>
  <c r="C6" i="4"/>
  <c r="C7" i="13" s="1"/>
  <c r="C2" i="4"/>
  <c r="O144" i="1"/>
  <c r="O140" i="1"/>
  <c r="O136" i="1"/>
  <c r="O120" i="1"/>
  <c r="O116" i="1"/>
  <c r="O112" i="1"/>
  <c r="O132" i="1"/>
  <c r="O128" i="1"/>
  <c r="O124" i="1"/>
  <c r="O108" i="1"/>
  <c r="O104" i="1"/>
  <c r="O100" i="1"/>
  <c r="O160" i="1"/>
  <c r="O156" i="1"/>
  <c r="O152" i="1"/>
  <c r="O148" i="1"/>
  <c r="O96" i="1"/>
  <c r="O92" i="1"/>
  <c r="O88" i="1"/>
  <c r="O84" i="1"/>
  <c r="O80" i="1"/>
  <c r="O76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3" i="1"/>
  <c r="O139" i="1"/>
  <c r="O135" i="1"/>
  <c r="O119" i="1"/>
  <c r="O115" i="1"/>
  <c r="O111" i="1"/>
  <c r="O131" i="1"/>
  <c r="O127" i="1"/>
  <c r="O123" i="1"/>
  <c r="O107" i="1"/>
  <c r="O103" i="1"/>
  <c r="O99" i="1"/>
  <c r="O159" i="1"/>
  <c r="O155" i="1"/>
  <c r="O151" i="1"/>
  <c r="O147" i="1"/>
  <c r="O95" i="1"/>
  <c r="O91" i="1"/>
  <c r="O87" i="1"/>
  <c r="O83" i="1"/>
  <c r="O79" i="1"/>
  <c r="O75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164" i="1"/>
  <c r="O68" i="1"/>
  <c r="O172" i="1"/>
  <c r="O168" i="1"/>
  <c r="O71" i="1"/>
  <c r="O67" i="1"/>
  <c r="O63" i="1"/>
  <c r="O64" i="1"/>
  <c r="O72" i="1"/>
  <c r="O134" i="1"/>
  <c r="O118" i="1"/>
  <c r="O130" i="1"/>
  <c r="O126" i="1"/>
  <c r="O122" i="1"/>
  <c r="O106" i="1"/>
  <c r="O102" i="1"/>
  <c r="O98" i="1"/>
  <c r="O158" i="1"/>
  <c r="O154" i="1"/>
  <c r="O150" i="1"/>
  <c r="O146" i="1"/>
  <c r="O94" i="1"/>
  <c r="O90" i="1"/>
  <c r="O86" i="1"/>
  <c r="O70" i="1"/>
  <c r="O66" i="1"/>
  <c r="O62" i="1"/>
  <c r="O82" i="1"/>
  <c r="O78" i="1"/>
  <c r="O74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2" i="1"/>
  <c r="O173" i="1"/>
  <c r="O145" i="1"/>
  <c r="O141" i="1"/>
  <c r="O137" i="1"/>
  <c r="O121" i="1"/>
  <c r="O117" i="1"/>
  <c r="O113" i="1"/>
  <c r="O133" i="1"/>
  <c r="O129" i="1"/>
  <c r="O125" i="1"/>
  <c r="O109" i="1"/>
  <c r="O105" i="1"/>
  <c r="O101" i="1"/>
  <c r="O161" i="1"/>
  <c r="O157" i="1"/>
  <c r="O153" i="1"/>
  <c r="O149" i="1"/>
  <c r="O97" i="1"/>
  <c r="O93" i="1"/>
  <c r="O89" i="1"/>
  <c r="O73" i="1"/>
  <c r="O69" i="1"/>
  <c r="O65" i="1"/>
  <c r="O85" i="1"/>
  <c r="O81" i="1"/>
  <c r="O77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167" i="1"/>
  <c r="O165" i="1"/>
  <c r="O163" i="1"/>
  <c r="E2" i="5"/>
  <c r="E55" i="4"/>
  <c r="E51" i="4"/>
  <c r="E47" i="4"/>
  <c r="O170" i="1"/>
  <c r="O166" i="1"/>
  <c r="O162" i="1"/>
  <c r="O142" i="1"/>
  <c r="O138" i="1"/>
  <c r="O114" i="1"/>
  <c r="O110" i="1"/>
  <c r="E53" i="4"/>
  <c r="O171" i="1"/>
  <c r="O169" i="1"/>
  <c r="E9" i="5"/>
  <c r="E5" i="5"/>
  <c r="E10" i="5"/>
  <c r="E13" i="5"/>
  <c r="G5" i="4" a="1"/>
  <c r="G5" i="4" s="1"/>
  <c r="G6" i="13" s="1"/>
  <c r="E3" i="5"/>
  <c r="B46" i="4"/>
  <c r="G28" i="4" a="1"/>
  <c r="G28" i="4" s="1"/>
  <c r="G29" i="13" s="1"/>
  <c r="J41" i="7"/>
  <c r="J37" i="7"/>
  <c r="J33" i="7"/>
  <c r="J29" i="7"/>
  <c r="J25" i="7"/>
  <c r="J21" i="7"/>
  <c r="J17" i="7"/>
  <c r="J13" i="7"/>
  <c r="J9" i="7"/>
  <c r="J5" i="7"/>
  <c r="J40" i="7"/>
  <c r="J36" i="7"/>
  <c r="J32" i="7"/>
  <c r="J28" i="7"/>
  <c r="J24" i="7"/>
  <c r="J20" i="7"/>
  <c r="J16" i="7"/>
  <c r="J12" i="7"/>
  <c r="J8" i="7"/>
  <c r="J4" i="7"/>
  <c r="J39" i="7"/>
  <c r="J35" i="7"/>
  <c r="J31" i="7"/>
  <c r="J27" i="7"/>
  <c r="J23" i="7"/>
  <c r="J19" i="7"/>
  <c r="J15" i="7"/>
  <c r="J11" i="7"/>
  <c r="J7" i="7"/>
  <c r="J3" i="7"/>
  <c r="J38" i="7"/>
  <c r="J34" i="7"/>
  <c r="J30" i="7"/>
  <c r="J26" i="7"/>
  <c r="J22" i="7"/>
  <c r="J18" i="7"/>
  <c r="J14" i="7"/>
  <c r="J10" i="7"/>
  <c r="J6" i="7"/>
  <c r="J2" i="7"/>
  <c r="S36" i="7" l="1"/>
  <c r="S29" i="7"/>
  <c r="S2" i="7"/>
  <c r="S11" i="7"/>
  <c r="S4" i="7"/>
  <c r="S20" i="7"/>
  <c r="S13" i="7"/>
  <c r="S34" i="7"/>
  <c r="S27" i="7"/>
  <c r="S18" i="7"/>
  <c r="S6" i="7"/>
  <c r="S15" i="7"/>
  <c r="S31" i="7"/>
  <c r="S8" i="7"/>
  <c r="S24" i="7"/>
  <c r="S40" i="7"/>
  <c r="S17" i="7"/>
  <c r="S33" i="7"/>
  <c r="S22" i="7"/>
  <c r="S10" i="7"/>
  <c r="S3" i="7"/>
  <c r="S12" i="7"/>
  <c r="S28" i="7"/>
  <c r="S5" i="7"/>
  <c r="S21" i="7"/>
  <c r="S37" i="7"/>
  <c r="S38" i="7"/>
  <c r="S26" i="7"/>
  <c r="S19" i="7"/>
  <c r="S35" i="7"/>
  <c r="S14" i="7"/>
  <c r="S30" i="7"/>
  <c r="S7" i="7"/>
  <c r="S23" i="7"/>
  <c r="S39" i="7"/>
  <c r="S16" i="7"/>
  <c r="S32" i="7"/>
  <c r="S9" i="7"/>
  <c r="S25" i="7"/>
  <c r="S41" i="7"/>
  <c r="X11" i="13"/>
  <c r="Q11" i="13"/>
  <c r="X40" i="13"/>
  <c r="Q40" i="13"/>
  <c r="X42" i="13"/>
  <c r="Q42" i="13"/>
  <c r="X19" i="13"/>
  <c r="Q19" i="13"/>
  <c r="X35" i="13"/>
  <c r="Q35" i="13"/>
  <c r="X24" i="13"/>
  <c r="Q24" i="13"/>
  <c r="X32" i="13"/>
  <c r="Q32" i="13"/>
  <c r="X14" i="13"/>
  <c r="Q14" i="13"/>
  <c r="X29" i="13"/>
  <c r="Q29" i="13"/>
  <c r="X9" i="13"/>
  <c r="Q9" i="13"/>
  <c r="X31" i="13"/>
  <c r="Q31" i="13"/>
  <c r="X10" i="13"/>
  <c r="Q10" i="13"/>
  <c r="X4" i="13"/>
  <c r="Q4" i="13"/>
  <c r="X23" i="13"/>
  <c r="Q23" i="13"/>
  <c r="X8" i="13"/>
  <c r="Q8" i="13"/>
  <c r="X28" i="13"/>
  <c r="Q28" i="13"/>
  <c r="X34" i="13"/>
  <c r="Q34" i="13"/>
  <c r="X22" i="13"/>
  <c r="Q22" i="13"/>
  <c r="X16" i="13"/>
  <c r="Q16" i="13"/>
  <c r="X37" i="13"/>
  <c r="Q37" i="13"/>
  <c r="X33" i="13"/>
  <c r="Q33" i="13"/>
  <c r="X20" i="13"/>
  <c r="Q20" i="13"/>
  <c r="X30" i="13"/>
  <c r="Q30" i="13"/>
  <c r="X7" i="13"/>
  <c r="Q7" i="13"/>
  <c r="X12" i="13"/>
  <c r="Q12" i="13"/>
  <c r="X36" i="13"/>
  <c r="Q36" i="13"/>
  <c r="X6" i="13"/>
  <c r="Q6" i="13"/>
  <c r="X26" i="13"/>
  <c r="Q26" i="13"/>
  <c r="X38" i="13"/>
  <c r="Q38" i="13"/>
  <c r="X15" i="13"/>
  <c r="Q15" i="13"/>
  <c r="X41" i="13"/>
  <c r="Q41" i="13"/>
  <c r="Y13" i="13"/>
  <c r="L52" i="13" s="1"/>
  <c r="Y17" i="13"/>
  <c r="Y25" i="13"/>
  <c r="L60" i="13" s="1"/>
  <c r="Y5" i="13"/>
  <c r="R7" i="13"/>
  <c r="W7" i="13"/>
  <c r="R12" i="13"/>
  <c r="W12" i="13"/>
  <c r="R36" i="13"/>
  <c r="W36" i="13"/>
  <c r="R15" i="13"/>
  <c r="W15" i="13"/>
  <c r="R41" i="13"/>
  <c r="W41" i="13"/>
  <c r="R11" i="13"/>
  <c r="W11" i="13"/>
  <c r="R31" i="13"/>
  <c r="W31" i="13"/>
  <c r="R20" i="13"/>
  <c r="W20" i="13"/>
  <c r="R40" i="13"/>
  <c r="W40" i="13"/>
  <c r="R10" i="13"/>
  <c r="W10" i="13"/>
  <c r="R30" i="13"/>
  <c r="W30" i="13"/>
  <c r="R42" i="13"/>
  <c r="W42" i="13"/>
  <c r="R4" i="13"/>
  <c r="W4" i="13"/>
  <c r="R26" i="13"/>
  <c r="W26" i="13"/>
  <c r="R38" i="13"/>
  <c r="W38" i="13"/>
  <c r="R19" i="13"/>
  <c r="W19" i="13"/>
  <c r="R35" i="13"/>
  <c r="W35" i="13"/>
  <c r="R24" i="13"/>
  <c r="W24" i="13"/>
  <c r="R32" i="13"/>
  <c r="W32" i="13"/>
  <c r="R14" i="13"/>
  <c r="W14" i="13"/>
  <c r="R29" i="13"/>
  <c r="W29" i="13"/>
  <c r="R9" i="13"/>
  <c r="W9" i="13"/>
  <c r="R6" i="13"/>
  <c r="W6" i="13"/>
  <c r="R23" i="13"/>
  <c r="W23" i="13"/>
  <c r="R8" i="13"/>
  <c r="W8" i="13"/>
  <c r="R28" i="13"/>
  <c r="W28" i="13"/>
  <c r="R34" i="13"/>
  <c r="W34" i="13"/>
  <c r="R22" i="13"/>
  <c r="W22" i="13"/>
  <c r="R16" i="13"/>
  <c r="W16" i="13"/>
  <c r="R37" i="13"/>
  <c r="W37" i="13"/>
  <c r="R33" i="13"/>
  <c r="W33" i="13"/>
  <c r="V18" i="13"/>
  <c r="T17" i="13"/>
  <c r="T25" i="13"/>
  <c r="I60" i="13" s="1"/>
  <c r="T5" i="13"/>
  <c r="T18" i="13"/>
  <c r="I55" i="13" s="1"/>
  <c r="T13" i="13"/>
  <c r="I52" i="13" s="1"/>
  <c r="D64" i="13"/>
  <c r="S13" i="13"/>
  <c r="S17" i="13"/>
  <c r="S25" i="13"/>
  <c r="S5" i="13"/>
  <c r="S18" i="13"/>
  <c r="H55" i="13" s="1"/>
  <c r="O12" i="13"/>
  <c r="P12" i="13"/>
  <c r="O26" i="13"/>
  <c r="P26" i="13"/>
  <c r="O38" i="13"/>
  <c r="P38" i="13"/>
  <c r="O15" i="13"/>
  <c r="P15" i="13"/>
  <c r="O11" i="13"/>
  <c r="P11" i="13"/>
  <c r="O31" i="13"/>
  <c r="P31" i="13"/>
  <c r="O20" i="13"/>
  <c r="P20" i="13"/>
  <c r="O40" i="13"/>
  <c r="P40" i="13"/>
  <c r="O10" i="13"/>
  <c r="P10" i="13"/>
  <c r="O30" i="13"/>
  <c r="P30" i="13"/>
  <c r="O42" i="13"/>
  <c r="P42" i="13"/>
  <c r="O4" i="13"/>
  <c r="P4" i="13"/>
  <c r="O36" i="13"/>
  <c r="P36" i="13"/>
  <c r="O6" i="13"/>
  <c r="P6" i="13"/>
  <c r="O41" i="13"/>
  <c r="P41" i="13"/>
  <c r="O19" i="13"/>
  <c r="P19" i="13"/>
  <c r="O35" i="13"/>
  <c r="P35" i="13"/>
  <c r="O24" i="13"/>
  <c r="P24" i="13"/>
  <c r="O32" i="13"/>
  <c r="P32" i="13"/>
  <c r="O14" i="13"/>
  <c r="P14" i="13"/>
  <c r="O29" i="13"/>
  <c r="P29" i="13"/>
  <c r="O9" i="13"/>
  <c r="P9" i="13"/>
  <c r="O7" i="13"/>
  <c r="P7" i="13"/>
  <c r="O23" i="13"/>
  <c r="P23" i="13"/>
  <c r="O8" i="13"/>
  <c r="P8" i="13"/>
  <c r="O28" i="13"/>
  <c r="P28" i="13"/>
  <c r="O34" i="13"/>
  <c r="P34" i="13"/>
  <c r="O22" i="13"/>
  <c r="P22" i="13"/>
  <c r="O16" i="13"/>
  <c r="P16" i="13"/>
  <c r="O37" i="13"/>
  <c r="P37" i="13"/>
  <c r="O33" i="13"/>
  <c r="P33" i="13"/>
  <c r="B176" i="1"/>
  <c r="E60" i="13"/>
  <c r="E59" i="13"/>
  <c r="D60" i="13"/>
  <c r="D59" i="13"/>
  <c r="C60" i="13"/>
  <c r="C59" i="13"/>
  <c r="D50" i="13"/>
  <c r="D49" i="13"/>
  <c r="E52" i="13"/>
  <c r="E51" i="13"/>
  <c r="E56" i="13"/>
  <c r="E55" i="13"/>
  <c r="C53" i="13"/>
  <c r="C54" i="13"/>
  <c r="C49" i="13"/>
  <c r="C50" i="13"/>
  <c r="D52" i="13"/>
  <c r="D51" i="13"/>
  <c r="D48" i="13"/>
  <c r="D47" i="13"/>
  <c r="D54" i="13"/>
  <c r="D53" i="13"/>
  <c r="N42" i="13"/>
  <c r="N18" i="13"/>
  <c r="F4" i="14" a="1"/>
  <c r="F4" i="14" s="1"/>
  <c r="G13" i="14"/>
  <c r="E8" i="14"/>
  <c r="F9" i="14" a="1"/>
  <c r="F9" i="14" s="1"/>
  <c r="C9" i="14" s="1"/>
  <c r="E9" i="14"/>
  <c r="N22" i="13"/>
  <c r="N19" i="13"/>
  <c r="N24" i="13"/>
  <c r="N37" i="13"/>
  <c r="N31" i="13"/>
  <c r="N23" i="13"/>
  <c r="N30" i="13"/>
  <c r="N20" i="13"/>
  <c r="N28" i="13"/>
  <c r="N40" i="13"/>
  <c r="N32" i="13"/>
  <c r="N35" i="13"/>
  <c r="N16" i="13"/>
  <c r="N36" i="13"/>
  <c r="C13" i="14" a="1"/>
  <c r="C13" i="14" s="1"/>
  <c r="C4" i="14" a="1"/>
  <c r="C4" i="14" s="1"/>
  <c r="D13" i="14"/>
  <c r="E13" i="14"/>
  <c r="H38" i="13"/>
  <c r="F38" i="13"/>
  <c r="D4" i="14"/>
  <c r="D8" i="14"/>
  <c r="E4" i="14"/>
  <c r="D9" i="14"/>
  <c r="I39" i="13"/>
  <c r="H10" i="13"/>
  <c r="N10" i="13" s="1"/>
  <c r="H4" i="13"/>
  <c r="N4" i="13" s="1"/>
  <c r="H7" i="13"/>
  <c r="N7" i="13" s="1"/>
  <c r="H8" i="13"/>
  <c r="N8" i="13" s="1"/>
  <c r="H11" i="13"/>
  <c r="N11" i="13" s="1"/>
  <c r="H6" i="13"/>
  <c r="H12" i="13"/>
  <c r="H14" i="13"/>
  <c r="N14" i="13" s="1"/>
  <c r="I27" i="13"/>
  <c r="I21" i="13"/>
  <c r="I3" i="13"/>
  <c r="J3" i="13"/>
  <c r="C22" i="5"/>
  <c r="K41" i="13"/>
  <c r="E21" i="5"/>
  <c r="K40" i="13"/>
  <c r="C21" i="5"/>
  <c r="K39" i="13"/>
  <c r="E22" i="5"/>
  <c r="K42" i="13"/>
  <c r="H3" i="13"/>
  <c r="H39" i="13"/>
  <c r="C63" i="13" s="1"/>
  <c r="H27" i="13"/>
  <c r="H33" i="13"/>
  <c r="H41" i="13"/>
  <c r="C64" i="13" s="1"/>
  <c r="H21" i="13"/>
  <c r="F15" i="13"/>
  <c r="F3" i="13"/>
  <c r="F39" i="13"/>
  <c r="E63" i="13" s="1"/>
  <c r="F41" i="13"/>
  <c r="E64" i="13" s="1"/>
  <c r="F33" i="13"/>
  <c r="F27" i="13"/>
  <c r="F21" i="13"/>
  <c r="F9" i="13"/>
  <c r="C3" i="13"/>
  <c r="C39" i="13"/>
  <c r="C15" i="13"/>
  <c r="C27" i="13"/>
  <c r="C41" i="13"/>
  <c r="C9" i="13"/>
  <c r="C33" i="13"/>
  <c r="B21" i="5"/>
  <c r="B22" i="5"/>
  <c r="E30" i="5"/>
  <c r="E27" i="5"/>
  <c r="E26" i="5"/>
  <c r="E28" i="5"/>
  <c r="E29" i="5"/>
  <c r="B2" i="5"/>
  <c r="B3" i="5"/>
  <c r="B10" i="5"/>
  <c r="B11" i="5"/>
  <c r="B8" i="5"/>
  <c r="B9" i="5"/>
  <c r="B12" i="5"/>
  <c r="B13" i="5"/>
  <c r="B16" i="5"/>
  <c r="B17" i="5"/>
  <c r="B6" i="5"/>
  <c r="B7" i="5"/>
  <c r="B48" i="11"/>
  <c r="B50" i="11"/>
  <c r="O50" i="11" s="1"/>
  <c r="B49" i="11"/>
  <c r="B47" i="11"/>
  <c r="B45" i="11"/>
  <c r="B53" i="11"/>
  <c r="O53" i="11" s="1"/>
  <c r="B46" i="11"/>
  <c r="O46" i="11" s="1"/>
  <c r="G47" i="11"/>
  <c r="J53" i="11"/>
  <c r="K50" i="11"/>
  <c r="E50" i="11"/>
  <c r="E52" i="11"/>
  <c r="E54" i="11"/>
  <c r="E51" i="11"/>
  <c r="G52" i="11"/>
  <c r="G55" i="11"/>
  <c r="K48" i="11"/>
  <c r="H48" i="11"/>
  <c r="N48" i="11" s="1"/>
  <c r="K49" i="11"/>
  <c r="I45" i="11"/>
  <c r="D49" i="11"/>
  <c r="J46" i="11"/>
  <c r="D50" i="11"/>
  <c r="D47" i="11"/>
  <c r="J44" i="11"/>
  <c r="D44" i="11"/>
  <c r="J54" i="11"/>
  <c r="E47" i="11"/>
  <c r="I48" i="11"/>
  <c r="H49" i="11"/>
  <c r="N49" i="11" s="1"/>
  <c r="I54" i="11"/>
  <c r="E55" i="11"/>
  <c r="G49" i="11"/>
  <c r="G54" i="11"/>
  <c r="J48" i="11"/>
  <c r="D48" i="11"/>
  <c r="K53" i="11"/>
  <c r="I49" i="11"/>
  <c r="C49" i="11"/>
  <c r="M49" i="11" s="1"/>
  <c r="I46" i="11"/>
  <c r="J51" i="11"/>
  <c r="K51" i="11"/>
  <c r="H47" i="11"/>
  <c r="N47" i="11" s="1"/>
  <c r="D55" i="11"/>
  <c r="J47" i="11"/>
  <c r="E44" i="11"/>
  <c r="J45" i="11"/>
  <c r="E53" i="11"/>
  <c r="G48" i="11"/>
  <c r="K45" i="11"/>
  <c r="D45" i="11"/>
  <c r="I51" i="11"/>
  <c r="D54" i="11"/>
  <c r="G51" i="11"/>
  <c r="J52" i="11"/>
  <c r="G44" i="11"/>
  <c r="J49" i="11"/>
  <c r="H45" i="11"/>
  <c r="N45" i="11" s="1"/>
  <c r="E49" i="11"/>
  <c r="K46" i="11"/>
  <c r="I50" i="11"/>
  <c r="E46" i="11"/>
  <c r="K47" i="11"/>
  <c r="D51" i="11"/>
  <c r="I47" i="11"/>
  <c r="D52" i="11"/>
  <c r="D53" i="11"/>
  <c r="J55" i="11"/>
  <c r="E48" i="11"/>
  <c r="J50" i="11"/>
  <c r="C10" i="11"/>
  <c r="M10" i="11" s="1"/>
  <c r="C30" i="11"/>
  <c r="M30" i="11" s="1"/>
  <c r="C7" i="11"/>
  <c r="M7" i="11" s="1"/>
  <c r="D20" i="11"/>
  <c r="F26" i="11"/>
  <c r="G12" i="11"/>
  <c r="H39" i="11"/>
  <c r="N39" i="11" s="1"/>
  <c r="H9" i="11"/>
  <c r="N9" i="11" s="1"/>
  <c r="I18" i="11"/>
  <c r="I34" i="11"/>
  <c r="I23" i="11"/>
  <c r="J2" i="11"/>
  <c r="J22" i="11"/>
  <c r="J11" i="11"/>
  <c r="J17" i="11"/>
  <c r="J41" i="11"/>
  <c r="C19" i="11"/>
  <c r="M19" i="11" s="1"/>
  <c r="C35" i="11"/>
  <c r="M35" i="11" s="1"/>
  <c r="J38" i="11"/>
  <c r="I31" i="11"/>
  <c r="I13" i="11"/>
  <c r="J8" i="11"/>
  <c r="K23" i="11"/>
  <c r="D31" i="11"/>
  <c r="D28" i="11"/>
  <c r="C17" i="11"/>
  <c r="M17" i="11" s="1"/>
  <c r="K38" i="11"/>
  <c r="H18" i="11"/>
  <c r="N18" i="11" s="1"/>
  <c r="E41" i="11"/>
  <c r="H23" i="11"/>
  <c r="N23" i="11" s="1"/>
  <c r="C4" i="11"/>
  <c r="M4" i="11" s="1"/>
  <c r="C24" i="11"/>
  <c r="M24" i="11" s="1"/>
  <c r="H36" i="11"/>
  <c r="N36" i="11" s="1"/>
  <c r="J31" i="11"/>
  <c r="H21" i="11"/>
  <c r="N21" i="11" s="1"/>
  <c r="D23" i="11"/>
  <c r="C25" i="11"/>
  <c r="M25" i="11" s="1"/>
  <c r="H30" i="11"/>
  <c r="N30" i="11" s="1"/>
  <c r="E34" i="11"/>
  <c r="I28" i="11"/>
  <c r="J19" i="11"/>
  <c r="D35" i="11"/>
  <c r="F20" i="11"/>
  <c r="G28" i="11"/>
  <c r="G5" i="11"/>
  <c r="C18" i="11"/>
  <c r="M18" i="11" s="1"/>
  <c r="C34" i="11"/>
  <c r="M34" i="11" s="1"/>
  <c r="C11" i="11"/>
  <c r="M11" i="11" s="1"/>
  <c r="D21" i="11"/>
  <c r="I22" i="11"/>
  <c r="I7" i="11"/>
  <c r="I27" i="11"/>
  <c r="J6" i="11"/>
  <c r="J26" i="11"/>
  <c r="J5" i="11"/>
  <c r="J21" i="11"/>
  <c r="K2" i="11"/>
  <c r="K5" i="11"/>
  <c r="C23" i="11"/>
  <c r="M23" i="11" s="1"/>
  <c r="C39" i="11"/>
  <c r="M39" i="11" s="1"/>
  <c r="J39" i="11"/>
  <c r="I33" i="11"/>
  <c r="I21" i="11"/>
  <c r="H24" i="11"/>
  <c r="N24" i="11" s="1"/>
  <c r="J12" i="11"/>
  <c r="D34" i="11"/>
  <c r="D30" i="11"/>
  <c r="C29" i="11"/>
  <c r="M29" i="11" s="1"/>
  <c r="K39" i="11"/>
  <c r="H22" i="11"/>
  <c r="N22" i="11" s="1"/>
  <c r="I38" i="11"/>
  <c r="C8" i="11"/>
  <c r="M8" i="11" s="1"/>
  <c r="C32" i="11"/>
  <c r="M32" i="11" s="1"/>
  <c r="H37" i="11"/>
  <c r="N37" i="11" s="1"/>
  <c r="J32" i="11"/>
  <c r="H29" i="11"/>
  <c r="N29" i="11" s="1"/>
  <c r="K14" i="11"/>
  <c r="D26" i="11"/>
  <c r="C33" i="11"/>
  <c r="M33" i="11" s="1"/>
  <c r="I15" i="11"/>
  <c r="I36" i="11"/>
  <c r="H3" i="11"/>
  <c r="N3" i="11" s="1"/>
  <c r="J23" i="11"/>
  <c r="D15" i="11"/>
  <c r="C28" i="11"/>
  <c r="M28" i="11" s="1"/>
  <c r="C22" i="11"/>
  <c r="M22" i="11" s="1"/>
  <c r="C38" i="11"/>
  <c r="M38" i="11" s="1"/>
  <c r="D3" i="11"/>
  <c r="E40" i="11"/>
  <c r="H6" i="11"/>
  <c r="N6" i="11" s="1"/>
  <c r="H40" i="11"/>
  <c r="N40" i="11" s="1"/>
  <c r="I6" i="11"/>
  <c r="I11" i="11"/>
  <c r="I35" i="11"/>
  <c r="J10" i="11"/>
  <c r="J3" i="11"/>
  <c r="J9" i="11"/>
  <c r="J25" i="11"/>
  <c r="C27" i="11"/>
  <c r="M27" i="11" s="1"/>
  <c r="J35" i="11"/>
  <c r="J40" i="11"/>
  <c r="I5" i="11"/>
  <c r="I25" i="11"/>
  <c r="H28" i="11"/>
  <c r="N28" i="11" s="1"/>
  <c r="J16" i="11"/>
  <c r="D33" i="11"/>
  <c r="D24" i="11"/>
  <c r="C37" i="11"/>
  <c r="M37" i="11" s="1"/>
  <c r="K41" i="11"/>
  <c r="J14" i="11"/>
  <c r="K32" i="11"/>
  <c r="K20" i="11"/>
  <c r="F32" i="11"/>
  <c r="C12" i="11"/>
  <c r="M12" i="11" s="1"/>
  <c r="C40" i="11"/>
  <c r="M40" i="11" s="1"/>
  <c r="H38" i="11"/>
  <c r="N38" i="11" s="1"/>
  <c r="J33" i="11"/>
  <c r="K26" i="11"/>
  <c r="D14" i="11"/>
  <c r="C41" i="11"/>
  <c r="M41" i="11" s="1"/>
  <c r="I37" i="11"/>
  <c r="H7" i="11"/>
  <c r="N7" i="11" s="1"/>
  <c r="J27" i="11"/>
  <c r="D13" i="11"/>
  <c r="F14" i="11"/>
  <c r="D27" i="11"/>
  <c r="F8" i="11"/>
  <c r="C6" i="11"/>
  <c r="M6" i="11" s="1"/>
  <c r="C26" i="11"/>
  <c r="M26" i="11" s="1"/>
  <c r="C3" i="11"/>
  <c r="M3" i="11" s="1"/>
  <c r="D16" i="11"/>
  <c r="H10" i="11"/>
  <c r="N10" i="11" s="1"/>
  <c r="H5" i="11"/>
  <c r="N5" i="11" s="1"/>
  <c r="I10" i="11"/>
  <c r="I30" i="11"/>
  <c r="I19" i="11"/>
  <c r="I39" i="11"/>
  <c r="J18" i="11"/>
  <c r="J7" i="11"/>
  <c r="J13" i="11"/>
  <c r="J29" i="11"/>
  <c r="K17" i="11"/>
  <c r="C31" i="11"/>
  <c r="M31" i="11" s="1"/>
  <c r="J37" i="11"/>
  <c r="E30" i="11"/>
  <c r="I9" i="11"/>
  <c r="I29" i="11"/>
  <c r="J4" i="11"/>
  <c r="J24" i="11"/>
  <c r="D32" i="11"/>
  <c r="D25" i="11"/>
  <c r="H31" i="11"/>
  <c r="N31" i="11" s="1"/>
  <c r="E38" i="11"/>
  <c r="H11" i="11"/>
  <c r="N11" i="11" s="1"/>
  <c r="K8" i="11"/>
  <c r="C16" i="11"/>
  <c r="M16" i="11" s="1"/>
  <c r="H34" i="11"/>
  <c r="N34" i="11" s="1"/>
  <c r="J30" i="11"/>
  <c r="H13" i="11"/>
  <c r="N13" i="11" s="1"/>
  <c r="D22" i="11"/>
  <c r="C21" i="11"/>
  <c r="M21" i="11" s="1"/>
  <c r="K40" i="11"/>
  <c r="C14" i="11"/>
  <c r="M14" i="11" s="1"/>
  <c r="I41" i="11"/>
  <c r="H15" i="11"/>
  <c r="N15" i="11" s="1"/>
  <c r="D29" i="11"/>
  <c r="C15" i="11"/>
  <c r="M15" i="11" s="1"/>
  <c r="E39" i="11"/>
  <c r="G45" i="4" a="1"/>
  <c r="G45" i="4" s="1"/>
  <c r="F45" i="11"/>
  <c r="G53" i="4" a="1"/>
  <c r="G53" i="4" s="1"/>
  <c r="F53" i="11"/>
  <c r="G50" i="4" a="1"/>
  <c r="G50" i="4" s="1"/>
  <c r="F50" i="11"/>
  <c r="G46" i="4" a="1"/>
  <c r="G46" i="4" s="1"/>
  <c r="F46" i="11"/>
  <c r="E14" i="5"/>
  <c r="K21" i="11"/>
  <c r="E17" i="5"/>
  <c r="K25" i="11"/>
  <c r="K30" i="11"/>
  <c r="E11" i="5"/>
  <c r="K16" i="11"/>
  <c r="E16" i="5"/>
  <c r="K24" i="11"/>
  <c r="E4" i="5"/>
  <c r="K6" i="11"/>
  <c r="E6" i="5"/>
  <c r="K9" i="11"/>
  <c r="K37" i="11"/>
  <c r="E15" i="5"/>
  <c r="K22" i="11"/>
  <c r="K31" i="11"/>
  <c r="E8" i="5"/>
  <c r="K12" i="11"/>
  <c r="K36" i="11"/>
  <c r="E7" i="5"/>
  <c r="K10" i="11"/>
  <c r="K34" i="11"/>
  <c r="K28" i="11"/>
  <c r="E12" i="5"/>
  <c r="K18" i="11"/>
  <c r="K33" i="11"/>
  <c r="I20" i="11"/>
  <c r="I2" i="11"/>
  <c r="I26" i="11"/>
  <c r="H20" i="11"/>
  <c r="N20" i="11" s="1"/>
  <c r="H2" i="11"/>
  <c r="N2" i="11" s="1"/>
  <c r="H32" i="11"/>
  <c r="N32" i="11" s="1"/>
  <c r="H26" i="11"/>
  <c r="N26" i="11" s="1"/>
  <c r="G6" i="4" a="1"/>
  <c r="G6" i="4" s="1"/>
  <c r="G7" i="13" s="1"/>
  <c r="F6" i="11"/>
  <c r="G4" i="4" a="1"/>
  <c r="G4" i="4" s="1"/>
  <c r="G5" i="13" s="1"/>
  <c r="F4" i="11"/>
  <c r="G10" i="4" a="1"/>
  <c r="G10" i="4" s="1"/>
  <c r="G11" i="13" s="1"/>
  <c r="F10" i="11"/>
  <c r="G30" i="4" a="1"/>
  <c r="G30" i="4" s="1"/>
  <c r="G31" i="13" s="1"/>
  <c r="F30" i="11"/>
  <c r="G3" i="4" a="1"/>
  <c r="G3" i="4" s="1"/>
  <c r="G4" i="13" s="1"/>
  <c r="F3" i="11"/>
  <c r="G31" i="4" a="1"/>
  <c r="G31" i="4" s="1"/>
  <c r="G32" i="13" s="1"/>
  <c r="F31" i="11"/>
  <c r="G40" i="4" a="1"/>
  <c r="G40" i="4" s="1"/>
  <c r="G41" i="13" s="1"/>
  <c r="F40" i="11"/>
  <c r="G21" i="4" a="1"/>
  <c r="G21" i="4" s="1"/>
  <c r="G22" i="13" s="1"/>
  <c r="F21" i="11"/>
  <c r="G37" i="4" a="1"/>
  <c r="G37" i="4" s="1"/>
  <c r="G38" i="13" s="1"/>
  <c r="F37" i="11"/>
  <c r="G27" i="4" a="1"/>
  <c r="G27" i="4" s="1"/>
  <c r="G28" i="13" s="1"/>
  <c r="F27" i="11"/>
  <c r="G19" i="4" a="1"/>
  <c r="G19" i="4" s="1"/>
  <c r="G20" i="13" s="1"/>
  <c r="F19" i="11"/>
  <c r="G33" i="4" a="1"/>
  <c r="G33" i="4" s="1"/>
  <c r="G34" i="13" s="1"/>
  <c r="F33" i="11"/>
  <c r="G16" i="4" a="1"/>
  <c r="G16" i="4" s="1"/>
  <c r="G17" i="13" s="1"/>
  <c r="F16" i="11"/>
  <c r="G18" i="4" a="1"/>
  <c r="G18" i="4" s="1"/>
  <c r="G19" i="13" s="1"/>
  <c r="F18" i="11"/>
  <c r="G34" i="4" a="1"/>
  <c r="G34" i="4" s="1"/>
  <c r="G35" i="13" s="1"/>
  <c r="F34" i="11"/>
  <c r="G7" i="4" a="1"/>
  <c r="G7" i="4" s="1"/>
  <c r="G8" i="13" s="1"/>
  <c r="F7" i="11"/>
  <c r="G35" i="4" a="1"/>
  <c r="G35" i="4" s="1"/>
  <c r="G36" i="13" s="1"/>
  <c r="F35" i="11"/>
  <c r="G11" i="4" a="1"/>
  <c r="G11" i="4" s="1"/>
  <c r="G12" i="13" s="1"/>
  <c r="F11" i="11"/>
  <c r="G9" i="4" a="1"/>
  <c r="G9" i="4" s="1"/>
  <c r="G10" i="13" s="1"/>
  <c r="F9" i="11"/>
  <c r="G25" i="4" a="1"/>
  <c r="G25" i="4" s="1"/>
  <c r="G26" i="13" s="1"/>
  <c r="F25" i="11"/>
  <c r="G17" i="4" a="1"/>
  <c r="G17" i="4" s="1"/>
  <c r="G18" i="13" s="1"/>
  <c r="F17" i="11"/>
  <c r="G2" i="4" a="1"/>
  <c r="G2" i="4" s="1"/>
  <c r="G3" i="13" s="1"/>
  <c r="F2" i="11"/>
  <c r="G22" i="4" a="1"/>
  <c r="G22" i="4" s="1"/>
  <c r="G23" i="13" s="1"/>
  <c r="F22" i="11"/>
  <c r="G38" i="4" a="1"/>
  <c r="G38" i="4" s="1"/>
  <c r="G39" i="13" s="1"/>
  <c r="F38" i="11"/>
  <c r="G23" i="4" a="1"/>
  <c r="G23" i="4" s="1"/>
  <c r="G24" i="13" s="1"/>
  <c r="F23" i="11"/>
  <c r="G39" i="4" a="1"/>
  <c r="G39" i="4" s="1"/>
  <c r="G40" i="13" s="1"/>
  <c r="F39" i="11"/>
  <c r="G15" i="4" a="1"/>
  <c r="G15" i="4" s="1"/>
  <c r="G16" i="13" s="1"/>
  <c r="F15" i="11"/>
  <c r="G41" i="4" a="1"/>
  <c r="G41" i="4" s="1"/>
  <c r="G42" i="13" s="1"/>
  <c r="F41" i="11"/>
  <c r="G24" i="4" a="1"/>
  <c r="G24" i="4" s="1"/>
  <c r="G25" i="13" s="1"/>
  <c r="F24" i="11"/>
  <c r="G13" i="4" a="1"/>
  <c r="G13" i="4" s="1"/>
  <c r="G14" i="13" s="1"/>
  <c r="F13" i="11"/>
  <c r="G29" i="4" a="1"/>
  <c r="G29" i="4" s="1"/>
  <c r="G30" i="13" s="1"/>
  <c r="F29" i="11"/>
  <c r="G36" i="4" a="1"/>
  <c r="G36" i="4" s="1"/>
  <c r="G37" i="13" s="1"/>
  <c r="F36" i="11"/>
  <c r="C2" i="11"/>
  <c r="M2" i="11" s="1"/>
  <c r="D4" i="4"/>
  <c r="D5" i="13" s="1"/>
  <c r="D8" i="4"/>
  <c r="D9" i="13" s="1"/>
  <c r="D5" i="4"/>
  <c r="D6" i="13" s="1"/>
  <c r="D10" i="4"/>
  <c r="D11" i="13" s="1"/>
  <c r="D12" i="4"/>
  <c r="D13" i="13" s="1"/>
  <c r="D9" i="4"/>
  <c r="D10" i="13" s="1"/>
  <c r="F29" i="5"/>
  <c r="F28" i="5"/>
  <c r="F26" i="5"/>
  <c r="F27" i="5"/>
  <c r="D30" i="5"/>
  <c r="D31" i="5"/>
  <c r="D32" i="5"/>
  <c r="D33" i="5"/>
  <c r="D28" i="5"/>
  <c r="D29" i="5"/>
  <c r="C32" i="5"/>
  <c r="C33" i="5"/>
  <c r="C28" i="5"/>
  <c r="C29" i="5"/>
  <c r="C30" i="5"/>
  <c r="C31" i="5"/>
  <c r="B51" i="4"/>
  <c r="D7" i="4"/>
  <c r="D8" i="13" s="1"/>
  <c r="D11" i="4"/>
  <c r="D12" i="13" s="1"/>
  <c r="D6" i="4"/>
  <c r="D7" i="13" s="1"/>
  <c r="D2" i="4"/>
  <c r="D46" i="4"/>
  <c r="B44" i="4"/>
  <c r="B54" i="4"/>
  <c r="E45" i="4"/>
  <c r="B52" i="4"/>
  <c r="B55" i="4"/>
  <c r="E13" i="4"/>
  <c r="E14" i="13" s="1"/>
  <c r="E14" i="4"/>
  <c r="E15" i="13" s="1"/>
  <c r="E24" i="4"/>
  <c r="E25" i="13" s="1"/>
  <c r="B26" i="4"/>
  <c r="B35" i="4"/>
  <c r="B12" i="4"/>
  <c r="B5" i="4"/>
  <c r="B37" i="4"/>
  <c r="D38" i="4"/>
  <c r="D39" i="13" s="1"/>
  <c r="E35" i="4"/>
  <c r="E36" i="13" s="1"/>
  <c r="E17" i="4"/>
  <c r="E18" i="13" s="1"/>
  <c r="E18" i="4"/>
  <c r="E19" i="13" s="1"/>
  <c r="E23" i="4"/>
  <c r="E24" i="13" s="1"/>
  <c r="E12" i="4"/>
  <c r="E13" i="13" s="1"/>
  <c r="B14" i="4"/>
  <c r="B7" i="4"/>
  <c r="B39" i="4"/>
  <c r="F21" i="5" s="1"/>
  <c r="B16" i="4"/>
  <c r="B9" i="4"/>
  <c r="B41" i="4"/>
  <c r="F22" i="5" s="1"/>
  <c r="D37" i="4"/>
  <c r="D38" i="13" s="1"/>
  <c r="E6" i="4"/>
  <c r="E7" i="13" s="1"/>
  <c r="E11" i="4"/>
  <c r="E12" i="13" s="1"/>
  <c r="E16" i="4"/>
  <c r="E17" i="13" s="1"/>
  <c r="B34" i="4"/>
  <c r="B27" i="4"/>
  <c r="B20" i="4"/>
  <c r="B29" i="4"/>
  <c r="E29" i="4"/>
  <c r="E30" i="13" s="1"/>
  <c r="E3" i="4"/>
  <c r="E4" i="13" s="1"/>
  <c r="E8" i="4"/>
  <c r="E9" i="13" s="1"/>
  <c r="B10" i="4"/>
  <c r="B3" i="4"/>
  <c r="B19" i="4"/>
  <c r="B28" i="4"/>
  <c r="B21" i="4"/>
  <c r="E33" i="4"/>
  <c r="E34" i="13" s="1"/>
  <c r="E31" i="4"/>
  <c r="E32" i="13" s="1"/>
  <c r="E2" i="4"/>
  <c r="E3" i="13" s="1"/>
  <c r="E7" i="4"/>
  <c r="E8" i="13" s="1"/>
  <c r="B30" i="4"/>
  <c r="B23" i="4"/>
  <c r="B32" i="4"/>
  <c r="B25" i="4"/>
  <c r="E32" i="4"/>
  <c r="E33" i="13" s="1"/>
  <c r="E5" i="4"/>
  <c r="E6" i="13" s="1"/>
  <c r="E21" i="4"/>
  <c r="E22" i="13" s="1"/>
  <c r="E22" i="4"/>
  <c r="E23" i="13" s="1"/>
  <c r="E27" i="4"/>
  <c r="E28" i="13" s="1"/>
  <c r="B2" i="4"/>
  <c r="B18" i="4"/>
  <c r="B11" i="4"/>
  <c r="B4" i="4"/>
  <c r="B36" i="4"/>
  <c r="B13" i="4"/>
  <c r="E9" i="4"/>
  <c r="E10" i="13" s="1"/>
  <c r="E25" i="4"/>
  <c r="E26" i="13" s="1"/>
  <c r="E10" i="4"/>
  <c r="E11" i="13" s="1"/>
  <c r="E26" i="4"/>
  <c r="E27" i="13" s="1"/>
  <c r="E15" i="4"/>
  <c r="E16" i="13" s="1"/>
  <c r="E4" i="4"/>
  <c r="E5" i="13" s="1"/>
  <c r="E20" i="4"/>
  <c r="E21" i="13" s="1"/>
  <c r="B6" i="4"/>
  <c r="B22" i="4"/>
  <c r="B38" i="4"/>
  <c r="D21" i="5" s="1"/>
  <c r="B15" i="4"/>
  <c r="B31" i="4"/>
  <c r="B8" i="4"/>
  <c r="B24" i="4"/>
  <c r="B40" i="4"/>
  <c r="D22" i="5" s="1"/>
  <c r="B17" i="4"/>
  <c r="B33" i="4"/>
  <c r="E19" i="4"/>
  <c r="E20" i="13" s="1"/>
  <c r="E28" i="4"/>
  <c r="E29" i="13" s="1"/>
  <c r="E36" i="4"/>
  <c r="E37" i="13" s="1"/>
  <c r="E37" i="4"/>
  <c r="E38" i="13" s="1"/>
  <c r="D19" i="4"/>
  <c r="D20" i="13" s="1"/>
  <c r="D36" i="4"/>
  <c r="D37" i="13" s="1"/>
  <c r="D41" i="4"/>
  <c r="D42" i="13" s="1"/>
  <c r="D40" i="4"/>
  <c r="D41" i="13" s="1"/>
  <c r="D17" i="4"/>
  <c r="D18" i="13" s="1"/>
  <c r="D18" i="4"/>
  <c r="D19" i="13" s="1"/>
  <c r="D39" i="4"/>
  <c r="D40" i="13" s="1"/>
  <c r="C8" i="5"/>
  <c r="C9" i="5"/>
  <c r="C2" i="5"/>
  <c r="C3" i="5"/>
  <c r="C14" i="5"/>
  <c r="C15" i="5"/>
  <c r="C6" i="5"/>
  <c r="C7" i="5"/>
  <c r="C10" i="5"/>
  <c r="C11" i="5"/>
  <c r="C13" i="5"/>
  <c r="C12" i="5"/>
  <c r="C17" i="5"/>
  <c r="C16" i="5"/>
  <c r="C5" i="5"/>
  <c r="C4" i="5"/>
  <c r="G26" i="4" a="1"/>
  <c r="G26" i="4" s="1"/>
  <c r="G27" i="13" s="1"/>
  <c r="G8" i="4" a="1"/>
  <c r="G8" i="4" s="1"/>
  <c r="G9" i="13" s="1"/>
  <c r="G14" i="4" a="1"/>
  <c r="G14" i="4" s="1"/>
  <c r="G15" i="13" s="1"/>
  <c r="G20" i="4" a="1"/>
  <c r="G20" i="4" s="1"/>
  <c r="G21" i="13" s="1"/>
  <c r="G32" i="4" a="1"/>
  <c r="G32" i="4" s="1"/>
  <c r="G33" i="13" s="1"/>
  <c r="M48" i="7"/>
  <c r="M45" i="7"/>
  <c r="M53" i="7"/>
  <c r="M47" i="7"/>
  <c r="M51" i="7"/>
  <c r="M52" i="7"/>
  <c r="M55" i="7"/>
  <c r="M50" i="7"/>
  <c r="M49" i="7"/>
  <c r="M56" i="7"/>
  <c r="M46" i="7"/>
  <c r="M54" i="7"/>
  <c r="Y42" i="13" l="1"/>
  <c r="Y11" i="13"/>
  <c r="Y33" i="13"/>
  <c r="Y16" i="13"/>
  <c r="L54" i="13" s="1"/>
  <c r="Y34" i="13"/>
  <c r="Y8" i="13"/>
  <c r="Y6" i="13"/>
  <c r="L47" i="13" s="1"/>
  <c r="Y29" i="13"/>
  <c r="Y32" i="13"/>
  <c r="Y35" i="13"/>
  <c r="Y38" i="13"/>
  <c r="Y4" i="13"/>
  <c r="L46" i="13" s="1"/>
  <c r="Y30" i="13"/>
  <c r="Y40" i="13"/>
  <c r="Y31" i="13"/>
  <c r="Y41" i="13"/>
  <c r="L64" i="13" s="1"/>
  <c r="Y36" i="13"/>
  <c r="Y7" i="13"/>
  <c r="L48" i="13" s="1"/>
  <c r="Y37" i="13"/>
  <c r="Y22" i="13"/>
  <c r="L58" i="13" s="1"/>
  <c r="Y28" i="13"/>
  <c r="Y23" i="13"/>
  <c r="Y9" i="13"/>
  <c r="L49" i="13" s="1"/>
  <c r="Y14" i="13"/>
  <c r="Y24" i="13"/>
  <c r="L59" i="13" s="1"/>
  <c r="Y19" i="13"/>
  <c r="L56" i="13" s="1"/>
  <c r="Y26" i="13"/>
  <c r="Y10" i="13"/>
  <c r="L50" i="13" s="1"/>
  <c r="T11" i="13"/>
  <c r="Y12" i="13"/>
  <c r="L51" i="13" s="1"/>
  <c r="X21" i="13"/>
  <c r="Q21" i="13"/>
  <c r="X3" i="13"/>
  <c r="Q3" i="13"/>
  <c r="X27" i="13"/>
  <c r="Q27" i="13"/>
  <c r="T10" i="13"/>
  <c r="I50" i="13" s="1"/>
  <c r="Y20" i="13"/>
  <c r="Y15" i="13"/>
  <c r="L53" i="13" s="1"/>
  <c r="X39" i="13"/>
  <c r="Q39" i="13"/>
  <c r="T33" i="13"/>
  <c r="T16" i="13"/>
  <c r="I54" i="13" s="1"/>
  <c r="T32" i="13"/>
  <c r="T41" i="13"/>
  <c r="I64" i="13" s="1"/>
  <c r="T28" i="13"/>
  <c r="R21" i="13"/>
  <c r="W21" i="13"/>
  <c r="R27" i="13"/>
  <c r="W27" i="13"/>
  <c r="R39" i="13"/>
  <c r="W39" i="13"/>
  <c r="R3" i="13"/>
  <c r="W3" i="13"/>
  <c r="G59" i="13"/>
  <c r="G60" i="13"/>
  <c r="G55" i="13"/>
  <c r="G56" i="13"/>
  <c r="T37" i="13"/>
  <c r="T22" i="13"/>
  <c r="I58" i="13" s="1"/>
  <c r="T9" i="13"/>
  <c r="I49" i="13" s="1"/>
  <c r="T24" i="13"/>
  <c r="I59" i="13" s="1"/>
  <c r="T4" i="13"/>
  <c r="I46" i="13" s="1"/>
  <c r="V6" i="13"/>
  <c r="T40" i="13"/>
  <c r="T15" i="13"/>
  <c r="I53" i="13" s="1"/>
  <c r="T23" i="13"/>
  <c r="T6" i="13"/>
  <c r="I47" i="13" s="1"/>
  <c r="T34" i="13"/>
  <c r="T8" i="13"/>
  <c r="T7" i="13"/>
  <c r="I48" i="13" s="1"/>
  <c r="T29" i="13"/>
  <c r="T35" i="13"/>
  <c r="T36" i="13"/>
  <c r="T42" i="13"/>
  <c r="T20" i="13"/>
  <c r="T38" i="13"/>
  <c r="T12" i="13"/>
  <c r="I51" i="13" s="1"/>
  <c r="T14" i="13"/>
  <c r="T19" i="13"/>
  <c r="I56" i="13" s="1"/>
  <c r="T30" i="13"/>
  <c r="T31" i="13"/>
  <c r="T26" i="13"/>
  <c r="V15" i="13"/>
  <c r="D63" i="13"/>
  <c r="S15" i="13"/>
  <c r="S30" i="13"/>
  <c r="S31" i="13"/>
  <c r="H56" i="13"/>
  <c r="S33" i="13"/>
  <c r="S16" i="13"/>
  <c r="S34" i="13"/>
  <c r="S8" i="13"/>
  <c r="S7" i="13"/>
  <c r="S29" i="13"/>
  <c r="S32" i="13"/>
  <c r="S35" i="13"/>
  <c r="S41" i="13"/>
  <c r="H64" i="13" s="1"/>
  <c r="S36" i="13"/>
  <c r="S42" i="13"/>
  <c r="S10" i="13"/>
  <c r="S20" i="13"/>
  <c r="S11" i="13"/>
  <c r="S38" i="13"/>
  <c r="S12" i="13"/>
  <c r="H52" i="13" s="1"/>
  <c r="S37" i="13"/>
  <c r="S22" i="13"/>
  <c r="S28" i="13"/>
  <c r="S23" i="13"/>
  <c r="S9" i="13"/>
  <c r="H50" i="13" s="1"/>
  <c r="S14" i="13"/>
  <c r="S24" i="13"/>
  <c r="H59" i="13" s="1"/>
  <c r="S19" i="13"/>
  <c r="S6" i="13"/>
  <c r="H48" i="13" s="1"/>
  <c r="S4" i="13"/>
  <c r="S40" i="13"/>
  <c r="S26" i="13"/>
  <c r="H53" i="13"/>
  <c r="O39" i="13"/>
  <c r="P39" i="13"/>
  <c r="O3" i="13"/>
  <c r="P3" i="13"/>
  <c r="O21" i="13"/>
  <c r="P21" i="13"/>
  <c r="O27" i="13"/>
  <c r="P27" i="13"/>
  <c r="O47" i="11"/>
  <c r="O49" i="11"/>
  <c r="O45" i="11"/>
  <c r="O48" i="11"/>
  <c r="H59" i="7"/>
  <c r="H8" i="14"/>
  <c r="M29" i="13" s="1"/>
  <c r="E50" i="13"/>
  <c r="E49" i="13"/>
  <c r="C57" i="13"/>
  <c r="C58" i="13"/>
  <c r="D58" i="13"/>
  <c r="D57" i="13"/>
  <c r="C47" i="13"/>
  <c r="C48" i="13"/>
  <c r="E58" i="13"/>
  <c r="E57" i="13"/>
  <c r="C46" i="13"/>
  <c r="C45" i="13"/>
  <c r="E46" i="13"/>
  <c r="E45" i="13"/>
  <c r="E54" i="13"/>
  <c r="E53" i="13"/>
  <c r="D46" i="13"/>
  <c r="D45" i="13"/>
  <c r="C52" i="13"/>
  <c r="C51" i="13"/>
  <c r="N15" i="13"/>
  <c r="N12" i="13"/>
  <c r="N9" i="13"/>
  <c r="N6" i="13"/>
  <c r="H13" i="14"/>
  <c r="H9" i="14"/>
  <c r="M24" i="13" s="1"/>
  <c r="H4" i="14"/>
  <c r="M4" i="13" s="1"/>
  <c r="B13" i="14" a="1"/>
  <c r="B13" i="14" s="1"/>
  <c r="N41" i="13"/>
  <c r="G64" i="13" s="1"/>
  <c r="N33" i="13"/>
  <c r="N21" i="13"/>
  <c r="N3" i="13"/>
  <c r="N39" i="13"/>
  <c r="G63" i="13" s="1"/>
  <c r="N27" i="13"/>
  <c r="N38" i="13"/>
  <c r="B9" i="14" a="1"/>
  <c r="B9" i="14" s="1"/>
  <c r="B8" i="14" a="1"/>
  <c r="B8" i="14" s="1"/>
  <c r="B4" i="14" a="1"/>
  <c r="B4" i="14" s="1"/>
  <c r="B40" i="13"/>
  <c r="B42" i="13"/>
  <c r="V11" i="14" a="1"/>
  <c r="V11" i="14" s="1"/>
  <c r="B32" i="13"/>
  <c r="B4" i="13"/>
  <c r="B36" i="13"/>
  <c r="B34" i="13"/>
  <c r="B12" i="13"/>
  <c r="B26" i="13"/>
  <c r="B22" i="13"/>
  <c r="B30" i="13"/>
  <c r="B8" i="13"/>
  <c r="B38" i="13"/>
  <c r="B10" i="13"/>
  <c r="B6" i="13"/>
  <c r="B18" i="13"/>
  <c r="B14" i="13"/>
  <c r="B16" i="13"/>
  <c r="B24" i="13"/>
  <c r="B20" i="13"/>
  <c r="B28" i="13"/>
  <c r="D3" i="13"/>
  <c r="B11" i="13"/>
  <c r="B27" i="13"/>
  <c r="B7" i="13"/>
  <c r="B19" i="13"/>
  <c r="B33" i="13"/>
  <c r="B29" i="13"/>
  <c r="B21" i="13"/>
  <c r="B15" i="13"/>
  <c r="B9" i="13"/>
  <c r="B41" i="13"/>
  <c r="B37" i="13"/>
  <c r="B3" i="13"/>
  <c r="B17" i="13"/>
  <c r="B13" i="13"/>
  <c r="B23" i="13"/>
  <c r="B25" i="13"/>
  <c r="B39" i="13"/>
  <c r="B5" i="13"/>
  <c r="B31" i="13"/>
  <c r="B35" i="13"/>
  <c r="B54" i="11"/>
  <c r="O54" i="11" s="1"/>
  <c r="B52" i="11"/>
  <c r="O52" i="11" s="1"/>
  <c r="B51" i="11"/>
  <c r="O51" i="11" s="1"/>
  <c r="B44" i="11"/>
  <c r="O44" i="11" s="1"/>
  <c r="B55" i="11"/>
  <c r="O55" i="11" s="1"/>
  <c r="D46" i="11"/>
  <c r="G50" i="11"/>
  <c r="G45" i="11"/>
  <c r="E45" i="11"/>
  <c r="G46" i="11"/>
  <c r="G53" i="11"/>
  <c r="G20" i="11"/>
  <c r="G8" i="11"/>
  <c r="D39" i="11"/>
  <c r="D41" i="11"/>
  <c r="E36" i="11"/>
  <c r="B33" i="11"/>
  <c r="O33" i="11" s="1"/>
  <c r="B8" i="11"/>
  <c r="O8" i="11" s="1"/>
  <c r="B22" i="11"/>
  <c r="O22" i="11" s="1"/>
  <c r="E15" i="11"/>
  <c r="E9" i="11"/>
  <c r="B11" i="11"/>
  <c r="O11" i="11" s="1"/>
  <c r="E22" i="11"/>
  <c r="B25" i="11"/>
  <c r="O25" i="11" s="1"/>
  <c r="E7" i="11"/>
  <c r="B21" i="11"/>
  <c r="O21" i="11" s="1"/>
  <c r="B10" i="11"/>
  <c r="O10" i="11" s="1"/>
  <c r="B29" i="11"/>
  <c r="O29" i="11" s="1"/>
  <c r="E16" i="11"/>
  <c r="B7" i="11"/>
  <c r="O7" i="11" s="1"/>
  <c r="E18" i="11"/>
  <c r="B37" i="11"/>
  <c r="O37" i="11" s="1"/>
  <c r="B26" i="11"/>
  <c r="O26" i="11" s="1"/>
  <c r="D6" i="11"/>
  <c r="D9" i="11"/>
  <c r="D8" i="11"/>
  <c r="D18" i="11"/>
  <c r="D36" i="11"/>
  <c r="E28" i="11"/>
  <c r="B17" i="11"/>
  <c r="O17" i="11" s="1"/>
  <c r="B31" i="11"/>
  <c r="O31" i="11" s="1"/>
  <c r="B6" i="11"/>
  <c r="O6" i="11" s="1"/>
  <c r="E26" i="11"/>
  <c r="B13" i="11"/>
  <c r="O13" i="11" s="1"/>
  <c r="B18" i="11"/>
  <c r="O18" i="11" s="1"/>
  <c r="E21" i="11"/>
  <c r="B32" i="11"/>
  <c r="O32" i="11" s="1"/>
  <c r="E2" i="11"/>
  <c r="B28" i="11"/>
  <c r="O28" i="11" s="1"/>
  <c r="E8" i="11"/>
  <c r="B20" i="11"/>
  <c r="O20" i="11" s="1"/>
  <c r="E11" i="11"/>
  <c r="B9" i="11"/>
  <c r="O9" i="11" s="1"/>
  <c r="B14" i="11"/>
  <c r="O14" i="11" s="1"/>
  <c r="E17" i="11"/>
  <c r="B5" i="11"/>
  <c r="O5" i="11" s="1"/>
  <c r="E24" i="11"/>
  <c r="D11" i="11"/>
  <c r="D12" i="11"/>
  <c r="D4" i="11"/>
  <c r="G36" i="11"/>
  <c r="G13" i="11"/>
  <c r="G41" i="11"/>
  <c r="G39" i="11"/>
  <c r="G38" i="11"/>
  <c r="G2" i="11"/>
  <c r="G25" i="11"/>
  <c r="G11" i="11"/>
  <c r="G7" i="11"/>
  <c r="G18" i="11"/>
  <c r="G33" i="11"/>
  <c r="G27" i="11"/>
  <c r="G21" i="11"/>
  <c r="G31" i="11"/>
  <c r="G30" i="11"/>
  <c r="G4" i="11"/>
  <c r="G32" i="11"/>
  <c r="G14" i="11"/>
  <c r="G26" i="11"/>
  <c r="D17" i="11"/>
  <c r="D19" i="11"/>
  <c r="E19" i="11"/>
  <c r="B40" i="11"/>
  <c r="O40" i="11" s="1"/>
  <c r="B15" i="11"/>
  <c r="O15" i="11" s="1"/>
  <c r="E20" i="11"/>
  <c r="E10" i="11"/>
  <c r="B36" i="11"/>
  <c r="O36" i="11" s="1"/>
  <c r="B2" i="11"/>
  <c r="O2" i="11" s="1"/>
  <c r="E5" i="11"/>
  <c r="B23" i="11"/>
  <c r="O23" i="11" s="1"/>
  <c r="E31" i="11"/>
  <c r="B19" i="11"/>
  <c r="O19" i="11" s="1"/>
  <c r="E3" i="11"/>
  <c r="B27" i="11"/>
  <c r="O27" i="11" s="1"/>
  <c r="E6" i="11"/>
  <c r="B16" i="11"/>
  <c r="O16" i="11" s="1"/>
  <c r="E12" i="11"/>
  <c r="E35" i="11"/>
  <c r="B12" i="11"/>
  <c r="O12" i="11" s="1"/>
  <c r="E14" i="11"/>
  <c r="D7" i="11"/>
  <c r="D10" i="11"/>
  <c r="D40" i="11"/>
  <c r="E37" i="11"/>
  <c r="B24" i="11"/>
  <c r="O24" i="11" s="1"/>
  <c r="B38" i="11"/>
  <c r="O38" i="11" s="1"/>
  <c r="E4" i="11"/>
  <c r="E25" i="11"/>
  <c r="B4" i="11"/>
  <c r="O4" i="11" s="1"/>
  <c r="E27" i="11"/>
  <c r="E32" i="11"/>
  <c r="B30" i="11"/>
  <c r="O30" i="11" s="1"/>
  <c r="E33" i="11"/>
  <c r="B3" i="11"/>
  <c r="O3" i="11" s="1"/>
  <c r="E29" i="11"/>
  <c r="B34" i="11"/>
  <c r="O34" i="11" s="1"/>
  <c r="D37" i="11"/>
  <c r="B39" i="11"/>
  <c r="O39" i="11" s="1"/>
  <c r="E23" i="11"/>
  <c r="D38" i="11"/>
  <c r="B35" i="11"/>
  <c r="O35" i="11" s="1"/>
  <c r="E13" i="11"/>
  <c r="D2" i="11"/>
  <c r="D5" i="11"/>
  <c r="G29" i="11"/>
  <c r="G24" i="11"/>
  <c r="G15" i="11"/>
  <c r="G23" i="11"/>
  <c r="G22" i="11"/>
  <c r="G17" i="11"/>
  <c r="G9" i="11"/>
  <c r="G35" i="11"/>
  <c r="G34" i="11"/>
  <c r="G16" i="11"/>
  <c r="G19" i="11"/>
  <c r="G37" i="11"/>
  <c r="G40" i="11"/>
  <c r="G3" i="11"/>
  <c r="G10" i="11"/>
  <c r="G6" i="11"/>
  <c r="B41" i="11"/>
  <c r="O41" i="11" s="1"/>
  <c r="G31" i="5"/>
  <c r="F31" i="5"/>
  <c r="G32" i="5"/>
  <c r="F32" i="5"/>
  <c r="G33" i="5"/>
  <c r="F33" i="5"/>
  <c r="G30" i="5"/>
  <c r="F30" i="5"/>
  <c r="D26" i="5"/>
  <c r="D27" i="5"/>
  <c r="N41" i="4"/>
  <c r="M41" i="4"/>
  <c r="M50" i="4"/>
  <c r="N50" i="4"/>
  <c r="M44" i="4"/>
  <c r="N44" i="4"/>
  <c r="M52" i="4"/>
  <c r="N52" i="4"/>
  <c r="M54" i="4"/>
  <c r="N54" i="4"/>
  <c r="M53" i="4"/>
  <c r="N53" i="4"/>
  <c r="M48" i="4"/>
  <c r="N48" i="4"/>
  <c r="M55" i="4"/>
  <c r="N55" i="4"/>
  <c r="M46" i="4"/>
  <c r="N46" i="4"/>
  <c r="N45" i="4"/>
  <c r="M45" i="4"/>
  <c r="M51" i="4"/>
  <c r="N51" i="4"/>
  <c r="M47" i="4"/>
  <c r="N47" i="4"/>
  <c r="M49" i="4"/>
  <c r="N49" i="4"/>
  <c r="G28" i="5"/>
  <c r="G29" i="5"/>
  <c r="G26" i="5"/>
  <c r="G27" i="5"/>
  <c r="F13" i="5"/>
  <c r="F10" i="5"/>
  <c r="F5" i="5"/>
  <c r="F2" i="5"/>
  <c r="F4" i="5"/>
  <c r="F15" i="5"/>
  <c r="F6" i="5"/>
  <c r="F11" i="5"/>
  <c r="F17" i="5"/>
  <c r="F7" i="5"/>
  <c r="F3" i="5"/>
  <c r="F12" i="5"/>
  <c r="F9" i="5"/>
  <c r="F16" i="5"/>
  <c r="F14" i="5"/>
  <c r="F8" i="5"/>
  <c r="G22" i="5"/>
  <c r="G21" i="5"/>
  <c r="G8" i="5"/>
  <c r="G9" i="5"/>
  <c r="G12" i="5"/>
  <c r="G13" i="5"/>
  <c r="G4" i="5"/>
  <c r="G5" i="5"/>
  <c r="G10" i="5"/>
  <c r="G11" i="5"/>
  <c r="G14" i="5"/>
  <c r="G15" i="5"/>
  <c r="G6" i="5"/>
  <c r="G7" i="5"/>
  <c r="G2" i="5"/>
  <c r="G3" i="5"/>
  <c r="G16" i="5"/>
  <c r="G17" i="5"/>
  <c r="D6" i="5"/>
  <c r="D7" i="5"/>
  <c r="D12" i="5"/>
  <c r="D13" i="5"/>
  <c r="D4" i="5"/>
  <c r="D5" i="5"/>
  <c r="D2" i="5"/>
  <c r="D3" i="5"/>
  <c r="D16" i="5"/>
  <c r="D17" i="5"/>
  <c r="D14" i="5"/>
  <c r="D15" i="5"/>
  <c r="D10" i="5"/>
  <c r="D11" i="5"/>
  <c r="D8" i="5"/>
  <c r="D9" i="5"/>
  <c r="M40" i="4"/>
  <c r="M38" i="4"/>
  <c r="M31" i="4"/>
  <c r="M34" i="4"/>
  <c r="M32" i="4"/>
  <c r="N20" i="4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N2" i="4"/>
  <c r="N12" i="4"/>
  <c r="N40" i="4"/>
  <c r="Y27" i="13" l="1"/>
  <c r="Y3" i="13"/>
  <c r="Y39" i="13"/>
  <c r="L63" i="13" s="1"/>
  <c r="Y21" i="13"/>
  <c r="L57" i="13" s="1"/>
  <c r="T39" i="13"/>
  <c r="L45" i="13"/>
  <c r="AB29" i="13"/>
  <c r="AB4" i="13"/>
  <c r="AB24" i="13"/>
  <c r="G45" i="13"/>
  <c r="G46" i="13"/>
  <c r="G47" i="13"/>
  <c r="G48" i="13"/>
  <c r="G58" i="13"/>
  <c r="G57" i="13"/>
  <c r="G50" i="13"/>
  <c r="G49" i="13"/>
  <c r="G54" i="13"/>
  <c r="G53" i="13"/>
  <c r="G51" i="13"/>
  <c r="G52" i="13"/>
  <c r="T27" i="13"/>
  <c r="T3" i="13"/>
  <c r="I45" i="13" s="1"/>
  <c r="T21" i="13"/>
  <c r="I57" i="13" s="1"/>
  <c r="I63" i="13"/>
  <c r="V39" i="13"/>
  <c r="V3" i="13"/>
  <c r="S27" i="13"/>
  <c r="S21" i="13"/>
  <c r="H58" i="13" s="1"/>
  <c r="S39" i="13"/>
  <c r="H63" i="13" s="1"/>
  <c r="S3" i="13"/>
  <c r="H46" i="13" s="1"/>
  <c r="H51" i="13"/>
  <c r="H49" i="13"/>
  <c r="H54" i="13"/>
  <c r="H60" i="13"/>
  <c r="H47" i="13"/>
  <c r="A61" i="4"/>
  <c r="A58" i="11"/>
  <c r="A58" i="4"/>
  <c r="M27" i="13"/>
  <c r="F60" i="13"/>
  <c r="F59" i="13"/>
  <c r="M21" i="13"/>
  <c r="M16" i="13"/>
  <c r="AB16" i="13" s="1"/>
  <c r="M31" i="13"/>
  <c r="AB31" i="13" s="1"/>
  <c r="I8" i="14"/>
  <c r="M19" i="13"/>
  <c r="AB19" i="13" s="1"/>
  <c r="M17" i="13"/>
  <c r="AB17" i="13" s="1"/>
  <c r="M20" i="13"/>
  <c r="AB20" i="13" s="1"/>
  <c r="M28" i="13"/>
  <c r="AB28" i="13" s="1"/>
  <c r="M23" i="13"/>
  <c r="AB23" i="13" s="1"/>
  <c r="M35" i="13"/>
  <c r="AB35" i="13" s="1"/>
  <c r="M22" i="13"/>
  <c r="AB22" i="13" s="1"/>
  <c r="M32" i="13"/>
  <c r="AB32" i="13" s="1"/>
  <c r="M30" i="13"/>
  <c r="AB30" i="13" s="1"/>
  <c r="M18" i="13"/>
  <c r="AB18" i="13" s="1"/>
  <c r="M15" i="13"/>
  <c r="AB15" i="13" s="1"/>
  <c r="I9" i="14"/>
  <c r="M37" i="13"/>
  <c r="AB37" i="13" s="1"/>
  <c r="M38" i="13"/>
  <c r="AB38" i="13" s="1"/>
  <c r="M26" i="13"/>
  <c r="AB26" i="13" s="1"/>
  <c r="M33" i="13"/>
  <c r="AB33" i="13" s="1"/>
  <c r="M34" i="13"/>
  <c r="AB34" i="13" s="1"/>
  <c r="M36" i="13"/>
  <c r="AB36" i="13" s="1"/>
  <c r="M25" i="13"/>
  <c r="AB25" i="13" s="1"/>
  <c r="M9" i="13"/>
  <c r="AB9" i="13" s="1"/>
  <c r="M40" i="13"/>
  <c r="AB40" i="13" s="1"/>
  <c r="M42" i="13"/>
  <c r="AB42" i="13" s="1"/>
  <c r="M6" i="13"/>
  <c r="AB6" i="13" s="1"/>
  <c r="M13" i="13"/>
  <c r="AB13" i="13" s="1"/>
  <c r="M5" i="13"/>
  <c r="AB5" i="13" s="1"/>
  <c r="M14" i="13"/>
  <c r="AB14" i="13" s="1"/>
  <c r="M8" i="13"/>
  <c r="AB8" i="13" s="1"/>
  <c r="M11" i="13"/>
  <c r="AB11" i="13" s="1"/>
  <c r="M12" i="13"/>
  <c r="AB12" i="13" s="1"/>
  <c r="M7" i="13"/>
  <c r="AB7" i="13" s="1"/>
  <c r="M10" i="13"/>
  <c r="AB10" i="13" s="1"/>
  <c r="M3" i="13"/>
  <c r="M39" i="13"/>
  <c r="M41" i="13"/>
  <c r="AB41" i="13" s="1"/>
  <c r="I4" i="14"/>
  <c r="I13" i="14"/>
  <c r="H29" i="5"/>
  <c r="H28" i="5"/>
  <c r="H27" i="5"/>
  <c r="H31" i="5"/>
  <c r="H33" i="5"/>
  <c r="H26" i="5"/>
  <c r="H30" i="5"/>
  <c r="H32" i="5"/>
  <c r="H21" i="5"/>
  <c r="B63" i="13" s="1"/>
  <c r="H5" i="5"/>
  <c r="B48" i="13" s="1"/>
  <c r="H8" i="5"/>
  <c r="B51" i="13" s="1"/>
  <c r="H4" i="5"/>
  <c r="B47" i="13" s="1"/>
  <c r="H6" i="5"/>
  <c r="B49" i="13" s="1"/>
  <c r="H9" i="5"/>
  <c r="B52" i="13" s="1"/>
  <c r="H7" i="5"/>
  <c r="B50" i="13" s="1"/>
  <c r="H13" i="5"/>
  <c r="B56" i="13" s="1"/>
  <c r="H11" i="5"/>
  <c r="B54" i="13" s="1"/>
  <c r="H2" i="5"/>
  <c r="B45" i="13" s="1"/>
  <c r="H16" i="5"/>
  <c r="B59" i="13" s="1"/>
  <c r="H14" i="5"/>
  <c r="B57" i="13" s="1"/>
  <c r="H10" i="5"/>
  <c r="B53" i="13" s="1"/>
  <c r="H3" i="5"/>
  <c r="B46" i="13" s="1"/>
  <c r="H15" i="5"/>
  <c r="B58" i="13" s="1"/>
  <c r="H17" i="5"/>
  <c r="B60" i="13" s="1"/>
  <c r="H12" i="5"/>
  <c r="B55" i="13" s="1"/>
  <c r="H22" i="5"/>
  <c r="B64" i="13" s="1"/>
  <c r="O59" i="13" l="1"/>
  <c r="O60" i="13"/>
  <c r="AB27" i="13"/>
  <c r="AB39" i="13"/>
  <c r="AB21" i="13"/>
  <c r="AB3" i="13"/>
  <c r="F63" i="13"/>
  <c r="O63" i="13" s="1"/>
  <c r="F64" i="13"/>
  <c r="O64" i="13" s="1"/>
  <c r="H57" i="13"/>
  <c r="H45" i="13"/>
  <c r="F48" i="13"/>
  <c r="O48" i="13" s="1"/>
  <c r="F47" i="13"/>
  <c r="O47" i="13" s="1"/>
  <c r="F58" i="13"/>
  <c r="O58" i="13" s="1"/>
  <c r="F57" i="13"/>
  <c r="F54" i="13"/>
  <c r="O54" i="13" s="1"/>
  <c r="F53" i="13"/>
  <c r="O53" i="13" s="1"/>
  <c r="F52" i="13"/>
  <c r="O52" i="13" s="1"/>
  <c r="F51" i="13"/>
  <c r="O51" i="13" s="1"/>
  <c r="F56" i="13"/>
  <c r="O56" i="13" s="1"/>
  <c r="F55" i="13"/>
  <c r="O55" i="13" s="1"/>
  <c r="F46" i="13"/>
  <c r="O46" i="13" s="1"/>
  <c r="F45" i="13"/>
  <c r="O45" i="13" s="1"/>
  <c r="F50" i="13"/>
  <c r="O50" i="13" s="1"/>
  <c r="F49" i="13"/>
  <c r="O49" i="13" s="1"/>
  <c r="A16" i="14"/>
  <c r="K3" i="5"/>
  <c r="K5" i="5"/>
  <c r="K12" i="5"/>
  <c r="K10" i="5"/>
  <c r="K11" i="5"/>
  <c r="K6" i="5"/>
  <c r="K2" i="5"/>
  <c r="K17" i="5"/>
  <c r="K14" i="5"/>
  <c r="K13" i="5"/>
  <c r="K4" i="5"/>
  <c r="K9" i="5"/>
  <c r="K15" i="5"/>
  <c r="K16" i="5"/>
  <c r="K7" i="5"/>
  <c r="K8" i="5"/>
  <c r="K26" i="5"/>
  <c r="K28" i="5"/>
  <c r="K30" i="5"/>
  <c r="K27" i="5"/>
  <c r="K33" i="5"/>
  <c r="K29" i="5"/>
  <c r="K32" i="5"/>
  <c r="K31" i="5"/>
  <c r="K22" i="5"/>
  <c r="K21" i="5"/>
  <c r="J22" i="5"/>
  <c r="J12" i="5"/>
  <c r="J31" i="5"/>
  <c r="J26" i="5"/>
  <c r="J30" i="5"/>
  <c r="J28" i="5"/>
  <c r="J32" i="5"/>
  <c r="J33" i="5"/>
  <c r="J27" i="5"/>
  <c r="J29" i="5"/>
  <c r="J21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  <c r="O57" i="13" l="1"/>
  <c r="A67" i="13" s="1"/>
  <c r="A39" i="5"/>
  <c r="A3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<sst xmlns="http://schemas.openxmlformats.org/spreadsheetml/2006/main" count="1631" uniqueCount="211">
  <si>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</si>
  <si>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</si>
  <si>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</si>
  <si>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</si>
  <si>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</si>
  <si>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</si>
  <si>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</si>
  <si>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</si>
  <si>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</si>
  <si>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</si>
  <si>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</si>
  <si>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</si>
  <si>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</si>
  <si>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</si>
  <si>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</si>
  <si>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</si>
  <si>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</si>
  <si>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</si>
  <si>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</si>
  <si>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</si>
  <si>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</si>
  <si>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</si>
  <si>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</si>
  <si>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</si>
  <si>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</si>
  <si>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</si>
  <si>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</si>
  <si>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</si>
  <si>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</si>
  <si>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</si>
  <si>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</si>
  <si>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</si>
  <si>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</si>
  <si>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</si>
  <si>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</si>
  <si>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</si>
  <si>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</si>
  <si>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</si>
  <si>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</si>
  <si>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</si>
  <si>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</si>
  <si>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</si>
  <si>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</si>
  <si>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</si>
  <si>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</si>
  <si>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</si>
  <si>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</si>
  <si>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</si>
  <si>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</si>
  <si>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</si>
  <si>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</si>
  <si>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</si>
  <si>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</si>
  <si>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</si>
  <si>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</si>
  <si>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</si>
  <si>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</si>
  <si>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</si>
  <si>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</si>
  <si>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</si>
  <si>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</si>
  <si>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</si>
  <si>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</si>
  <si>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</si>
  <si>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</si>
  <si>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</si>
  <si>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</si>
  <si>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</si>
  <si>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</si>
  <si>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</si>
  <si>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</si>
  <si>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</si>
  <si>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</si>
  <si>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</si>
  <si>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</si>
  <si>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</si>
  <si>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</si>
  <si>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</si>
  <si>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</si>
  <si>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</si>
  <si>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</si>
  <si>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treatment</t>
  </si>
  <si>
    <t>strand</t>
  </si>
  <si>
    <t>R1</t>
  </si>
  <si>
    <t>R2</t>
  </si>
  <si>
    <t>file_out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</si>
  <si>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</si>
  <si>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</si>
  <si>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</si>
  <si>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</si>
  <si>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</si>
  <si>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</si>
  <si>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</si>
  <si>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</si>
  <si>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</si>
  <si>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</si>
  <si>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</si>
  <si>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</si>
  <si>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</si>
  <si>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</si>
  <si>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</si>
  <si>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</si>
  <si>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</si>
  <si>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</si>
  <si>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</si>
  <si>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</si>
  <si>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</si>
  <si>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</si>
  <si>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</si>
  <si>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</si>
  <si>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</si>
  <si>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</si>
  <si>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</si>
  <si>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</si>
  <si>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</si>
  <si>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</si>
  <si>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</si>
  <si>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</si>
  <si>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</si>
  <si>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</si>
  <si>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</si>
  <si>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</si>
  <si>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</si>
  <si>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</si>
  <si>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</si>
  <si>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</si>
  <si>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</si>
  <si>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</si>
  <si>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</si>
  <si>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</si>
  <si>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</si>
  <si>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</si>
  <si>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</si>
  <si>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</si>
  <si>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</si>
  <si>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</si>
  <si>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</si>
  <si>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</si>
  <si>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</si>
  <si>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</si>
  <si>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</si>
  <si>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</si>
  <si>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</si>
  <si>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</si>
  <si>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</si>
  <si>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</si>
  <si>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</si>
  <si>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</si>
  <si>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</si>
  <si>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</si>
  <si>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</si>
  <si>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</si>
  <si>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</si>
  <si>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</si>
  <si>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</si>
  <si>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</si>
  <si>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</si>
  <si>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</si>
  <si>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</si>
  <si>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</si>
  <si>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</si>
  <si>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</si>
  <si>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</si>
  <si>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</si>
  <si>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treatment_1</t>
  </si>
  <si>
    <t>treatment_2</t>
  </si>
  <si>
    <t>treatments_out</t>
  </si>
  <si>
    <t>plots/histogram_3d</t>
  </si>
  <si>
    <t>command</t>
  </si>
  <si>
    <t>id</t>
  </si>
  <si>
    <t>layouts</t>
  </si>
  <si>
    <t>common_layout_dir</t>
  </si>
  <si>
    <t>plots/graphs/individual</t>
  </si>
  <si>
    <t>plots/graphs/combined</t>
  </si>
  <si>
    <t>common_layout</t>
  </si>
  <si>
    <t>ext</t>
  </si>
  <si>
    <t>layout</t>
  </si>
  <si>
    <t>full_command</t>
  </si>
  <si>
    <t>reverse_complement</t>
  </si>
  <si>
    <t>width</t>
  </si>
  <si>
    <t>height</t>
  </si>
  <si>
    <t>universal</t>
  </si>
  <si>
    <t>range_args</t>
  </si>
  <si>
    <t>plots/graphs</t>
  </si>
  <si>
    <t>full_command_main</t>
  </si>
  <si>
    <t>full_command_graph</t>
  </si>
  <si>
    <t>noDSB</t>
  </si>
  <si>
    <t>label_type</t>
  </si>
  <si>
    <t>reverse_pos</t>
  </si>
  <si>
    <t>range_x0</t>
  </si>
  <si>
    <t>range_x1</t>
  </si>
  <si>
    <t>range_y0</t>
  </si>
  <si>
    <t>range_y1</t>
  </si>
  <si>
    <t>universal_layout_x_axis_args</t>
  </si>
  <si>
    <t>universal_layout_y_axis_args</t>
  </si>
  <si>
    <t>show_universal_layout_x_axes</t>
  </si>
  <si>
    <t>universal_layout_max_tick_insertion</t>
  </si>
  <si>
    <t>universal_layout_max_tick_deletion</t>
  </si>
  <si>
    <t>universal_layout_max_tick_args</t>
  </si>
  <si>
    <t>format</t>
  </si>
  <si>
    <t>individual</t>
  </si>
  <si>
    <t>combined</t>
  </si>
  <si>
    <t>html</t>
  </si>
  <si>
    <t>yjl349</t>
  </si>
  <si>
    <t>yjl350</t>
  </si>
  <si>
    <t>yjl351</t>
  </si>
  <si>
    <t>yjl352</t>
  </si>
  <si>
    <t>yjl353</t>
  </si>
  <si>
    <t>yjl354</t>
  </si>
  <si>
    <t>yjl355</t>
  </si>
  <si>
    <t>yjl356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</si>
</sst>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3" borderId="1" xfId="0" applyFont="1" applyFill="1" applyBorder="1"/>
    <xf numFmtId="0" fontId="0" fillId="0" borderId="0" xfId="0" applyFont="1"/>
    <xf numFmtId="0" fontId="0" fillId="0" borderId="0" xfId="0" applyNumberFormat="1" applyFont="1"/>
    <xf numFmtId="0" fontId="1" fillId="3" borderId="1" xfId="0" applyNumberFormat="1" applyFont="1" applyFill="1" applyBorder="1"/>
    <xf numFmtId="0" fontId="4" fillId="2" borderId="2" xfId="0" applyFont="1" applyFill="1" applyBorder="1"/>
    <xf numFmtId="0" fontId="0" fillId="4" borderId="0" xfId="0" applyFill="1"/>
  </cellXfs>
  <cellStyles count="2">
    <cellStyle name="Normal" xfId="0" builtinId="0"/>
    <cellStyle name="Normal 2" xfId="1" xr:uid="{FFD19645-61C4-4244-A560-0232B787F38C}"/>
  </cellStyles>
  <dxfs count="2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502F2F-AE2C-4D63-ADF7-F65702652EBF}" name="table_1_2" displayName="table_1_2" ref="A1:D116" totalsRowShown="0">
  <autoFilter ref="A1:D116" xr:uid="{70502F2F-AE2C-4D63-ADF7-F65702652EBF}"/>
  <tableColumns count="4">
    <tableColumn id="2" xr3:uid="{BB99DCDA-08D4-474A-ABC3-5229CEAF80CF}" name="id" dataDxfId="217">
      <calculatedColumnFormula>INT(MID(table_1_2[[#This Row],[library]], 4, 10))</calculatedColumnFormula>
    </tableColumn>
    <tableColumn id="5" xr3:uid="{5F63B290-093A-48A3-9AFC-EB2FE27DE630}" name="library"/>
    <tableColumn id="3" xr3:uid="{2D86BCFA-5DAA-4A6A-A85D-40E599330D49}" name="R1"/>
    <tableColumn id="4" xr3:uid="{617B9946-3FA0-4F18-9913-69B5E65604A1}" name="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_1" displayName="table_1" ref="A1:O173" totalsRowShown="0" headerRowDxfId="216">
  <autoFilter ref="A1:O173" xr:uid="{22A90416-B904-4D3D-A6DB-EFCB9FD1EAED}"/>
  <tableColumns count="15">
    <tableColumn id="15" xr3:uid="{A06DA701-31D6-44A5-8655-82CAD7E3082B}" name="index" dataDxfId="215"/>
    <tableColumn id="1" xr3:uid="{5C1CDEE9-AAC7-4E12-B88F-1314CF422335}" name="library"/>
    <tableColumn id="2" xr3:uid="{D4B174CF-F774-4DA7-B75D-573BC94EE10F}" name="cell"/>
    <tableColumn id="3" xr3:uid="{83898EC9-96DA-46D4-B0B8-F68C7607DCF2}" name="control"/>
    <tableColumn id="4" xr3:uid="{6C3B7ECA-FD10-45FC-8614-73CEC6144945}" name="dsb_type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214">
      <calculatedColumnFormula array="1">IF(E2="2DSB", IF(H2="R1", 67, 46), IF(E2="1DSB", IF(H2="R1", 67, 46), IF(E2="2DSBanti", IF(H2="R1", 50, 47), NA))) + IF(table_1[[#This Row],[control]]="30bpDown", 30, 0)</calculatedColumnFormula>
    </tableColumn>
    <tableColumn id="9" xr3:uid="{CCF6021C-1B60-4954-A92E-3F2848564215}" name="file_in" dataDxfId="213">
      <calculatedColumnFormula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calculatedColumnFormula>
    </tableColumn>
    <tableColumn id="10" xr3:uid="{58220462-2A11-4DAD-A247-C0871AFCFDB4}" name="file_out" dataDxfId="212">
      <calculatedColumnFormula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calculatedColumnFormula>
    </tableColumn>
    <tableColumn id="11" xr3:uid="{775EE7A9-3C78-4568-BF98-500DE451177C}" name="ref" dataDxfId="211">
      <calculatedColumnFormula>_xlfn.CONCAT(table_1[[#This Row],[dsb_type]],"_", table_1[[#This Row],[strand]],"_", table_1[[#This Row],[treatment]], ".fa")</calculatedColumnFormula>
    </tableColumn>
    <tableColumn id="12" xr3:uid="{5B945FB6-D054-40C4-AAEF-BB50B19F8936}" name="total_reads" dataDxfId="210">
      <calculatedColumnFormula>VLOOKUP(INT(MID(table_1[[#This Row],[library]], 4, 10)), table_1_2[#All], IF(table_1[[#This Row],[strand]]="R1", 3, 4))</calculatedColumnFormula>
    </tableColumn>
    <tableColumn id="13" xr3:uid="{66485B06-471E-47D3-BA91-FC751F58FA5A}" name="min_length" dataDxfId="0">
      <calculatedColumnFormula>IF(LEFT(table_1[[#This Row],[dsb_type]], 1) = "2", 50, 130)</calculatedColumnFormula>
    </tableColumn>
    <tableColumn id="14" xr3:uid="{DF3C46EA-690D-4E6A-99CF-BBC2B2F74AFF}" name="command_filter_nhej" dataDxfId="209">
      <calculatedColumnFormula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_2_1" displayName="table_2_1" ref="A1:S41" totalsRowShown="0" headerRowDxfId="208">
  <autoFilter ref="A1:S41" xr:uid="{DE05925F-1FF6-4367-AF1E-BAECCA464E36}"/>
  <tableColumns count="19">
    <tableColumn id="1" xr3:uid="{C373869E-A92E-4B06-B8E5-C5A873420ED4}" name="index" dataDxfId="207"/>
    <tableColumn id="2" xr3:uid="{A28AAC50-FA09-494A-B052-8489F07A5A70}" name="ref" dataDxfId="206">
      <calculatedColumnFormula>OFFSET(table_1[ref], 4 * (table_2_1[[#This Row],[index]] - 1), 0, 1, 1)</calculatedColumnFormula>
    </tableColumn>
    <tableColumn id="18" xr3:uid="{07D57089-9737-4983-8884-C4ACCDCFF6CB}" name="control" dataDxfId="205">
      <calculatedColumnFormula>OFFSET(table_1[control], 4 * (table_2_1[[#This Row],[index]] - 1), 0, 1, 1)</calculatedColumnFormula>
    </tableColumn>
    <tableColumn id="19" xr3:uid="{C6423FEA-272F-48D3-BC6A-909FCA937DA9}" name="dsb_type" dataDxfId="204">
      <calculatedColumnFormula>OFFSET(table_1[dsb_type], 4 * (table_2_1[[#This Row],[index]] - 1), 0, 1, 1)</calculatedColumnFormula>
    </tableColumn>
    <tableColumn id="3" xr3:uid="{B8F61088-5FFA-4860-BF4E-1BFB301A31D9}" name="dsb_pos" dataDxfId="203">
      <calculatedColumnFormula>OFFSET(table_1[dsb_pos], 4 * (table_2_1[[#This Row],[index]] - 1), 0, 1, 1)</calculatedColumnFormula>
    </tableColumn>
    <tableColumn id="4" xr3:uid="{524D5B3D-BB20-420D-B7E9-93A7F77CA728}" name="cell" dataDxfId="202">
      <calculatedColumnFormula>OFFSET(table_1[cell], 4 * (table_2_1[[#This Row],[index]] - 1), 0, 1, 1)</calculatedColumnFormula>
    </tableColumn>
    <tableColumn id="5" xr3:uid="{CC918D20-5D79-4223-9717-2CA0EFFA213F}" name="strand" dataDxfId="201">
      <calculatedColumnFormula>OFFSET(table_1[strand], 4 * (table_2_1[[#This Row],[index]] - 1), 0, 1, 1)</calculatedColumnFormula>
    </tableColumn>
    <tableColumn id="6" xr3:uid="{B2851465-D533-4787-80C4-E844BB2ABB8C}" name="treatment" dataDxfId="200">
      <calculatedColumnFormula>OFFSET(table_1[treatment], 4 * (table_2_1[[#This Row],[index]] - 1), 0, 1, 1)</calculatedColumnFormula>
    </tableColumn>
    <tableColumn id="7" xr3:uid="{849BE448-7739-4815-A2C5-5843F62D83D7}" name="hguide" dataDxfId="199">
      <calculatedColumnFormula>OFFSET(table_1[hguide], 4 * (table_2_1[[#This Row],[index]] - 1), 0, 1, 1)</calculatedColumnFormula>
    </tableColumn>
    <tableColumn id="8" xr3:uid="{343716D9-C3A9-4F90-A58A-42B1B9C79EBF}" name="output_dir" dataDxfId="198">
      <calculatedColumnFormula>_xlfn.CONCAT(table_2_1[[#This Row],[cell]], "_", table_2_1[[#This Row],[hguide]], "_", table_2_1[[#This Row],[strand]], "_", table_2_1[[#This Row],[treatment]], IF(table_2_1[[#This Row],[control]]&lt;&gt;"none",_xlfn.CONCAT("_", table_2_1[[#This Row],[control]]), ""))</calculatedColumnFormula>
    </tableColumn>
    <tableColumn id="9" xr3:uid="{D29558AA-D418-4CDD-81AE-A987E7BC501D}" name="input_1" dataDxfId="197">
      <calculatedColumnFormula array="1">OFFSET(table_1[[file_out]:[file_out]], 4 * (table_2_1[[#This Row],[index]:[index]] - 1) + COLUMN() - 11, 0, 1, 1)</calculatedColumnFormula>
    </tableColumn>
    <tableColumn id="22" xr3:uid="{3F29C0D1-58A3-430E-AAAA-9F679DCA46D6}" name="input_2">
      <calculatedColumnFormula array="1">OFFSET(table_1[[file_out]:[file_out]], 4 * (table_2_1[[#This Row],[index]:[index]] - 1) + COLUMN() - 11, 0, 1, 1)</calculatedColumnFormula>
    </tableColumn>
    <tableColumn id="21" xr3:uid="{03321492-1D32-4978-AEDA-60BEF04309AE}" name="input_3">
      <calculatedColumnFormula array="1">OFFSET(table_1[[file_out]:[file_out]], 4 * (table_2_1[[#This Row],[index]:[index]] - 1) + COLUMN() - 11, 0, 1, 1)</calculatedColumnFormula>
    </tableColumn>
    <tableColumn id="20" xr3:uid="{28521A62-94B3-4C7C-AF90-F4E2F4163D29}" name="input_4">
      <calculatedColumnFormula array="1">OFFSET(table_1[[file_out]:[file_out]], 4 * (table_2_1[[#This Row],[index]:[index]] - 1) + COLUMN() - 11, 0, 1, 1)</calculatedColumnFormula>
    </tableColumn>
    <tableColumn id="10" xr3:uid="{E2ABF5A3-B032-47F7-9141-9F269EFD9D49}" name="total_reads_1" dataDxfId="196">
      <calculatedColumnFormula array="1">OFFSET(table_1[[total_reads]:[total_reads]], 4 * (table_2_1[[#This Row],[index]:[index]] - 1) + COLUMN() - 15, 0, 1, 1)</calculatedColumnFormula>
    </tableColumn>
    <tableColumn id="12" xr3:uid="{C7B1BE14-3BD6-413B-8575-DE9712F9761A}" name="total_reads_2" dataDxfId="195">
      <calculatedColumnFormula array="1">OFFSET(table_1[[total_reads]:[total_reads]], 4 * (table_2_1[[#This Row],[index]:[index]] - 1) + COLUMN() - 15, 0, 1, 1)</calculatedColumnFormula>
    </tableColumn>
    <tableColumn id="14" xr3:uid="{6A8CE344-45B9-42E3-95D8-8EB6A485D968}" name="total_reads_3" dataDxfId="194">
      <calculatedColumnFormula array="1">OFFSET(table_1[[total_reads]:[total_reads]], 4 * (table_2_1[[#This Row],[index]:[index]] - 1) + COLUMN() - 15, 0, 1, 1)</calculatedColumnFormula>
    </tableColumn>
    <tableColumn id="16" xr3:uid="{AC170216-9CAE-43B8-A8E2-8FE1529F6D55}" name="total_reads_4" dataDxfId="193">
      <calculatedColumnFormula array="1">OFFSET(table_1[[total_reads]:[total_reads]], 4 * (table_2_1[[#This Row],[index]:[index]] - 1) + COLUMN() - 15, 0, 1, 1)</calculatedColumnFormula>
    </tableColumn>
    <tableColumn id="17" xr3:uid="{A285A0DD-6F6D-404D-AE2A-0D1FC3DDB459}" name="command" dataDxfId="192">
      <calculatedColumnFormula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_2_2" displayName="table_2_2" ref="A44:M56" totalsRowShown="0">
  <autoFilter ref="A44:M56" xr:uid="{7D969AC7-2D2F-45B0-BA99-D174130B0A52}"/>
  <tableColumns count="13">
    <tableColumn id="1" xr3:uid="{D612E3DF-AA8E-4EE0-9306-7903B4821992}" name="index" dataDxfId="191"/>
    <tableColumn id="2" xr3:uid="{B00239B6-16E0-4472-B8C9-F25D625D21DD}" name="ref" dataDxfId="190">
      <calculatedColumnFormula>OFFSET(table_1[ref], table_2_2[[#This Row],[index]] +  var_2_nodsb_offset - 1, 0, 1, 1)</calculatedColumnFormula>
    </tableColumn>
    <tableColumn id="3" xr3:uid="{47FE94A7-C208-4138-B063-127D4AE215A0}" name="control" dataDxfId="189">
      <calculatedColumnFormula>OFFSET(table_1[control], table_2_2[[#This Row],[index]] +  var_2_nodsb_offset - 1, 0, 1, 1)</calculatedColumnFormula>
    </tableColumn>
    <tableColumn id="4" xr3:uid="{43B4F550-AB35-4206-AAAB-820BBA723DEA}" name="dsb_type" dataDxfId="188">
      <calculatedColumnFormula>OFFSET(table_1[dsb_type], table_2_2[[#This Row],[index]] +  var_2_nodsb_offset - 1, 0, 1, 1)</calculatedColumnFormula>
    </tableColumn>
    <tableColumn id="5" xr3:uid="{7233C674-8249-48C9-814C-599A94DF6097}" name="dsb_pos" dataDxfId="187">
      <calculatedColumnFormula>OFFSET(table_1[dsb_pos], table_2_2[[#This Row],[index]] +  var_2_nodsb_offset - 1, 0, 1, 1)</calculatedColumnFormula>
    </tableColumn>
    <tableColumn id="6" xr3:uid="{8FD419DF-3888-4BC8-ACF7-F31E7AB24754}" name="cell" dataDxfId="186">
      <calculatedColumnFormula>OFFSET(table_1[cell], table_2_2[[#This Row],[index]] +  var_2_nodsb_offset - 1, 0, 1, 1)</calculatedColumnFormula>
    </tableColumn>
    <tableColumn id="7" xr3:uid="{612FF909-1004-49E1-BC8F-F65A8C97EEFC}" name="strand" dataDxfId="185">
      <calculatedColumnFormula>OFFSET(table_1[strand], table_2_2[[#This Row],[index]] +  var_2_nodsb_offset - 1, 0, 1, 1)</calculatedColumnFormula>
    </tableColumn>
    <tableColumn id="8" xr3:uid="{C57AB4D7-F308-46D6-8F19-069619F8CF1B}" name="treatment" dataDxfId="184">
      <calculatedColumnFormula>OFFSET(table_1[treatment], table_2_2[[#This Row],[index]] +  var_2_nodsb_offset - 1, 0, 1, 1)</calculatedColumnFormula>
    </tableColumn>
    <tableColumn id="9" xr3:uid="{27DAC4C9-BDB2-4621-A4F1-0094D063284E}" name="hguide" dataDxfId="183">
      <calculatedColumnFormula>OFFSET(table_1[hguide], table_2_2[[#This Row],[index]] +  var_2_nodsb_offset - 1, 0, 1, 1)</calculatedColumnFormula>
    </tableColumn>
    <tableColumn id="10" xr3:uid="{E0E9E8C1-4E85-4EFB-8220-84140FBAAF8E}" name="output_dir" dataDxfId="182">
      <calculatedColumnFormula>_xlfn.CONCAT(table_2_2[[#This Row],[cell]], "_", table_2_2[[#This Row],[hguide]], "_", table_2_2[[#This Row],[strand]], "_", table_2_2[[#This Row],[treatment]], "_nodsb")</calculatedColumnFormula>
    </tableColumn>
    <tableColumn id="11" xr3:uid="{CAC474F1-3930-4766-B491-65C86C5752E8}" name="input" dataDxfId="181">
      <calculatedColumnFormula>OFFSET(table_1[file_out], table_2_2[[#This Row],[index]] +  var_2_nodsb_offset - 1, 0, 1, 1)</calculatedColumnFormula>
    </tableColumn>
    <tableColumn id="12" xr3:uid="{BB84920E-3487-4670-93ED-5671EACD3061}" name="total_reads" dataDxfId="180">
      <calculatedColumnFormula>OFFSET(table_1[total_reads], table_2_2[[#This Row],[index]] +  var_2_nodsb_offset - 1, 0, 1, 1)</calculatedColumnFormula>
    </tableColumn>
    <tableColumn id="13" xr3:uid="{0CE6DAF6-0C4C-4EC5-8FE5-9B3840A02412}" name="command" dataDxfId="179">
      <calculatedColumnFormula>_xlfn.CONCAT("python 1_process_nhej/combine_repeats.py -i ", libraries_2, "/", table_2_2[[#This Row],[input]], ".tsv ", " --total_reads ", table_2_2[[#This Row],[total_reads]], " -o ", libraries_3, "/", table_2_2[[#This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_3_1" displayName="table_3_1" ref="A1:N41" totalsRowShown="0" headerRowDxfId="178">
  <autoFilter ref="A1:N41" xr:uid="{5C7BFDB7-8825-4FA5-A5E3-550303D41F99}"/>
  <tableColumns count="14">
    <tableColumn id="25" xr3:uid="{93D2F09B-24D5-4FE1-BF34-C037E361889F}" name="index" dataDxfId="177"/>
    <tableColumn id="1" xr3:uid="{2F28DC66-449D-4F81-AA63-8F24B25F33D1}" name="dir" dataDxfId="176">
      <calculatedColumnFormula>OFFSET(table_2_1[output_dir], table_3_1[[#This Row],[index]] - 1, 0, 1, 1)</calculatedColumnFormula>
    </tableColumn>
    <tableColumn id="13" xr3:uid="{3DF6F698-1F9A-4B05-A310-657CCFCE9F66}" name="control" dataDxfId="175">
      <calculatedColumnFormula>OFFSET(table_2_1[control], table_3_1[[#This Row],[index]] - 1, 0, 1, 1)</calculatedColumnFormula>
    </tableColumn>
    <tableColumn id="2" xr3:uid="{362C2395-52F7-4A62-B7BA-2DD97ED5E6FB}" name="ref" dataDxfId="174">
      <calculatedColumnFormula>OFFSET(table_2_1[ref], table_3_1[[#This Row],[index]] - 1, 0, 1, 1)</calculatedColumnFormula>
    </tableColumn>
    <tableColumn id="3" xr3:uid="{5F0895D9-2EF2-4524-8BC7-15A33FE68636}" name="dsb_pos" dataDxfId="173">
      <calculatedColumnFormula>OFFSET(table_2_1[dsb_pos], table_3_1[[#This Row],[index]] - 1, 0, 1, 1)</calculatedColumnFormula>
    </tableColumn>
    <tableColumn id="4" xr3:uid="{C6D28829-46E6-4D97-8EA4-0AD12EF6CF10}" name="dsb_type" dataDxfId="172">
      <calculatedColumnFormula>OFFSET(table_2_1[dsb_type], table_3_1[[#This Row],[index]] - 1, 0, 1, 1)</calculatedColumnFormula>
    </tableColumn>
    <tableColumn id="12" xr3:uid="{E8B2E211-C273-4602-86F0-60EA4259B7A4}" name="dsb_type_command" dataDxfId="171">
      <calculatedColumnFormula array="1">IF(table_3_1[[#This Row],[dsb_type]]="2DSB", "2", IF(table_3_1[[#This Row],[dsb_type]]="2DSBanti", "2a", IF(table_3_1[[#This Row],[dsb_type]]="1DSB", "1", NA)))</calculatedColumnFormula>
    </tableColumn>
    <tableColumn id="5" xr3:uid="{15578E86-B7BE-4D8E-8FD4-E6C9C4F35C9C}" name="strand" dataDxfId="170">
      <calculatedColumnFormula>OFFSET(table_2_1[strand], table_3_1[[#This Row],[index]] - 1, 0, 1, 1)</calculatedColumnFormula>
    </tableColumn>
    <tableColumn id="6" xr3:uid="{3366AC40-6578-4797-B607-19265E7DBF5C}" name="hguide" dataDxfId="169">
      <calculatedColumnFormula>MID(OFFSET(table_2_1[hguide], table_3_1[[#This Row],[index]] - 1, 0, 1, 1), 3, 100)</calculatedColumnFormula>
    </tableColumn>
    <tableColumn id="7" xr3:uid="{554F4E79-98DE-474B-A5C8-D4B536772E95}" name="cell" dataDxfId="168">
      <calculatedColumnFormula>OFFSET(table_2_1[cell], table_3_1[[#This Row],[index]] - 1, 0, 1, 1)</calculatedColumnFormula>
    </tableColumn>
    <tableColumn id="8" xr3:uid="{32FC5061-DD85-4234-9ED8-FEAF6D9E3BC0}" name="treatment" dataDxfId="167">
      <calculatedColumnFormula>OFFSET(table_2_1[treatment], table_3_1[[#This Row],[index]] - 1, 0, 1, 1)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166">
      <calculatedColumnFormula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calculatedColumnFormula>
    </tableColumn>
    <tableColumn id="11" xr3:uid="{4A65279E-321E-4E3E-8383-26D448C2012F}" name="command_graph_data" dataDxfId="165">
      <calculatedColumnFormula>_xlfn.CONCAT("python 2_graph_processing/make_graph_data.py", " --subst_type ", table_3_1[[#This Row],[subst_type]], " -dir ", libraries_4, "/", table_3_1[[#This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5160C95-D2BA-47CB-B22B-E91EC7D3F498}" name="table_3_2" displayName="table_3_2" ref="A43:N55" totalsRowShown="0" headerRowDxfId="164">
  <autoFilter ref="A43:N55" xr:uid="{D5160C95-D2BA-47CB-B22B-E91EC7D3F498}"/>
  <tableColumns count="14">
    <tableColumn id="25" xr3:uid="{B2894846-EBB9-47DC-8DE1-7F1DA571A0B9}" name="index" dataDxfId="163"/>
    <tableColumn id="1" xr3:uid="{98269DFC-71F0-4066-B063-59597431C1C3}" name="dir" dataDxfId="162">
      <calculatedColumnFormula>OFFSET(table_2_2[output_dir], table_3_2[[#This Row],[index]] - 1, 0, 1, 1)</calculatedColumnFormula>
    </tableColumn>
    <tableColumn id="13" xr3:uid="{EB55B964-D8E2-4E0C-B7CF-07043E026664}" name="control" dataDxfId="161">
      <calculatedColumnFormula>OFFSET(table_2_2[control], table_3_2[[#This Row],[index]] - 1, 0, 1, 1)</calculatedColumnFormula>
    </tableColumn>
    <tableColumn id="2" xr3:uid="{7A83EC55-03CE-4608-92D6-6F1C53B539FE}" name="ref" dataDxfId="160">
      <calculatedColumnFormula>OFFSET(table_2_2[ref], table_3_2[[#This Row],[index]] - 1, 0, 1, 1)</calculatedColumnFormula>
    </tableColumn>
    <tableColumn id="3" xr3:uid="{13E984FC-9FD2-479F-AB4C-B74DDF5FD234}" name="dsb_pos" dataDxfId="159">
      <calculatedColumnFormula>OFFSET(table_2_2[dsb_pos], table_3_2[[#This Row],[index]] - 1, 0, 1, 1)</calculatedColumnFormula>
    </tableColumn>
    <tableColumn id="4" xr3:uid="{EF0F2447-2FA1-4517-A5CE-D8DDAAC8D3F2}" name="dsb_type" dataDxfId="158">
      <calculatedColumnFormula>OFFSET(table_2_2[dsb_type], table_3_2[[#This Row],[index]] - 1, 0, 1, 1)</calculatedColumnFormula>
    </tableColumn>
    <tableColumn id="12" xr3:uid="{A1849AE1-952B-42B5-99EE-20BD2E4C5A6A}" name="dsb_type_command" dataDxfId="157">
      <calculatedColumnFormula array="1">IF(table_3_2[[#This Row],[dsb_type]]="2DSB", "2", IF(table_3_2[[#This Row],[dsb_type]]="2DSBanti", "2a", IF(table_3_2[[#This Row],[dsb_type]]="1DSB", "1", NA)))</calculatedColumnFormula>
    </tableColumn>
    <tableColumn id="5" xr3:uid="{625E12FC-BF17-4E65-99DB-EDD53FEF055D}" name="strand" dataDxfId="156">
      <calculatedColumnFormula>OFFSET(table_2_2[strand], table_3_2[[#This Row],[index]] - 1, 0, 1, 1)</calculatedColumnFormula>
    </tableColumn>
    <tableColumn id="6" xr3:uid="{0ABF747E-328F-4A80-85AA-4AF871C860C1}" name="hguide" dataDxfId="155">
      <calculatedColumnFormula>MID(OFFSET(table_2_2[hguide], table_3_2[[#This Row],[index]] - 1, 0, 1, 1), 3, 100)</calculatedColumnFormula>
    </tableColumn>
    <tableColumn id="7" xr3:uid="{29D6C48B-05B8-42C6-88A9-0939BC454FE0}" name="cell" dataDxfId="154">
      <calculatedColumnFormula>OFFSET(table_2_2[cell], table_3_2[[#This Row],[index]] - 1, 0, 1, 1)</calculatedColumnFormula>
    </tableColumn>
    <tableColumn id="8" xr3:uid="{BD269EBE-94A9-4B57-B984-C7566AC259DE}" name="treatment" dataDxfId="153">
      <calculatedColumnFormula>OFFSET(table_2_2[treatment], table_3_2[[#This Row],[index]] - 1, 0, 1, 1)</calculatedColumnFormula>
    </tableColumn>
    <tableColumn id="9" xr3:uid="{142C480D-E258-4979-A008-3940A3FE78E4}" name="subst_type">
      <calculatedColumnFormula>subst_type</calculatedColumnFormula>
    </tableColumn>
    <tableColumn id="10" xr3:uid="{19804410-83AB-479E-A819-2D7449105C25}" name="command_main_data" dataDxfId="152">
      <calculatedColumnFormula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calculatedColumnFormula>
    </tableColumn>
    <tableColumn id="11" xr3:uid="{212A69BD-0F88-401C-957F-8B6EC8E55AED}" name="command_graph_data" dataDxfId="151">
      <calculatedColumnFormula>_xlfn.CONCAT("python 2_graph_processing/make_graph_data.py", " --subst_type ", table_3_2[[#This Row],[subst_type]], " -dir ", libraries_4, "/", table_3_2[[#This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_4_1" displayName="table_4_1" ref="A1:K17" totalsRowShown="0" headerRowDxfId="150">
  <autoFilter ref="A1:K17" xr:uid="{3ADBC687-3D92-491E-B36B-6CC1BB3B3380}"/>
  <tableColumns count="11">
    <tableColumn id="1" xr3:uid="{B7EC223D-BA24-48F1-9EE3-DC56DEFDE4C2}" name="index" dataDxfId="149"/>
    <tableColumn id="7" xr3:uid="{D9F1ADDA-18A2-4F81-862D-6B0F786079FF}" name="control" dataDxfId="148">
      <calculatedColumnFormula>OFFSET(table_3_1[control], 3 * QUOTIENT(table_4_1[[#This Row],[index]] - 1, 2), 0, 1, 1)</calculatedColumnFormula>
    </tableColumn>
    <tableColumn id="8" xr3:uid="{0EA5A81F-6EA1-4256-9717-03273165F7BF}" name="treatment_1" dataDxfId="147">
      <calculatedColumnFormula>OFFSET(table_3_1[treatment], 3 * QUOTIENT(table_4_1[[#This Row],[index]] - 1, 2), 0, 1, 1)</calculatedColumnFormula>
    </tableColumn>
    <tableColumn id="2" xr3:uid="{5F6D005A-96D8-4801-93E2-101BAE551BA8}" name="dir_1" dataDxfId="146">
      <calculatedColumnFormula>OFFSET(table_3_1[dir], 3 * QUOTIENT(table_4_1[[#This Row],[index]] - 1, 2), 0, 1, 1)</calculatedColumnFormula>
    </tableColumn>
    <tableColumn id="9" xr3:uid="{C21D1AF7-7ABE-4181-AA2A-42227869A8DD}" name="treatment_2" dataDxfId="145">
      <calculatedColumnFormula>OFFSET(table_3_1[treatment], 3 * QUOTIENT(table_4_1[[#This Row],[index]] - 1, 2) + 1 + MOD(table_4_1[[#This Row],[index]] - 1, 2), 0, 1, 1)</calculatedColumnFormula>
    </tableColumn>
    <tableColumn id="3" xr3:uid="{D66426AC-E0B2-4B07-A4D4-5A74AA033E80}" name="dir_2" dataDxfId="144">
      <calculatedColumnFormula>OFFSET(table_3_1[dir], 3 * QUOTIENT(table_4_1[[#This Row],[index]] - 1, 2) + 1 + MOD(table_4_1[[#This Row],[index]] - 1, 2), 0, 1, 1)</calculatedColumnFormula>
    </tableColumn>
    <tableColumn id="10" xr3:uid="{0C8146A0-DC77-4DC4-82FF-74F4C74CF33E}" name="treatments_out" dataDxfId="143">
      <calculatedColumnFormula>_xlfn.CONCAT(table_4_1[[#This Row],[treatment_1]], "_", table_4_1[[#This Row],[treatment_2]])</calculatedColumnFormula>
    </tableColumn>
    <tableColumn id="4" xr3:uid="{519A6397-7A3C-4009-B8B9-A71C0B3A591B}" name="dir_out" dataDxfId="142">
      <calculatedColumnFormula>SUBSTITUTE(table_4_1[[#This Row],[dir_1]], table_4_1[[#This Row],[treatment_1]], table_4_1[[#This Row],[treatments_out]])</calculatedColumnFormula>
    </tableColumn>
    <tableColumn id="5" xr3:uid="{E1629355-7D02-4819-98A1-EEB3B5FADE18}" name="subst_type" dataDxfId="141">
      <calculatedColumnFormula>subst_type</calculatedColumnFormula>
    </tableColumn>
    <tableColumn id="6" xr3:uid="{BC9117A0-CB6F-4D3C-A0E4-BF8395854D9A}" name="command_main_data_combined" dataDxfId="140">
      <calculatedColumnFormula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calculatedColumnFormula>
    </tableColumn>
    <tableColumn id="11" xr3:uid="{D384013E-9937-4DD8-A36A-43325757359B}" name="command_graph_data" dataDxfId="139">
      <calculatedColumnFormula>_xlfn.CONCAT("python 2_graph_processing/make_graph_data.py", " --subst_type ", table_4_1[[#This Row],[subst_type]], " -dir ", libraries_4, "/", table_4_1[[#This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_4_2" displayName="table_4_2" ref="A20:K22" totalsRowShown="0" headerRowDxfId="138">
  <autoFilter ref="A20:K22" xr:uid="{44E39C67-02E4-4910-8670-BA7FFCEEEAF8}"/>
  <tableColumns count="11">
    <tableColumn id="1" xr3:uid="{7F5A3A15-751D-407C-A035-61B2605E693F}" name="index" dataDxfId="137"/>
    <tableColumn id="7" xr3:uid="{45863AB0-FD32-49FE-B4BF-F8EE865F7604}" name="control" dataDxfId="136">
      <calculatedColumnFormula>OFFSET(table_3_1[control], var_4_anti_offset + 2 * (table_4_2[[#This Row],[index]] - 1), 0, 1, 1)</calculatedColumnFormula>
    </tableColumn>
    <tableColumn id="8" xr3:uid="{CD16648D-267E-410B-A366-3E12367C037C}" name="treatment_1" dataDxfId="135">
      <calculatedColumnFormula>OFFSET(table_3_1[treatment], var_4_anti_offset - 1 + 2 * (table_4_2[[#This Row],[index]] - 1), 0, 1, 1)</calculatedColumnFormula>
    </tableColumn>
    <tableColumn id="2" xr3:uid="{10C9F90E-86FD-4BFE-939E-298FD6F69F12}" name="dir_1" dataDxfId="134">
      <calculatedColumnFormula>OFFSET(table_3_1[dir], var_4_anti_offset - 1 + 2 * (table_4_2[[#This Row],[index]] - 1), 0, 1, 1)</calculatedColumnFormula>
    </tableColumn>
    <tableColumn id="9" xr3:uid="{7AB3E4AB-F43B-4FDE-96D7-FBBB4A8B83BE}" name="treatment_2" dataDxfId="133">
      <calculatedColumnFormula>OFFSET(table_3_1[treatment], var_4_anti_offset - 1 + 2 * (table_4_2[[#This Row],[index]] - 1) + 1, 0, 1, 1)</calculatedColumnFormula>
    </tableColumn>
    <tableColumn id="3" xr3:uid="{BF948A3E-9649-41BF-A7E7-57BFDE810FE9}" name="dir_2" dataDxfId="132">
      <calculatedColumnFormula>OFFSET(table_3_1[dir], var_4_anti_offset - 1 + 2 * (table_4_2[[#This Row],[index]] - 1) + 1, 0, 1, 1)</calculatedColumnFormula>
    </tableColumn>
    <tableColumn id="10" xr3:uid="{378119E5-F021-4785-A653-4D632F029AA6}" name="treatments_out" dataDxfId="131">
      <calculatedColumnFormula>_xlfn.CONCAT(table_4_2[[#This Row],[treatment_1]], "_", table_4_2[[#This Row],[treatment_2]])</calculatedColumnFormula>
    </tableColumn>
    <tableColumn id="4" xr3:uid="{AE1A14DC-D0C9-4818-B8CC-09A571E73BC2}" name="dir_out" dataDxfId="130">
      <calculatedColumnFormula>SUBSTITUTE(table_4_2[[#This Row],[dir_1]], table_4_2[[#This Row],[treatment_1]], table_4_2[[#This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129">
      <calculatedColumnFormula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calculatedColumnFormula>
    </tableColumn>
    <tableColumn id="11" xr3:uid="{E19D3001-2E76-4CC2-BF33-D0465C77D538}" name="command_graph_data" dataDxfId="128">
      <calculatedColumnFormula>_xlfn.CONCAT("python 2_graph_processing/make_graph_data.py", " --subst_type ", table_4_2[[#This Row],[subst_type]], " -dir ", libraries_4, "/", table_4_2[[#This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35E6FC-E7CD-464B-90E4-DB03DC258109}" name="table_4_3" displayName="table_4_3" ref="A25:K33" totalsRowShown="0" headerRowDxfId="127">
  <autoFilter ref="A25:K33" xr:uid="{7D35E6FC-E7CD-464B-90E4-DB03DC258109}"/>
  <tableColumns count="11">
    <tableColumn id="1" xr3:uid="{33AF3495-7432-4F03-9832-525A370EADEC}" name="index" dataDxfId="126"/>
    <tableColumn id="7" xr3:uid="{3D66515C-5022-4D48-A834-4320DA4E73F6}" name="control" dataDxfId="125">
      <calculatedColumnFormula>OFFSET(table_3_2[control], 3 * QUOTIENT(table_4_3[[#This Row],[index]] - 1, 2), 0, 1, 1)</calculatedColumnFormula>
    </tableColumn>
    <tableColumn id="8" xr3:uid="{294B17A9-F0F9-42CA-8342-55C00648E3A5}" name="treatment_1" dataDxfId="124">
      <calculatedColumnFormula>OFFSET(table_3_2[treatment], 3 * QUOTIENT(table_4_3[[#This Row],[index]] - 1, 2), 0, 1, 1)</calculatedColumnFormula>
    </tableColumn>
    <tableColumn id="2" xr3:uid="{E13C38CF-C105-4AB5-8602-7D32E688C737}" name="dir_1" dataDxfId="123">
      <calculatedColumnFormula>OFFSET(table_3_2[dir], 3 * QUOTIENT(table_4_3[[#This Row],[index]] - 1, 2), 0, 1, 1)</calculatedColumnFormula>
    </tableColumn>
    <tableColumn id="9" xr3:uid="{15B3CC7F-2A3C-4026-8417-A9DD21E4F004}" name="treatment_2" dataDxfId="122">
      <calculatedColumnFormula>OFFSET(table_3_2[treatment], 3 * QUOTIENT(table_4_3[[#This Row],[index]] - 1, 2) + 1 + MOD(table_4_3[[#This Row],[index]] - 1, 2), 0, 1, 1)</calculatedColumnFormula>
    </tableColumn>
    <tableColumn id="3" xr3:uid="{FF7D9AD3-1A35-4013-88AE-0C00465033CD}" name="dir_2" dataDxfId="121">
      <calculatedColumnFormula>OFFSET(table_3_2[dir], 3 * QUOTIENT(table_4_3[[#This Row],[index]] - 1, 2) + 1 + MOD(table_4_3[[#This Row],[index]] - 1, 2), 0, 1, 1)</calculatedColumnFormula>
    </tableColumn>
    <tableColumn id="10" xr3:uid="{9353B2D3-0D23-4FBB-AFEC-EB68549160F4}" name="treatments_out" dataDxfId="120">
      <calculatedColumnFormula>_xlfn.CONCAT(table_4_3[[#This Row],[treatment_1]], "_", table_4_3[[#This Row],[treatment_2]])</calculatedColumnFormula>
    </tableColumn>
    <tableColumn id="4" xr3:uid="{77F1D6F0-DE95-4E63-9E7E-D3CA3CF85F37}" name="dir_out" dataDxfId="119">
      <calculatedColumnFormula>SUBSTITUTE(table_4_3[[#This Row],[dir_1]], table_4_3[[#This Row],[treatment_1]], table_4_3[[#This Row],[treatments_out]])</calculatedColumnFormula>
    </tableColumn>
    <tableColumn id="5" xr3:uid="{BBF4F840-178E-461E-8C17-36D699EDE038}" name="subst_type" dataDxfId="118">
      <calculatedColumnFormula>subst_type</calculatedColumnFormula>
    </tableColumn>
    <tableColumn id="6" xr3:uid="{9434BF8B-81C5-43DF-BCB7-FA7146BF2FE8}" name="command_main_data_combined" dataDxfId="117">
      <calculatedColumnFormula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calculatedColumnFormula>
    </tableColumn>
    <tableColumn id="11" xr3:uid="{1ABF0B7B-4ECE-42BF-A7D8-EA13E98144EE}" name="command_graph_data" dataDxfId="116">
      <calculatedColumnFormula>_xlfn.CONCAT("python 2_graph_processing/make_graph_data.py", " --subst_type ", table_4_3[[#This Row],[subst_type]], " -dir ", libraries_4, "/", table_4_3[[#This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_5_1" displayName="table_5_1" ref="A1:O41" totalsRowShown="0" headerRowDxfId="115">
  <autoFilter ref="A1:O41" xr:uid="{73BF8355-0AB0-4422-8F65-2A32E222946E}"/>
  <tableColumns count="15">
    <tableColumn id="25" xr3:uid="{43F57146-0E56-46F3-A0E3-717A41010F4A}" name="index" dataDxfId="114"/>
    <tableColumn id="1" xr3:uid="{B0B3F6B0-7577-49AC-B865-1E873B4DC53C}" name="dir" dataDxfId="113">
      <calculatedColumnFormula>table_3_1[[#This Row],[dir]]</calculatedColumnFormula>
    </tableColumn>
    <tableColumn id="13" xr3:uid="{D04F356F-9288-416D-ACDA-6BFE128B70D7}" name="control" dataDxfId="112">
      <calculatedColumnFormula>table_3_1[[#This Row],[control]]</calculatedColumnFormula>
    </tableColumn>
    <tableColumn id="2" xr3:uid="{9C168B22-F534-40D4-947C-918239C33FD9}" name="ref" dataDxfId="111">
      <calculatedColumnFormula>table_3_1[[#This Row],[ref]]</calculatedColumnFormula>
    </tableColumn>
    <tableColumn id="3" xr3:uid="{6F64477B-0C66-4251-9156-22307A6D70A0}" name="dsb_pos" dataDxfId="110">
      <calculatedColumnFormula>table_3_1[[#This Row],[dsb_pos]]</calculatedColumnFormula>
    </tableColumn>
    <tableColumn id="4" xr3:uid="{D037F4F2-543F-4D7D-AB36-0B253FD61B0D}" name="dsb_type" dataDxfId="109">
      <calculatedColumnFormula>table_3_1[[#This Row],[dsb_type]]</calculatedColumnFormula>
    </tableColumn>
    <tableColumn id="12" xr3:uid="{407AC5E6-13CB-409A-8E78-64B8CC121882}" name="dsb_type_command" dataDxfId="108">
      <calculatedColumnFormula>table_3_1[[#This Row],[dsb_type_command]]</calculatedColumnFormula>
    </tableColumn>
    <tableColumn id="5" xr3:uid="{1A24C844-2A10-4394-818F-0C25A569B414}" name="strand" dataDxfId="107">
      <calculatedColumnFormula>table_3_1[[#This Row],[strand]]</calculatedColumnFormula>
    </tableColumn>
    <tableColumn id="6" xr3:uid="{4F0A02F9-5555-489E-BA41-E3CBF81D1114}" name="hguide" dataDxfId="106">
      <calculatedColumnFormula>table_3_1[[#This Row],[hguide]]</calculatedColumnFormula>
    </tableColumn>
    <tableColumn id="7" xr3:uid="{FAE741F2-7C1B-41F2-8875-9F7A2EF40A54}" name="cell" dataDxfId="105">
      <calculatedColumnFormula>table_3_1[[#This Row],[cell]]</calculatedColumnFormula>
    </tableColumn>
    <tableColumn id="8" xr3:uid="{FE3ED128-2534-43D1-9244-11AB1FB57650}" name="treatment" dataDxfId="104">
      <calculatedColumnFormula>table_3_1[[#This Row],[treatment]]</calculatedColumnFormula>
    </tableColumn>
    <tableColumn id="9" xr3:uid="{65ACBC9C-0EC8-4074-B310-05F4B70BFAD5}" name="subst_type" dataDxfId="103">
      <calculatedColumnFormula>"with"</calculatedColumnFormula>
    </tableColumn>
    <tableColumn id="11" xr3:uid="{1D971CC2-F378-4E62-9759-F7168770AA64}" name="label_type" dataDxfId="102">
      <calculatedColumnFormula>IF(table_5_1[[#This Row],[control]]="30bpDown", "absolute", "relative")</calculatedColumnFormula>
    </tableColumn>
    <tableColumn id="14" xr3:uid="{8241431B-CE1C-49A4-B13E-77512D442338}" name="reverse_pos" dataDxfId="101">
      <calculatedColumnFormula>IF(table_5_1[[#This Row],[strand]]="R2", " -rp ", "")</calculatedColumnFormula>
    </tableColumn>
    <tableColumn id="10" xr3:uid="{F80F6FB9-4F35-4819-8285-D77131C6EFCE}" name="command" dataDxfId="100">
      <calculatedColumnFormula>_xlfn.CONCAT("python 2_graph_processing/make_histogram_3d.py ", "-i ", libraries_4, "/", table_5_1[[#This Row],[dir]], " -o ", histogram_3d, "/", table_5_1[[#This Row],[reverse_pos]], " -lt ", table_5_1[[#This Row],[label_type]])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_5_2" displayName="table_5_2" ref="A43:O55" totalsRowShown="0">
  <autoFilter ref="A43:O55" xr:uid="{D74A5276-1A50-4DA1-9131-9669404C8622}"/>
  <tableColumns count="15">
    <tableColumn id="1" xr3:uid="{8AC09A63-4226-4C75-8801-68CF93C0F078}" name="index"/>
    <tableColumn id="2" xr3:uid="{77584C42-D70C-48A4-979A-F4DEA0B31542}" name="dir" dataDxfId="99">
      <calculatedColumnFormula>table_3_2[[#This Row],[dir]]</calculatedColumnFormula>
    </tableColumn>
    <tableColumn id="3" xr3:uid="{483E3D73-4059-4B65-84EC-5DC4E7008F35}" name="control" dataDxfId="98">
      <calculatedColumnFormula>table_3_2[[#This Row],[control]]</calculatedColumnFormula>
    </tableColumn>
    <tableColumn id="4" xr3:uid="{5859A8DB-4C52-4451-BBB6-C6BEBF497540}" name="ref" dataDxfId="97">
      <calculatedColumnFormula>table_3_2[[#This Row],[ref]]</calculatedColumnFormula>
    </tableColumn>
    <tableColumn id="5" xr3:uid="{06FC4099-C18C-436C-B1E6-9739B71C7F22}" name="dsb_pos" dataDxfId="96">
      <calculatedColumnFormula>table_3_2[[#This Row],[dsb_pos]]</calculatedColumnFormula>
    </tableColumn>
    <tableColumn id="6" xr3:uid="{8F043A8E-C5E7-4596-AE13-3E495C6DB33E}" name="dsb_type" dataDxfId="95">
      <calculatedColumnFormula>table_3_2[[#This Row],[dsb_type]]</calculatedColumnFormula>
    </tableColumn>
    <tableColumn id="7" xr3:uid="{E2DB136E-6FA9-4095-8B91-F094974333AF}" name="dsb_type_command" dataDxfId="94">
      <calculatedColumnFormula>table_3_2[[#This Row],[dsb_type_command]]</calculatedColumnFormula>
    </tableColumn>
    <tableColumn id="8" xr3:uid="{55CDC54E-3E43-4365-B1C9-5359F747A157}" name="strand" dataDxfId="93">
      <calculatedColumnFormula>table_3_2[[#This Row],[strand]]</calculatedColumnFormula>
    </tableColumn>
    <tableColumn id="9" xr3:uid="{056BD8A0-CC40-4C61-9F22-EE7382045F66}" name="hguide" dataDxfId="92">
      <calculatedColumnFormula>table_3_2[[#This Row],[hguide]]</calculatedColumnFormula>
    </tableColumn>
    <tableColumn id="10" xr3:uid="{489E156D-888A-4DDC-BB23-A4721D588249}" name="cell" dataDxfId="91">
      <calculatedColumnFormula>table_3_2[[#This Row],[cell]]</calculatedColumnFormula>
    </tableColumn>
    <tableColumn id="11" xr3:uid="{0F1B5F9E-B10D-4258-9052-90BCDC89F0B0}" name="treatment" dataDxfId="90">
      <calculatedColumnFormula>table_3_2[[#This Row],[treatment]]</calculatedColumnFormula>
    </tableColumn>
    <tableColumn id="12" xr3:uid="{A2723EF6-80E8-4D8D-A6DC-7556C1996222}" name="subst_type" dataDxfId="89">
      <calculatedColumnFormula>"with"</calculatedColumnFormula>
    </tableColumn>
    <tableColumn id="14" xr3:uid="{F5E6916D-F1BC-48E0-9E73-728C62F32A69}" name="label_type" dataDxfId="88">
      <calculatedColumnFormula>IF(table_5_2[[#This Row],[control]]="30bpDown", "absolute", "relative")</calculatedColumnFormula>
    </tableColumn>
    <tableColumn id="15" xr3:uid="{EF50F256-FFB6-49D0-8199-D7AB5C783AD5}" name="reverse_pos" dataDxfId="87">
      <calculatedColumnFormula>IF(table_5_2[[#This Row],[strand]]="R2", " -rp ", "")</calculatedColumnFormula>
    </tableColumn>
    <tableColumn id="13" xr3:uid="{02531CCA-6CDE-42BA-80E3-31C0F97A3546}" name="command" dataDxfId="86">
      <calculatedColumnFormula>_xlfn.CONCAT("python 2_graph_processing/make_histogram_3d.py ", "-i ", libraries_4, "/", table_5_2[[#This Row],[dir]], " -o ", histogram_3d, "/", table_5_2[[#This Row],[reverse_pos]], " -lt ", table_5_2[[#This Row],[label_type]])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4C06E-000E-41C5-BD07-871BB3291C48}" name="table_6_3" displayName="table_6_3" ref="A3:I4" totalsRowShown="0" headerRowDxfId="85">
  <autoFilter ref="A3:I4" xr:uid="{C8C4C06E-000E-41C5-BD07-871BB3291C48}"/>
  <tableColumns count="9">
    <tableColumn id="25" xr3:uid="{D7EEB429-5A34-4903-8247-E1BD5C0098AE}" name="index" dataDxfId="84"/>
    <tableColumn id="18" xr3:uid="{BACD6182-9E09-4A02-A171-8DFCB7543380}" name="dir" dataDxfId="83">
      <calculatedColumnFormula array="1">TRIM(SUBSTITUTE(_xlfn.CONCAT(" ", _xlfn.TEXTJOIN(" ", TRUE, OFFSET(table_3_1[[dir]:[dir]], 12 * (table_6_3[[#This Row],[index]:[index]] - 1), 0, 12, 1))), " ", _xlfn.CONCAT(" ", libraries_4, "/")))</calculatedColumnFormula>
    </tableColumn>
    <tableColumn id="2" xr3:uid="{39C35B5A-7D06-4895-BF0F-A803A5F94E2E}" name="reverse_complement" dataDxfId="82">
      <calculatedColumnFormula array="1">_xlfn.TEXTJOIN(
  " ",
  TRUE,
  IF(OFFSET(table_3_1[[strand]:[strand]], 12 * (table_6_3[[#This Row],[index]:[index]] - 1), 0, 12, 1) = "R1", 0, 1)
)</calculatedColumnFormula>
    </tableColumn>
    <tableColumn id="13" xr3:uid="{F617BC3E-90A8-4E63-B2A4-EAC9DE705FC7}" name="control" dataDxfId="81">
      <calculatedColumnFormula>OFFSET(table_3_1[control], 6 * (table_6_3[[#This Row],[index]] - 1), 0, 1, 1)</calculatedColumnFormula>
    </tableColumn>
    <tableColumn id="4" xr3:uid="{8E20D9FC-49B1-428A-AC5E-AEDADB1473AC}" name="dsb_type" dataDxfId="80">
      <calculatedColumnFormula>OFFSET(table_3_1[dsb_type], 12 * (table_6_3[[#This Row],[index]] - 1), 0, 1, 1)</calculatedColumnFormula>
    </tableColumn>
    <tableColumn id="33" xr3:uid="{8FF7E83A-9135-4A64-965C-48368A6C0367}" name="hguide">
      <calculatedColumnFormula array="1">OFFSET(table_3_1[[hguide]:[hguide]], 12 * (table_6_3[[#This Row],[index]:[index]] - 1), 0, 1, 1)</calculatedColumnFormula>
    </tableColumn>
    <tableColumn id="9" xr3:uid="{FB278FFE-A956-4B0C-8CC3-6A0324CBCA11}" name="subst_type" dataDxfId="79">
      <calculatedColumnFormula>subst_type</calculatedColumnFormula>
    </tableColumn>
    <tableColumn id="19" xr3:uid="{E4089767-2E77-4296-9392-7BCD64E1E62D}" name="dir_out" dataDxfId="78">
      <calculatedColumnFormula>_xlfn.CONCAT(var_6_layout, "/", table_6_3[[#This Row],[dsb_type]], "_", table_6_3[[#This Row],[hguide]], IF(table_6_3[[#This Row],[control]]&lt;&gt;"none", _xlfn.CONCAT("_", table_6_3[[#This Row],[control]]), ""))</calculatedColumnFormula>
    </tableColumn>
    <tableColumn id="10" xr3:uid="{8BD09F85-30B0-46CA-A0E3-2CC4F3FB2BD0}" name="command" dataDxfId="77">
      <calculatedColumnFormula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3CAA14F-D870-4D8C-8372-DFAF0C2B719D}" name="table_6_4" displayName="table_6_4" ref="A7:I9" totalsRowShown="0" headerRowDxfId="76">
  <autoFilter ref="A7:I9" xr:uid="{43CAA14F-D870-4D8C-8372-DFAF0C2B719D}"/>
  <tableColumns count="9">
    <tableColumn id="25" xr3:uid="{4FA5A2E4-C9F7-4673-98E1-BCCE618B100D}" name="index" dataDxfId="75"/>
    <tableColumn id="18" xr3:uid="{155653FE-38BD-4542-A5AE-2B40B0FD52C7}" name="dir" dataDxfId="74">
      <calculatedColumnFormula array="1">TRIM(SUBSTITUTE(_xlfn.CONCAT(" ", _xlfn.TEXTJOIN(" ", TRUE, OFFSET(table_3_1[[dir]:[dir]], var_6_1dsb_offset + 6 * (table_6_4[[#This Row],[index]:[index]] - 1), 0, 6, 1))), " ", _xlfn.CONCAT(" ", libraries_4, "/")))</calculatedColumnFormula>
    </tableColumn>
    <tableColumn id="34" xr3:uid="{05E960C2-864E-41C3-A84E-DF767C09AA42}" name="reverse_complement" dataDxfId="73">
      <calculatedColumnFormula>IF(table_6_4[[#This Row],[hguide]]="A",NA(), IF(var_6_layout = "universal", "1 1 1 1 1 1", NA()))</calculatedColumnFormula>
    </tableColumn>
    <tableColumn id="13" xr3:uid="{9EA58FA8-5496-4600-905A-95909513339B}" name="control" dataDxfId="72">
      <calculatedColumnFormula>OFFSET(table_3_1[control], 6 * (table_6_4[[#This Row],[index]] - 1), 0, 1, 1)</calculatedColumnFormula>
    </tableColumn>
    <tableColumn id="4" xr3:uid="{46390A5F-98AD-4211-85B4-A4DD8E31C40C}" name="dsb_type" dataDxfId="71">
      <calculatedColumnFormula>OFFSET(table_3_1[dsb_type], var_6_1dsb_offset + 6 * (table_6_4[[#This Row],[index]] - 1), 0, 1, 1)</calculatedColumnFormula>
    </tableColumn>
    <tableColumn id="35" xr3:uid="{5BD83012-469D-4202-9584-AA182CDF11F9}" name="hguide">
      <calculatedColumnFormula array="1">OFFSET(table_3_1[[hguide]:[hguide]], var_6_1dsb_offset + 6 * (table_6_4[[#This Row],[index]:[index]] - 1), 0, 1, 1)</calculatedColumnFormula>
    </tableColumn>
    <tableColumn id="9" xr3:uid="{123049FA-F284-452C-8FDD-63F409D9967F}" name="subst_type" dataDxfId="70">
      <calculatedColumnFormula>subst_type</calculatedColumnFormula>
    </tableColumn>
    <tableColumn id="19" xr3:uid="{CFCDDB26-095C-4395-82E2-37B45B0CDEAD}" name="dir_out" dataDxfId="69">
      <calculatedColumnFormula>_xlfn.CONCAT(var_6_layout, "/", table_6_4[[#This Row],[dsb_type]], "_", table_6_4[[#This Row],[hguide]], IF(table_6_4[[#This Row],[control]]&lt;&gt;"none", _xlfn.CONCAT("_", table_6_4[[#This Row],[control]]), ""))</calculatedColumnFormula>
    </tableColumn>
    <tableColumn id="10" xr3:uid="{DC6C9CBA-5796-4FFE-878D-BB47DC276187}" name="command" dataDxfId="68">
      <calculatedColumnFormula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E44D84-0923-4099-A9D7-D0D16C2D6571}" name="table_6_5" displayName="table_6_5" ref="A12:I13" totalsRowShown="0" headerRowDxfId="67" headerRowBorderDxfId="66" tableBorderDxfId="65">
  <autoFilter ref="A12:I13" xr:uid="{F5E44D84-0923-4099-A9D7-D0D16C2D6571}"/>
  <tableColumns count="9">
    <tableColumn id="1" xr3:uid="{0F421990-E775-4F35-92AF-6BA19E0E8AEE}" name="index"/>
    <tableColumn id="2" xr3:uid="{81FE7256-F482-4A2C-902D-871C80C1D881}" name="dir" dataDxfId="64">
      <calculatedColumnFormula array="1">TRIM(SUBSTITUTE(_xlfn.CONCAT(" ", _xlfn.TEXTJOIN(" ", TRUE, OFFSET(table_3_1[[dir]:[dir]], var_6_anti_offset + 4 * (table_6_5[[#This Row],[index]:[index]] - 1), 0, 4, 1))), " ", _xlfn.CONCAT(" ", libraries_4, "/")))</calculatedColumnFormula>
    </tableColumn>
    <tableColumn id="3" xr3:uid="{E9F8E6A0-B4A7-475B-9ED2-9F2A4A9EB628}" name="strand" dataDxfId="63">
      <calculatedColumnFormula array="1">_xlfn.TEXTJOIN(
  " ",
  TRUE,
  IF(OFFSET(table_3_1[[strand]:[strand]], var_6_anti_offset + 4 * (table_6_5[[#This Row],[index]:[index]] - 1), 0,4, 1) = "R1", 0, 1)
)</calculatedColumnFormula>
    </tableColumn>
    <tableColumn id="6" xr3:uid="{70821CEE-FFC4-44AB-ACF6-DA81A4B053E6}" name="control" dataDxfId="62">
      <calculatedColumnFormula>OFFSET(table_3_1[control], var_6_anti_offset + 4 * (table_6_5[[#This Row],[index]] - 1), 0, 1, 1)</calculatedColumnFormula>
    </tableColumn>
    <tableColumn id="5" xr3:uid="{FA9180EA-3AA0-451A-ACAC-78776C7CB75D}" name="dsb_type" dataDxfId="61">
      <calculatedColumnFormula>OFFSET(table_3_1[dsb_type], var_6_anti_offset + 4 * (table_6_5[[#This Row],[index]] - 1), 0, 1, 1)</calculatedColumnFormula>
    </tableColumn>
    <tableColumn id="8" xr3:uid="{E0783723-9246-4BF6-A5DA-E000EA1E5E87}" name="subst_type">
      <calculatedColumnFormula>subst_type</calculatedColumnFormula>
    </tableColumn>
    <tableColumn id="4" xr3:uid="{DE820E4E-FF8B-435B-B07F-D397029AF597}" name="hguide" dataDxfId="60">
      <calculatedColumnFormula>OFFSET(table_3_1[[hguide]:[hguide]], var_6_anti_offset + 4 * (table_6_5[[#This Row],[index]] - 1), 0, 1, 1)</calculatedColumnFormula>
    </tableColumn>
    <tableColumn id="9" xr3:uid="{3D97DBDD-03E9-4A6C-BADA-D01B27A8EE51}" name="dir_out" dataDxfId="59">
      <calculatedColumnFormula>_xlfn.CONCAT(var_6_layout, "/", table_6_5[[#This Row],[dsb_type]], "_", table_6_5[[#This Row],[hguide]], IF(table_6_5[[#This Row],[control]]&lt;&gt;"none", _xlfn.CONCAT("_", table_6_5[[#This Row],[control]]), ""))</calculatedColumnFormula>
    </tableColumn>
    <tableColumn id="10" xr3:uid="{5E7626AE-E376-4C60-BA64-B24F95580083}" name="command" dataDxfId="58">
      <calculatedColumnFormula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CE8E4A-18BF-427A-81F0-F9655767A016}" name="table_7_1" displayName="table_7_1" ref="A2:AB42" totalsRowShown="0" headerRowDxfId="57">
  <autoFilter ref="A2:AB42" xr:uid="{73BF8355-0AB0-4422-8F65-2A32E222946E}"/>
  <tableColumns count="28">
    <tableColumn id="25" xr3:uid="{C323C376-24D3-4404-9E0F-6E9361862271}" name="index" dataDxfId="56"/>
    <tableColumn id="1" xr3:uid="{AC070029-7A36-442E-A851-71CD7EB80F28}" name="dir" dataDxfId="55">
      <calculatedColumnFormula>OFFSET(table_3_1[[dir]:[dir]], table_7_1[[#This Row],[index]] - 1, 0, 1, 1)</calculatedColumnFormula>
    </tableColumn>
    <tableColumn id="13" xr3:uid="{6A4B6748-6DA2-44B2-95C1-9C2BF9C21AC6}" name="control" dataDxfId="54">
      <calculatedColumnFormula>OFFSET(table_3_1[[control]:[control]], table_7_1[[#This Row],[index]] - 1, 0, 1, 1)</calculatedColumnFormula>
    </tableColumn>
    <tableColumn id="2" xr3:uid="{46183BCF-754C-4289-9E28-8DB2FB5F3E2E}" name="ref" dataDxfId="53">
      <calculatedColumnFormula>OFFSET(table_3_1[[ref]:[ref]], table_7_1[[#This Row],[index]] - 1, 0, 1, 1)</calculatedColumnFormula>
    </tableColumn>
    <tableColumn id="3" xr3:uid="{01CE35D5-BD5A-4DBE-911A-523BA86E9558}" name="dsb_pos" dataDxfId="52">
      <calculatedColumnFormula>OFFSET(table_3_1[[dsb_pos]:[dsb_pos]], table_7_1[[#This Row],[index]] - 1, 0, 1, 1)</calculatedColumnFormula>
    </tableColumn>
    <tableColumn id="4" xr3:uid="{0171B01F-9599-42EC-9AD8-75EE9608FE15}" name="dsb_type" dataDxfId="51">
      <calculatedColumnFormula>OFFSET(table_3_1[[dsb_type]:[dsb_type]], table_7_1[[#This Row],[index]] - 1, 0, 1, 1)</calculatedColumnFormula>
    </tableColumn>
    <tableColumn id="12" xr3:uid="{2D9967F2-F905-4DDC-BC13-BE494C96FD78}" name="dsb_type_command" dataDxfId="50">
      <calculatedColumnFormula>OFFSET(table_3_1[[dsb_type_command]:[dsb_type_command]], table_7_1[[#This Row],[index]] - 1, 0, 1, 1)</calculatedColumnFormula>
    </tableColumn>
    <tableColumn id="5" xr3:uid="{B8E237AE-E973-40A0-86E3-7BF5DEC7FC87}" name="strand" dataDxfId="49">
      <calculatedColumnFormula>OFFSET(table_3_1[[strand]:[strand]], table_7_1[[#This Row],[index]] - 1, 0, 1, 1)</calculatedColumnFormula>
    </tableColumn>
    <tableColumn id="6" xr3:uid="{647E20CB-AEBC-4627-AE45-391FD9784E21}" name="hguide" dataDxfId="48">
      <calculatedColumnFormula>OFFSET(table_3_1[[hguide]:[hguide]], table_7_1[[#This Row],[index]] - 1, 0, 1, 1)</calculatedColumnFormula>
    </tableColumn>
    <tableColumn id="7" xr3:uid="{EAED7BDD-3E55-428C-8CC0-D27D2F2EF394}" name="cell" dataDxfId="47">
      <calculatedColumnFormula>OFFSET(table_3_1[[cell]:[cell]], table_7_1[[#This Row],[index]] - 1, 0, 1, 1)</calculatedColumnFormula>
    </tableColumn>
    <tableColumn id="8" xr3:uid="{8D720D5E-95C1-4847-85D5-656085769184}" name="treatment" dataDxfId="46">
      <calculatedColumnFormula>OFFSET(table_3_1[[treatment]:[treatment]], table_7_1[[#This Row],[index]] - 1, 0, 1, 1)</calculatedColumnFormula>
    </tableColumn>
    <tableColumn id="9" xr3:uid="{D6F4320B-CD2D-4288-B9EC-64E8C7BA2DDE}" name="subst_type" dataDxfId="45">
      <calculatedColumnFormula>"without"</calculatedColumnFormula>
    </tableColumn>
    <tableColumn id="14" xr3:uid="{C107BDC5-6E3A-4EAC-9D60-3D3C790CFE24}" name="common_layout_dir" dataDxfId="44">
      <calculatedColumnFormula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calculatedColumnFormula>
    </tableColumn>
    <tableColumn id="11" xr3:uid="{7AF47D8C-A10C-454A-8FE8-6D4A4FFD2B60}" name="reverse_complement" dataDxfId="43">
      <calculatedColumnFormula>AND(table_7_1[[#This Row],[strand]] = "R2", OR(var_7_layout = "universal", var_7_layout = "fractal", AND(var_7_layout = "radial", table_7_1[[#This Row],[dsb_type]] &lt;&gt; "1DSB")))</calculatedColumnFormula>
    </tableColumn>
    <tableColumn id="27" xr3:uid="{2D7A10AC-1675-4E76-989F-888C0D89C117}" name="range_x0" dataDxfId="42">
      <calculatedColumnFormula>IF(var_7_layout="universal", IF(table_7_1[[#This Row],[hguide]]="AB", -12, IF(table_7_1[[#This Row],[hguide]]="CD", -12, IF(table_7_1[[#This Row],[hguide]]="A", -12, IF(table_7_1[[#This Row],[hguide]]="B", -12, NA())))), NA())</calculatedColumnFormula>
    </tableColumn>
    <tableColumn id="26" xr3:uid="{CD6660D4-A656-4F48-89BD-45D3BAC7EE11}" name="range_x1" dataDxfId="41">
      <calculatedColumnFormula>IF(var_7_layout="universal", IF(table_7_1[[#This Row],[hguide]]="AB", 13, IF(table_7_1[[#This Row],[hguide]]="CD", 13, IF(table_7_1[[#This Row],[hguide]]="A", 13, IF(table_7_1[[#This Row],[hguide]]="B", 13, NA())))), NA())</calculatedColumnFormula>
    </tableColumn>
    <tableColumn id="28" xr3:uid="{EFB5F04D-FC42-47A6-83B6-18FC45D14ABE}" name="range_y0" dataDxfId="40">
      <calculatedColumnFormula>IF(var_7_layout="universal", IF(table_7_1[[#This Row],[hguide]]="AB", -22, IF(table_7_1[[#This Row],[hguide]]="CD", -18, IF(table_7_1[[#This Row],[hguide]]="A", -23, IF(table_7_1[[#This Row],[hguide]]="B", -22, NA())))), NA())</calculatedColumnFormula>
    </tableColumn>
    <tableColumn id="18" xr3:uid="{FCD7272B-07C5-4D80-8B2B-EFDF0948D1A3}" name="range_y1" dataDxfId="39">
      <calculatedColumnFormula>IF(var_7_layout="universal", IF(table_7_1[[#This Row],[hguide]]="AB", 22, IF(table_7_1[[#This Row],[hguide]]="CD", 27, IF(table_7_1[[#This Row],[hguide]]="A", 20, IF(table_7_1[[#This Row],[hguide]]="B", 16, NA())))), NA())</calculatedColumnFormula>
    </tableColumn>
    <tableColumn id="15" xr3:uid="{0D90823C-DABB-4D5B-952B-ECA267C2D98A}" name="range_args" dataDxfId="38">
      <calculatedColumnFormula>IF(var_7_layout="universal", _xlfn.CONCAT("--range_x ", table_7_1[[#This Row],[range_x0]], " ", table_7_1[[#This Row],[range_x1]], " --range_y ", table_7_1[[#This Row],[range_y0]], " ", table_7_1[[#This Row],[range_y1]]), "")</calculatedColumnFormula>
    </tableColumn>
    <tableColumn id="29" xr3:uid="{862E4B1D-E776-4C82-956F-64077E0EAD63}" name="universal_layout_y_axis_args" dataDxfId="37">
      <calculatedColumnFormula>IF(var_7_layout="universal", _xlfn.CONCAT(" --universal_layout_y_axis_x_pos ", table_7_1[[#This Row],[range_x1]] - 1, " --universal_layout_y_axis_y_range ", table_7_1[[#This Row],[range_y0]] + 2.5, " ", table_7_1[[#This Row],[range_y1]] - 1.5, " "), "")</calculatedColumnFormula>
    </tableColumn>
    <tableColumn id="22" xr3:uid="{80C9383B-6A26-4051-B986-65C11BA3AFE0}" name="show_universal_layout_x_axes"/>
    <tableColumn id="23" xr3:uid="{010D8635-D593-4849-BEA6-27994308E467}" name="universal_layout_x_axis_args" dataDxfId="36">
      <calculatedColumnFormula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calculatedColumnFormula>
    </tableColumn>
    <tableColumn id="17" xr3:uid="{5BFAE794-32B2-4D0D-B4C9-47939AA6DF3D}" name="universal_layout_max_tick_insertion" dataDxfId="35">
      <calculatedColumnFormula>IF(var_7_layout="universal", IF(table_7_1[[#This Row],[hguide]]="AB", 7, IF(table_7_1[[#This Row],[hguide]]="CD", 8, IF(table_7_1[[#This Row],[hguide]]="A", 6, IF(table_7_1[[#This Row],[hguide]]="B", 5, NA())))), NA())</calculatedColumnFormula>
    </tableColumn>
    <tableColumn id="19" xr3:uid="{BDF49305-2112-4726-89DD-C9F4FFED50C5}" name="universal_layout_max_tick_deletion" dataDxfId="34">
      <calculatedColumnFormula>IF(var_7_layout="universal", IF(table_7_1[[#This Row],[hguide]]="AB", 17, IF(table_7_1[[#This Row],[hguide]]="CD", 14, IF(table_7_1[[#This Row],[hguide]]="A", 19, IF(table_7_1[[#This Row],[hguide]]="B", 18, NA())))), NA())</calculatedColumnFormula>
    </tableColumn>
    <tableColumn id="20" xr3:uid="{9E5CCD08-C11E-4294-860A-FDFE3FE422F8}" name="universal_layout_max_tick_args" dataDxfId="33">
      <calculatedColumnFormula>IF(var_7_layout="universal", _xlfn.CONCAT(" --universal_layout_y_axis_deletion_max_tick ", table_7_1[[#This Row],[universal_layout_max_tick_deletion]], " --universal_layout_y_axis_insertion_max_tick ", table_7_1[[#This Row],[universal_layout_max_tick_insertion]]), "")</calculatedColumnFormula>
    </tableColumn>
    <tableColumn id="16" xr3:uid="{680D5200-6ABF-4323-82E5-C6AF5DA257FD}" name="output_dir" dataDxfId="32">
      <calculatedColumnFormula>_xlfn.CONCAT(graphs, "/", var_7_layout, "/", table_7_1[[#This Row],[format]], "/", var_7_ext)</calculatedColumnFormula>
    </tableColumn>
    <tableColumn id="21" xr3:uid="{C5B2A575-6AC4-403E-AE67-1624B7F60F7E}" name="format"/>
    <tableColumn id="10" xr3:uid="{927D810C-70D6-4266-8FCE-04D49787D147}" name="command" dataDxfId="31">
      <calculatedColumnFormula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155FABF-AFCB-4399-AD96-6241BA80EFED}" name="table_7_2" displayName="table_7_2" ref="A44:O60" totalsRowShown="0" headerRowDxfId="30">
  <autoFilter ref="A44:O60" xr:uid="{E155FABF-AFCB-4399-AD96-6241BA80EFED}"/>
  <tableColumns count="15">
    <tableColumn id="1" xr3:uid="{B2B7DB73-4221-4AF0-A850-325F3752E3E0}" name="index" dataDxfId="29"/>
    <tableColumn id="4" xr3:uid="{7CBFD0EC-49AE-431E-A905-A56D19FE8F5B}" name="dir" dataDxfId="28">
      <calculatedColumnFormula>OFFSET(table_4_1[], table_7_2[[#This Row],[index]] - 1, _xlfn.XMATCH("dir_out", table_4_1[#Headers], 0, 1) - 1, 1, 1)</calculatedColumnFormula>
    </tableColumn>
    <tableColumn id="3" xr3:uid="{8B726DB7-A763-4D99-9E71-D69E0FA3D7BF}" name="strand" dataDxfId="27">
      <calculatedColumnFormula>OFFSET(table_7_1[[strand]:[strand]], 3 * QUOTIENT(table_7_2[[#This Row],[index]] - 1, 2), 0, 1, 1)</calculatedColumnFormula>
    </tableColumn>
    <tableColumn id="5" xr3:uid="{E7E8C40B-8285-4EE4-A61D-1F147432D708}" name="hguide" dataDxfId="26">
      <calculatedColumnFormula>OFFSET(table_7_1[[hguide]:[hguide]], 3 * QUOTIENT(table_7_2[[#This Row],[index]] - 1, 2), 0, 1, 1)</calculatedColumnFormula>
    </tableColumn>
    <tableColumn id="7" xr3:uid="{64B9691C-2BDA-4EE7-B149-7349BFA40A22}" name="dsb_type" dataDxfId="25">
      <calculatedColumnFormula>OFFSET(table_7_1[[dsb_type]:[dsb_type]], 3 * QUOTIENT(table_7_2[[#This Row],[index]] - 1, 2), 0, 1, 1)</calculatedColumnFormula>
    </tableColumn>
    <tableColumn id="2" xr3:uid="{46F7ABEC-3D59-449F-B3B9-3B53D4C4E17C}" name="common_layout_dir" dataDxfId="24">
      <calculatedColumnFormula>OFFSET(table_7_1[[common_layout_dir]:[common_layout_dir]], 3 * QUOTIENT(table_7_2[[#This Row],[index]] - 1, 2), 0, 1, 1)</calculatedColumnFormula>
    </tableColumn>
    <tableColumn id="8" xr3:uid="{BFEA7E87-08AD-4F58-8B7D-A592368549F0}" name="reverse_complement" dataDxfId="23">
      <calculatedColumnFormula>OFFSET(table_7_1[[reverse_complement]:[reverse_complement]], 3 * QUOTIENT(table_7_2[[#This Row],[index]] - 1, 2), 0, 1, 1)</calculatedColumnFormula>
    </tableColumn>
    <tableColumn id="9" xr3:uid="{928832B4-7BAB-42E7-88BC-BB633DA53A2E}" name="range_args" dataDxfId="22">
      <calculatedColumnFormula>OFFSET(table_7_1[[range_args]:[range_args]], 3 * QUOTIENT(table_7_2[[#This Row],[index]] - 1, 2), 0, 1, 1)</calculatedColumnFormula>
    </tableColumn>
    <tableColumn id="12" xr3:uid="{0EB304B9-B5C9-435B-99CC-6F02D04A5268}" name="universal_layout_y_axis_args" dataDxfId="21">
      <calculatedColumnFormula>OFFSET(table_7_1[[universal_layout_y_axis_args]:[universal_layout_y_axis_args]], 3 * QUOTIENT(table_7_2[[#This Row],[index]] - 1, 2) + MOD(table_7_2[[#This Row],[index]] - 1, 2), 0, 1, 1)</calculatedColumnFormula>
    </tableColumn>
    <tableColumn id="13" xr3:uid="{EADBB7DC-9D40-44C2-8742-A17A0EB899C3}" name="show_universal_layout_x_axes"/>
    <tableColumn id="11" xr3:uid="{E157268B-09A6-4B13-AD6D-24B6BD4C0B56}" name="universal_layout_x_axis_args" dataDxfId="20">
      <calculatedColumnFormula>IF(table_7_2[[#This Row],[show_universal_layout_x_axes]], OFFSET(table_7_1[[universal_layout_x_axis_args]:[universal_layout_x_axis_args]], 3 * QUOTIENT(table_7_2[[#This Row],[index]] - 1, 2) + MOD(table_7_2[[#This Row],[index]] - 1, 2), 0, 1, 1), "")</calculatedColumnFormula>
    </tableColumn>
    <tableColumn id="14" xr3:uid="{641C7B24-D16A-472B-B06C-7348DDBC60AA}" name="universal_layout_max_tick_args" dataDxfId="19">
      <calculatedColumnFormula>OFFSET(table_7_1[[universal_layout_max_tick_args]:[universal_layout_max_tick_args]], 3 * QUOTIENT(table_7_2[[#This Row],[index]] - 1, 2) + MOD(table_7_2[[#This Row],[index]] - 1, 2), 0, 1, 1)</calculatedColumnFormula>
    </tableColumn>
    <tableColumn id="10" xr3:uid="{28F0CC58-CEE1-4245-A4B6-361813C46856}" name="output_dir" dataDxfId="18">
      <calculatedColumnFormula>_xlfn.CONCAT(graphs, "/", var_7_layout, "/", table_7_2[[#This Row],[format]], "/", var_7_ext)</calculatedColumnFormula>
    </tableColumn>
    <tableColumn id="15" xr3:uid="{8B58B2DF-3EB7-4D4E-A96D-1BED892121E3}" name="format"/>
    <tableColumn id="6" xr3:uid="{FEA012AC-7DC4-4D11-9B59-A05887E08F6E}" name="command" dataDxfId="17">
      <calculatedColumnFormula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E9A0328-D472-47BB-96EE-6A945E4CAD3B}" name="table_7_3" displayName="table_7_3" ref="A62:O64" totalsRowShown="0" headerRowDxfId="16">
  <autoFilter ref="A62:O64" xr:uid="{BE9A0328-D472-47BB-96EE-6A945E4CAD3B}"/>
  <tableColumns count="15">
    <tableColumn id="1" xr3:uid="{E718984E-FC22-4321-9162-791892D20032}" name="index" dataDxfId="15"/>
    <tableColumn id="4" xr3:uid="{A71ABC91-B291-4CD9-A2A1-F6CA41CEE59E}" name="dir" dataDxfId="14">
      <calculatedColumnFormula>OFFSET(table_4_2[], table_7_3[[#This Row],[index]] - 1, _xlfn.XMATCH("dir_out", table_4_1[#Headers], 0, 1) - 1, 1, 1)</calculatedColumnFormula>
    </tableColumn>
    <tableColumn id="3" xr3:uid="{8D7F2EAB-990D-439F-AE1F-6FB6AFC6C4B1}" name="strand" dataDxfId="13">
      <calculatedColumnFormula>OFFSET(table_7_1[[strand]:[strand]], 36 + 2 * QUOTIENT(table_7_3[[#This Row],[index]] - 1, 1), 0, 1, 1)</calculatedColumnFormula>
    </tableColumn>
    <tableColumn id="5" xr3:uid="{B8ABFFB9-C4F5-4866-8F37-B49F31C44F20}" name="hguide" dataDxfId="12">
      <calculatedColumnFormula>OFFSET(table_7_1[[hguide]:[hguide]], 36 + 2 * QUOTIENT(table_7_3[[#This Row],[index]] - 1, 1), 0, 1, 1)</calculatedColumnFormula>
    </tableColumn>
    <tableColumn id="7" xr3:uid="{3835BF64-C6A9-440B-96F5-A2332AB91438}" name="dsb_type" dataDxfId="11">
      <calculatedColumnFormula>OFFSET(table_7_1[[dsb_type]:[dsb_type]], 36 + 2 * QUOTIENT(table_7_3[[#This Row],[index]] - 1, 1), 0, 1, 1)</calculatedColumnFormula>
    </tableColumn>
    <tableColumn id="2" xr3:uid="{C07D080E-B5A2-43FC-84BA-BCBD008F3B26}" name="common_layout_dir" dataDxfId="10">
      <calculatedColumnFormula>OFFSET(table_7_1[[common_layout_dir]:[common_layout_dir]], 36 + 2 * QUOTIENT(table_7_3[[#This Row],[index]] - 1, 1), 0, 1, 1)</calculatedColumnFormula>
    </tableColumn>
    <tableColumn id="8" xr3:uid="{6E360CD4-3BFD-4CC3-A93F-137C46B62651}" name="reverse_complement" dataDxfId="9">
      <calculatedColumnFormula>OFFSET(table_7_1[[reverse_complement]:[reverse_complement]], 36 + 2 * QUOTIENT(table_7_3[[#This Row],[index]] - 1, 1), 0, 1, 1)</calculatedColumnFormula>
    </tableColumn>
    <tableColumn id="9" xr3:uid="{A1862EF0-F072-4796-964D-7EDA8C8787B0}" name="range_args" dataDxfId="8">
      <calculatedColumnFormula>OFFSET(table_7_1[[range_args]:[range_args]], 36 + 2 * QUOTIENT(table_7_3[[#This Row],[index]] - 1, 1), 0, 1, 1)</calculatedColumnFormula>
    </tableColumn>
    <tableColumn id="12" xr3:uid="{BF1D3FB1-D45A-4909-BA3E-BB6993D39E6E}" name="universal_layout_y_axis_args" dataDxfId="7">
      <calculatedColumnFormula>OFFSET(table_7_1[[universal_layout_y_axis_args]:[universal_layout_y_axis_args]], 36 + 2 * QUOTIENT(table_7_3[[#This Row],[index]] - 1, 1), 0, 1, 1)</calculatedColumnFormula>
    </tableColumn>
    <tableColumn id="13" xr3:uid="{8D9288FF-05A5-4B58-AC7F-2C4096A25202}" name="show_universal_layout_x_axes" dataDxfId="6"/>
    <tableColumn id="11" xr3:uid="{312C98E0-05A4-4DD6-86F6-6BFBF9058DC2}" name="universal_layout_x_axis_args" dataDxfId="5">
      <calculatedColumnFormula>IF(table_7_3[[#This Row],[show_universal_layout_x_axes]], OFFSET(table_7_1[[universal_layout_x_axis_args]:[universal_layout_x_axis_args]], 36 + 2 * QUOTIENT(table_7_3[[#This Row],[index]] - 1, 2), 0, 1, 1), "")</calculatedColumnFormula>
    </tableColumn>
    <tableColumn id="14" xr3:uid="{FD5F951D-27C2-4E6B-B33F-D83C250C9CC4}" name="universal_layout_max_tick_args" dataDxfId="4">
      <calculatedColumnFormula>OFFSET(table_7_1[[universal_layout_max_tick_args]:[universal_layout_max_tick_args]], 36 + 2 * QUOTIENT(table_7_3[[#This Row],[index]] - 1, 1), 0, 1, 1)</calculatedColumnFormula>
    </tableColumn>
    <tableColumn id="10" xr3:uid="{28284CC2-E402-4A85-83F5-4FC36722329E}" name="output_dir" dataDxfId="3">
      <calculatedColumnFormula>_xlfn.CONCAT(graphs, "/", var_7_layout, "/", table_7_3[[#This Row],[format]], "/", var_7_ext)</calculatedColumnFormula>
    </tableColumn>
    <tableColumn id="15" xr3:uid="{0AB61192-5C37-4578-ADFD-BAE568B914C5}" name="format" dataDxfId="2"/>
    <tableColumn id="6" xr3:uid="{D5ADEB9F-0405-4E9D-BDA9-7ECD31E23490}" name="command" dataDxfId="1">
      <calculatedColumnFormula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" ", table_7_3[[#This Row],[universal_layout_y_axis_args]], " ", table_7_3[[#This Row],[universal_layout_x_axis_args]], " ", table_7_3[[#This Row],[universal_layout_max_tick_args]])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9"/>
  <sheetViews>
    <sheetView workbookViewId="0">
      <selection activeCell="A9" sqref="A9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88</v>
      </c>
      <c r="B1" t="s">
        <v>106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167</v>
      </c>
    </row>
    <row r="6" spans="1:2" x14ac:dyDescent="0.25">
      <c r="A6" t="s">
        <v>172</v>
      </c>
    </row>
    <row r="7" spans="1:2" x14ac:dyDescent="0.25">
      <c r="A7" t="s">
        <v>173</v>
      </c>
    </row>
    <row r="8" spans="1:2" x14ac:dyDescent="0.25">
      <c r="A8" t="s">
        <v>170</v>
      </c>
    </row>
    <row r="9" spans="1:2" x14ac:dyDescent="0.25">
      <c r="A9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D116"/>
  <sheetViews>
    <sheetView topLeftCell="A100" workbookViewId="0">
      <selection activeCell="D109" sqref="D109:D116"/>
    </sheetView>
  </sheetViews>
  <sheetFormatPr defaultRowHeight="15" x14ac:dyDescent="0.25"/>
  <cols>
    <col min="3" max="3" width="16.7109375" customWidth="1"/>
  </cols>
  <sheetData>
    <row r="1" spans="1:4" x14ac:dyDescent="0.25">
      <c r="A1" t="s">
        <v>169</v>
      </c>
      <c r="B1" t="s">
        <v>80</v>
      </c>
      <c r="C1" t="s">
        <v>83</v>
      </c>
      <c r="D1" t="s">
        <v>84</v>
      </c>
    </row>
    <row r="2" spans="1:4" x14ac:dyDescent="0.25">
      <c r="A2">
        <f>INT(MID(table_1_2[[#This Row],[library]], 4, 10))</f>
        <v>89</v>
      </c>
      <c r="B2" t="s">
        <v>116</v>
      </c>
      <c r="C2">
        <v>7813781</v>
      </c>
      <c r="D2">
        <v>7813781</v>
      </c>
    </row>
    <row r="3" spans="1:4" x14ac:dyDescent="0.25">
      <c r="A3">
        <f>INT(MID(table_1_2[[#This Row],[library]], 4, 10))</f>
        <v>90</v>
      </c>
      <c r="B3" t="s">
        <v>117</v>
      </c>
      <c r="C3">
        <v>7486736</v>
      </c>
      <c r="D3">
        <v>7486736</v>
      </c>
    </row>
    <row r="4" spans="1:4" x14ac:dyDescent="0.25">
      <c r="A4">
        <f>INT(MID(table_1_2[[#This Row],[library]], 4, 10))</f>
        <v>91</v>
      </c>
      <c r="B4" t="s">
        <v>118</v>
      </c>
      <c r="C4">
        <v>8114856</v>
      </c>
      <c r="D4">
        <v>8114856</v>
      </c>
    </row>
    <row r="5" spans="1:4" x14ac:dyDescent="0.25">
      <c r="A5">
        <f>INT(MID(table_1_2[[#This Row],[library]], 4, 10))</f>
        <v>92</v>
      </c>
      <c r="B5" t="s">
        <v>119</v>
      </c>
      <c r="C5">
        <v>6586577</v>
      </c>
      <c r="D5">
        <v>6586577</v>
      </c>
    </row>
    <row r="6" spans="1:4" x14ac:dyDescent="0.25">
      <c r="A6">
        <f>INT(MID(table_1_2[[#This Row],[library]], 4, 10))</f>
        <v>93</v>
      </c>
      <c r="B6" t="s">
        <v>120</v>
      </c>
      <c r="C6">
        <v>9334492</v>
      </c>
      <c r="D6">
        <v>9334492</v>
      </c>
    </row>
    <row r="7" spans="1:4" x14ac:dyDescent="0.25">
      <c r="A7">
        <f>INT(MID(table_1_2[[#This Row],[library]], 4, 10))</f>
        <v>94</v>
      </c>
      <c r="B7" t="s">
        <v>121</v>
      </c>
      <c r="C7">
        <v>9142001</v>
      </c>
      <c r="D7">
        <v>9142001</v>
      </c>
    </row>
    <row r="8" spans="1:4" x14ac:dyDescent="0.25">
      <c r="A8">
        <f>INT(MID(table_1_2[[#This Row],[library]], 4, 10))</f>
        <v>95</v>
      </c>
      <c r="B8" t="s">
        <v>122</v>
      </c>
      <c r="C8">
        <v>8497185</v>
      </c>
      <c r="D8">
        <v>8497185</v>
      </c>
    </row>
    <row r="9" spans="1:4" x14ac:dyDescent="0.25">
      <c r="A9">
        <f>INT(MID(table_1_2[[#This Row],[library]], 4, 10))</f>
        <v>96</v>
      </c>
      <c r="B9" t="s">
        <v>123</v>
      </c>
      <c r="C9">
        <v>8346242</v>
      </c>
      <c r="D9">
        <v>8346242</v>
      </c>
    </row>
    <row r="10" spans="1:4" x14ac:dyDescent="0.25">
      <c r="A10">
        <f>INT(MID(table_1_2[[#This Row],[library]], 4, 10))</f>
        <v>217</v>
      </c>
      <c r="B10" t="s">
        <v>0</v>
      </c>
      <c r="C10">
        <v>6630053</v>
      </c>
      <c r="D10">
        <v>6177083</v>
      </c>
    </row>
    <row r="11" spans="1:4" x14ac:dyDescent="0.25">
      <c r="A11">
        <f>INT(MID(table_1_2[[#This Row],[library]], 4, 10))</f>
        <v>218</v>
      </c>
      <c r="B11" t="s">
        <v>2</v>
      </c>
      <c r="C11">
        <v>7246619</v>
      </c>
      <c r="D11">
        <v>6744517</v>
      </c>
    </row>
    <row r="12" spans="1:4" x14ac:dyDescent="0.25">
      <c r="A12">
        <f>INT(MID(table_1_2[[#This Row],[library]], 4, 10))</f>
        <v>219</v>
      </c>
      <c r="B12" t="s">
        <v>3</v>
      </c>
      <c r="C12">
        <v>8069391</v>
      </c>
      <c r="D12">
        <v>7507107</v>
      </c>
    </row>
    <row r="13" spans="1:4" x14ac:dyDescent="0.25">
      <c r="A13">
        <f>INT(MID(table_1_2[[#This Row],[library]], 4, 10))</f>
        <v>220</v>
      </c>
      <c r="B13" t="s">
        <v>4</v>
      </c>
      <c r="C13">
        <v>7513691</v>
      </c>
      <c r="D13">
        <v>7001340</v>
      </c>
    </row>
    <row r="14" spans="1:4" x14ac:dyDescent="0.25">
      <c r="A14">
        <f>INT(MID(table_1_2[[#This Row],[library]], 4, 10))</f>
        <v>221</v>
      </c>
      <c r="B14" t="s">
        <v>5</v>
      </c>
      <c r="C14">
        <v>9021462</v>
      </c>
      <c r="D14">
        <v>8525251</v>
      </c>
    </row>
    <row r="15" spans="1:4" x14ac:dyDescent="0.25">
      <c r="A15">
        <f>INT(MID(table_1_2[[#This Row],[library]], 4, 10))</f>
        <v>222</v>
      </c>
      <c r="B15" t="s">
        <v>6</v>
      </c>
      <c r="C15">
        <v>9430938</v>
      </c>
      <c r="D15">
        <v>8875435</v>
      </c>
    </row>
    <row r="16" spans="1:4" x14ac:dyDescent="0.25">
      <c r="A16">
        <f>INT(MID(table_1_2[[#This Row],[library]], 4, 10))</f>
        <v>223</v>
      </c>
      <c r="B16" t="s">
        <v>7</v>
      </c>
      <c r="C16">
        <v>9051278</v>
      </c>
      <c r="D16">
        <v>8522228</v>
      </c>
    </row>
    <row r="17" spans="1:4" x14ac:dyDescent="0.25">
      <c r="A17">
        <f>INT(MID(table_1_2[[#This Row],[library]], 4, 10))</f>
        <v>224</v>
      </c>
      <c r="B17" t="s">
        <v>8</v>
      </c>
      <c r="C17">
        <v>9192054</v>
      </c>
      <c r="D17">
        <v>8656502</v>
      </c>
    </row>
    <row r="18" spans="1:4" x14ac:dyDescent="0.25">
      <c r="A18">
        <f>INT(MID(table_1_2[[#This Row],[library]], 4, 10))</f>
        <v>225</v>
      </c>
      <c r="B18" t="s">
        <v>9</v>
      </c>
      <c r="C18">
        <v>7604379</v>
      </c>
      <c r="D18">
        <v>6898791</v>
      </c>
    </row>
    <row r="19" spans="1:4" x14ac:dyDescent="0.25">
      <c r="A19">
        <f>INT(MID(table_1_2[[#This Row],[library]], 4, 10))</f>
        <v>226</v>
      </c>
      <c r="B19" t="s">
        <v>10</v>
      </c>
      <c r="C19">
        <v>8885716</v>
      </c>
      <c r="D19">
        <v>7986453</v>
      </c>
    </row>
    <row r="20" spans="1:4" x14ac:dyDescent="0.25">
      <c r="A20">
        <f>INT(MID(table_1_2[[#This Row],[library]], 4, 10))</f>
        <v>227</v>
      </c>
      <c r="B20" t="s">
        <v>11</v>
      </c>
      <c r="C20">
        <v>8150455</v>
      </c>
      <c r="D20">
        <v>7354088</v>
      </c>
    </row>
    <row r="21" spans="1:4" x14ac:dyDescent="0.25">
      <c r="A21">
        <f>INT(MID(table_1_2[[#This Row],[library]], 4, 10))</f>
        <v>228</v>
      </c>
      <c r="B21" t="s">
        <v>12</v>
      </c>
      <c r="C21">
        <v>7694818</v>
      </c>
      <c r="D21">
        <v>6940576</v>
      </c>
    </row>
    <row r="22" spans="1:4" x14ac:dyDescent="0.25">
      <c r="A22">
        <f>INT(MID(table_1_2[[#This Row],[library]], 4, 10))</f>
        <v>229</v>
      </c>
      <c r="B22" t="s">
        <v>13</v>
      </c>
      <c r="C22">
        <v>11320509</v>
      </c>
      <c r="D22">
        <v>10142826</v>
      </c>
    </row>
    <row r="23" spans="1:4" x14ac:dyDescent="0.25">
      <c r="A23">
        <f>INT(MID(table_1_2[[#This Row],[library]], 4, 10))</f>
        <v>230</v>
      </c>
      <c r="B23" t="s">
        <v>15</v>
      </c>
      <c r="C23">
        <v>12480734</v>
      </c>
      <c r="D23">
        <v>11211467</v>
      </c>
    </row>
    <row r="24" spans="1:4" x14ac:dyDescent="0.25">
      <c r="A24">
        <f>INT(MID(table_1_2[[#This Row],[library]], 4, 10))</f>
        <v>231</v>
      </c>
      <c r="B24" t="s">
        <v>16</v>
      </c>
      <c r="C24">
        <v>12500966</v>
      </c>
      <c r="D24">
        <v>11130391</v>
      </c>
    </row>
    <row r="25" spans="1:4" x14ac:dyDescent="0.25">
      <c r="A25">
        <f>INT(MID(table_1_2[[#This Row],[library]], 4, 10))</f>
        <v>232</v>
      </c>
      <c r="B25" t="s">
        <v>17</v>
      </c>
      <c r="C25">
        <v>12479012</v>
      </c>
      <c r="D25">
        <v>11080481</v>
      </c>
    </row>
    <row r="26" spans="1:4" x14ac:dyDescent="0.25">
      <c r="A26">
        <f>INT(MID(table_1_2[[#This Row],[library]], 4, 10))</f>
        <v>233</v>
      </c>
      <c r="B26" t="s">
        <v>18</v>
      </c>
      <c r="C26">
        <v>13912975</v>
      </c>
      <c r="D26">
        <v>12987477</v>
      </c>
    </row>
    <row r="27" spans="1:4" x14ac:dyDescent="0.25">
      <c r="A27">
        <f>INT(MID(table_1_2[[#This Row],[library]], 4, 10))</f>
        <v>234</v>
      </c>
      <c r="B27" t="s">
        <v>19</v>
      </c>
      <c r="C27">
        <v>15839537</v>
      </c>
      <c r="D27">
        <v>14745821</v>
      </c>
    </row>
    <row r="28" spans="1:4" x14ac:dyDescent="0.25">
      <c r="A28">
        <f>INT(MID(table_1_2[[#This Row],[library]], 4, 10))</f>
        <v>235</v>
      </c>
      <c r="B28" t="s">
        <v>20</v>
      </c>
      <c r="C28">
        <v>13872702</v>
      </c>
      <c r="D28">
        <v>12946604</v>
      </c>
    </row>
    <row r="29" spans="1:4" x14ac:dyDescent="0.25">
      <c r="A29">
        <f>INT(MID(table_1_2[[#This Row],[library]], 4, 10))</f>
        <v>236</v>
      </c>
      <c r="B29" t="s">
        <v>21</v>
      </c>
      <c r="C29">
        <v>13493608</v>
      </c>
      <c r="D29">
        <v>12582077</v>
      </c>
    </row>
    <row r="30" spans="1:4" x14ac:dyDescent="0.25">
      <c r="A30">
        <f>INT(MID(table_1_2[[#This Row],[library]], 4, 10))</f>
        <v>237</v>
      </c>
      <c r="B30" t="s">
        <v>22</v>
      </c>
      <c r="C30">
        <v>11307677</v>
      </c>
      <c r="D30">
        <v>10562895</v>
      </c>
    </row>
    <row r="31" spans="1:4" x14ac:dyDescent="0.25">
      <c r="A31">
        <f>INT(MID(table_1_2[[#This Row],[library]], 4, 10))</f>
        <v>238</v>
      </c>
      <c r="B31" t="s">
        <v>23</v>
      </c>
      <c r="C31">
        <v>11757615</v>
      </c>
      <c r="D31">
        <v>10985096</v>
      </c>
    </row>
    <row r="32" spans="1:4" x14ac:dyDescent="0.25">
      <c r="A32">
        <f>INT(MID(table_1_2[[#This Row],[library]], 4, 10))</f>
        <v>239</v>
      </c>
      <c r="B32" t="s">
        <v>24</v>
      </c>
      <c r="C32">
        <v>10272339</v>
      </c>
      <c r="D32">
        <v>9559721</v>
      </c>
    </row>
    <row r="33" spans="1:4" x14ac:dyDescent="0.25">
      <c r="A33">
        <f>INT(MID(table_1_2[[#This Row],[library]], 4, 10))</f>
        <v>240</v>
      </c>
      <c r="B33" t="s">
        <v>25</v>
      </c>
      <c r="C33">
        <v>9412394</v>
      </c>
      <c r="D33">
        <v>8729797</v>
      </c>
    </row>
    <row r="34" spans="1:4" x14ac:dyDescent="0.25">
      <c r="A34">
        <f>INT(MID(table_1_2[[#This Row],[library]], 4, 10))</f>
        <v>241</v>
      </c>
      <c r="B34" t="s">
        <v>163</v>
      </c>
      <c r="C34">
        <v>12353899</v>
      </c>
      <c r="D34">
        <v>11434799</v>
      </c>
    </row>
    <row r="35" spans="1:4" x14ac:dyDescent="0.25">
      <c r="A35">
        <f>INT(MID(table_1_2[[#This Row],[library]], 4, 10))</f>
        <v>242</v>
      </c>
      <c r="B35" t="s">
        <v>153</v>
      </c>
      <c r="C35">
        <v>8729055</v>
      </c>
      <c r="D35">
        <v>7952502</v>
      </c>
    </row>
    <row r="36" spans="1:4" x14ac:dyDescent="0.25">
      <c r="A36">
        <f>INT(MID(table_1_2[[#This Row],[library]], 4, 10))</f>
        <v>243</v>
      </c>
      <c r="B36" t="s">
        <v>154</v>
      </c>
      <c r="C36">
        <v>9194763</v>
      </c>
      <c r="D36">
        <v>8390591</v>
      </c>
    </row>
    <row r="37" spans="1:4" x14ac:dyDescent="0.25">
      <c r="A37">
        <f>INT(MID(table_1_2[[#This Row],[library]], 4, 10))</f>
        <v>244</v>
      </c>
      <c r="B37" t="s">
        <v>131</v>
      </c>
      <c r="C37">
        <v>10005232</v>
      </c>
      <c r="D37">
        <v>9354510</v>
      </c>
    </row>
    <row r="38" spans="1:4" x14ac:dyDescent="0.25">
      <c r="A38">
        <f>INT(MID(table_1_2[[#This Row],[library]], 4, 10))</f>
        <v>245</v>
      </c>
      <c r="B38" t="s">
        <v>132</v>
      </c>
      <c r="C38">
        <v>12898941</v>
      </c>
      <c r="D38">
        <v>12461219</v>
      </c>
    </row>
    <row r="39" spans="1:4" x14ac:dyDescent="0.25">
      <c r="A39">
        <f>INT(MID(table_1_2[[#This Row],[library]], 4, 10))</f>
        <v>246</v>
      </c>
      <c r="B39" t="s">
        <v>133</v>
      </c>
      <c r="C39">
        <v>10217401</v>
      </c>
      <c r="D39">
        <v>9853052</v>
      </c>
    </row>
    <row r="40" spans="1:4" x14ac:dyDescent="0.25">
      <c r="A40">
        <f>INT(MID(table_1_2[[#This Row],[library]], 4, 10))</f>
        <v>247</v>
      </c>
      <c r="B40" t="s">
        <v>155</v>
      </c>
      <c r="C40">
        <v>8496668</v>
      </c>
      <c r="D40">
        <v>8109217</v>
      </c>
    </row>
    <row r="41" spans="1:4" x14ac:dyDescent="0.25">
      <c r="A41">
        <f>INT(MID(table_1_2[[#This Row],[library]], 4, 10))</f>
        <v>248</v>
      </c>
      <c r="B41" t="s">
        <v>156</v>
      </c>
      <c r="C41">
        <v>8842556</v>
      </c>
      <c r="D41">
        <v>8301459</v>
      </c>
    </row>
    <row r="42" spans="1:4" x14ac:dyDescent="0.25">
      <c r="A42">
        <f>INT(MID(table_1_2[[#This Row],[library]], 4, 10))</f>
        <v>249</v>
      </c>
      <c r="B42" t="s">
        <v>157</v>
      </c>
      <c r="C42">
        <v>8994367</v>
      </c>
      <c r="D42">
        <v>8432686</v>
      </c>
    </row>
    <row r="43" spans="1:4" x14ac:dyDescent="0.25">
      <c r="A43">
        <f>INT(MID(table_1_2[[#This Row],[library]], 4, 10))</f>
        <v>250</v>
      </c>
      <c r="B43" t="s">
        <v>158</v>
      </c>
      <c r="C43">
        <v>7898524</v>
      </c>
      <c r="D43">
        <v>7546622</v>
      </c>
    </row>
    <row r="44" spans="1:4" x14ac:dyDescent="0.25">
      <c r="A44">
        <f>INT(MID(table_1_2[[#This Row],[library]], 4, 10))</f>
        <v>251</v>
      </c>
      <c r="B44" t="s">
        <v>159</v>
      </c>
      <c r="C44">
        <v>8711046</v>
      </c>
      <c r="D44">
        <v>8244733</v>
      </c>
    </row>
    <row r="45" spans="1:4" x14ac:dyDescent="0.25">
      <c r="A45">
        <f>INT(MID(table_1_2[[#This Row],[library]], 4, 10))</f>
        <v>252</v>
      </c>
      <c r="B45" t="s">
        <v>160</v>
      </c>
      <c r="C45">
        <v>8055418</v>
      </c>
      <c r="D45">
        <v>7604784</v>
      </c>
    </row>
    <row r="46" spans="1:4" x14ac:dyDescent="0.25">
      <c r="A46">
        <f>INT(MID(table_1_2[[#This Row],[library]], 4, 10))</f>
        <v>253</v>
      </c>
      <c r="B46" t="s">
        <v>161</v>
      </c>
      <c r="C46">
        <v>8697160</v>
      </c>
      <c r="D46">
        <v>8188255</v>
      </c>
    </row>
    <row r="47" spans="1:4" x14ac:dyDescent="0.25">
      <c r="A47">
        <f>INT(MID(table_1_2[[#This Row],[library]], 4, 10))</f>
        <v>254</v>
      </c>
      <c r="B47" t="s">
        <v>162</v>
      </c>
      <c r="C47">
        <v>8748510</v>
      </c>
      <c r="D47">
        <v>8214551</v>
      </c>
    </row>
    <row r="48" spans="1:4" x14ac:dyDescent="0.25">
      <c r="A48">
        <f>INT(MID(table_1_2[[#This Row],[library]], 4, 10))</f>
        <v>255</v>
      </c>
      <c r="B48" t="s">
        <v>26</v>
      </c>
      <c r="C48">
        <v>7579965</v>
      </c>
      <c r="D48">
        <v>7188205</v>
      </c>
    </row>
    <row r="49" spans="1:4" x14ac:dyDescent="0.25">
      <c r="A49">
        <f>INT(MID(table_1_2[[#This Row],[library]], 4, 10))</f>
        <v>256</v>
      </c>
      <c r="B49" t="s">
        <v>27</v>
      </c>
      <c r="C49">
        <v>7982725</v>
      </c>
      <c r="D49">
        <v>7629961</v>
      </c>
    </row>
    <row r="50" spans="1:4" x14ac:dyDescent="0.25">
      <c r="A50">
        <f>INT(MID(table_1_2[[#This Row],[library]], 4, 10))</f>
        <v>257</v>
      </c>
      <c r="B50" t="s">
        <v>28</v>
      </c>
      <c r="C50">
        <v>7854740</v>
      </c>
      <c r="D50">
        <v>7393944</v>
      </c>
    </row>
    <row r="51" spans="1:4" x14ac:dyDescent="0.25">
      <c r="A51">
        <f>INT(MID(table_1_2[[#This Row],[library]], 4, 10))</f>
        <v>258</v>
      </c>
      <c r="B51" t="s">
        <v>29</v>
      </c>
      <c r="C51">
        <v>7534924</v>
      </c>
      <c r="D51">
        <v>7186635</v>
      </c>
    </row>
    <row r="52" spans="1:4" x14ac:dyDescent="0.25">
      <c r="A52">
        <f>INT(MID(table_1_2[[#This Row],[library]], 4, 10))</f>
        <v>259</v>
      </c>
      <c r="B52" t="s">
        <v>30</v>
      </c>
      <c r="C52">
        <v>8808358</v>
      </c>
      <c r="D52">
        <v>8591684</v>
      </c>
    </row>
    <row r="53" spans="1:4" x14ac:dyDescent="0.25">
      <c r="A53">
        <f>INT(MID(table_1_2[[#This Row],[library]], 4, 10))</f>
        <v>260</v>
      </c>
      <c r="B53" t="s">
        <v>31</v>
      </c>
      <c r="C53">
        <v>9297647</v>
      </c>
      <c r="D53">
        <v>9042866</v>
      </c>
    </row>
    <row r="54" spans="1:4" x14ac:dyDescent="0.25">
      <c r="A54">
        <f>INT(MID(table_1_2[[#This Row],[library]], 4, 10))</f>
        <v>261</v>
      </c>
      <c r="B54" t="s">
        <v>32</v>
      </c>
      <c r="C54">
        <v>9399483</v>
      </c>
      <c r="D54">
        <v>9132842</v>
      </c>
    </row>
    <row r="55" spans="1:4" x14ac:dyDescent="0.25">
      <c r="A55">
        <f>INT(MID(table_1_2[[#This Row],[library]], 4, 10))</f>
        <v>262</v>
      </c>
      <c r="B55" t="s">
        <v>33</v>
      </c>
      <c r="C55">
        <v>8799841</v>
      </c>
      <c r="D55">
        <v>8540326</v>
      </c>
    </row>
    <row r="56" spans="1:4" x14ac:dyDescent="0.25">
      <c r="A56">
        <f>INT(MID(table_1_2[[#This Row],[library]], 4, 10))</f>
        <v>263</v>
      </c>
      <c r="B56" t="s">
        <v>34</v>
      </c>
      <c r="C56">
        <v>8171224</v>
      </c>
      <c r="D56">
        <v>7718767</v>
      </c>
    </row>
    <row r="57" spans="1:4" x14ac:dyDescent="0.25">
      <c r="A57">
        <f>INT(MID(table_1_2[[#This Row],[library]], 4, 10))</f>
        <v>264</v>
      </c>
      <c r="B57" t="s">
        <v>35</v>
      </c>
      <c r="C57">
        <v>8180897</v>
      </c>
      <c r="D57">
        <v>7755473</v>
      </c>
    </row>
    <row r="58" spans="1:4" x14ac:dyDescent="0.25">
      <c r="A58">
        <f>INT(MID(table_1_2[[#This Row],[library]], 4, 10))</f>
        <v>265</v>
      </c>
      <c r="B58" t="s">
        <v>36</v>
      </c>
      <c r="C58">
        <v>8314116</v>
      </c>
      <c r="D58">
        <v>7865452</v>
      </c>
    </row>
    <row r="59" spans="1:4" x14ac:dyDescent="0.25">
      <c r="A59">
        <f>INT(MID(table_1_2[[#This Row],[library]], 4, 10))</f>
        <v>266</v>
      </c>
      <c r="B59" t="s">
        <v>37</v>
      </c>
      <c r="C59">
        <v>8096639</v>
      </c>
      <c r="D59">
        <v>7661614</v>
      </c>
    </row>
    <row r="60" spans="1:4" x14ac:dyDescent="0.25">
      <c r="A60">
        <f>INT(MID(table_1_2[[#This Row],[library]], 4, 10))</f>
        <v>267</v>
      </c>
      <c r="B60" t="s">
        <v>38</v>
      </c>
      <c r="C60">
        <v>7439535</v>
      </c>
      <c r="D60">
        <v>7137355</v>
      </c>
    </row>
    <row r="61" spans="1:4" x14ac:dyDescent="0.25">
      <c r="A61">
        <f>INT(MID(table_1_2[[#This Row],[library]], 4, 10))</f>
        <v>268</v>
      </c>
      <c r="B61" t="s">
        <v>39</v>
      </c>
      <c r="C61">
        <v>6937078</v>
      </c>
      <c r="D61">
        <v>6618133</v>
      </c>
    </row>
    <row r="62" spans="1:4" x14ac:dyDescent="0.25">
      <c r="A62">
        <f>INT(MID(table_1_2[[#This Row],[library]], 4, 10))</f>
        <v>269</v>
      </c>
      <c r="B62" t="s">
        <v>40</v>
      </c>
      <c r="C62">
        <v>8644152</v>
      </c>
      <c r="D62">
        <v>8227882</v>
      </c>
    </row>
    <row r="63" spans="1:4" x14ac:dyDescent="0.25">
      <c r="A63">
        <f>INT(MID(table_1_2[[#This Row],[library]], 4, 10))</f>
        <v>270</v>
      </c>
      <c r="B63" t="s">
        <v>41</v>
      </c>
      <c r="C63">
        <v>7626765</v>
      </c>
      <c r="D63">
        <v>7238408</v>
      </c>
    </row>
    <row r="64" spans="1:4" x14ac:dyDescent="0.25">
      <c r="A64">
        <f>INT(MID(table_1_2[[#This Row],[library]], 4, 10))</f>
        <v>271</v>
      </c>
      <c r="B64" t="s">
        <v>42</v>
      </c>
      <c r="C64">
        <v>9677088</v>
      </c>
      <c r="D64">
        <v>9524548</v>
      </c>
    </row>
    <row r="65" spans="1:4" x14ac:dyDescent="0.25">
      <c r="A65">
        <f>INT(MID(table_1_2[[#This Row],[library]], 4, 10))</f>
        <v>272</v>
      </c>
      <c r="B65" t="s">
        <v>43</v>
      </c>
      <c r="C65">
        <v>10357247</v>
      </c>
      <c r="D65">
        <v>10125834</v>
      </c>
    </row>
    <row r="66" spans="1:4" x14ac:dyDescent="0.25">
      <c r="A66">
        <f>INT(MID(table_1_2[[#This Row],[library]], 4, 10))</f>
        <v>273</v>
      </c>
      <c r="B66" t="s">
        <v>44</v>
      </c>
      <c r="C66">
        <v>10347003</v>
      </c>
      <c r="D66">
        <v>10173904</v>
      </c>
    </row>
    <row r="67" spans="1:4" x14ac:dyDescent="0.25">
      <c r="A67">
        <f>INT(MID(table_1_2[[#This Row],[library]], 4, 10))</f>
        <v>274</v>
      </c>
      <c r="B67" t="s">
        <v>45</v>
      </c>
      <c r="C67">
        <v>9780215</v>
      </c>
      <c r="D67">
        <v>9525100</v>
      </c>
    </row>
    <row r="68" spans="1:4" x14ac:dyDescent="0.25">
      <c r="A68">
        <f>INT(MID(table_1_2[[#This Row],[library]], 4, 10))</f>
        <v>275</v>
      </c>
      <c r="B68" t="s">
        <v>46</v>
      </c>
      <c r="C68">
        <v>7530830</v>
      </c>
      <c r="D68">
        <v>7280860</v>
      </c>
    </row>
    <row r="69" spans="1:4" x14ac:dyDescent="0.25">
      <c r="A69">
        <f>INT(MID(table_1_2[[#This Row],[library]], 4, 10))</f>
        <v>276</v>
      </c>
      <c r="B69" t="s">
        <v>47</v>
      </c>
      <c r="C69">
        <v>7081053</v>
      </c>
      <c r="D69">
        <v>6872217</v>
      </c>
    </row>
    <row r="70" spans="1:4" x14ac:dyDescent="0.25">
      <c r="A70">
        <f>INT(MID(table_1_2[[#This Row],[library]], 4, 10))</f>
        <v>277</v>
      </c>
      <c r="B70" t="s">
        <v>48</v>
      </c>
      <c r="C70">
        <v>7065585</v>
      </c>
      <c r="D70">
        <v>6847531</v>
      </c>
    </row>
    <row r="71" spans="1:4" x14ac:dyDescent="0.25">
      <c r="A71">
        <f>INT(MID(table_1_2[[#This Row],[library]], 4, 10))</f>
        <v>278</v>
      </c>
      <c r="B71" t="s">
        <v>49</v>
      </c>
      <c r="C71">
        <v>7319545</v>
      </c>
      <c r="D71">
        <v>7081713</v>
      </c>
    </row>
    <row r="72" spans="1:4" x14ac:dyDescent="0.25">
      <c r="A72">
        <f>INT(MID(table_1_2[[#This Row],[library]], 4, 10))</f>
        <v>279</v>
      </c>
      <c r="B72" t="s">
        <v>143</v>
      </c>
      <c r="C72">
        <v>7179482</v>
      </c>
      <c r="D72">
        <v>6854281</v>
      </c>
    </row>
    <row r="73" spans="1:4" x14ac:dyDescent="0.25">
      <c r="A73">
        <f>INT(MID(table_1_2[[#This Row],[library]], 4, 10))</f>
        <v>280</v>
      </c>
      <c r="B73" t="s">
        <v>144</v>
      </c>
      <c r="C73">
        <v>8143045</v>
      </c>
      <c r="D73">
        <v>7726375</v>
      </c>
    </row>
    <row r="74" spans="1:4" x14ac:dyDescent="0.25">
      <c r="A74">
        <f>INT(MID(table_1_2[[#This Row],[library]], 4, 10))</f>
        <v>281</v>
      </c>
      <c r="B74" t="s">
        <v>135</v>
      </c>
      <c r="C74">
        <v>7424148</v>
      </c>
      <c r="D74">
        <v>7181166</v>
      </c>
    </row>
    <row r="75" spans="1:4" x14ac:dyDescent="0.25">
      <c r="A75">
        <f>INT(MID(table_1_2[[#This Row],[library]], 4, 10))</f>
        <v>282</v>
      </c>
      <c r="B75" t="s">
        <v>136</v>
      </c>
      <c r="C75">
        <v>10190833</v>
      </c>
      <c r="D75">
        <v>10027116</v>
      </c>
    </row>
    <row r="76" spans="1:4" x14ac:dyDescent="0.25">
      <c r="A76">
        <f>INT(MID(table_1_2[[#This Row],[library]], 4, 10))</f>
        <v>283</v>
      </c>
      <c r="B76" t="s">
        <v>137</v>
      </c>
      <c r="C76">
        <v>7763439</v>
      </c>
      <c r="D76">
        <v>7622513</v>
      </c>
    </row>
    <row r="77" spans="1:4" x14ac:dyDescent="0.25">
      <c r="A77">
        <f>INT(MID(table_1_2[[#This Row],[library]], 4, 10))</f>
        <v>284</v>
      </c>
      <c r="B77" t="s">
        <v>145</v>
      </c>
      <c r="C77">
        <v>6747088</v>
      </c>
      <c r="D77">
        <v>6592351</v>
      </c>
    </row>
    <row r="78" spans="1:4" x14ac:dyDescent="0.25">
      <c r="A78">
        <f>INT(MID(table_1_2[[#This Row],[library]], 4, 10))</f>
        <v>285</v>
      </c>
      <c r="B78" t="s">
        <v>146</v>
      </c>
      <c r="C78">
        <v>7603110</v>
      </c>
      <c r="D78">
        <v>7339860</v>
      </c>
    </row>
    <row r="79" spans="1:4" x14ac:dyDescent="0.25">
      <c r="A79">
        <f>INT(MID(table_1_2[[#This Row],[library]], 4, 10))</f>
        <v>286</v>
      </c>
      <c r="B79" t="s">
        <v>147</v>
      </c>
      <c r="C79">
        <v>6540897</v>
      </c>
      <c r="D79">
        <v>6316496</v>
      </c>
    </row>
    <row r="80" spans="1:4" x14ac:dyDescent="0.25">
      <c r="A80">
        <f>INT(MID(table_1_2[[#This Row],[library]], 4, 10))</f>
        <v>287</v>
      </c>
      <c r="B80" t="s">
        <v>148</v>
      </c>
      <c r="C80">
        <v>6213540</v>
      </c>
      <c r="D80">
        <v>5994623</v>
      </c>
    </row>
    <row r="81" spans="1:4" x14ac:dyDescent="0.25">
      <c r="A81">
        <f>INT(MID(table_1_2[[#This Row],[library]], 4, 10))</f>
        <v>288</v>
      </c>
      <c r="B81" t="s">
        <v>149</v>
      </c>
      <c r="C81">
        <v>6775774</v>
      </c>
      <c r="D81">
        <v>6548981</v>
      </c>
    </row>
    <row r="82" spans="1:4" x14ac:dyDescent="0.25">
      <c r="A82">
        <f>INT(MID(table_1_2[[#This Row],[library]], 4, 10))</f>
        <v>289</v>
      </c>
      <c r="B82" t="s">
        <v>150</v>
      </c>
      <c r="C82">
        <v>6586903</v>
      </c>
      <c r="D82">
        <v>6368302</v>
      </c>
    </row>
    <row r="83" spans="1:4" x14ac:dyDescent="0.25">
      <c r="A83">
        <f>INT(MID(table_1_2[[#This Row],[library]], 4, 10))</f>
        <v>290</v>
      </c>
      <c r="B83" t="s">
        <v>151</v>
      </c>
      <c r="C83">
        <v>6492202</v>
      </c>
      <c r="D83">
        <v>6261307</v>
      </c>
    </row>
    <row r="84" spans="1:4" x14ac:dyDescent="0.25">
      <c r="A84">
        <f>INT(MID(table_1_2[[#This Row],[library]], 4, 10))</f>
        <v>291</v>
      </c>
      <c r="B84" t="s">
        <v>152</v>
      </c>
      <c r="C84">
        <v>6473393</v>
      </c>
      <c r="D84">
        <v>6197001</v>
      </c>
    </row>
    <row r="85" spans="1:4" x14ac:dyDescent="0.25">
      <c r="A85">
        <f>INT(MID(table_1_2[[#This Row],[library]], 4, 10))</f>
        <v>292</v>
      </c>
      <c r="B85" t="s">
        <v>50</v>
      </c>
      <c r="C85">
        <v>8597510</v>
      </c>
      <c r="D85">
        <v>8418044</v>
      </c>
    </row>
    <row r="86" spans="1:4" x14ac:dyDescent="0.25">
      <c r="A86">
        <f>INT(MID(table_1_2[[#This Row],[library]], 4, 10))</f>
        <v>293</v>
      </c>
      <c r="B86" t="s">
        <v>51</v>
      </c>
      <c r="C86">
        <v>10116623</v>
      </c>
      <c r="D86">
        <v>9962248</v>
      </c>
    </row>
    <row r="87" spans="1:4" x14ac:dyDescent="0.25">
      <c r="A87">
        <f>INT(MID(table_1_2[[#This Row],[library]], 4, 10))</f>
        <v>294</v>
      </c>
      <c r="B87" t="s">
        <v>52</v>
      </c>
      <c r="C87">
        <v>8703707</v>
      </c>
      <c r="D87">
        <v>8490949</v>
      </c>
    </row>
    <row r="88" spans="1:4" x14ac:dyDescent="0.25">
      <c r="A88">
        <f>INT(MID(table_1_2[[#This Row],[library]], 4, 10))</f>
        <v>295</v>
      </c>
      <c r="B88" t="s">
        <v>53</v>
      </c>
      <c r="C88">
        <v>9021103</v>
      </c>
      <c r="D88">
        <v>8882796</v>
      </c>
    </row>
    <row r="89" spans="1:4" x14ac:dyDescent="0.25">
      <c r="A89">
        <f>INT(MID(table_1_2[[#This Row],[library]], 4, 10))</f>
        <v>296</v>
      </c>
      <c r="B89" t="s">
        <v>54</v>
      </c>
      <c r="C89">
        <v>11021111</v>
      </c>
      <c r="D89">
        <v>10968837</v>
      </c>
    </row>
    <row r="90" spans="1:4" x14ac:dyDescent="0.25">
      <c r="A90">
        <f>INT(MID(table_1_2[[#This Row],[library]], 4, 10))</f>
        <v>297</v>
      </c>
      <c r="B90" t="s">
        <v>55</v>
      </c>
      <c r="C90">
        <v>11280773</v>
      </c>
      <c r="D90">
        <v>11210555</v>
      </c>
    </row>
    <row r="91" spans="1:4" x14ac:dyDescent="0.25">
      <c r="A91">
        <f>INT(MID(table_1_2[[#This Row],[library]], 4, 10))</f>
        <v>298</v>
      </c>
      <c r="B91" t="s">
        <v>56</v>
      </c>
      <c r="C91">
        <v>12426852</v>
      </c>
      <c r="D91">
        <v>12343042</v>
      </c>
    </row>
    <row r="92" spans="1:4" x14ac:dyDescent="0.25">
      <c r="A92">
        <f>INT(MID(table_1_2[[#This Row],[library]], 4, 10))</f>
        <v>299</v>
      </c>
      <c r="B92" t="s">
        <v>57</v>
      </c>
      <c r="C92">
        <v>11659042</v>
      </c>
      <c r="D92">
        <v>11575896</v>
      </c>
    </row>
    <row r="93" spans="1:4" x14ac:dyDescent="0.25">
      <c r="A93">
        <f>INT(MID(table_1_2[[#This Row],[library]], 4, 10))</f>
        <v>300</v>
      </c>
      <c r="B93" t="s">
        <v>58</v>
      </c>
      <c r="C93">
        <v>9933546</v>
      </c>
      <c r="D93">
        <v>9593256</v>
      </c>
    </row>
    <row r="94" spans="1:4" x14ac:dyDescent="0.25">
      <c r="A94">
        <f>INT(MID(table_1_2[[#This Row],[library]], 4, 10))</f>
        <v>301</v>
      </c>
      <c r="B94" t="s">
        <v>59</v>
      </c>
      <c r="C94">
        <v>10351309</v>
      </c>
      <c r="D94">
        <v>10015551</v>
      </c>
    </row>
    <row r="95" spans="1:4" x14ac:dyDescent="0.25">
      <c r="A95">
        <f>INT(MID(table_1_2[[#This Row],[library]], 4, 10))</f>
        <v>302</v>
      </c>
      <c r="B95" t="s">
        <v>60</v>
      </c>
      <c r="C95">
        <v>9388188</v>
      </c>
      <c r="D95">
        <v>9109254</v>
      </c>
    </row>
    <row r="96" spans="1:4" x14ac:dyDescent="0.25">
      <c r="A96">
        <f>INT(MID(table_1_2[[#This Row],[library]], 4, 10))</f>
        <v>303</v>
      </c>
      <c r="B96" t="s">
        <v>61</v>
      </c>
      <c r="C96">
        <v>8668198</v>
      </c>
      <c r="D96">
        <v>8413896</v>
      </c>
    </row>
    <row r="97" spans="1:4" x14ac:dyDescent="0.25">
      <c r="A97">
        <f>INT(MID(table_1_2[[#This Row],[library]], 4, 10))</f>
        <v>304</v>
      </c>
      <c r="B97" t="s">
        <v>62</v>
      </c>
      <c r="C97">
        <v>6589000</v>
      </c>
      <c r="D97">
        <v>6494964</v>
      </c>
    </row>
    <row r="98" spans="1:4" x14ac:dyDescent="0.25">
      <c r="A98">
        <f>INT(MID(table_1_2[[#This Row],[library]], 4, 10))</f>
        <v>305</v>
      </c>
      <c r="B98" t="s">
        <v>63</v>
      </c>
      <c r="C98">
        <v>7135014</v>
      </c>
      <c r="D98">
        <v>7011524</v>
      </c>
    </row>
    <row r="99" spans="1:4" x14ac:dyDescent="0.25">
      <c r="A99">
        <f>INT(MID(table_1_2[[#This Row],[library]], 4, 10))</f>
        <v>306</v>
      </c>
      <c r="B99" t="s">
        <v>64</v>
      </c>
      <c r="C99">
        <v>7262219</v>
      </c>
      <c r="D99">
        <v>7131423</v>
      </c>
    </row>
    <row r="100" spans="1:4" x14ac:dyDescent="0.25">
      <c r="A100">
        <f>INT(MID(table_1_2[[#This Row],[library]], 4, 10))</f>
        <v>307</v>
      </c>
      <c r="B100" t="s">
        <v>65</v>
      </c>
      <c r="C100">
        <v>6678084</v>
      </c>
      <c r="D100">
        <v>6545416</v>
      </c>
    </row>
    <row r="101" spans="1:4" x14ac:dyDescent="0.25">
      <c r="A101">
        <f>INT(MID(table_1_2[[#This Row],[library]], 4, 10))</f>
        <v>308</v>
      </c>
      <c r="B101" t="s">
        <v>66</v>
      </c>
      <c r="C101">
        <v>9837104</v>
      </c>
      <c r="D101">
        <v>9730255</v>
      </c>
    </row>
    <row r="102" spans="1:4" x14ac:dyDescent="0.25">
      <c r="A102">
        <f>INT(MID(table_1_2[[#This Row],[library]], 4, 10))</f>
        <v>309</v>
      </c>
      <c r="B102" t="s">
        <v>67</v>
      </c>
      <c r="C102">
        <v>10611250</v>
      </c>
      <c r="D102">
        <v>10430885</v>
      </c>
    </row>
    <row r="103" spans="1:4" x14ac:dyDescent="0.25">
      <c r="A103">
        <f>INT(MID(table_1_2[[#This Row],[library]], 4, 10))</f>
        <v>310</v>
      </c>
      <c r="B103" t="s">
        <v>68</v>
      </c>
      <c r="C103">
        <v>9883765</v>
      </c>
      <c r="D103">
        <v>9770845</v>
      </c>
    </row>
    <row r="104" spans="1:4" x14ac:dyDescent="0.25">
      <c r="A104">
        <f>INT(MID(table_1_2[[#This Row],[library]], 4, 10))</f>
        <v>311</v>
      </c>
      <c r="B104" t="s">
        <v>69</v>
      </c>
      <c r="C104">
        <v>10459188</v>
      </c>
      <c r="D104">
        <v>10249893</v>
      </c>
    </row>
    <row r="105" spans="1:4" x14ac:dyDescent="0.25">
      <c r="A105">
        <f>INT(MID(table_1_2[[#This Row],[library]], 4, 10))</f>
        <v>312</v>
      </c>
      <c r="B105" t="s">
        <v>70</v>
      </c>
      <c r="C105">
        <v>6846213</v>
      </c>
      <c r="D105">
        <v>6718301</v>
      </c>
    </row>
    <row r="106" spans="1:4" x14ac:dyDescent="0.25">
      <c r="A106">
        <f>INT(MID(table_1_2[[#This Row],[library]], 4, 10))</f>
        <v>313</v>
      </c>
      <c r="B106" t="s">
        <v>71</v>
      </c>
      <c r="C106">
        <v>6511345</v>
      </c>
      <c r="D106">
        <v>6435913</v>
      </c>
    </row>
    <row r="107" spans="1:4" x14ac:dyDescent="0.25">
      <c r="A107">
        <f>INT(MID(table_1_2[[#This Row],[library]], 4, 10))</f>
        <v>314</v>
      </c>
      <c r="B107" t="s">
        <v>72</v>
      </c>
      <c r="C107">
        <v>7387185</v>
      </c>
      <c r="D107">
        <v>7285831</v>
      </c>
    </row>
    <row r="108" spans="1:4" x14ac:dyDescent="0.25">
      <c r="A108">
        <f>INT(MID(table_1_2[[#This Row],[library]], 4, 10))</f>
        <v>315</v>
      </c>
      <c r="B108" t="s">
        <v>73</v>
      </c>
      <c r="C108">
        <v>6462243</v>
      </c>
      <c r="D108">
        <v>6372479</v>
      </c>
    </row>
    <row r="109" spans="1:4" x14ac:dyDescent="0.25">
      <c r="A109" s="2">
        <f>INT(MID(table_1_2[[#This Row],[library]], 4, 10))</f>
        <v>349</v>
      </c>
      <c r="B109" t="s">
        <v>203</v>
      </c>
      <c r="C109">
        <v>6302370</v>
      </c>
      <c r="D109">
        <v>6161112</v>
      </c>
    </row>
    <row r="110" spans="1:4" x14ac:dyDescent="0.25">
      <c r="A110" s="2">
        <f>INT(MID(table_1_2[[#This Row],[library]], 4, 10))</f>
        <v>350</v>
      </c>
      <c r="B110" t="s">
        <v>204</v>
      </c>
      <c r="C110">
        <v>5988345</v>
      </c>
      <c r="D110">
        <v>5856132</v>
      </c>
    </row>
    <row r="111" spans="1:4" x14ac:dyDescent="0.25">
      <c r="A111" s="2">
        <f>INT(MID(table_1_2[[#This Row],[library]], 4, 10))</f>
        <v>351</v>
      </c>
      <c r="B111" t="s">
        <v>205</v>
      </c>
      <c r="C111">
        <v>5741048</v>
      </c>
      <c r="D111">
        <v>5613583</v>
      </c>
    </row>
    <row r="112" spans="1:4" x14ac:dyDescent="0.25">
      <c r="A112" s="2">
        <f>INT(MID(table_1_2[[#This Row],[library]], 4, 10))</f>
        <v>352</v>
      </c>
      <c r="B112" t="s">
        <v>206</v>
      </c>
      <c r="C112">
        <v>5405939</v>
      </c>
      <c r="D112">
        <v>5281487</v>
      </c>
    </row>
    <row r="113" spans="1:4" x14ac:dyDescent="0.25">
      <c r="A113" s="2">
        <f>INT(MID(table_1_2[[#This Row],[library]], 4, 10))</f>
        <v>353</v>
      </c>
      <c r="B113" t="s">
        <v>207</v>
      </c>
      <c r="C113">
        <v>4177291</v>
      </c>
      <c r="D113">
        <v>4062558</v>
      </c>
    </row>
    <row r="114" spans="1:4" x14ac:dyDescent="0.25">
      <c r="A114" s="2">
        <f>INT(MID(table_1_2[[#This Row],[library]], 4, 10))</f>
        <v>354</v>
      </c>
      <c r="B114" t="s">
        <v>208</v>
      </c>
      <c r="C114">
        <v>4647120</v>
      </c>
      <c r="D114">
        <v>4535123</v>
      </c>
    </row>
    <row r="115" spans="1:4" x14ac:dyDescent="0.25">
      <c r="A115" s="2">
        <f>INT(MID(table_1_2[[#This Row],[library]], 4, 10))</f>
        <v>355</v>
      </c>
      <c r="B115" t="s">
        <v>209</v>
      </c>
      <c r="C115">
        <v>4405688</v>
      </c>
      <c r="D115">
        <v>4280724</v>
      </c>
    </row>
    <row r="116" spans="1:4" x14ac:dyDescent="0.25">
      <c r="A116" s="2">
        <f>INT(MID(table_1_2[[#This Row],[library]], 4, 10))</f>
        <v>356</v>
      </c>
      <c r="B116" t="s">
        <v>210</v>
      </c>
      <c r="C116">
        <v>5054324</v>
      </c>
      <c r="D116">
        <v>4926338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O176"/>
  <sheetViews>
    <sheetView tabSelected="1" topLeftCell="D1" workbookViewId="0">
      <selection activeCell="N119" sqref="N119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31.42578125" customWidth="1"/>
    <col min="12" max="12" width="23.5703125" customWidth="1"/>
    <col min="13" max="13" width="13.28515625" customWidth="1"/>
    <col min="14" max="14" width="22.28515625" customWidth="1"/>
  </cols>
  <sheetData>
    <row r="1" spans="1:15" x14ac:dyDescent="0.25">
      <c r="A1" s="1" t="s">
        <v>112</v>
      </c>
      <c r="B1" s="1" t="s">
        <v>80</v>
      </c>
      <c r="C1" s="1" t="s">
        <v>104</v>
      </c>
      <c r="D1" s="1" t="s">
        <v>134</v>
      </c>
      <c r="E1" s="1" t="s">
        <v>102</v>
      </c>
      <c r="F1" s="1" t="s">
        <v>103</v>
      </c>
      <c r="G1" s="1" t="s">
        <v>81</v>
      </c>
      <c r="H1" s="1" t="s">
        <v>82</v>
      </c>
      <c r="I1" s="1" t="s">
        <v>101</v>
      </c>
      <c r="J1" s="1" t="s">
        <v>128</v>
      </c>
      <c r="K1" s="1" t="s">
        <v>85</v>
      </c>
      <c r="L1" s="1" t="s">
        <v>86</v>
      </c>
      <c r="M1" s="1" t="s">
        <v>92</v>
      </c>
      <c r="N1" s="1" t="s">
        <v>127</v>
      </c>
      <c r="O1" s="1" t="s">
        <v>129</v>
      </c>
    </row>
    <row r="2" spans="1:15" x14ac:dyDescent="0.25">
      <c r="A2" s="3">
        <v>1</v>
      </c>
      <c r="B2" t="s">
        <v>0</v>
      </c>
      <c r="C2" t="s">
        <v>1</v>
      </c>
      <c r="D2" t="s">
        <v>140</v>
      </c>
      <c r="E2" t="s">
        <v>74</v>
      </c>
      <c r="F2" t="s">
        <v>126</v>
      </c>
      <c r="G2" t="s">
        <v>75</v>
      </c>
      <c r="H2" t="s">
        <v>83</v>
      </c>
      <c r="I2" cm="1">
        <f t="array" ref="I2">IF(E2="2DSB", IF(H2="R1", 67, 46), IF(E2="1DSB", IF(H2="R1", 67, 46), IF(E2="2DSBanti", IF(H2="R1", 50, 47), NA))) + IF(table_1[[#This Row],[control]]="30bpDown", 30, 0)</f>
        <v>67</v>
      </c>
      <c r="J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yjl217_R1_2DSBs.sam</v>
      </c>
      <c r="K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yjl217_WT_sgAB_R1_sense</v>
      </c>
      <c r="L2" t="str">
        <f>_xlfn.CONCAT(table_1[[#This Row],[dsb_type]],"_", table_1[[#This Row],[strand]],"_", table_1[[#This Row],[treatment]], ".fa")</f>
        <v>2DSB_R1_sense.fa</v>
      </c>
      <c r="M2">
        <f>VLOOKUP(INT(MID(table_1[[#This Row],[library]], 4, 10)), table_1_2[#All], IF(table_1[[#This Row],[strand]]="R1", 3, 4))</f>
        <v>6630053</v>
      </c>
      <c r="N2">
        <f>IF(LEFT(table_1[[#This Row],[dsb_type]], 1) = "2", 50, 130)</f>
        <v>50</v>
      </c>
      <c r="O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5" x14ac:dyDescent="0.25">
      <c r="A3" s="3">
        <v>2</v>
      </c>
      <c r="B3" t="s">
        <v>2</v>
      </c>
      <c r="C3" t="s">
        <v>1</v>
      </c>
      <c r="D3" t="s">
        <v>140</v>
      </c>
      <c r="E3" t="s">
        <v>74</v>
      </c>
      <c r="F3" t="s">
        <v>126</v>
      </c>
      <c r="G3" t="s">
        <v>75</v>
      </c>
      <c r="H3" t="s">
        <v>83</v>
      </c>
      <c r="I3" cm="1">
        <f t="array" ref="I3">IF(E3="2DSB", IF(H3="R1", 67, 46), IF(E3="1DSB", IF(H3="R1", 67, 46), IF(E3="2DSBanti", IF(H3="R1", 50, 47), NA))) + IF(table_1[[#This Row],[control]]="30bpDown", 30, 0)</f>
        <v>67</v>
      </c>
      <c r="J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yjl218_R1_2DSBs.sam</v>
      </c>
      <c r="K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yjl218_WT_sgAB_R1_sense</v>
      </c>
      <c r="L3" t="str">
        <f>_xlfn.CONCAT(table_1[[#This Row],[dsb_type]],"_", table_1[[#This Row],[strand]],"_", table_1[[#This Row],[treatment]], ".fa")</f>
        <v>2DSB_R1_sense.fa</v>
      </c>
      <c r="M3">
        <f>VLOOKUP(INT(MID(table_1[[#This Row],[library]], 4, 10)), table_1_2[#All], IF(table_1[[#This Row],[strand]]="R1", 3, 4))</f>
        <v>7246619</v>
      </c>
      <c r="N3">
        <f>IF(LEFT(table_1[[#This Row],[dsb_type]], 1) = "2", 50, 130)</f>
        <v>50</v>
      </c>
      <c r="O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5" x14ac:dyDescent="0.25">
      <c r="A4" s="3">
        <v>3</v>
      </c>
      <c r="B4" t="s">
        <v>3</v>
      </c>
      <c r="C4" t="s">
        <v>1</v>
      </c>
      <c r="D4" t="s">
        <v>140</v>
      </c>
      <c r="E4" t="s">
        <v>74</v>
      </c>
      <c r="F4" t="s">
        <v>126</v>
      </c>
      <c r="G4" t="s">
        <v>75</v>
      </c>
      <c r="H4" t="s">
        <v>83</v>
      </c>
      <c r="I4" cm="1">
        <f t="array" ref="I4">IF(E4="2DSB", IF(H4="R1", 67, 46), IF(E4="1DSB", IF(H4="R1", 67, 46), IF(E4="2DSBanti", IF(H4="R1", 50, 47), NA))) + IF(table_1[[#This Row],[control]]="30bpDown", 30, 0)</f>
        <v>67</v>
      </c>
      <c r="J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yjl219_R1_2DSBs.sam</v>
      </c>
      <c r="K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yjl219_WT_sgAB_R1_sense</v>
      </c>
      <c r="L4" t="str">
        <f>_xlfn.CONCAT(table_1[[#This Row],[dsb_type]],"_", table_1[[#This Row],[strand]],"_", table_1[[#This Row],[treatment]], ".fa")</f>
        <v>2DSB_R1_sense.fa</v>
      </c>
      <c r="M4">
        <f>VLOOKUP(INT(MID(table_1[[#This Row],[library]], 4, 10)), table_1_2[#All], IF(table_1[[#This Row],[strand]]="R1", 3, 4))</f>
        <v>8069391</v>
      </c>
      <c r="N4">
        <f>IF(LEFT(table_1[[#This Row],[dsb_type]], 1) = "2", 50, 130)</f>
        <v>50</v>
      </c>
      <c r="O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5" x14ac:dyDescent="0.25">
      <c r="A5" s="3">
        <v>4</v>
      </c>
      <c r="B5" t="s">
        <v>4</v>
      </c>
      <c r="C5" t="s">
        <v>1</v>
      </c>
      <c r="D5" t="s">
        <v>140</v>
      </c>
      <c r="E5" t="s">
        <v>74</v>
      </c>
      <c r="F5" t="s">
        <v>126</v>
      </c>
      <c r="G5" t="s">
        <v>75</v>
      </c>
      <c r="H5" t="s">
        <v>83</v>
      </c>
      <c r="I5" cm="1">
        <f t="array" ref="I5">IF(E5="2DSB", IF(H5="R1", 67, 46), IF(E5="1DSB", IF(H5="R1", 67, 46), IF(E5="2DSBanti", IF(H5="R1", 50, 47), NA))) + IF(table_1[[#This Row],[control]]="30bpDown", 30, 0)</f>
        <v>67</v>
      </c>
      <c r="J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yjl220_R1_2DSBs.sam</v>
      </c>
      <c r="K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yjl220_WT_sgAB_R1_sense</v>
      </c>
      <c r="L5" t="str">
        <f>_xlfn.CONCAT(table_1[[#This Row],[dsb_type]],"_", table_1[[#This Row],[strand]],"_", table_1[[#This Row],[treatment]], ".fa")</f>
        <v>2DSB_R1_sense.fa</v>
      </c>
      <c r="M5">
        <f>VLOOKUP(INT(MID(table_1[[#This Row],[library]], 4, 10)), table_1_2[#All], IF(table_1[[#This Row],[strand]]="R1", 3, 4))</f>
        <v>7513691</v>
      </c>
      <c r="N5">
        <f>IF(LEFT(table_1[[#This Row],[dsb_type]], 1) = "2", 50, 130)</f>
        <v>50</v>
      </c>
      <c r="O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5" x14ac:dyDescent="0.25">
      <c r="A6" s="3">
        <v>5</v>
      </c>
      <c r="B6" t="s">
        <v>5</v>
      </c>
      <c r="C6" t="s">
        <v>1</v>
      </c>
      <c r="D6" t="s">
        <v>140</v>
      </c>
      <c r="E6" t="s">
        <v>74</v>
      </c>
      <c r="F6" t="s">
        <v>126</v>
      </c>
      <c r="G6" t="s">
        <v>76</v>
      </c>
      <c r="H6" t="s">
        <v>83</v>
      </c>
      <c r="I6" cm="1">
        <f t="array" ref="I6">IF(E6="2DSB", IF(H6="R1", 67, 46), IF(E6="1DSB", IF(H6="R1", 67, 46), IF(E6="2DSBanti", IF(H6="R1", 50, 47), NA))) + IF(table_1[[#This Row],[control]]="30bpDown", 30, 0)</f>
        <v>67</v>
      </c>
      <c r="J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yjl221_R1_2DSBs.sam</v>
      </c>
      <c r="K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yjl221_WT_sgAB_R1_branch</v>
      </c>
      <c r="L6" t="str">
        <f>_xlfn.CONCAT(table_1[[#This Row],[dsb_type]],"_", table_1[[#This Row],[strand]],"_", table_1[[#This Row],[treatment]], ".fa")</f>
        <v>2DSB_R1_branch.fa</v>
      </c>
      <c r="M6">
        <f>VLOOKUP(INT(MID(table_1[[#This Row],[library]], 4, 10)), table_1_2[#All], IF(table_1[[#This Row],[strand]]="R1", 3, 4))</f>
        <v>9021462</v>
      </c>
      <c r="N6">
        <f>IF(LEFT(table_1[[#This Row],[dsb_type]], 1) = "2", 50, 130)</f>
        <v>50</v>
      </c>
      <c r="O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5" x14ac:dyDescent="0.25">
      <c r="A7" s="3">
        <v>6</v>
      </c>
      <c r="B7" t="s">
        <v>6</v>
      </c>
      <c r="C7" t="s">
        <v>1</v>
      </c>
      <c r="D7" t="s">
        <v>140</v>
      </c>
      <c r="E7" t="s">
        <v>74</v>
      </c>
      <c r="F7" t="s">
        <v>126</v>
      </c>
      <c r="G7" t="s">
        <v>76</v>
      </c>
      <c r="H7" t="s">
        <v>83</v>
      </c>
      <c r="I7" cm="1">
        <f t="array" ref="I7">IF(E7="2DSB", IF(H7="R1", 67, 46), IF(E7="1DSB", IF(H7="R1", 67, 46), IF(E7="2DSBanti", IF(H7="R1", 50, 47), NA))) + IF(table_1[[#This Row],[control]]="30bpDown", 30, 0)</f>
        <v>67</v>
      </c>
      <c r="J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yjl222_R1_2DSBs.sam</v>
      </c>
      <c r="K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yjl222_WT_sgAB_R1_branch</v>
      </c>
      <c r="L7" t="str">
        <f>_xlfn.CONCAT(table_1[[#This Row],[dsb_type]],"_", table_1[[#This Row],[strand]],"_", table_1[[#This Row],[treatment]], ".fa")</f>
        <v>2DSB_R1_branch.fa</v>
      </c>
      <c r="M7">
        <f>VLOOKUP(INT(MID(table_1[[#This Row],[library]], 4, 10)), table_1_2[#All], IF(table_1[[#This Row],[strand]]="R1", 3, 4))</f>
        <v>9430938</v>
      </c>
      <c r="N7">
        <f>IF(LEFT(table_1[[#This Row],[dsb_type]], 1) = "2", 50, 130)</f>
        <v>50</v>
      </c>
      <c r="O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5" x14ac:dyDescent="0.25">
      <c r="A8" s="3">
        <v>7</v>
      </c>
      <c r="B8" t="s">
        <v>7</v>
      </c>
      <c r="C8" t="s">
        <v>1</v>
      </c>
      <c r="D8" t="s">
        <v>140</v>
      </c>
      <c r="E8" t="s">
        <v>74</v>
      </c>
      <c r="F8" t="s">
        <v>126</v>
      </c>
      <c r="G8" t="s">
        <v>76</v>
      </c>
      <c r="H8" t="s">
        <v>83</v>
      </c>
      <c r="I8" cm="1">
        <f t="array" ref="I8">IF(E8="2DSB", IF(H8="R1", 67, 46), IF(E8="1DSB", IF(H8="R1", 67, 46), IF(E8="2DSBanti", IF(H8="R1", 50, 47), NA))) + IF(table_1[[#This Row],[control]]="30bpDown", 30, 0)</f>
        <v>67</v>
      </c>
      <c r="J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yjl223_R1_2DSBs.sam</v>
      </c>
      <c r="K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yjl223_WT_sgAB_R1_branch</v>
      </c>
      <c r="L8" t="str">
        <f>_xlfn.CONCAT(table_1[[#This Row],[dsb_type]],"_", table_1[[#This Row],[strand]],"_", table_1[[#This Row],[treatment]], ".fa")</f>
        <v>2DSB_R1_branch.fa</v>
      </c>
      <c r="M8">
        <f>VLOOKUP(INT(MID(table_1[[#This Row],[library]], 4, 10)), table_1_2[#All], IF(table_1[[#This Row],[strand]]="R1", 3, 4))</f>
        <v>9051278</v>
      </c>
      <c r="N8">
        <f>IF(LEFT(table_1[[#This Row],[dsb_type]], 1) = "2", 50, 130)</f>
        <v>50</v>
      </c>
      <c r="O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5" x14ac:dyDescent="0.25">
      <c r="A9" s="3">
        <v>8</v>
      </c>
      <c r="B9" t="s">
        <v>8</v>
      </c>
      <c r="C9" t="s">
        <v>1</v>
      </c>
      <c r="D9" t="s">
        <v>140</v>
      </c>
      <c r="E9" t="s">
        <v>74</v>
      </c>
      <c r="F9" t="s">
        <v>126</v>
      </c>
      <c r="G9" t="s">
        <v>76</v>
      </c>
      <c r="H9" t="s">
        <v>83</v>
      </c>
      <c r="I9" cm="1">
        <f t="array" ref="I9">IF(E9="2DSB", IF(H9="R1", 67, 46), IF(E9="1DSB", IF(H9="R1", 67, 46), IF(E9="2DSBanti", IF(H9="R1", 50, 47), NA))) + IF(table_1[[#This Row],[control]]="30bpDown", 30, 0)</f>
        <v>67</v>
      </c>
      <c r="J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yjl224_R1_2DSBs.sam</v>
      </c>
      <c r="K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yjl224_WT_sgAB_R1_branch</v>
      </c>
      <c r="L9" t="str">
        <f>_xlfn.CONCAT(table_1[[#This Row],[dsb_type]],"_", table_1[[#This Row],[strand]],"_", table_1[[#This Row],[treatment]], ".fa")</f>
        <v>2DSB_R1_branch.fa</v>
      </c>
      <c r="M9">
        <f>VLOOKUP(INT(MID(table_1[[#This Row],[library]], 4, 10)), table_1_2[#All], IF(table_1[[#This Row],[strand]]="R1", 3, 4))</f>
        <v>9192054</v>
      </c>
      <c r="N9">
        <f>IF(LEFT(table_1[[#This Row],[dsb_type]], 1) = "2", 50, 130)</f>
        <v>50</v>
      </c>
      <c r="O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5" x14ac:dyDescent="0.25">
      <c r="A10" s="3">
        <v>9</v>
      </c>
      <c r="B10" t="s">
        <v>9</v>
      </c>
      <c r="C10" t="s">
        <v>1</v>
      </c>
      <c r="D10" t="s">
        <v>140</v>
      </c>
      <c r="E10" t="s">
        <v>74</v>
      </c>
      <c r="F10" t="s">
        <v>126</v>
      </c>
      <c r="G10" t="s">
        <v>77</v>
      </c>
      <c r="H10" t="s">
        <v>83</v>
      </c>
      <c r="I10" cm="1">
        <f t="array" ref="I10">IF(E10="2DSB", IF(H10="R1", 67, 46), IF(E10="1DSB", IF(H10="R1", 67, 46), IF(E10="2DSBanti", IF(H10="R1", 50, 47), NA))) + IF(table_1[[#This Row],[control]]="30bpDown", 30, 0)</f>
        <v>67</v>
      </c>
      <c r="J1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yjl225_R1_2DSBs.sam</v>
      </c>
      <c r="K1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yjl225_WT_sgAB_R1_cmv</v>
      </c>
      <c r="L10" t="str">
        <f>_xlfn.CONCAT(table_1[[#This Row],[dsb_type]],"_", table_1[[#This Row],[strand]],"_", table_1[[#This Row],[treatment]], ".fa")</f>
        <v>2DSB_R1_cmv.fa</v>
      </c>
      <c r="M10">
        <f>VLOOKUP(INT(MID(table_1[[#This Row],[library]], 4, 10)), table_1_2[#All], IF(table_1[[#This Row],[strand]]="R1", 3, 4))</f>
        <v>7604379</v>
      </c>
      <c r="N10">
        <f>IF(LEFT(table_1[[#This Row],[dsb_type]], 1) = "2", 50, 130)</f>
        <v>50</v>
      </c>
      <c r="O1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5" x14ac:dyDescent="0.25">
      <c r="A11" s="3">
        <v>10</v>
      </c>
      <c r="B11" t="s">
        <v>10</v>
      </c>
      <c r="C11" t="s">
        <v>1</v>
      </c>
      <c r="D11" t="s">
        <v>140</v>
      </c>
      <c r="E11" t="s">
        <v>74</v>
      </c>
      <c r="F11" t="s">
        <v>126</v>
      </c>
      <c r="G11" t="s">
        <v>77</v>
      </c>
      <c r="H11" t="s">
        <v>83</v>
      </c>
      <c r="I11" cm="1">
        <f t="array" ref="I11">IF(E11="2DSB", IF(H11="R1", 67, 46), IF(E11="1DSB", IF(H11="R1", 67, 46), IF(E11="2DSBanti", IF(H11="R1", 50, 47), NA))) + IF(table_1[[#This Row],[control]]="30bpDown", 30, 0)</f>
        <v>67</v>
      </c>
      <c r="J1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yjl226_R1_2DSBs.sam</v>
      </c>
      <c r="K1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yjl226_WT_sgAB_R1_cmv</v>
      </c>
      <c r="L11" t="str">
        <f>_xlfn.CONCAT(table_1[[#This Row],[dsb_type]],"_", table_1[[#This Row],[strand]],"_", table_1[[#This Row],[treatment]], ".fa")</f>
        <v>2DSB_R1_cmv.fa</v>
      </c>
      <c r="M11">
        <f>VLOOKUP(INT(MID(table_1[[#This Row],[library]], 4, 10)), table_1_2[#All], IF(table_1[[#This Row],[strand]]="R1", 3, 4))</f>
        <v>8885716</v>
      </c>
      <c r="N11">
        <f>IF(LEFT(table_1[[#This Row],[dsb_type]], 1) = "2", 50, 130)</f>
        <v>50</v>
      </c>
      <c r="O1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5" x14ac:dyDescent="0.25">
      <c r="A12" s="3">
        <v>11</v>
      </c>
      <c r="B12" t="s">
        <v>11</v>
      </c>
      <c r="C12" t="s">
        <v>1</v>
      </c>
      <c r="D12" t="s">
        <v>140</v>
      </c>
      <c r="E12" t="s">
        <v>74</v>
      </c>
      <c r="F12" t="s">
        <v>126</v>
      </c>
      <c r="G12" t="s">
        <v>77</v>
      </c>
      <c r="H12" t="s">
        <v>83</v>
      </c>
      <c r="I12" cm="1">
        <f t="array" ref="I12">IF(E12="2DSB", IF(H12="R1", 67, 46), IF(E12="1DSB", IF(H12="R1", 67, 46), IF(E12="2DSBanti", IF(H12="R1", 50, 47), NA))) + IF(table_1[[#This Row],[control]]="30bpDown", 30, 0)</f>
        <v>67</v>
      </c>
      <c r="J1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yjl227_R1_2DSBs.sam</v>
      </c>
      <c r="K1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yjl227_WT_sgAB_R1_cmv</v>
      </c>
      <c r="L12" t="str">
        <f>_xlfn.CONCAT(table_1[[#This Row],[dsb_type]],"_", table_1[[#This Row],[strand]],"_", table_1[[#This Row],[treatment]], ".fa")</f>
        <v>2DSB_R1_cmv.fa</v>
      </c>
      <c r="M12">
        <f>VLOOKUP(INT(MID(table_1[[#This Row],[library]], 4, 10)), table_1_2[#All], IF(table_1[[#This Row],[strand]]="R1", 3, 4))</f>
        <v>8150455</v>
      </c>
      <c r="N12">
        <f>IF(LEFT(table_1[[#This Row],[dsb_type]], 1) = "2", 50, 130)</f>
        <v>50</v>
      </c>
      <c r="O1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5" x14ac:dyDescent="0.25">
      <c r="A13" s="3">
        <v>12</v>
      </c>
      <c r="B13" t="s">
        <v>12</v>
      </c>
      <c r="C13" t="s">
        <v>1</v>
      </c>
      <c r="D13" t="s">
        <v>140</v>
      </c>
      <c r="E13" t="s">
        <v>74</v>
      </c>
      <c r="F13" t="s">
        <v>126</v>
      </c>
      <c r="G13" t="s">
        <v>77</v>
      </c>
      <c r="H13" t="s">
        <v>83</v>
      </c>
      <c r="I13" cm="1">
        <f t="array" ref="I13">IF(E13="2DSB", IF(H13="R1", 67, 46), IF(E13="1DSB", IF(H13="R1", 67, 46), IF(E13="2DSBanti", IF(H13="R1", 50, 47), NA))) + IF(table_1[[#This Row],[control]]="30bpDown", 30, 0)</f>
        <v>67</v>
      </c>
      <c r="J1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yjl228_R1_2DSBs.sam</v>
      </c>
      <c r="K1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yjl228_WT_sgAB_R1_cmv</v>
      </c>
      <c r="L13" t="str">
        <f>_xlfn.CONCAT(table_1[[#This Row],[dsb_type]],"_", table_1[[#This Row],[strand]],"_", table_1[[#This Row],[treatment]], ".fa")</f>
        <v>2DSB_R1_cmv.fa</v>
      </c>
      <c r="M13">
        <f>VLOOKUP(INT(MID(table_1[[#This Row],[library]], 4, 10)), table_1_2[#All], IF(table_1[[#This Row],[strand]]="R1", 3, 4))</f>
        <v>7694818</v>
      </c>
      <c r="N13">
        <f>IF(LEFT(table_1[[#This Row],[dsb_type]], 1) = "2", 50, 130)</f>
        <v>50</v>
      </c>
      <c r="O1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5" x14ac:dyDescent="0.25">
      <c r="A14" s="3">
        <v>13</v>
      </c>
      <c r="B14" t="s">
        <v>13</v>
      </c>
      <c r="C14" t="s">
        <v>14</v>
      </c>
      <c r="D14" t="s">
        <v>140</v>
      </c>
      <c r="E14" t="s">
        <v>74</v>
      </c>
      <c r="F14" t="s">
        <v>126</v>
      </c>
      <c r="G14" t="s">
        <v>75</v>
      </c>
      <c r="H14" t="s">
        <v>83</v>
      </c>
      <c r="I14" cm="1">
        <f t="array" ref="I14">IF(E14="2DSB", IF(H14="R1", 67, 46), IF(E14="1DSB", IF(H14="R1", 67, 46), IF(E14="2DSBanti", IF(H14="R1", 50, 47), NA))) + IF(table_1[[#This Row],[control]]="30bpDown", 30, 0)</f>
        <v>67</v>
      </c>
      <c r="J1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yjl229_R1_2DSBs.sam</v>
      </c>
      <c r="K1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yjl229_KO_sgAB_R1_sense</v>
      </c>
      <c r="L14" t="str">
        <f>_xlfn.CONCAT(table_1[[#This Row],[dsb_type]],"_", table_1[[#This Row],[strand]],"_", table_1[[#This Row],[treatment]], ".fa")</f>
        <v>2DSB_R1_sense.fa</v>
      </c>
      <c r="M14">
        <f>VLOOKUP(INT(MID(table_1[[#This Row],[library]], 4, 10)), table_1_2[#All], IF(table_1[[#This Row],[strand]]="R1", 3, 4))</f>
        <v>11320509</v>
      </c>
      <c r="N14">
        <f>IF(LEFT(table_1[[#This Row],[dsb_type]], 1) = "2", 50, 130)</f>
        <v>50</v>
      </c>
      <c r="O1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5" x14ac:dyDescent="0.25">
      <c r="A15" s="3">
        <v>14</v>
      </c>
      <c r="B15" t="s">
        <v>15</v>
      </c>
      <c r="C15" t="s">
        <v>14</v>
      </c>
      <c r="D15" t="s">
        <v>140</v>
      </c>
      <c r="E15" t="s">
        <v>74</v>
      </c>
      <c r="F15" t="s">
        <v>126</v>
      </c>
      <c r="G15" t="s">
        <v>75</v>
      </c>
      <c r="H15" t="s">
        <v>83</v>
      </c>
      <c r="I15" cm="1">
        <f t="array" ref="I15">IF(E15="2DSB", IF(H15="R1", 67, 46), IF(E15="1DSB", IF(H15="R1", 67, 46), IF(E15="2DSBanti", IF(H15="R1", 50, 47), NA))) + IF(table_1[[#This Row],[control]]="30bpDown", 30, 0)</f>
        <v>67</v>
      </c>
      <c r="J1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yjl230_R1_2DSBs.sam</v>
      </c>
      <c r="K1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yjl230_KO_sgAB_R1_sense</v>
      </c>
      <c r="L15" t="str">
        <f>_xlfn.CONCAT(table_1[[#This Row],[dsb_type]],"_", table_1[[#This Row],[strand]],"_", table_1[[#This Row],[treatment]], ".fa")</f>
        <v>2DSB_R1_sense.fa</v>
      </c>
      <c r="M15">
        <f>VLOOKUP(INT(MID(table_1[[#This Row],[library]], 4, 10)), table_1_2[#All], IF(table_1[[#This Row],[strand]]="R1", 3, 4))</f>
        <v>12480734</v>
      </c>
      <c r="N15">
        <f>IF(LEFT(table_1[[#This Row],[dsb_type]], 1) = "2", 50, 130)</f>
        <v>50</v>
      </c>
      <c r="O1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5" x14ac:dyDescent="0.25">
      <c r="A16" s="3">
        <v>15</v>
      </c>
      <c r="B16" t="s">
        <v>16</v>
      </c>
      <c r="C16" t="s">
        <v>14</v>
      </c>
      <c r="D16" t="s">
        <v>140</v>
      </c>
      <c r="E16" t="s">
        <v>74</v>
      </c>
      <c r="F16" t="s">
        <v>126</v>
      </c>
      <c r="G16" t="s">
        <v>75</v>
      </c>
      <c r="H16" t="s">
        <v>83</v>
      </c>
      <c r="I16" cm="1">
        <f t="array" ref="I16">IF(E16="2DSB", IF(H16="R1", 67, 46), IF(E16="1DSB", IF(H16="R1", 67, 46), IF(E16="2DSBanti", IF(H16="R1", 50, 47), NA))) + IF(table_1[[#This Row],[control]]="30bpDown", 30, 0)</f>
        <v>67</v>
      </c>
      <c r="J1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yjl231_R1_2DSBs.sam</v>
      </c>
      <c r="K1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yjl231_KO_sgAB_R1_sense</v>
      </c>
      <c r="L16" t="str">
        <f>_xlfn.CONCAT(table_1[[#This Row],[dsb_type]],"_", table_1[[#This Row],[strand]],"_", table_1[[#This Row],[treatment]], ".fa")</f>
        <v>2DSB_R1_sense.fa</v>
      </c>
      <c r="M16">
        <f>VLOOKUP(INT(MID(table_1[[#This Row],[library]], 4, 10)), table_1_2[#All], IF(table_1[[#This Row],[strand]]="R1", 3, 4))</f>
        <v>12500966</v>
      </c>
      <c r="N16">
        <f>IF(LEFT(table_1[[#This Row],[dsb_type]], 1) = "2", 50, 130)</f>
        <v>50</v>
      </c>
      <c r="O1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5" x14ac:dyDescent="0.25">
      <c r="A17" s="3">
        <v>16</v>
      </c>
      <c r="B17" t="s">
        <v>17</v>
      </c>
      <c r="C17" t="s">
        <v>14</v>
      </c>
      <c r="D17" t="s">
        <v>140</v>
      </c>
      <c r="E17" t="s">
        <v>74</v>
      </c>
      <c r="F17" t="s">
        <v>126</v>
      </c>
      <c r="G17" t="s">
        <v>75</v>
      </c>
      <c r="H17" t="s">
        <v>83</v>
      </c>
      <c r="I17" cm="1">
        <f t="array" ref="I17">IF(E17="2DSB", IF(H17="R1", 67, 46), IF(E17="1DSB", IF(H17="R1", 67, 46), IF(E17="2DSBanti", IF(H17="R1", 50, 47), NA))) + IF(table_1[[#This Row],[control]]="30bpDown", 30, 0)</f>
        <v>67</v>
      </c>
      <c r="J1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yjl232_R1_2DSBs.sam</v>
      </c>
      <c r="K1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yjl232_KO_sgAB_R1_sense</v>
      </c>
      <c r="L17" t="str">
        <f>_xlfn.CONCAT(table_1[[#This Row],[dsb_type]],"_", table_1[[#This Row],[strand]],"_", table_1[[#This Row],[treatment]], ".fa")</f>
        <v>2DSB_R1_sense.fa</v>
      </c>
      <c r="M17">
        <f>VLOOKUP(INT(MID(table_1[[#This Row],[library]], 4, 10)), table_1_2[#All], IF(table_1[[#This Row],[strand]]="R1", 3, 4))</f>
        <v>12479012</v>
      </c>
      <c r="N17">
        <f>IF(LEFT(table_1[[#This Row],[dsb_type]], 1) = "2", 50, 130)</f>
        <v>50</v>
      </c>
      <c r="O1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5" x14ac:dyDescent="0.25">
      <c r="A18" s="3">
        <v>17</v>
      </c>
      <c r="B18" t="s">
        <v>18</v>
      </c>
      <c r="C18" t="s">
        <v>14</v>
      </c>
      <c r="D18" t="s">
        <v>140</v>
      </c>
      <c r="E18" t="s">
        <v>74</v>
      </c>
      <c r="F18" t="s">
        <v>126</v>
      </c>
      <c r="G18" t="s">
        <v>76</v>
      </c>
      <c r="H18" t="s">
        <v>83</v>
      </c>
      <c r="I18" cm="1">
        <f t="array" ref="I18">IF(E18="2DSB", IF(H18="R1", 67, 46), IF(E18="1DSB", IF(H18="R1", 67, 46), IF(E18="2DSBanti", IF(H18="R1", 50, 47), NA))) + IF(table_1[[#This Row],[control]]="30bpDown", 30, 0)</f>
        <v>67</v>
      </c>
      <c r="J1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yjl233_R1_2DSBs.sam</v>
      </c>
      <c r="K1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yjl233_KO_sgAB_R1_branch</v>
      </c>
      <c r="L18" t="str">
        <f>_xlfn.CONCAT(table_1[[#This Row],[dsb_type]],"_", table_1[[#This Row],[strand]],"_", table_1[[#This Row],[treatment]], ".fa")</f>
        <v>2DSB_R1_branch.fa</v>
      </c>
      <c r="M18">
        <f>VLOOKUP(INT(MID(table_1[[#This Row],[library]], 4, 10)), table_1_2[#All], IF(table_1[[#This Row],[strand]]="R1", 3, 4))</f>
        <v>13912975</v>
      </c>
      <c r="N18">
        <f>IF(LEFT(table_1[[#This Row],[dsb_type]], 1) = "2", 50, 130)</f>
        <v>50</v>
      </c>
      <c r="O1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5" x14ac:dyDescent="0.25">
      <c r="A19" s="3">
        <v>18</v>
      </c>
      <c r="B19" t="s">
        <v>19</v>
      </c>
      <c r="C19" t="s">
        <v>14</v>
      </c>
      <c r="D19" t="s">
        <v>140</v>
      </c>
      <c r="E19" t="s">
        <v>74</v>
      </c>
      <c r="F19" t="s">
        <v>126</v>
      </c>
      <c r="G19" t="s">
        <v>76</v>
      </c>
      <c r="H19" t="s">
        <v>83</v>
      </c>
      <c r="I19" cm="1">
        <f t="array" ref="I19">IF(E19="2DSB", IF(H19="R1", 67, 46), IF(E19="1DSB", IF(H19="R1", 67, 46), IF(E19="2DSBanti", IF(H19="R1", 50, 47), NA))) + IF(table_1[[#This Row],[control]]="30bpDown", 30, 0)</f>
        <v>67</v>
      </c>
      <c r="J1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yjl234_R1_2DSBs.sam</v>
      </c>
      <c r="K1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yjl234_KO_sgAB_R1_branch</v>
      </c>
      <c r="L19" t="str">
        <f>_xlfn.CONCAT(table_1[[#This Row],[dsb_type]],"_", table_1[[#This Row],[strand]],"_", table_1[[#This Row],[treatment]], ".fa")</f>
        <v>2DSB_R1_branch.fa</v>
      </c>
      <c r="M19">
        <f>VLOOKUP(INT(MID(table_1[[#This Row],[library]], 4, 10)), table_1_2[#All], IF(table_1[[#This Row],[strand]]="R1", 3, 4))</f>
        <v>15839537</v>
      </c>
      <c r="N19">
        <f>IF(LEFT(table_1[[#This Row],[dsb_type]], 1) = "2", 50, 130)</f>
        <v>50</v>
      </c>
      <c r="O1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5" x14ac:dyDescent="0.25">
      <c r="A20" s="3">
        <v>19</v>
      </c>
      <c r="B20" t="s">
        <v>20</v>
      </c>
      <c r="C20" t="s">
        <v>14</v>
      </c>
      <c r="D20" t="s">
        <v>140</v>
      </c>
      <c r="E20" t="s">
        <v>74</v>
      </c>
      <c r="F20" t="s">
        <v>126</v>
      </c>
      <c r="G20" t="s">
        <v>76</v>
      </c>
      <c r="H20" t="s">
        <v>83</v>
      </c>
      <c r="I20" cm="1">
        <f t="array" ref="I20">IF(E20="2DSB", IF(H20="R1", 67, 46), IF(E20="1DSB", IF(H20="R1", 67, 46), IF(E20="2DSBanti", IF(H20="R1", 50, 47), NA))) + IF(table_1[[#This Row],[control]]="30bpDown", 30, 0)</f>
        <v>67</v>
      </c>
      <c r="J2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yjl235_R1_2DSBs.sam</v>
      </c>
      <c r="K2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yjl235_KO_sgAB_R1_branch</v>
      </c>
      <c r="L20" t="str">
        <f>_xlfn.CONCAT(table_1[[#This Row],[dsb_type]],"_", table_1[[#This Row],[strand]],"_", table_1[[#This Row],[treatment]], ".fa")</f>
        <v>2DSB_R1_branch.fa</v>
      </c>
      <c r="M20">
        <f>VLOOKUP(INT(MID(table_1[[#This Row],[library]], 4, 10)), table_1_2[#All], IF(table_1[[#This Row],[strand]]="R1", 3, 4))</f>
        <v>13872702</v>
      </c>
      <c r="N20">
        <f>IF(LEFT(table_1[[#This Row],[dsb_type]], 1) = "2", 50, 130)</f>
        <v>50</v>
      </c>
      <c r="O2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5" x14ac:dyDescent="0.25">
      <c r="A21" s="3">
        <v>20</v>
      </c>
      <c r="B21" t="s">
        <v>21</v>
      </c>
      <c r="C21" t="s">
        <v>14</v>
      </c>
      <c r="D21" t="s">
        <v>140</v>
      </c>
      <c r="E21" t="s">
        <v>74</v>
      </c>
      <c r="F21" t="s">
        <v>126</v>
      </c>
      <c r="G21" t="s">
        <v>76</v>
      </c>
      <c r="H21" t="s">
        <v>83</v>
      </c>
      <c r="I21" cm="1">
        <f t="array" ref="I21">IF(E21="2DSB", IF(H21="R1", 67, 46), IF(E21="1DSB", IF(H21="R1", 67, 46), IF(E21="2DSBanti", IF(H21="R1", 50, 47), NA))) + IF(table_1[[#This Row],[control]]="30bpDown", 30, 0)</f>
        <v>67</v>
      </c>
      <c r="J2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yjl236_R1_2DSBs.sam</v>
      </c>
      <c r="K2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yjl236_KO_sgAB_R1_branch</v>
      </c>
      <c r="L21" t="str">
        <f>_xlfn.CONCAT(table_1[[#This Row],[dsb_type]],"_", table_1[[#This Row],[strand]],"_", table_1[[#This Row],[treatment]], ".fa")</f>
        <v>2DSB_R1_branch.fa</v>
      </c>
      <c r="M21">
        <f>VLOOKUP(INT(MID(table_1[[#This Row],[library]], 4, 10)), table_1_2[#All], IF(table_1[[#This Row],[strand]]="R1", 3, 4))</f>
        <v>13493608</v>
      </c>
      <c r="N21">
        <f>IF(LEFT(table_1[[#This Row],[dsb_type]], 1) = "2", 50, 130)</f>
        <v>50</v>
      </c>
      <c r="O2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5" x14ac:dyDescent="0.25">
      <c r="A22" s="3">
        <v>21</v>
      </c>
      <c r="B22" t="s">
        <v>22</v>
      </c>
      <c r="C22" t="s">
        <v>14</v>
      </c>
      <c r="D22" t="s">
        <v>140</v>
      </c>
      <c r="E22" t="s">
        <v>74</v>
      </c>
      <c r="F22" t="s">
        <v>126</v>
      </c>
      <c r="G22" t="s">
        <v>77</v>
      </c>
      <c r="H22" t="s">
        <v>83</v>
      </c>
      <c r="I22" cm="1">
        <f t="array" ref="I22">IF(E22="2DSB", IF(H22="R1", 67, 46), IF(E22="1DSB", IF(H22="R1", 67, 46), IF(E22="2DSBanti", IF(H22="R1", 50, 47), NA))) + IF(table_1[[#This Row],[control]]="30bpDown", 30, 0)</f>
        <v>67</v>
      </c>
      <c r="J2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yjl237_R1_2DSBs.sam</v>
      </c>
      <c r="K2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yjl237_KO_sgAB_R1_cmv</v>
      </c>
      <c r="L22" t="str">
        <f>_xlfn.CONCAT(table_1[[#This Row],[dsb_type]],"_", table_1[[#This Row],[strand]],"_", table_1[[#This Row],[treatment]], ".fa")</f>
        <v>2DSB_R1_cmv.fa</v>
      </c>
      <c r="M22">
        <f>VLOOKUP(INT(MID(table_1[[#This Row],[library]], 4, 10)), table_1_2[#All], IF(table_1[[#This Row],[strand]]="R1", 3, 4))</f>
        <v>11307677</v>
      </c>
      <c r="N22">
        <f>IF(LEFT(table_1[[#This Row],[dsb_type]], 1) = "2", 50, 130)</f>
        <v>50</v>
      </c>
      <c r="O2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5" x14ac:dyDescent="0.25">
      <c r="A23" s="3">
        <v>22</v>
      </c>
      <c r="B23" t="s">
        <v>23</v>
      </c>
      <c r="C23" t="s">
        <v>14</v>
      </c>
      <c r="D23" t="s">
        <v>140</v>
      </c>
      <c r="E23" t="s">
        <v>74</v>
      </c>
      <c r="F23" t="s">
        <v>126</v>
      </c>
      <c r="G23" t="s">
        <v>77</v>
      </c>
      <c r="H23" t="s">
        <v>83</v>
      </c>
      <c r="I23" cm="1">
        <f t="array" ref="I23">IF(E23="2DSB", IF(H23="R1", 67, 46), IF(E23="1DSB", IF(H23="R1", 67, 46), IF(E23="2DSBanti", IF(H23="R1", 50, 47), NA))) + IF(table_1[[#This Row],[control]]="30bpDown", 30, 0)</f>
        <v>67</v>
      </c>
      <c r="J2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yjl238_R1_2DSBs.sam</v>
      </c>
      <c r="K2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yjl238_KO_sgAB_R1_cmv</v>
      </c>
      <c r="L23" t="str">
        <f>_xlfn.CONCAT(table_1[[#This Row],[dsb_type]],"_", table_1[[#This Row],[strand]],"_", table_1[[#This Row],[treatment]], ".fa")</f>
        <v>2DSB_R1_cmv.fa</v>
      </c>
      <c r="M23">
        <f>VLOOKUP(INT(MID(table_1[[#This Row],[library]], 4, 10)), table_1_2[#All], IF(table_1[[#This Row],[strand]]="R1", 3, 4))</f>
        <v>11757615</v>
      </c>
      <c r="N23">
        <f>IF(LEFT(table_1[[#This Row],[dsb_type]], 1) = "2", 50, 130)</f>
        <v>50</v>
      </c>
      <c r="O2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5" x14ac:dyDescent="0.25">
      <c r="A24" s="3">
        <v>23</v>
      </c>
      <c r="B24" t="s">
        <v>24</v>
      </c>
      <c r="C24" t="s">
        <v>14</v>
      </c>
      <c r="D24" t="s">
        <v>140</v>
      </c>
      <c r="E24" t="s">
        <v>74</v>
      </c>
      <c r="F24" t="s">
        <v>126</v>
      </c>
      <c r="G24" t="s">
        <v>77</v>
      </c>
      <c r="H24" t="s">
        <v>83</v>
      </c>
      <c r="I24" cm="1">
        <f t="array" ref="I24">IF(E24="2DSB", IF(H24="R1", 67, 46), IF(E24="1DSB", IF(H24="R1", 67, 46), IF(E24="2DSBanti", IF(H24="R1", 50, 47), NA))) + IF(table_1[[#This Row],[control]]="30bpDown", 30, 0)</f>
        <v>67</v>
      </c>
      <c r="J2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yjl239_R1_2DSBs.sam</v>
      </c>
      <c r="K2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yjl239_KO_sgAB_R1_cmv</v>
      </c>
      <c r="L24" t="str">
        <f>_xlfn.CONCAT(table_1[[#This Row],[dsb_type]],"_", table_1[[#This Row],[strand]],"_", table_1[[#This Row],[treatment]], ".fa")</f>
        <v>2DSB_R1_cmv.fa</v>
      </c>
      <c r="M24">
        <f>VLOOKUP(INT(MID(table_1[[#This Row],[library]], 4, 10)), table_1_2[#All], IF(table_1[[#This Row],[strand]]="R1", 3, 4))</f>
        <v>10272339</v>
      </c>
      <c r="N24">
        <f>IF(LEFT(table_1[[#This Row],[dsb_type]], 1) = "2", 50, 130)</f>
        <v>50</v>
      </c>
      <c r="O2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5" x14ac:dyDescent="0.25">
      <c r="A25" s="3">
        <v>24</v>
      </c>
      <c r="B25" t="s">
        <v>25</v>
      </c>
      <c r="C25" t="s">
        <v>14</v>
      </c>
      <c r="D25" t="s">
        <v>140</v>
      </c>
      <c r="E25" t="s">
        <v>74</v>
      </c>
      <c r="F25" t="s">
        <v>126</v>
      </c>
      <c r="G25" t="s">
        <v>77</v>
      </c>
      <c r="H25" t="s">
        <v>83</v>
      </c>
      <c r="I25" cm="1">
        <f t="array" ref="I25">IF(E25="2DSB", IF(H25="R1", 67, 46), IF(E25="1DSB", IF(H25="R1", 67, 46), IF(E25="2DSBanti", IF(H25="R1", 50, 47), NA))) + IF(table_1[[#This Row],[control]]="30bpDown", 30, 0)</f>
        <v>67</v>
      </c>
      <c r="J2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yjl240_R1_2DSBs.sam</v>
      </c>
      <c r="K2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yjl240_KO_sgAB_R1_cmv</v>
      </c>
      <c r="L25" t="str">
        <f>_xlfn.CONCAT(table_1[[#This Row],[dsb_type]],"_", table_1[[#This Row],[strand]],"_", table_1[[#This Row],[treatment]], ".fa")</f>
        <v>2DSB_R1_cmv.fa</v>
      </c>
      <c r="M25">
        <f>VLOOKUP(INT(MID(table_1[[#This Row],[library]], 4, 10)), table_1_2[#All], IF(table_1[[#This Row],[strand]]="R1", 3, 4))</f>
        <v>9412394</v>
      </c>
      <c r="N25">
        <f>IF(LEFT(table_1[[#This Row],[dsb_type]], 1) = "2", 50, 130)</f>
        <v>50</v>
      </c>
      <c r="O2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5" x14ac:dyDescent="0.25">
      <c r="A26" s="3">
        <v>25</v>
      </c>
      <c r="B26" t="s">
        <v>0</v>
      </c>
      <c r="C26" t="s">
        <v>1</v>
      </c>
      <c r="D26" t="s">
        <v>140</v>
      </c>
      <c r="E26" t="s">
        <v>74</v>
      </c>
      <c r="F26" t="s">
        <v>126</v>
      </c>
      <c r="G26" t="s">
        <v>75</v>
      </c>
      <c r="H26" t="s">
        <v>84</v>
      </c>
      <c r="I26" cm="1">
        <f t="array" ref="I26">IF(E26="2DSB", IF(H26="R1", 67, 46), IF(E26="1DSB", IF(H26="R1", 67, 46), IF(E26="2DSBanti", IF(H26="R1", 50, 47), NA))) + IF(table_1[[#This Row],[control]]="30bpDown", 30, 0)</f>
        <v>46</v>
      </c>
      <c r="J2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yjl217_R2_2DSBs.sam</v>
      </c>
      <c r="K2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yjl217_WT_sgAB_R2_sense</v>
      </c>
      <c r="L26" t="str">
        <f>_xlfn.CONCAT(table_1[[#This Row],[dsb_type]],"_", table_1[[#This Row],[strand]],"_", table_1[[#This Row],[treatment]], ".fa")</f>
        <v>2DSB_R2_sense.fa</v>
      </c>
      <c r="M26">
        <f>VLOOKUP(INT(MID(table_1[[#This Row],[library]], 4, 10)), table_1_2[#All], IF(table_1[[#This Row],[strand]]="R1", 3, 4))</f>
        <v>6177083</v>
      </c>
      <c r="N26">
        <f>IF(LEFT(table_1[[#This Row],[dsb_type]], 1) = "2", 50, 130)</f>
        <v>50</v>
      </c>
      <c r="O2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5" x14ac:dyDescent="0.25">
      <c r="A27" s="3">
        <v>26</v>
      </c>
      <c r="B27" t="s">
        <v>2</v>
      </c>
      <c r="C27" t="s">
        <v>1</v>
      </c>
      <c r="D27" t="s">
        <v>140</v>
      </c>
      <c r="E27" t="s">
        <v>74</v>
      </c>
      <c r="F27" t="s">
        <v>126</v>
      </c>
      <c r="G27" t="s">
        <v>75</v>
      </c>
      <c r="H27" t="s">
        <v>84</v>
      </c>
      <c r="I27" cm="1">
        <f t="array" ref="I27">IF(E27="2DSB", IF(H27="R1", 67, 46), IF(E27="1DSB", IF(H27="R1", 67, 46), IF(E27="2DSBanti", IF(H27="R1", 50, 47), NA))) + IF(table_1[[#This Row],[control]]="30bpDown", 30, 0)</f>
        <v>46</v>
      </c>
      <c r="J2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yjl218_R2_2DSBs.sam</v>
      </c>
      <c r="K2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yjl218_WT_sgAB_R2_sense</v>
      </c>
      <c r="L27" t="str">
        <f>_xlfn.CONCAT(table_1[[#This Row],[dsb_type]],"_", table_1[[#This Row],[strand]],"_", table_1[[#This Row],[treatment]], ".fa")</f>
        <v>2DSB_R2_sense.fa</v>
      </c>
      <c r="M27">
        <f>VLOOKUP(INT(MID(table_1[[#This Row],[library]], 4, 10)), table_1_2[#All], IF(table_1[[#This Row],[strand]]="R1", 3, 4))</f>
        <v>6744517</v>
      </c>
      <c r="N27">
        <f>IF(LEFT(table_1[[#This Row],[dsb_type]], 1) = "2", 50, 130)</f>
        <v>50</v>
      </c>
      <c r="O2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5" x14ac:dyDescent="0.25">
      <c r="A28" s="3">
        <v>27</v>
      </c>
      <c r="B28" t="s">
        <v>3</v>
      </c>
      <c r="C28" t="s">
        <v>1</v>
      </c>
      <c r="D28" t="s">
        <v>140</v>
      </c>
      <c r="E28" t="s">
        <v>74</v>
      </c>
      <c r="F28" t="s">
        <v>126</v>
      </c>
      <c r="G28" t="s">
        <v>75</v>
      </c>
      <c r="H28" t="s">
        <v>84</v>
      </c>
      <c r="I28" cm="1">
        <f t="array" ref="I28">IF(E28="2DSB", IF(H28="R1", 67, 46), IF(E28="1DSB", IF(H28="R1", 67, 46), IF(E28="2DSBanti", IF(H28="R1", 50, 47), NA))) + IF(table_1[[#This Row],[control]]="30bpDown", 30, 0)</f>
        <v>46</v>
      </c>
      <c r="J2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yjl219_R2_2DSBs.sam</v>
      </c>
      <c r="K2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yjl219_WT_sgAB_R2_sense</v>
      </c>
      <c r="L28" t="str">
        <f>_xlfn.CONCAT(table_1[[#This Row],[dsb_type]],"_", table_1[[#This Row],[strand]],"_", table_1[[#This Row],[treatment]], ".fa")</f>
        <v>2DSB_R2_sense.fa</v>
      </c>
      <c r="M28">
        <f>VLOOKUP(INT(MID(table_1[[#This Row],[library]], 4, 10)), table_1_2[#All], IF(table_1[[#This Row],[strand]]="R1", 3, 4))</f>
        <v>7507107</v>
      </c>
      <c r="N28">
        <f>IF(LEFT(table_1[[#This Row],[dsb_type]], 1) = "2", 50, 130)</f>
        <v>50</v>
      </c>
      <c r="O2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5" x14ac:dyDescent="0.25">
      <c r="A29" s="3">
        <v>28</v>
      </c>
      <c r="B29" t="s">
        <v>4</v>
      </c>
      <c r="C29" t="s">
        <v>1</v>
      </c>
      <c r="D29" t="s">
        <v>140</v>
      </c>
      <c r="E29" t="s">
        <v>74</v>
      </c>
      <c r="F29" t="s">
        <v>126</v>
      </c>
      <c r="G29" t="s">
        <v>75</v>
      </c>
      <c r="H29" t="s">
        <v>84</v>
      </c>
      <c r="I29" cm="1">
        <f t="array" ref="I29">IF(E29="2DSB", IF(H29="R1", 67, 46), IF(E29="1DSB", IF(H29="R1", 67, 46), IF(E29="2DSBanti", IF(H29="R1", 50, 47), NA))) + IF(table_1[[#This Row],[control]]="30bpDown", 30, 0)</f>
        <v>46</v>
      </c>
      <c r="J2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yjl220_R2_2DSBs.sam</v>
      </c>
      <c r="K2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yjl220_WT_sgAB_R2_sense</v>
      </c>
      <c r="L29" t="str">
        <f>_xlfn.CONCAT(table_1[[#This Row],[dsb_type]],"_", table_1[[#This Row],[strand]],"_", table_1[[#This Row],[treatment]], ".fa")</f>
        <v>2DSB_R2_sense.fa</v>
      </c>
      <c r="M29">
        <f>VLOOKUP(INT(MID(table_1[[#This Row],[library]], 4, 10)), table_1_2[#All], IF(table_1[[#This Row],[strand]]="R1", 3, 4))</f>
        <v>7001340</v>
      </c>
      <c r="N29">
        <f>IF(LEFT(table_1[[#This Row],[dsb_type]], 1) = "2", 50, 130)</f>
        <v>50</v>
      </c>
      <c r="O2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5" x14ac:dyDescent="0.25">
      <c r="A30" s="3">
        <v>29</v>
      </c>
      <c r="B30" t="s">
        <v>5</v>
      </c>
      <c r="C30" t="s">
        <v>1</v>
      </c>
      <c r="D30" t="s">
        <v>140</v>
      </c>
      <c r="E30" t="s">
        <v>74</v>
      </c>
      <c r="F30" t="s">
        <v>126</v>
      </c>
      <c r="G30" t="s">
        <v>76</v>
      </c>
      <c r="H30" t="s">
        <v>84</v>
      </c>
      <c r="I30" cm="1">
        <f t="array" ref="I30">IF(E30="2DSB", IF(H30="R1", 67, 46), IF(E30="1DSB", IF(H30="R1", 67, 46), IF(E30="2DSBanti", IF(H30="R1", 50, 47), NA))) + IF(table_1[[#This Row],[control]]="30bpDown", 30, 0)</f>
        <v>46</v>
      </c>
      <c r="J3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yjl221_R2_2DSBs.sam</v>
      </c>
      <c r="K3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yjl221_WT_sgAB_R2_branch</v>
      </c>
      <c r="L30" t="str">
        <f>_xlfn.CONCAT(table_1[[#This Row],[dsb_type]],"_", table_1[[#This Row],[strand]],"_", table_1[[#This Row],[treatment]], ".fa")</f>
        <v>2DSB_R2_branch.fa</v>
      </c>
      <c r="M30">
        <f>VLOOKUP(INT(MID(table_1[[#This Row],[library]], 4, 10)), table_1_2[#All], IF(table_1[[#This Row],[strand]]="R1", 3, 4))</f>
        <v>8525251</v>
      </c>
      <c r="N30">
        <f>IF(LEFT(table_1[[#This Row],[dsb_type]], 1) = "2", 50, 130)</f>
        <v>50</v>
      </c>
      <c r="O3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5" x14ac:dyDescent="0.25">
      <c r="A31" s="3">
        <v>30</v>
      </c>
      <c r="B31" t="s">
        <v>6</v>
      </c>
      <c r="C31" t="s">
        <v>1</v>
      </c>
      <c r="D31" t="s">
        <v>140</v>
      </c>
      <c r="E31" t="s">
        <v>74</v>
      </c>
      <c r="F31" t="s">
        <v>126</v>
      </c>
      <c r="G31" t="s">
        <v>76</v>
      </c>
      <c r="H31" t="s">
        <v>84</v>
      </c>
      <c r="I31" cm="1">
        <f t="array" ref="I31">IF(E31="2DSB", IF(H31="R1", 67, 46), IF(E31="1DSB", IF(H31="R1", 67, 46), IF(E31="2DSBanti", IF(H31="R1", 50, 47), NA))) + IF(table_1[[#This Row],[control]]="30bpDown", 30, 0)</f>
        <v>46</v>
      </c>
      <c r="J3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yjl222_R2_2DSBs.sam</v>
      </c>
      <c r="K3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yjl222_WT_sgAB_R2_branch</v>
      </c>
      <c r="L31" t="str">
        <f>_xlfn.CONCAT(table_1[[#This Row],[dsb_type]],"_", table_1[[#This Row],[strand]],"_", table_1[[#This Row],[treatment]], ".fa")</f>
        <v>2DSB_R2_branch.fa</v>
      </c>
      <c r="M31">
        <f>VLOOKUP(INT(MID(table_1[[#This Row],[library]], 4, 10)), table_1_2[#All], IF(table_1[[#This Row],[strand]]="R1", 3, 4))</f>
        <v>8875435</v>
      </c>
      <c r="N31">
        <f>IF(LEFT(table_1[[#This Row],[dsb_type]], 1) = "2", 50, 130)</f>
        <v>50</v>
      </c>
      <c r="O3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5" x14ac:dyDescent="0.25">
      <c r="A32" s="3">
        <v>31</v>
      </c>
      <c r="B32" t="s">
        <v>7</v>
      </c>
      <c r="C32" t="s">
        <v>1</v>
      </c>
      <c r="D32" t="s">
        <v>140</v>
      </c>
      <c r="E32" t="s">
        <v>74</v>
      </c>
      <c r="F32" t="s">
        <v>126</v>
      </c>
      <c r="G32" t="s">
        <v>76</v>
      </c>
      <c r="H32" t="s">
        <v>84</v>
      </c>
      <c r="I32" cm="1">
        <f t="array" ref="I32">IF(E32="2DSB", IF(H32="R1", 67, 46), IF(E32="1DSB", IF(H32="R1", 67, 46), IF(E32="2DSBanti", IF(H32="R1", 50, 47), NA))) + IF(table_1[[#This Row],[control]]="30bpDown", 30, 0)</f>
        <v>46</v>
      </c>
      <c r="J3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yjl223_R2_2DSBs.sam</v>
      </c>
      <c r="K3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yjl223_WT_sgAB_R2_branch</v>
      </c>
      <c r="L32" t="str">
        <f>_xlfn.CONCAT(table_1[[#This Row],[dsb_type]],"_", table_1[[#This Row],[strand]],"_", table_1[[#This Row],[treatment]], ".fa")</f>
        <v>2DSB_R2_branch.fa</v>
      </c>
      <c r="M32">
        <f>VLOOKUP(INT(MID(table_1[[#This Row],[library]], 4, 10)), table_1_2[#All], IF(table_1[[#This Row],[strand]]="R1", 3, 4))</f>
        <v>8522228</v>
      </c>
      <c r="N32">
        <f>IF(LEFT(table_1[[#This Row],[dsb_type]], 1) = "2", 50, 130)</f>
        <v>50</v>
      </c>
      <c r="O3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5" x14ac:dyDescent="0.25">
      <c r="A33" s="3">
        <v>32</v>
      </c>
      <c r="B33" t="s">
        <v>8</v>
      </c>
      <c r="C33" t="s">
        <v>1</v>
      </c>
      <c r="D33" t="s">
        <v>140</v>
      </c>
      <c r="E33" t="s">
        <v>74</v>
      </c>
      <c r="F33" t="s">
        <v>126</v>
      </c>
      <c r="G33" t="s">
        <v>76</v>
      </c>
      <c r="H33" t="s">
        <v>84</v>
      </c>
      <c r="I33" cm="1">
        <f t="array" ref="I33">IF(E33="2DSB", IF(H33="R1", 67, 46), IF(E33="1DSB", IF(H33="R1", 67, 46), IF(E33="2DSBanti", IF(H33="R1", 50, 47), NA))) + IF(table_1[[#This Row],[control]]="30bpDown", 30, 0)</f>
        <v>46</v>
      </c>
      <c r="J3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yjl224_R2_2DSBs.sam</v>
      </c>
      <c r="K3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yjl224_WT_sgAB_R2_branch</v>
      </c>
      <c r="L33" t="str">
        <f>_xlfn.CONCAT(table_1[[#This Row],[dsb_type]],"_", table_1[[#This Row],[strand]],"_", table_1[[#This Row],[treatment]], ".fa")</f>
        <v>2DSB_R2_branch.fa</v>
      </c>
      <c r="M33">
        <f>VLOOKUP(INT(MID(table_1[[#This Row],[library]], 4, 10)), table_1_2[#All], IF(table_1[[#This Row],[strand]]="R1", 3, 4))</f>
        <v>8656502</v>
      </c>
      <c r="N33">
        <f>IF(LEFT(table_1[[#This Row],[dsb_type]], 1) = "2", 50, 130)</f>
        <v>50</v>
      </c>
      <c r="O3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5" x14ac:dyDescent="0.25">
      <c r="A34" s="3">
        <v>33</v>
      </c>
      <c r="B34" t="s">
        <v>9</v>
      </c>
      <c r="C34" t="s">
        <v>1</v>
      </c>
      <c r="D34" t="s">
        <v>140</v>
      </c>
      <c r="E34" t="s">
        <v>74</v>
      </c>
      <c r="F34" t="s">
        <v>126</v>
      </c>
      <c r="G34" t="s">
        <v>77</v>
      </c>
      <c r="H34" t="s">
        <v>84</v>
      </c>
      <c r="I34" cm="1">
        <f t="array" ref="I34">IF(E34="2DSB", IF(H34="R1", 67, 46), IF(E34="1DSB", IF(H34="R1", 67, 46), IF(E34="2DSBanti", IF(H34="R1", 50, 47), NA))) + IF(table_1[[#This Row],[control]]="30bpDown", 30, 0)</f>
        <v>46</v>
      </c>
      <c r="J3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yjl225_R2_2DSBs.sam</v>
      </c>
      <c r="K3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yjl225_WT_sgAB_R2_cmv</v>
      </c>
      <c r="L34" t="str">
        <f>_xlfn.CONCAT(table_1[[#This Row],[dsb_type]],"_", table_1[[#This Row],[strand]],"_", table_1[[#This Row],[treatment]], ".fa")</f>
        <v>2DSB_R2_cmv.fa</v>
      </c>
      <c r="M34">
        <f>VLOOKUP(INT(MID(table_1[[#This Row],[library]], 4, 10)), table_1_2[#All], IF(table_1[[#This Row],[strand]]="R1", 3, 4))</f>
        <v>6898791</v>
      </c>
      <c r="N34">
        <f>IF(LEFT(table_1[[#This Row],[dsb_type]], 1) = "2", 50, 130)</f>
        <v>50</v>
      </c>
      <c r="O3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5" x14ac:dyDescent="0.25">
      <c r="A35" s="3">
        <v>34</v>
      </c>
      <c r="B35" t="s">
        <v>10</v>
      </c>
      <c r="C35" t="s">
        <v>1</v>
      </c>
      <c r="D35" t="s">
        <v>140</v>
      </c>
      <c r="E35" t="s">
        <v>74</v>
      </c>
      <c r="F35" t="s">
        <v>126</v>
      </c>
      <c r="G35" t="s">
        <v>77</v>
      </c>
      <c r="H35" t="s">
        <v>84</v>
      </c>
      <c r="I35" cm="1">
        <f t="array" ref="I35">IF(E35="2DSB", IF(H35="R1", 67, 46), IF(E35="1DSB", IF(H35="R1", 67, 46), IF(E35="2DSBanti", IF(H35="R1", 50, 47), NA))) + IF(table_1[[#This Row],[control]]="30bpDown", 30, 0)</f>
        <v>46</v>
      </c>
      <c r="J3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yjl226_R2_2DSBs.sam</v>
      </c>
      <c r="K3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yjl226_WT_sgAB_R2_cmv</v>
      </c>
      <c r="L35" t="str">
        <f>_xlfn.CONCAT(table_1[[#This Row],[dsb_type]],"_", table_1[[#This Row],[strand]],"_", table_1[[#This Row],[treatment]], ".fa")</f>
        <v>2DSB_R2_cmv.fa</v>
      </c>
      <c r="M35">
        <f>VLOOKUP(INT(MID(table_1[[#This Row],[library]], 4, 10)), table_1_2[#All], IF(table_1[[#This Row],[strand]]="R1", 3, 4))</f>
        <v>7986453</v>
      </c>
      <c r="N35">
        <f>IF(LEFT(table_1[[#This Row],[dsb_type]], 1) = "2", 50, 130)</f>
        <v>50</v>
      </c>
      <c r="O3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5" x14ac:dyDescent="0.25">
      <c r="A36" s="3">
        <v>35</v>
      </c>
      <c r="B36" t="s">
        <v>11</v>
      </c>
      <c r="C36" t="s">
        <v>1</v>
      </c>
      <c r="D36" t="s">
        <v>140</v>
      </c>
      <c r="E36" t="s">
        <v>74</v>
      </c>
      <c r="F36" t="s">
        <v>126</v>
      </c>
      <c r="G36" t="s">
        <v>77</v>
      </c>
      <c r="H36" t="s">
        <v>84</v>
      </c>
      <c r="I36" cm="1">
        <f t="array" ref="I36">IF(E36="2DSB", IF(H36="R1", 67, 46), IF(E36="1DSB", IF(H36="R1", 67, 46), IF(E36="2DSBanti", IF(H36="R1", 50, 47), NA))) + IF(table_1[[#This Row],[control]]="30bpDown", 30, 0)</f>
        <v>46</v>
      </c>
      <c r="J3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yjl227_R2_2DSBs.sam</v>
      </c>
      <c r="K3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yjl227_WT_sgAB_R2_cmv</v>
      </c>
      <c r="L36" t="str">
        <f>_xlfn.CONCAT(table_1[[#This Row],[dsb_type]],"_", table_1[[#This Row],[strand]],"_", table_1[[#This Row],[treatment]], ".fa")</f>
        <v>2DSB_R2_cmv.fa</v>
      </c>
      <c r="M36">
        <f>VLOOKUP(INT(MID(table_1[[#This Row],[library]], 4, 10)), table_1_2[#All], IF(table_1[[#This Row],[strand]]="R1", 3, 4))</f>
        <v>7354088</v>
      </c>
      <c r="N36">
        <f>IF(LEFT(table_1[[#This Row],[dsb_type]], 1) = "2", 50, 130)</f>
        <v>50</v>
      </c>
      <c r="O3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5" x14ac:dyDescent="0.25">
      <c r="A37" s="3">
        <v>36</v>
      </c>
      <c r="B37" t="s">
        <v>12</v>
      </c>
      <c r="C37" t="s">
        <v>1</v>
      </c>
      <c r="D37" t="s">
        <v>140</v>
      </c>
      <c r="E37" t="s">
        <v>74</v>
      </c>
      <c r="F37" t="s">
        <v>126</v>
      </c>
      <c r="G37" t="s">
        <v>77</v>
      </c>
      <c r="H37" t="s">
        <v>84</v>
      </c>
      <c r="I37" cm="1">
        <f t="array" ref="I37">IF(E37="2DSB", IF(H37="R1", 67, 46), IF(E37="1DSB", IF(H37="R1", 67, 46), IF(E37="2DSBanti", IF(H37="R1", 50, 47), NA))) + IF(table_1[[#This Row],[control]]="30bpDown", 30, 0)</f>
        <v>46</v>
      </c>
      <c r="J3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yjl228_R2_2DSBs.sam</v>
      </c>
      <c r="K3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yjl228_WT_sgAB_R2_cmv</v>
      </c>
      <c r="L37" t="str">
        <f>_xlfn.CONCAT(table_1[[#This Row],[dsb_type]],"_", table_1[[#This Row],[strand]],"_", table_1[[#This Row],[treatment]], ".fa")</f>
        <v>2DSB_R2_cmv.fa</v>
      </c>
      <c r="M37">
        <f>VLOOKUP(INT(MID(table_1[[#This Row],[library]], 4, 10)), table_1_2[#All], IF(table_1[[#This Row],[strand]]="R1", 3, 4))</f>
        <v>6940576</v>
      </c>
      <c r="N37">
        <f>IF(LEFT(table_1[[#This Row],[dsb_type]], 1) = "2", 50, 130)</f>
        <v>50</v>
      </c>
      <c r="O3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5" x14ac:dyDescent="0.25">
      <c r="A38" s="3">
        <v>37</v>
      </c>
      <c r="B38" t="s">
        <v>13</v>
      </c>
      <c r="C38" t="s">
        <v>14</v>
      </c>
      <c r="D38" t="s">
        <v>140</v>
      </c>
      <c r="E38" t="s">
        <v>74</v>
      </c>
      <c r="F38" t="s">
        <v>126</v>
      </c>
      <c r="G38" t="s">
        <v>75</v>
      </c>
      <c r="H38" t="s">
        <v>84</v>
      </c>
      <c r="I38" cm="1">
        <f t="array" ref="I38">IF(E38="2DSB", IF(H38="R1", 67, 46), IF(E38="1DSB", IF(H38="R1", 67, 46), IF(E38="2DSBanti", IF(H38="R1", 50, 47), NA))) + IF(table_1[[#This Row],[control]]="30bpDown", 30, 0)</f>
        <v>46</v>
      </c>
      <c r="J3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yjl229_R2_2DSBs.sam</v>
      </c>
      <c r="K3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yjl229_KO_sgAB_R2_sense</v>
      </c>
      <c r="L38" t="str">
        <f>_xlfn.CONCAT(table_1[[#This Row],[dsb_type]],"_", table_1[[#This Row],[strand]],"_", table_1[[#This Row],[treatment]], ".fa")</f>
        <v>2DSB_R2_sense.fa</v>
      </c>
      <c r="M38">
        <f>VLOOKUP(INT(MID(table_1[[#This Row],[library]], 4, 10)), table_1_2[#All], IF(table_1[[#This Row],[strand]]="R1", 3, 4))</f>
        <v>10142826</v>
      </c>
      <c r="N38">
        <f>IF(LEFT(table_1[[#This Row],[dsb_type]], 1) = "2", 50, 130)</f>
        <v>50</v>
      </c>
      <c r="O3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5" x14ac:dyDescent="0.25">
      <c r="A39" s="3">
        <v>38</v>
      </c>
      <c r="B39" t="s">
        <v>15</v>
      </c>
      <c r="C39" t="s">
        <v>14</v>
      </c>
      <c r="D39" t="s">
        <v>140</v>
      </c>
      <c r="E39" t="s">
        <v>74</v>
      </c>
      <c r="F39" t="s">
        <v>126</v>
      </c>
      <c r="G39" t="s">
        <v>75</v>
      </c>
      <c r="H39" t="s">
        <v>84</v>
      </c>
      <c r="I39" cm="1">
        <f t="array" ref="I39">IF(E39="2DSB", IF(H39="R1", 67, 46), IF(E39="1DSB", IF(H39="R1", 67, 46), IF(E39="2DSBanti", IF(H39="R1", 50, 47), NA))) + IF(table_1[[#This Row],[control]]="30bpDown", 30, 0)</f>
        <v>46</v>
      </c>
      <c r="J3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yjl230_R2_2DSBs.sam</v>
      </c>
      <c r="K3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yjl230_KO_sgAB_R2_sense</v>
      </c>
      <c r="L39" t="str">
        <f>_xlfn.CONCAT(table_1[[#This Row],[dsb_type]],"_", table_1[[#This Row],[strand]],"_", table_1[[#This Row],[treatment]], ".fa")</f>
        <v>2DSB_R2_sense.fa</v>
      </c>
      <c r="M39">
        <f>VLOOKUP(INT(MID(table_1[[#This Row],[library]], 4, 10)), table_1_2[#All], IF(table_1[[#This Row],[strand]]="R1", 3, 4))</f>
        <v>11211467</v>
      </c>
      <c r="N39">
        <f>IF(LEFT(table_1[[#This Row],[dsb_type]], 1) = "2", 50, 130)</f>
        <v>50</v>
      </c>
      <c r="O3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5" x14ac:dyDescent="0.25">
      <c r="A40" s="3">
        <v>39</v>
      </c>
      <c r="B40" t="s">
        <v>16</v>
      </c>
      <c r="C40" t="s">
        <v>14</v>
      </c>
      <c r="D40" t="s">
        <v>140</v>
      </c>
      <c r="E40" t="s">
        <v>74</v>
      </c>
      <c r="F40" t="s">
        <v>126</v>
      </c>
      <c r="G40" t="s">
        <v>75</v>
      </c>
      <c r="H40" t="s">
        <v>84</v>
      </c>
      <c r="I40" cm="1">
        <f t="array" ref="I40">IF(E40="2DSB", IF(H40="R1", 67, 46), IF(E40="1DSB", IF(H40="R1", 67, 46), IF(E40="2DSBanti", IF(H40="R1", 50, 47), NA))) + IF(table_1[[#This Row],[control]]="30bpDown", 30, 0)</f>
        <v>46</v>
      </c>
      <c r="J4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yjl231_R2_2DSBs.sam</v>
      </c>
      <c r="K4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yjl231_KO_sgAB_R2_sense</v>
      </c>
      <c r="L40" t="str">
        <f>_xlfn.CONCAT(table_1[[#This Row],[dsb_type]],"_", table_1[[#This Row],[strand]],"_", table_1[[#This Row],[treatment]], ".fa")</f>
        <v>2DSB_R2_sense.fa</v>
      </c>
      <c r="M40">
        <f>VLOOKUP(INT(MID(table_1[[#This Row],[library]], 4, 10)), table_1_2[#All], IF(table_1[[#This Row],[strand]]="R1", 3, 4))</f>
        <v>11130391</v>
      </c>
      <c r="N40">
        <f>IF(LEFT(table_1[[#This Row],[dsb_type]], 1) = "2", 50, 130)</f>
        <v>50</v>
      </c>
      <c r="O4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5" x14ac:dyDescent="0.25">
      <c r="A41" s="3">
        <v>40</v>
      </c>
      <c r="B41" t="s">
        <v>17</v>
      </c>
      <c r="C41" t="s">
        <v>14</v>
      </c>
      <c r="D41" t="s">
        <v>140</v>
      </c>
      <c r="E41" t="s">
        <v>74</v>
      </c>
      <c r="F41" t="s">
        <v>126</v>
      </c>
      <c r="G41" t="s">
        <v>75</v>
      </c>
      <c r="H41" t="s">
        <v>84</v>
      </c>
      <c r="I41" cm="1">
        <f t="array" ref="I41">IF(E41="2DSB", IF(H41="R1", 67, 46), IF(E41="1DSB", IF(H41="R1", 67, 46), IF(E41="2DSBanti", IF(H41="R1", 50, 47), NA))) + IF(table_1[[#This Row],[control]]="30bpDown", 30, 0)</f>
        <v>46</v>
      </c>
      <c r="J4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yjl232_R2_2DSBs.sam</v>
      </c>
      <c r="K4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yjl232_KO_sgAB_R2_sense</v>
      </c>
      <c r="L41" t="str">
        <f>_xlfn.CONCAT(table_1[[#This Row],[dsb_type]],"_", table_1[[#This Row],[strand]],"_", table_1[[#This Row],[treatment]], ".fa")</f>
        <v>2DSB_R2_sense.fa</v>
      </c>
      <c r="M41">
        <f>VLOOKUP(INT(MID(table_1[[#This Row],[library]], 4, 10)), table_1_2[#All], IF(table_1[[#This Row],[strand]]="R1", 3, 4))</f>
        <v>11080481</v>
      </c>
      <c r="N41">
        <f>IF(LEFT(table_1[[#This Row],[dsb_type]], 1) = "2", 50, 130)</f>
        <v>50</v>
      </c>
      <c r="O4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5" x14ac:dyDescent="0.25">
      <c r="A42" s="3">
        <v>41</v>
      </c>
      <c r="B42" t="s">
        <v>18</v>
      </c>
      <c r="C42" t="s">
        <v>14</v>
      </c>
      <c r="D42" t="s">
        <v>140</v>
      </c>
      <c r="E42" t="s">
        <v>74</v>
      </c>
      <c r="F42" t="s">
        <v>126</v>
      </c>
      <c r="G42" t="s">
        <v>76</v>
      </c>
      <c r="H42" t="s">
        <v>84</v>
      </c>
      <c r="I42" cm="1">
        <f t="array" ref="I42">IF(E42="2DSB", IF(H42="R1", 67, 46), IF(E42="1DSB", IF(H42="R1", 67, 46), IF(E42="2DSBanti", IF(H42="R1", 50, 47), NA))) + IF(table_1[[#This Row],[control]]="30bpDown", 30, 0)</f>
        <v>46</v>
      </c>
      <c r="J4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yjl233_R2_2DSBs.sam</v>
      </c>
      <c r="K4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yjl233_KO_sgAB_R2_branch</v>
      </c>
      <c r="L42" t="str">
        <f>_xlfn.CONCAT(table_1[[#This Row],[dsb_type]],"_", table_1[[#This Row],[strand]],"_", table_1[[#This Row],[treatment]], ".fa")</f>
        <v>2DSB_R2_branch.fa</v>
      </c>
      <c r="M42">
        <f>VLOOKUP(INT(MID(table_1[[#This Row],[library]], 4, 10)), table_1_2[#All], IF(table_1[[#This Row],[strand]]="R1", 3, 4))</f>
        <v>12987477</v>
      </c>
      <c r="N42">
        <f>IF(LEFT(table_1[[#This Row],[dsb_type]], 1) = "2", 50, 130)</f>
        <v>50</v>
      </c>
      <c r="O4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5" x14ac:dyDescent="0.25">
      <c r="A43" s="3">
        <v>42</v>
      </c>
      <c r="B43" t="s">
        <v>19</v>
      </c>
      <c r="C43" t="s">
        <v>14</v>
      </c>
      <c r="D43" t="s">
        <v>140</v>
      </c>
      <c r="E43" t="s">
        <v>74</v>
      </c>
      <c r="F43" t="s">
        <v>126</v>
      </c>
      <c r="G43" t="s">
        <v>76</v>
      </c>
      <c r="H43" t="s">
        <v>84</v>
      </c>
      <c r="I43" cm="1">
        <f t="array" ref="I43">IF(E43="2DSB", IF(H43="R1", 67, 46), IF(E43="1DSB", IF(H43="R1", 67, 46), IF(E43="2DSBanti", IF(H43="R1", 50, 47), NA))) + IF(table_1[[#This Row],[control]]="30bpDown", 30, 0)</f>
        <v>46</v>
      </c>
      <c r="J4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yjl234_R2_2DSBs.sam</v>
      </c>
      <c r="K4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yjl234_KO_sgAB_R2_branch</v>
      </c>
      <c r="L43" t="str">
        <f>_xlfn.CONCAT(table_1[[#This Row],[dsb_type]],"_", table_1[[#This Row],[strand]],"_", table_1[[#This Row],[treatment]], ".fa")</f>
        <v>2DSB_R2_branch.fa</v>
      </c>
      <c r="M43">
        <f>VLOOKUP(INT(MID(table_1[[#This Row],[library]], 4, 10)), table_1_2[#All], IF(table_1[[#This Row],[strand]]="R1", 3, 4))</f>
        <v>14745821</v>
      </c>
      <c r="N43">
        <f>IF(LEFT(table_1[[#This Row],[dsb_type]], 1) = "2", 50, 130)</f>
        <v>50</v>
      </c>
      <c r="O4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5" x14ac:dyDescent="0.25">
      <c r="A44" s="3">
        <v>43</v>
      </c>
      <c r="B44" t="s">
        <v>20</v>
      </c>
      <c r="C44" t="s">
        <v>14</v>
      </c>
      <c r="D44" t="s">
        <v>140</v>
      </c>
      <c r="E44" t="s">
        <v>74</v>
      </c>
      <c r="F44" t="s">
        <v>126</v>
      </c>
      <c r="G44" t="s">
        <v>76</v>
      </c>
      <c r="H44" t="s">
        <v>84</v>
      </c>
      <c r="I44" cm="1">
        <f t="array" ref="I44">IF(E44="2DSB", IF(H44="R1", 67, 46), IF(E44="1DSB", IF(H44="R1", 67, 46), IF(E44="2DSBanti", IF(H44="R1", 50, 47), NA))) + IF(table_1[[#This Row],[control]]="30bpDown", 30, 0)</f>
        <v>46</v>
      </c>
      <c r="J4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yjl235_R2_2DSBs.sam</v>
      </c>
      <c r="K4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yjl235_KO_sgAB_R2_branch</v>
      </c>
      <c r="L44" t="str">
        <f>_xlfn.CONCAT(table_1[[#This Row],[dsb_type]],"_", table_1[[#This Row],[strand]],"_", table_1[[#This Row],[treatment]], ".fa")</f>
        <v>2DSB_R2_branch.fa</v>
      </c>
      <c r="M44">
        <f>VLOOKUP(INT(MID(table_1[[#This Row],[library]], 4, 10)), table_1_2[#All], IF(table_1[[#This Row],[strand]]="R1", 3, 4))</f>
        <v>12946604</v>
      </c>
      <c r="N44">
        <f>IF(LEFT(table_1[[#This Row],[dsb_type]], 1) = "2", 50, 130)</f>
        <v>50</v>
      </c>
      <c r="O4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5" x14ac:dyDescent="0.25">
      <c r="A45" s="3">
        <v>44</v>
      </c>
      <c r="B45" t="s">
        <v>21</v>
      </c>
      <c r="C45" t="s">
        <v>14</v>
      </c>
      <c r="D45" t="s">
        <v>140</v>
      </c>
      <c r="E45" t="s">
        <v>74</v>
      </c>
      <c r="F45" t="s">
        <v>126</v>
      </c>
      <c r="G45" t="s">
        <v>76</v>
      </c>
      <c r="H45" t="s">
        <v>84</v>
      </c>
      <c r="I45" cm="1">
        <f t="array" ref="I45">IF(E45="2DSB", IF(H45="R1", 67, 46), IF(E45="1DSB", IF(H45="R1", 67, 46), IF(E45="2DSBanti", IF(H45="R1", 50, 47), NA))) + IF(table_1[[#This Row],[control]]="30bpDown", 30, 0)</f>
        <v>46</v>
      </c>
      <c r="J4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yjl236_R2_2DSBs.sam</v>
      </c>
      <c r="K4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yjl236_KO_sgAB_R2_branch</v>
      </c>
      <c r="L45" t="str">
        <f>_xlfn.CONCAT(table_1[[#This Row],[dsb_type]],"_", table_1[[#This Row],[strand]],"_", table_1[[#This Row],[treatment]], ".fa")</f>
        <v>2DSB_R2_branch.fa</v>
      </c>
      <c r="M45">
        <f>VLOOKUP(INT(MID(table_1[[#This Row],[library]], 4, 10)), table_1_2[#All], IF(table_1[[#This Row],[strand]]="R1", 3, 4))</f>
        <v>12582077</v>
      </c>
      <c r="N45">
        <f>IF(LEFT(table_1[[#This Row],[dsb_type]], 1) = "2", 50, 130)</f>
        <v>50</v>
      </c>
      <c r="O4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5" x14ac:dyDescent="0.25">
      <c r="A46" s="3">
        <v>45</v>
      </c>
      <c r="B46" t="s">
        <v>22</v>
      </c>
      <c r="C46" t="s">
        <v>14</v>
      </c>
      <c r="D46" t="s">
        <v>140</v>
      </c>
      <c r="E46" t="s">
        <v>74</v>
      </c>
      <c r="F46" t="s">
        <v>126</v>
      </c>
      <c r="G46" t="s">
        <v>77</v>
      </c>
      <c r="H46" t="s">
        <v>84</v>
      </c>
      <c r="I46" cm="1">
        <f t="array" ref="I46">IF(E46="2DSB", IF(H46="R1", 67, 46), IF(E46="1DSB", IF(H46="R1", 67, 46), IF(E46="2DSBanti", IF(H46="R1", 50, 47), NA))) + IF(table_1[[#This Row],[control]]="30bpDown", 30, 0)</f>
        <v>46</v>
      </c>
      <c r="J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yjl237_R2_2DSBs.sam</v>
      </c>
      <c r="K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yjl237_KO_sgAB_R2_cmv</v>
      </c>
      <c r="L46" t="str">
        <f>_xlfn.CONCAT(table_1[[#This Row],[dsb_type]],"_", table_1[[#This Row],[strand]],"_", table_1[[#This Row],[treatment]], ".fa")</f>
        <v>2DSB_R2_cmv.fa</v>
      </c>
      <c r="M46">
        <f>VLOOKUP(INT(MID(table_1[[#This Row],[library]], 4, 10)), table_1_2[#All], IF(table_1[[#This Row],[strand]]="R1", 3, 4))</f>
        <v>10562895</v>
      </c>
      <c r="N46">
        <f>IF(LEFT(table_1[[#This Row],[dsb_type]], 1) = "2", 50, 130)</f>
        <v>50</v>
      </c>
      <c r="O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5" x14ac:dyDescent="0.25">
      <c r="A47" s="3">
        <v>46</v>
      </c>
      <c r="B47" t="s">
        <v>23</v>
      </c>
      <c r="C47" t="s">
        <v>14</v>
      </c>
      <c r="D47" t="s">
        <v>140</v>
      </c>
      <c r="E47" t="s">
        <v>74</v>
      </c>
      <c r="F47" t="s">
        <v>126</v>
      </c>
      <c r="G47" t="s">
        <v>77</v>
      </c>
      <c r="H47" t="s">
        <v>84</v>
      </c>
      <c r="I47" cm="1">
        <f t="array" ref="I47">IF(E47="2DSB", IF(H47="R1", 67, 46), IF(E47="1DSB", IF(H47="R1", 67, 46), IF(E47="2DSBanti", IF(H47="R1", 50, 47), NA))) + IF(table_1[[#This Row],[control]]="30bpDown", 30, 0)</f>
        <v>46</v>
      </c>
      <c r="J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yjl238_R2_2DSBs.sam</v>
      </c>
      <c r="K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yjl238_KO_sgAB_R2_cmv</v>
      </c>
      <c r="L47" t="str">
        <f>_xlfn.CONCAT(table_1[[#This Row],[dsb_type]],"_", table_1[[#This Row],[strand]],"_", table_1[[#This Row],[treatment]], ".fa")</f>
        <v>2DSB_R2_cmv.fa</v>
      </c>
      <c r="M47">
        <f>VLOOKUP(INT(MID(table_1[[#This Row],[library]], 4, 10)), table_1_2[#All], IF(table_1[[#This Row],[strand]]="R1", 3, 4))</f>
        <v>10985096</v>
      </c>
      <c r="N47">
        <f>IF(LEFT(table_1[[#This Row],[dsb_type]], 1) = "2", 50, 130)</f>
        <v>50</v>
      </c>
      <c r="O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5" x14ac:dyDescent="0.25">
      <c r="A48" s="3">
        <v>47</v>
      </c>
      <c r="B48" t="s">
        <v>24</v>
      </c>
      <c r="C48" t="s">
        <v>14</v>
      </c>
      <c r="D48" t="s">
        <v>140</v>
      </c>
      <c r="E48" t="s">
        <v>74</v>
      </c>
      <c r="F48" t="s">
        <v>126</v>
      </c>
      <c r="G48" t="s">
        <v>77</v>
      </c>
      <c r="H48" t="s">
        <v>84</v>
      </c>
      <c r="I48" cm="1">
        <f t="array" ref="I48">IF(E48="2DSB", IF(H48="R1", 67, 46), IF(E48="1DSB", IF(H48="R1", 67, 46), IF(E48="2DSBanti", IF(H48="R1", 50, 47), NA))) + IF(table_1[[#This Row],[control]]="30bpDown", 30, 0)</f>
        <v>46</v>
      </c>
      <c r="J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yjl239_R2_2DSBs.sam</v>
      </c>
      <c r="K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yjl239_KO_sgAB_R2_cmv</v>
      </c>
      <c r="L48" t="str">
        <f>_xlfn.CONCAT(table_1[[#This Row],[dsb_type]],"_", table_1[[#This Row],[strand]],"_", table_1[[#This Row],[treatment]], ".fa")</f>
        <v>2DSB_R2_cmv.fa</v>
      </c>
      <c r="M48">
        <f>VLOOKUP(INT(MID(table_1[[#This Row],[library]], 4, 10)), table_1_2[#All], IF(table_1[[#This Row],[strand]]="R1", 3, 4))</f>
        <v>9559721</v>
      </c>
      <c r="N48">
        <f>IF(LEFT(table_1[[#This Row],[dsb_type]], 1) = "2", 50, 130)</f>
        <v>50</v>
      </c>
      <c r="O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5" x14ac:dyDescent="0.25">
      <c r="A49" s="3">
        <v>48</v>
      </c>
      <c r="B49" t="s">
        <v>25</v>
      </c>
      <c r="C49" t="s">
        <v>14</v>
      </c>
      <c r="D49" t="s">
        <v>140</v>
      </c>
      <c r="E49" t="s">
        <v>74</v>
      </c>
      <c r="F49" t="s">
        <v>126</v>
      </c>
      <c r="G49" t="s">
        <v>77</v>
      </c>
      <c r="H49" t="s">
        <v>84</v>
      </c>
      <c r="I49" cm="1">
        <f t="array" ref="I49">IF(E49="2DSB", IF(H49="R1", 67, 46), IF(E49="1DSB", IF(H49="R1", 67, 46), IF(E49="2DSBanti", IF(H49="R1", 50, 47), NA))) + IF(table_1[[#This Row],[control]]="30bpDown", 30, 0)</f>
        <v>46</v>
      </c>
      <c r="J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yjl240_R2_2DSBs.sam</v>
      </c>
      <c r="K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yjl240_KO_sgAB_R2_cmv</v>
      </c>
      <c r="L49" t="str">
        <f>_xlfn.CONCAT(table_1[[#This Row],[dsb_type]],"_", table_1[[#This Row],[strand]],"_", table_1[[#This Row],[treatment]], ".fa")</f>
        <v>2DSB_R2_cmv.fa</v>
      </c>
      <c r="M49">
        <f>VLOOKUP(INT(MID(table_1[[#This Row],[library]], 4, 10)), table_1_2[#All], IF(table_1[[#This Row],[strand]]="R1", 3, 4))</f>
        <v>8729797</v>
      </c>
      <c r="N49">
        <f>IF(LEFT(table_1[[#This Row],[dsb_type]], 1) = "2", 50, 130)</f>
        <v>50</v>
      </c>
      <c r="O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5" x14ac:dyDescent="0.25">
      <c r="A50" s="3">
        <v>49</v>
      </c>
      <c r="B50" t="s">
        <v>26</v>
      </c>
      <c r="C50" t="s">
        <v>1</v>
      </c>
      <c r="D50" t="s">
        <v>140</v>
      </c>
      <c r="E50" t="s">
        <v>124</v>
      </c>
      <c r="F50" t="s">
        <v>78</v>
      </c>
      <c r="G50" t="s">
        <v>75</v>
      </c>
      <c r="H50" t="s">
        <v>83</v>
      </c>
      <c r="I50" cm="1">
        <f t="array" ref="I50">IF(E50="2DSB", IF(H50="R1", 67, 46), IF(E50="1DSB", IF(H50="R1", 67, 46), IF(E50="2DSBanti", IF(H50="R1", 50, 47), NA))) + IF(table_1[[#This Row],[control]]="30bpDown", 30, 0)</f>
        <v>67</v>
      </c>
      <c r="J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</v>
      </c>
      <c r="L50" t="str">
        <f>_xlfn.CONCAT(table_1[[#This Row],[dsb_type]],"_", table_1[[#This Row],[strand]],"_", table_1[[#This Row],[treatment]], ".fa")</f>
        <v>1DSB_R1_sense.fa</v>
      </c>
      <c r="M50">
        <f>VLOOKUP(INT(MID(table_1[[#This Row],[library]], 4, 10)), table_1_2[#All], IF(table_1[[#This Row],[strand]]="R1", 3, 4))</f>
        <v>7579965</v>
      </c>
      <c r="N50">
        <f>IF(LEFT(table_1[[#This Row],[dsb_type]], 1) = "2", 50, 130)</f>
        <v>130</v>
      </c>
      <c r="O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5" x14ac:dyDescent="0.25">
      <c r="A51" s="3">
        <v>50</v>
      </c>
      <c r="B51" t="s">
        <v>27</v>
      </c>
      <c r="C51" t="s">
        <v>1</v>
      </c>
      <c r="D51" t="s">
        <v>140</v>
      </c>
      <c r="E51" t="s">
        <v>124</v>
      </c>
      <c r="F51" t="s">
        <v>78</v>
      </c>
      <c r="G51" t="s">
        <v>75</v>
      </c>
      <c r="H51" t="s">
        <v>83</v>
      </c>
      <c r="I51" cm="1">
        <f t="array" ref="I51">IF(E51="2DSB", IF(H51="R1", 67, 46), IF(E51="1DSB", IF(H51="R1", 67, 46), IF(E51="2DSBanti", IF(H51="R1", 50, 47), NA))) + IF(table_1[[#This Row],[control]]="30bpDown", 30, 0)</f>
        <v>67</v>
      </c>
      <c r="J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</v>
      </c>
      <c r="L51" t="str">
        <f>_xlfn.CONCAT(table_1[[#This Row],[dsb_type]],"_", table_1[[#This Row],[strand]],"_", table_1[[#This Row],[treatment]], ".fa")</f>
        <v>1DSB_R1_sense.fa</v>
      </c>
      <c r="M51">
        <f>VLOOKUP(INT(MID(table_1[[#This Row],[library]], 4, 10)), table_1_2[#All], IF(table_1[[#This Row],[strand]]="R1", 3, 4))</f>
        <v>7982725</v>
      </c>
      <c r="N51">
        <f>IF(LEFT(table_1[[#This Row],[dsb_type]], 1) = "2", 50, 130)</f>
        <v>130</v>
      </c>
      <c r="O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5" x14ac:dyDescent="0.25">
      <c r="A52" s="3">
        <v>51</v>
      </c>
      <c r="B52" t="s">
        <v>28</v>
      </c>
      <c r="C52" t="s">
        <v>1</v>
      </c>
      <c r="D52" t="s">
        <v>140</v>
      </c>
      <c r="E52" t="s">
        <v>124</v>
      </c>
      <c r="F52" t="s">
        <v>78</v>
      </c>
      <c r="G52" t="s">
        <v>75</v>
      </c>
      <c r="H52" t="s">
        <v>83</v>
      </c>
      <c r="I52" cm="1">
        <f t="array" ref="I52">IF(E52="2DSB", IF(H52="R1", 67, 46), IF(E52="1DSB", IF(H52="R1", 67, 46), IF(E52="2DSBanti", IF(H52="R1", 50, 47), NA))) + IF(table_1[[#This Row],[control]]="30bpDown", 30, 0)</f>
        <v>67</v>
      </c>
      <c r="J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</v>
      </c>
      <c r="L52" t="str">
        <f>_xlfn.CONCAT(table_1[[#This Row],[dsb_type]],"_", table_1[[#This Row],[strand]],"_", table_1[[#This Row],[treatment]], ".fa")</f>
        <v>1DSB_R1_sense.fa</v>
      </c>
      <c r="M52">
        <f>VLOOKUP(INT(MID(table_1[[#This Row],[library]], 4, 10)), table_1_2[#All], IF(table_1[[#This Row],[strand]]="R1", 3, 4))</f>
        <v>7854740</v>
      </c>
      <c r="N52">
        <f>IF(LEFT(table_1[[#This Row],[dsb_type]], 1) = "2", 50, 130)</f>
        <v>130</v>
      </c>
      <c r="O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5" x14ac:dyDescent="0.25">
      <c r="A53" s="3">
        <v>52</v>
      </c>
      <c r="B53" t="s">
        <v>29</v>
      </c>
      <c r="C53" t="s">
        <v>1</v>
      </c>
      <c r="D53" t="s">
        <v>140</v>
      </c>
      <c r="E53" t="s">
        <v>124</v>
      </c>
      <c r="F53" t="s">
        <v>78</v>
      </c>
      <c r="G53" t="s">
        <v>75</v>
      </c>
      <c r="H53" t="s">
        <v>83</v>
      </c>
      <c r="I53" cm="1">
        <f t="array" ref="I53">IF(E53="2DSB", IF(H53="R1", 67, 46), IF(E53="1DSB", IF(H53="R1", 67, 46), IF(E53="2DSBanti", IF(H53="R1", 50, 47), NA))) + IF(table_1[[#This Row],[control]]="30bpDown", 30, 0)</f>
        <v>67</v>
      </c>
      <c r="J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</v>
      </c>
      <c r="L53" t="str">
        <f>_xlfn.CONCAT(table_1[[#This Row],[dsb_type]],"_", table_1[[#This Row],[strand]],"_", table_1[[#This Row],[treatment]], ".fa")</f>
        <v>1DSB_R1_sense.fa</v>
      </c>
      <c r="M53">
        <f>VLOOKUP(INT(MID(table_1[[#This Row],[library]], 4, 10)), table_1_2[#All], IF(table_1[[#This Row],[strand]]="R1", 3, 4))</f>
        <v>7534924</v>
      </c>
      <c r="N53">
        <f>IF(LEFT(table_1[[#This Row],[dsb_type]], 1) = "2", 50, 130)</f>
        <v>130</v>
      </c>
      <c r="O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5" x14ac:dyDescent="0.25">
      <c r="A54" s="3">
        <v>53</v>
      </c>
      <c r="B54" t="s">
        <v>30</v>
      </c>
      <c r="C54" t="s">
        <v>1</v>
      </c>
      <c r="D54" t="s">
        <v>140</v>
      </c>
      <c r="E54" t="s">
        <v>124</v>
      </c>
      <c r="F54" t="s">
        <v>78</v>
      </c>
      <c r="G54" t="s">
        <v>76</v>
      </c>
      <c r="H54" t="s">
        <v>83</v>
      </c>
      <c r="I54" cm="1">
        <f t="array" ref="I54">IF(E54="2DSB", IF(H54="R1", 67, 46), IF(E54="1DSB", IF(H54="R1", 67, 46), IF(E54="2DSBanti", IF(H54="R1", 50, 47), NA))) + IF(table_1[[#This Row],[control]]="30bpDown", 30, 0)</f>
        <v>67</v>
      </c>
      <c r="J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</v>
      </c>
      <c r="L54" t="str">
        <f>_xlfn.CONCAT(table_1[[#This Row],[dsb_type]],"_", table_1[[#This Row],[strand]],"_", table_1[[#This Row],[treatment]], ".fa")</f>
        <v>1DSB_R1_branch.fa</v>
      </c>
      <c r="M54">
        <f>VLOOKUP(INT(MID(table_1[[#This Row],[library]], 4, 10)), table_1_2[#All], IF(table_1[[#This Row],[strand]]="R1", 3, 4))</f>
        <v>8808358</v>
      </c>
      <c r="N54">
        <f>IF(LEFT(table_1[[#This Row],[dsb_type]], 1) = "2", 50, 130)</f>
        <v>130</v>
      </c>
      <c r="O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5" x14ac:dyDescent="0.25">
      <c r="A55" s="3">
        <v>54</v>
      </c>
      <c r="B55" t="s">
        <v>31</v>
      </c>
      <c r="C55" t="s">
        <v>1</v>
      </c>
      <c r="D55" t="s">
        <v>140</v>
      </c>
      <c r="E55" t="s">
        <v>124</v>
      </c>
      <c r="F55" t="s">
        <v>78</v>
      </c>
      <c r="G55" t="s">
        <v>76</v>
      </c>
      <c r="H55" t="s">
        <v>83</v>
      </c>
      <c r="I55" cm="1">
        <f t="array" ref="I55">IF(E55="2DSB", IF(H55="R1", 67, 46), IF(E55="1DSB", IF(H55="R1", 67, 46), IF(E55="2DSBanti", IF(H55="R1", 50, 47), NA))) + IF(table_1[[#This Row],[control]]="30bpDown", 30, 0)</f>
        <v>67</v>
      </c>
      <c r="J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</v>
      </c>
      <c r="L55" t="str">
        <f>_xlfn.CONCAT(table_1[[#This Row],[dsb_type]],"_", table_1[[#This Row],[strand]],"_", table_1[[#This Row],[treatment]], ".fa")</f>
        <v>1DSB_R1_branch.fa</v>
      </c>
      <c r="M55">
        <f>VLOOKUP(INT(MID(table_1[[#This Row],[library]], 4, 10)), table_1_2[#All], IF(table_1[[#This Row],[strand]]="R1", 3, 4))</f>
        <v>9297647</v>
      </c>
      <c r="N55">
        <f>IF(LEFT(table_1[[#This Row],[dsb_type]], 1) = "2", 50, 130)</f>
        <v>130</v>
      </c>
      <c r="O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5" x14ac:dyDescent="0.25">
      <c r="A56" s="3">
        <v>55</v>
      </c>
      <c r="B56" t="s">
        <v>32</v>
      </c>
      <c r="C56" t="s">
        <v>1</v>
      </c>
      <c r="D56" t="s">
        <v>140</v>
      </c>
      <c r="E56" t="s">
        <v>124</v>
      </c>
      <c r="F56" t="s">
        <v>78</v>
      </c>
      <c r="G56" t="s">
        <v>76</v>
      </c>
      <c r="H56" t="s">
        <v>83</v>
      </c>
      <c r="I56" cm="1">
        <f t="array" ref="I56">IF(E56="2DSB", IF(H56="R1", 67, 46), IF(E56="1DSB", IF(H56="R1", 67, 46), IF(E56="2DSBanti", IF(H56="R1", 50, 47), NA))) + IF(table_1[[#This Row],[control]]="30bpDown", 30, 0)</f>
        <v>67</v>
      </c>
      <c r="J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</v>
      </c>
      <c r="L56" t="str">
        <f>_xlfn.CONCAT(table_1[[#This Row],[dsb_type]],"_", table_1[[#This Row],[strand]],"_", table_1[[#This Row],[treatment]], ".fa")</f>
        <v>1DSB_R1_branch.fa</v>
      </c>
      <c r="M56">
        <f>VLOOKUP(INT(MID(table_1[[#This Row],[library]], 4, 10)), table_1_2[#All], IF(table_1[[#This Row],[strand]]="R1", 3, 4))</f>
        <v>9399483</v>
      </c>
      <c r="N56">
        <f>IF(LEFT(table_1[[#This Row],[dsb_type]], 1) = "2", 50, 130)</f>
        <v>130</v>
      </c>
      <c r="O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5" x14ac:dyDescent="0.25">
      <c r="A57" s="3">
        <v>56</v>
      </c>
      <c r="B57" t="s">
        <v>33</v>
      </c>
      <c r="C57" t="s">
        <v>1</v>
      </c>
      <c r="D57" t="s">
        <v>140</v>
      </c>
      <c r="E57" t="s">
        <v>124</v>
      </c>
      <c r="F57" t="s">
        <v>78</v>
      </c>
      <c r="G57" t="s">
        <v>76</v>
      </c>
      <c r="H57" t="s">
        <v>83</v>
      </c>
      <c r="I57" cm="1">
        <f t="array" ref="I57">IF(E57="2DSB", IF(H57="R1", 67, 46), IF(E57="1DSB", IF(H57="R1", 67, 46), IF(E57="2DSBanti", IF(H57="R1", 50, 47), NA))) + IF(table_1[[#This Row],[control]]="30bpDown", 30, 0)</f>
        <v>67</v>
      </c>
      <c r="J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</v>
      </c>
      <c r="L57" t="str">
        <f>_xlfn.CONCAT(table_1[[#This Row],[dsb_type]],"_", table_1[[#This Row],[strand]],"_", table_1[[#This Row],[treatment]], ".fa")</f>
        <v>1DSB_R1_branch.fa</v>
      </c>
      <c r="M57">
        <f>VLOOKUP(INT(MID(table_1[[#This Row],[library]], 4, 10)), table_1_2[#All], IF(table_1[[#This Row],[strand]]="R1", 3, 4))</f>
        <v>8799841</v>
      </c>
      <c r="N57">
        <f>IF(LEFT(table_1[[#This Row],[dsb_type]], 1) = "2", 50, 130)</f>
        <v>130</v>
      </c>
      <c r="O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5" x14ac:dyDescent="0.25">
      <c r="A58" s="3">
        <v>57</v>
      </c>
      <c r="B58" t="s">
        <v>34</v>
      </c>
      <c r="C58" t="s">
        <v>1</v>
      </c>
      <c r="D58" t="s">
        <v>140</v>
      </c>
      <c r="E58" t="s">
        <v>124</v>
      </c>
      <c r="F58" t="s">
        <v>78</v>
      </c>
      <c r="G58" t="s">
        <v>77</v>
      </c>
      <c r="H58" t="s">
        <v>83</v>
      </c>
      <c r="I58" cm="1">
        <f t="array" ref="I58">IF(E58="2DSB", IF(H58="R1", 67, 46), IF(E58="1DSB", IF(H58="R1", 67, 46), IF(E58="2DSBanti", IF(H58="R1", 50, 47), NA))) + IF(table_1[[#This Row],[control]]="30bpDown", 30, 0)</f>
        <v>67</v>
      </c>
      <c r="J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</v>
      </c>
      <c r="L58" t="str">
        <f>_xlfn.CONCAT(table_1[[#This Row],[dsb_type]],"_", table_1[[#This Row],[strand]],"_", table_1[[#This Row],[treatment]], ".fa")</f>
        <v>1DSB_R1_cmv.fa</v>
      </c>
      <c r="M58">
        <f>VLOOKUP(INT(MID(table_1[[#This Row],[library]], 4, 10)), table_1_2[#All], IF(table_1[[#This Row],[strand]]="R1", 3, 4))</f>
        <v>8171224</v>
      </c>
      <c r="N58">
        <f>IF(LEFT(table_1[[#This Row],[dsb_type]], 1) = "2", 50, 130)</f>
        <v>130</v>
      </c>
      <c r="O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libraries_2/yjl263_WT_sgA_R1_cmv.tsv --min_length 130 -dsb 67 --quiet</v>
      </c>
    </row>
    <row r="59" spans="1:15" x14ac:dyDescent="0.25">
      <c r="A59" s="3">
        <v>58</v>
      </c>
      <c r="B59" t="s">
        <v>35</v>
      </c>
      <c r="C59" t="s">
        <v>1</v>
      </c>
      <c r="D59" t="s">
        <v>140</v>
      </c>
      <c r="E59" t="s">
        <v>124</v>
      </c>
      <c r="F59" t="s">
        <v>78</v>
      </c>
      <c r="G59" t="s">
        <v>77</v>
      </c>
      <c r="H59" t="s">
        <v>83</v>
      </c>
      <c r="I59" cm="1">
        <f t="array" ref="I59">IF(E59="2DSB", IF(H59="R1", 67, 46), IF(E59="1DSB", IF(H59="R1", 67, 46), IF(E59="2DSBanti", IF(H59="R1", 50, 47), NA))) + IF(table_1[[#This Row],[control]]="30bpDown", 30, 0)</f>
        <v>67</v>
      </c>
      <c r="J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</v>
      </c>
      <c r="L59" t="str">
        <f>_xlfn.CONCAT(table_1[[#This Row],[dsb_type]],"_", table_1[[#This Row],[strand]],"_", table_1[[#This Row],[treatment]], ".fa")</f>
        <v>1DSB_R1_cmv.fa</v>
      </c>
      <c r="M59">
        <f>VLOOKUP(INT(MID(table_1[[#This Row],[library]], 4, 10)), table_1_2[#All], IF(table_1[[#This Row],[strand]]="R1", 3, 4))</f>
        <v>8180897</v>
      </c>
      <c r="N59">
        <f>IF(LEFT(table_1[[#This Row],[dsb_type]], 1) = "2", 50, 130)</f>
        <v>130</v>
      </c>
      <c r="O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libraries_2/yjl264_WT_sgA_R1_cmv.tsv --min_length 130 -dsb 67 --quiet</v>
      </c>
    </row>
    <row r="60" spans="1:15" x14ac:dyDescent="0.25">
      <c r="A60" s="3">
        <v>59</v>
      </c>
      <c r="B60" t="s">
        <v>36</v>
      </c>
      <c r="C60" t="s">
        <v>1</v>
      </c>
      <c r="D60" t="s">
        <v>140</v>
      </c>
      <c r="E60" t="s">
        <v>124</v>
      </c>
      <c r="F60" t="s">
        <v>78</v>
      </c>
      <c r="G60" t="s">
        <v>77</v>
      </c>
      <c r="H60" t="s">
        <v>83</v>
      </c>
      <c r="I60" cm="1">
        <f t="array" ref="I60">IF(E60="2DSB", IF(H60="R1", 67, 46), IF(E60="1DSB", IF(H60="R1", 67, 46), IF(E60="2DSBanti", IF(H60="R1", 50, 47), NA))) + IF(table_1[[#This Row],[control]]="30bpDown", 30, 0)</f>
        <v>67</v>
      </c>
      <c r="J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</v>
      </c>
      <c r="L60" t="str">
        <f>_xlfn.CONCAT(table_1[[#This Row],[dsb_type]],"_", table_1[[#This Row],[strand]],"_", table_1[[#This Row],[treatment]], ".fa")</f>
        <v>1DSB_R1_cmv.fa</v>
      </c>
      <c r="M60">
        <f>VLOOKUP(INT(MID(table_1[[#This Row],[library]], 4, 10)), table_1_2[#All], IF(table_1[[#This Row],[strand]]="R1", 3, 4))</f>
        <v>8314116</v>
      </c>
      <c r="N60">
        <f>IF(LEFT(table_1[[#This Row],[dsb_type]], 1) = "2", 50, 130)</f>
        <v>130</v>
      </c>
      <c r="O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libraries_2/yjl265_WT_sgA_R1_cmv.tsv --min_length 130 -dsb 67 --quiet</v>
      </c>
    </row>
    <row r="61" spans="1:15" x14ac:dyDescent="0.25">
      <c r="A61" s="3">
        <v>60</v>
      </c>
      <c r="B61" t="s">
        <v>37</v>
      </c>
      <c r="C61" t="s">
        <v>1</v>
      </c>
      <c r="D61" t="s">
        <v>140</v>
      </c>
      <c r="E61" t="s">
        <v>124</v>
      </c>
      <c r="F61" t="s">
        <v>78</v>
      </c>
      <c r="G61" t="s">
        <v>77</v>
      </c>
      <c r="H61" t="s">
        <v>83</v>
      </c>
      <c r="I61" cm="1">
        <f t="array" ref="I61">IF(E61="2DSB", IF(H61="R1", 67, 46), IF(E61="1DSB", IF(H61="R1", 67, 46), IF(E61="2DSBanti", IF(H61="R1", 50, 47), NA))) + IF(table_1[[#This Row],[control]]="30bpDown", 30, 0)</f>
        <v>67</v>
      </c>
      <c r="J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</v>
      </c>
      <c r="L61" t="str">
        <f>_xlfn.CONCAT(table_1[[#This Row],[dsb_type]],"_", table_1[[#This Row],[strand]],"_", table_1[[#This Row],[treatment]], ".fa")</f>
        <v>1DSB_R1_cmv.fa</v>
      </c>
      <c r="M61">
        <f>VLOOKUP(INT(MID(table_1[[#This Row],[library]], 4, 10)), table_1_2[#All], IF(table_1[[#This Row],[strand]]="R1", 3, 4))</f>
        <v>8096639</v>
      </c>
      <c r="N61">
        <f>IF(LEFT(table_1[[#This Row],[dsb_type]], 1) = "2", 50, 130)</f>
        <v>130</v>
      </c>
      <c r="O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libraries_2/yjl266_WT_sgA_R1_cmv.tsv --min_length 130 -dsb 67 --quiet</v>
      </c>
    </row>
    <row r="62" spans="1:15" x14ac:dyDescent="0.25">
      <c r="A62" s="3">
        <v>61</v>
      </c>
      <c r="B62" t="s">
        <v>50</v>
      </c>
      <c r="C62" t="s">
        <v>14</v>
      </c>
      <c r="D62" t="s">
        <v>140</v>
      </c>
      <c r="E62" t="s">
        <v>124</v>
      </c>
      <c r="F62" t="s">
        <v>78</v>
      </c>
      <c r="G62" t="s">
        <v>75</v>
      </c>
      <c r="H62" t="s">
        <v>83</v>
      </c>
      <c r="I62" cm="1">
        <f t="array" ref="I62">IF(E62="2DSB", IF(H62="R1", 67, 46), IF(E62="1DSB", IF(H62="R1", 67, 46), IF(E62="2DSBanti", IF(H62="R1", 50, 47), NA))) + IF(table_1[[#This Row],[control]]="30bpDown", 30, 0)</f>
        <v>67</v>
      </c>
      <c r="J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</v>
      </c>
      <c r="L62" t="str">
        <f>_xlfn.CONCAT(table_1[[#This Row],[dsb_type]],"_", table_1[[#This Row],[strand]],"_", table_1[[#This Row],[treatment]], ".fa")</f>
        <v>1DSB_R1_sense.fa</v>
      </c>
      <c r="M62">
        <f>VLOOKUP(INT(MID(table_1[[#This Row],[library]], 4, 10)), table_1_2[#All], IF(table_1[[#This Row],[strand]]="R1", 3, 4))</f>
        <v>8597510</v>
      </c>
      <c r="N62">
        <f>IF(LEFT(table_1[[#This Row],[dsb_type]], 1) = "2", 50, 130)</f>
        <v>130</v>
      </c>
      <c r="O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libraries_2/yjl292_KO_sgA_R1_sense.tsv --min_length 130 -dsb 67 --quiet</v>
      </c>
    </row>
    <row r="63" spans="1:15" x14ac:dyDescent="0.25">
      <c r="A63" s="3">
        <v>62</v>
      </c>
      <c r="B63" t="s">
        <v>51</v>
      </c>
      <c r="C63" t="s">
        <v>14</v>
      </c>
      <c r="D63" t="s">
        <v>140</v>
      </c>
      <c r="E63" t="s">
        <v>124</v>
      </c>
      <c r="F63" t="s">
        <v>78</v>
      </c>
      <c r="G63" t="s">
        <v>75</v>
      </c>
      <c r="H63" t="s">
        <v>83</v>
      </c>
      <c r="I63" cm="1">
        <f t="array" ref="I63">IF(E63="2DSB", IF(H63="R1", 67, 46), IF(E63="1DSB", IF(H63="R1", 67, 46), IF(E63="2DSBanti", IF(H63="R1", 50, 47), NA))) + IF(table_1[[#This Row],[control]]="30bpDown", 30, 0)</f>
        <v>67</v>
      </c>
      <c r="J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</v>
      </c>
      <c r="L63" t="str">
        <f>_xlfn.CONCAT(table_1[[#This Row],[dsb_type]],"_", table_1[[#This Row],[strand]],"_", table_1[[#This Row],[treatment]], ".fa")</f>
        <v>1DSB_R1_sense.fa</v>
      </c>
      <c r="M63">
        <f>VLOOKUP(INT(MID(table_1[[#This Row],[library]], 4, 10)), table_1_2[#All], IF(table_1[[#This Row],[strand]]="R1", 3, 4))</f>
        <v>10116623</v>
      </c>
      <c r="N63">
        <f>IF(LEFT(table_1[[#This Row],[dsb_type]], 1) = "2", 50, 130)</f>
        <v>130</v>
      </c>
      <c r="O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libraries_2/yjl293_KO_sgA_R1_sense.tsv --min_length 130 -dsb 67 --quiet</v>
      </c>
    </row>
    <row r="64" spans="1:15" x14ac:dyDescent="0.25">
      <c r="A64" s="3">
        <v>63</v>
      </c>
      <c r="B64" t="s">
        <v>52</v>
      </c>
      <c r="C64" t="s">
        <v>14</v>
      </c>
      <c r="D64" t="s">
        <v>140</v>
      </c>
      <c r="E64" t="s">
        <v>124</v>
      </c>
      <c r="F64" t="s">
        <v>78</v>
      </c>
      <c r="G64" t="s">
        <v>75</v>
      </c>
      <c r="H64" t="s">
        <v>83</v>
      </c>
      <c r="I64" cm="1">
        <f t="array" ref="I64">IF(E64="2DSB", IF(H64="R1", 67, 46), IF(E64="1DSB", IF(H64="R1", 67, 46), IF(E64="2DSBanti", IF(H64="R1", 50, 47), NA))) + IF(table_1[[#This Row],[control]]="30bpDown", 30, 0)</f>
        <v>67</v>
      </c>
      <c r="J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</v>
      </c>
      <c r="L64" t="str">
        <f>_xlfn.CONCAT(table_1[[#This Row],[dsb_type]],"_", table_1[[#This Row],[strand]],"_", table_1[[#This Row],[treatment]], ".fa")</f>
        <v>1DSB_R1_sense.fa</v>
      </c>
      <c r="M64">
        <f>VLOOKUP(INT(MID(table_1[[#This Row],[library]], 4, 10)), table_1_2[#All], IF(table_1[[#This Row],[strand]]="R1", 3, 4))</f>
        <v>8703707</v>
      </c>
      <c r="N64">
        <f>IF(LEFT(table_1[[#This Row],[dsb_type]], 1) = "2", 50, 130)</f>
        <v>130</v>
      </c>
      <c r="O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libraries_2/yjl294_KO_sgA_R1_sense.tsv --min_length 130 -dsb 67 --quiet</v>
      </c>
    </row>
    <row r="65" spans="1:15" x14ac:dyDescent="0.25">
      <c r="A65" s="3">
        <v>64</v>
      </c>
      <c r="B65" t="s">
        <v>53</v>
      </c>
      <c r="C65" t="s">
        <v>14</v>
      </c>
      <c r="D65" t="s">
        <v>140</v>
      </c>
      <c r="E65" t="s">
        <v>124</v>
      </c>
      <c r="F65" t="s">
        <v>78</v>
      </c>
      <c r="G65" t="s">
        <v>75</v>
      </c>
      <c r="H65" t="s">
        <v>83</v>
      </c>
      <c r="I65" cm="1">
        <f t="array" ref="I65">IF(E65="2DSB", IF(H65="R1", 67, 46), IF(E65="1DSB", IF(H65="R1", 67, 46), IF(E65="2DSBanti", IF(H65="R1", 50, 47), NA))) + IF(table_1[[#This Row],[control]]="30bpDown", 30, 0)</f>
        <v>67</v>
      </c>
      <c r="J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</v>
      </c>
      <c r="L65" t="str">
        <f>_xlfn.CONCAT(table_1[[#This Row],[dsb_type]],"_", table_1[[#This Row],[strand]],"_", table_1[[#This Row],[treatment]], ".fa")</f>
        <v>1DSB_R1_sense.fa</v>
      </c>
      <c r="M65">
        <f>VLOOKUP(INT(MID(table_1[[#This Row],[library]], 4, 10)), table_1_2[#All], IF(table_1[[#This Row],[strand]]="R1", 3, 4))</f>
        <v>9021103</v>
      </c>
      <c r="N65">
        <f>IF(LEFT(table_1[[#This Row],[dsb_type]], 1) = "2", 50, 130)</f>
        <v>130</v>
      </c>
      <c r="O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libraries_2/yjl295_KO_sgA_R1_sense.tsv --min_length 130 -dsb 67 --quiet</v>
      </c>
    </row>
    <row r="66" spans="1:15" x14ac:dyDescent="0.25">
      <c r="A66" s="3">
        <v>65</v>
      </c>
      <c r="B66" t="s">
        <v>54</v>
      </c>
      <c r="C66" t="s">
        <v>14</v>
      </c>
      <c r="D66" t="s">
        <v>140</v>
      </c>
      <c r="E66" t="s">
        <v>124</v>
      </c>
      <c r="F66" t="s">
        <v>78</v>
      </c>
      <c r="G66" t="s">
        <v>76</v>
      </c>
      <c r="H66" t="s">
        <v>83</v>
      </c>
      <c r="I66" cm="1">
        <f t="array" ref="I66">IF(E66="2DSB", IF(H66="R1", 67, 46), IF(E66="1DSB", IF(H66="R1", 67, 46), IF(E66="2DSBanti", IF(H66="R1", 50, 47), NA))) + IF(table_1[[#This Row],[control]]="30bpDown", 30, 0)</f>
        <v>67</v>
      </c>
      <c r="J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</v>
      </c>
      <c r="L66" t="str">
        <f>_xlfn.CONCAT(table_1[[#This Row],[dsb_type]],"_", table_1[[#This Row],[strand]],"_", table_1[[#This Row],[treatment]], ".fa")</f>
        <v>1DSB_R1_branch.fa</v>
      </c>
      <c r="M66">
        <f>VLOOKUP(INT(MID(table_1[[#This Row],[library]], 4, 10)), table_1_2[#All], IF(table_1[[#This Row],[strand]]="R1", 3, 4))</f>
        <v>11021111</v>
      </c>
      <c r="N66">
        <f>IF(LEFT(table_1[[#This Row],[dsb_type]], 1) = "2", 50, 130)</f>
        <v>130</v>
      </c>
      <c r="O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libraries_2/yjl296_KO_sgA_R1_branch.tsv --min_length 130 -dsb 67 --quiet</v>
      </c>
    </row>
    <row r="67" spans="1:15" x14ac:dyDescent="0.25">
      <c r="A67" s="3">
        <v>66</v>
      </c>
      <c r="B67" t="s">
        <v>55</v>
      </c>
      <c r="C67" t="s">
        <v>14</v>
      </c>
      <c r="D67" t="s">
        <v>140</v>
      </c>
      <c r="E67" t="s">
        <v>124</v>
      </c>
      <c r="F67" t="s">
        <v>78</v>
      </c>
      <c r="G67" t="s">
        <v>76</v>
      </c>
      <c r="H67" t="s">
        <v>83</v>
      </c>
      <c r="I67" cm="1">
        <f t="array" ref="I67">IF(E67="2DSB", IF(H67="R1", 67, 46), IF(E67="1DSB", IF(H67="R1", 67, 46), IF(E67="2DSBanti", IF(H67="R1", 50, 47), NA))) + IF(table_1[[#This Row],[control]]="30bpDown", 30, 0)</f>
        <v>67</v>
      </c>
      <c r="J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</v>
      </c>
      <c r="L67" t="str">
        <f>_xlfn.CONCAT(table_1[[#This Row],[dsb_type]],"_", table_1[[#This Row],[strand]],"_", table_1[[#This Row],[treatment]], ".fa")</f>
        <v>1DSB_R1_branch.fa</v>
      </c>
      <c r="M67">
        <f>VLOOKUP(INT(MID(table_1[[#This Row],[library]], 4, 10)), table_1_2[#All], IF(table_1[[#This Row],[strand]]="R1", 3, 4))</f>
        <v>11280773</v>
      </c>
      <c r="N67">
        <f>IF(LEFT(table_1[[#This Row],[dsb_type]], 1) = "2", 50, 130)</f>
        <v>130</v>
      </c>
      <c r="O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libraries_2/yjl297_KO_sgA_R1_branch.tsv --min_length 130 -dsb 67 --quiet</v>
      </c>
    </row>
    <row r="68" spans="1:15" x14ac:dyDescent="0.25">
      <c r="A68" s="3">
        <v>67</v>
      </c>
      <c r="B68" t="s">
        <v>56</v>
      </c>
      <c r="C68" t="s">
        <v>14</v>
      </c>
      <c r="D68" t="s">
        <v>140</v>
      </c>
      <c r="E68" t="s">
        <v>124</v>
      </c>
      <c r="F68" t="s">
        <v>78</v>
      </c>
      <c r="G68" t="s">
        <v>76</v>
      </c>
      <c r="H68" t="s">
        <v>83</v>
      </c>
      <c r="I68" cm="1">
        <f t="array" ref="I68">IF(E68="2DSB", IF(H68="R1", 67, 46), IF(E68="1DSB", IF(H68="R1", 67, 46), IF(E68="2DSBanti", IF(H68="R1", 50, 47), NA))) + IF(table_1[[#This Row],[control]]="30bpDown", 30, 0)</f>
        <v>67</v>
      </c>
      <c r="J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</v>
      </c>
      <c r="L68" t="str">
        <f>_xlfn.CONCAT(table_1[[#This Row],[dsb_type]],"_", table_1[[#This Row],[strand]],"_", table_1[[#This Row],[treatment]], ".fa")</f>
        <v>1DSB_R1_branch.fa</v>
      </c>
      <c r="M68">
        <f>VLOOKUP(INT(MID(table_1[[#This Row],[library]], 4, 10)), table_1_2[#All], IF(table_1[[#This Row],[strand]]="R1", 3, 4))</f>
        <v>12426852</v>
      </c>
      <c r="N68">
        <f>IF(LEFT(table_1[[#This Row],[dsb_type]], 1) = "2", 50, 130)</f>
        <v>130</v>
      </c>
      <c r="O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libraries_2/yjl298_KO_sgA_R1_branch.tsv --min_length 130 -dsb 67 --quiet</v>
      </c>
    </row>
    <row r="69" spans="1:15" x14ac:dyDescent="0.25">
      <c r="A69" s="3">
        <v>68</v>
      </c>
      <c r="B69" t="s">
        <v>57</v>
      </c>
      <c r="C69" t="s">
        <v>14</v>
      </c>
      <c r="D69" t="s">
        <v>140</v>
      </c>
      <c r="E69" t="s">
        <v>124</v>
      </c>
      <c r="F69" t="s">
        <v>78</v>
      </c>
      <c r="G69" t="s">
        <v>76</v>
      </c>
      <c r="H69" t="s">
        <v>83</v>
      </c>
      <c r="I69" cm="1">
        <f t="array" ref="I69">IF(E69="2DSB", IF(H69="R1", 67, 46), IF(E69="1DSB", IF(H69="R1", 67, 46), IF(E69="2DSBanti", IF(H69="R1", 50, 47), NA))) + IF(table_1[[#This Row],[control]]="30bpDown", 30, 0)</f>
        <v>67</v>
      </c>
      <c r="J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</v>
      </c>
      <c r="L69" t="str">
        <f>_xlfn.CONCAT(table_1[[#This Row],[dsb_type]],"_", table_1[[#This Row],[strand]],"_", table_1[[#This Row],[treatment]], ".fa")</f>
        <v>1DSB_R1_branch.fa</v>
      </c>
      <c r="M69">
        <f>VLOOKUP(INT(MID(table_1[[#This Row],[library]], 4, 10)), table_1_2[#All], IF(table_1[[#This Row],[strand]]="R1", 3, 4))</f>
        <v>11659042</v>
      </c>
      <c r="N69">
        <f>IF(LEFT(table_1[[#This Row],[dsb_type]], 1) = "2", 50, 130)</f>
        <v>130</v>
      </c>
      <c r="O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libraries_2/yjl299_KO_sgA_R1_branch.tsv --min_length 130 -dsb 67 --quiet</v>
      </c>
    </row>
    <row r="70" spans="1:15" x14ac:dyDescent="0.25">
      <c r="A70" s="3">
        <v>69</v>
      </c>
      <c r="B70" t="s">
        <v>58</v>
      </c>
      <c r="C70" t="s">
        <v>14</v>
      </c>
      <c r="D70" t="s">
        <v>140</v>
      </c>
      <c r="E70" t="s">
        <v>124</v>
      </c>
      <c r="F70" t="s">
        <v>78</v>
      </c>
      <c r="G70" t="s">
        <v>77</v>
      </c>
      <c r="H70" t="s">
        <v>83</v>
      </c>
      <c r="I70" cm="1">
        <f t="array" ref="I70">IF(E70="2DSB", IF(H70="R1", 67, 46), IF(E70="1DSB", IF(H70="R1", 67, 46), IF(E70="2DSBanti", IF(H70="R1", 50, 47), NA))) + IF(table_1[[#This Row],[control]]="30bpDown", 30, 0)</f>
        <v>67</v>
      </c>
      <c r="J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</v>
      </c>
      <c r="L70" t="str">
        <f>_xlfn.CONCAT(table_1[[#This Row],[dsb_type]],"_", table_1[[#This Row],[strand]],"_", table_1[[#This Row],[treatment]], ".fa")</f>
        <v>1DSB_R1_cmv.fa</v>
      </c>
      <c r="M70">
        <f>VLOOKUP(INT(MID(table_1[[#This Row],[library]], 4, 10)), table_1_2[#All], IF(table_1[[#This Row],[strand]]="R1", 3, 4))</f>
        <v>9933546</v>
      </c>
      <c r="N70">
        <f>IF(LEFT(table_1[[#This Row],[dsb_type]], 1) = "2", 50, 130)</f>
        <v>130</v>
      </c>
      <c r="O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libraries_2/yjl300_KO_sgA_R1_cmv.tsv --min_length 130 -dsb 67 --quiet</v>
      </c>
    </row>
    <row r="71" spans="1:15" x14ac:dyDescent="0.25">
      <c r="A71" s="3">
        <v>70</v>
      </c>
      <c r="B71" t="s">
        <v>59</v>
      </c>
      <c r="C71" t="s">
        <v>14</v>
      </c>
      <c r="D71" t="s">
        <v>140</v>
      </c>
      <c r="E71" t="s">
        <v>124</v>
      </c>
      <c r="F71" t="s">
        <v>78</v>
      </c>
      <c r="G71" t="s">
        <v>77</v>
      </c>
      <c r="H71" t="s">
        <v>83</v>
      </c>
      <c r="I71" cm="1">
        <f t="array" ref="I71">IF(E71="2DSB", IF(H71="R1", 67, 46), IF(E71="1DSB", IF(H71="R1", 67, 46), IF(E71="2DSBanti", IF(H71="R1", 50, 47), NA))) + IF(table_1[[#This Row],[control]]="30bpDown", 30, 0)</f>
        <v>67</v>
      </c>
      <c r="J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</v>
      </c>
      <c r="L71" t="str">
        <f>_xlfn.CONCAT(table_1[[#This Row],[dsb_type]],"_", table_1[[#This Row],[strand]],"_", table_1[[#This Row],[treatment]], ".fa")</f>
        <v>1DSB_R1_cmv.fa</v>
      </c>
      <c r="M71">
        <f>VLOOKUP(INT(MID(table_1[[#This Row],[library]], 4, 10)), table_1_2[#All], IF(table_1[[#This Row],[strand]]="R1", 3, 4))</f>
        <v>10351309</v>
      </c>
      <c r="N71">
        <f>IF(LEFT(table_1[[#This Row],[dsb_type]], 1) = "2", 50, 130)</f>
        <v>130</v>
      </c>
      <c r="O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libraries_2/yjl301_KO_sgA_R1_cmv.tsv --min_length 130 -dsb 67 --quiet</v>
      </c>
    </row>
    <row r="72" spans="1:15" x14ac:dyDescent="0.25">
      <c r="A72" s="3">
        <v>71</v>
      </c>
      <c r="B72" t="s">
        <v>60</v>
      </c>
      <c r="C72" t="s">
        <v>14</v>
      </c>
      <c r="D72" t="s">
        <v>140</v>
      </c>
      <c r="E72" t="s">
        <v>124</v>
      </c>
      <c r="F72" t="s">
        <v>78</v>
      </c>
      <c r="G72" t="s">
        <v>77</v>
      </c>
      <c r="H72" t="s">
        <v>83</v>
      </c>
      <c r="I72" cm="1">
        <f t="array" ref="I72">IF(E72="2DSB", IF(H72="R1", 67, 46), IF(E72="1DSB", IF(H72="R1", 67, 46), IF(E72="2DSBanti", IF(H72="R1", 50, 47), NA))) + IF(table_1[[#This Row],[control]]="30bpDown", 30, 0)</f>
        <v>67</v>
      </c>
      <c r="J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</v>
      </c>
      <c r="L72" t="str">
        <f>_xlfn.CONCAT(table_1[[#This Row],[dsb_type]],"_", table_1[[#This Row],[strand]],"_", table_1[[#This Row],[treatment]], ".fa")</f>
        <v>1DSB_R1_cmv.fa</v>
      </c>
      <c r="M72">
        <f>VLOOKUP(INT(MID(table_1[[#This Row],[library]], 4, 10)), table_1_2[#All], IF(table_1[[#This Row],[strand]]="R1", 3, 4))</f>
        <v>9388188</v>
      </c>
      <c r="N72">
        <f>IF(LEFT(table_1[[#This Row],[dsb_type]], 1) = "2", 50, 130)</f>
        <v>130</v>
      </c>
      <c r="O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libraries_2/yjl302_KO_sgA_R1_cmv.tsv --min_length 130 -dsb 67 --quiet</v>
      </c>
    </row>
    <row r="73" spans="1:15" x14ac:dyDescent="0.25">
      <c r="A73" s="3">
        <v>72</v>
      </c>
      <c r="B73" t="s">
        <v>61</v>
      </c>
      <c r="C73" t="s">
        <v>14</v>
      </c>
      <c r="D73" t="s">
        <v>140</v>
      </c>
      <c r="E73" t="s">
        <v>124</v>
      </c>
      <c r="F73" t="s">
        <v>78</v>
      </c>
      <c r="G73" t="s">
        <v>77</v>
      </c>
      <c r="H73" t="s">
        <v>83</v>
      </c>
      <c r="I73" cm="1">
        <f t="array" ref="I73">IF(E73="2DSB", IF(H73="R1", 67, 46), IF(E73="1DSB", IF(H73="R1", 67, 46), IF(E73="2DSBanti", IF(H73="R1", 50, 47), NA))) + IF(table_1[[#This Row],[control]]="30bpDown", 30, 0)</f>
        <v>67</v>
      </c>
      <c r="J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</v>
      </c>
      <c r="L73" t="str">
        <f>_xlfn.CONCAT(table_1[[#This Row],[dsb_type]],"_", table_1[[#This Row],[strand]],"_", table_1[[#This Row],[treatment]], ".fa")</f>
        <v>1DSB_R1_cmv.fa</v>
      </c>
      <c r="M73">
        <f>VLOOKUP(INT(MID(table_1[[#This Row],[library]], 4, 10)), table_1_2[#All], IF(table_1[[#This Row],[strand]]="R1", 3, 4))</f>
        <v>8668198</v>
      </c>
      <c r="N73">
        <f>IF(LEFT(table_1[[#This Row],[dsb_type]], 1) = "2", 50, 130)</f>
        <v>130</v>
      </c>
      <c r="O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libraries_2/yjl303_KO_sgA_R1_cmv.tsv --min_length 130 -dsb 67 --quiet</v>
      </c>
    </row>
    <row r="74" spans="1:15" x14ac:dyDescent="0.25">
      <c r="A74" s="3">
        <v>73</v>
      </c>
      <c r="B74" t="s">
        <v>38</v>
      </c>
      <c r="C74" t="s">
        <v>1</v>
      </c>
      <c r="D74" t="s">
        <v>140</v>
      </c>
      <c r="E74" t="s">
        <v>124</v>
      </c>
      <c r="F74" t="s">
        <v>79</v>
      </c>
      <c r="G74" t="s">
        <v>75</v>
      </c>
      <c r="H74" t="s">
        <v>84</v>
      </c>
      <c r="I74" cm="1">
        <f t="array" ref="I74">IF(E74="2DSB", IF(H74="R1", 67, 46), IF(E74="1DSB", IF(H74="R1", 67, 46), IF(E74="2DSBanti", IF(H74="R1", 50, 47), NA))) + IF(table_1[[#This Row],[control]]="30bpDown", 30, 0)</f>
        <v>46</v>
      </c>
      <c r="J7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7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</v>
      </c>
      <c r="L74" t="str">
        <f>_xlfn.CONCAT(table_1[[#This Row],[dsb_type]],"_", table_1[[#This Row],[strand]],"_", table_1[[#This Row],[treatment]], ".fa")</f>
        <v>1DSB_R2_sense.fa</v>
      </c>
      <c r="M74">
        <f>VLOOKUP(INT(MID(table_1[[#This Row],[library]], 4, 10)), table_1_2[#All], IF(table_1[[#This Row],[strand]]="R1", 3, 4))</f>
        <v>7137355</v>
      </c>
      <c r="N74">
        <f>IF(LEFT(table_1[[#This Row],[dsb_type]], 1) = "2", 50, 130)</f>
        <v>130</v>
      </c>
      <c r="O7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libraries_2/yjl267_WT_sgB_R2_sense.tsv --min_length 130 -dsb 46 --quiet</v>
      </c>
    </row>
    <row r="75" spans="1:15" x14ac:dyDescent="0.25">
      <c r="A75" s="3">
        <v>74</v>
      </c>
      <c r="B75" t="s">
        <v>39</v>
      </c>
      <c r="C75" t="s">
        <v>1</v>
      </c>
      <c r="D75" t="s">
        <v>140</v>
      </c>
      <c r="E75" t="s">
        <v>124</v>
      </c>
      <c r="F75" t="s">
        <v>79</v>
      </c>
      <c r="G75" t="s">
        <v>75</v>
      </c>
      <c r="H75" t="s">
        <v>84</v>
      </c>
      <c r="I75" cm="1">
        <f t="array" ref="I75">IF(E75="2DSB", IF(H75="R1", 67, 46), IF(E75="1DSB", IF(H75="R1", 67, 46), IF(E75="2DSBanti", IF(H75="R1", 50, 47), NA))) + IF(table_1[[#This Row],[control]]="30bpDown", 30, 0)</f>
        <v>46</v>
      </c>
      <c r="J7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7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</v>
      </c>
      <c r="L75" t="str">
        <f>_xlfn.CONCAT(table_1[[#This Row],[dsb_type]],"_", table_1[[#This Row],[strand]],"_", table_1[[#This Row],[treatment]], ".fa")</f>
        <v>1DSB_R2_sense.fa</v>
      </c>
      <c r="M75">
        <f>VLOOKUP(INT(MID(table_1[[#This Row],[library]], 4, 10)), table_1_2[#All], IF(table_1[[#This Row],[strand]]="R1", 3, 4))</f>
        <v>6618133</v>
      </c>
      <c r="N75">
        <f>IF(LEFT(table_1[[#This Row],[dsb_type]], 1) = "2", 50, 130)</f>
        <v>130</v>
      </c>
      <c r="O7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libraries_2/yjl268_WT_sgB_R2_sense.tsv --min_length 130 -dsb 46 --quiet</v>
      </c>
    </row>
    <row r="76" spans="1:15" x14ac:dyDescent="0.25">
      <c r="A76" s="3">
        <v>75</v>
      </c>
      <c r="B76" t="s">
        <v>40</v>
      </c>
      <c r="C76" t="s">
        <v>1</v>
      </c>
      <c r="D76" t="s">
        <v>140</v>
      </c>
      <c r="E76" t="s">
        <v>124</v>
      </c>
      <c r="F76" t="s">
        <v>79</v>
      </c>
      <c r="G76" t="s">
        <v>75</v>
      </c>
      <c r="H76" t="s">
        <v>84</v>
      </c>
      <c r="I76" cm="1">
        <f t="array" ref="I76">IF(E76="2DSB", IF(H76="R1", 67, 46), IF(E76="1DSB", IF(H76="R1", 67, 46), IF(E76="2DSBanti", IF(H76="R1", 50, 47), NA))) + IF(table_1[[#This Row],[control]]="30bpDown", 30, 0)</f>
        <v>46</v>
      </c>
      <c r="J7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7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</v>
      </c>
      <c r="L76" t="str">
        <f>_xlfn.CONCAT(table_1[[#This Row],[dsb_type]],"_", table_1[[#This Row],[strand]],"_", table_1[[#This Row],[treatment]], ".fa")</f>
        <v>1DSB_R2_sense.fa</v>
      </c>
      <c r="M76">
        <f>VLOOKUP(INT(MID(table_1[[#This Row],[library]], 4, 10)), table_1_2[#All], IF(table_1[[#This Row],[strand]]="R1", 3, 4))</f>
        <v>8227882</v>
      </c>
      <c r="N76">
        <f>IF(LEFT(table_1[[#This Row],[dsb_type]], 1) = "2", 50, 130)</f>
        <v>130</v>
      </c>
      <c r="O7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libraries_2/yjl269_WT_sgB_R2_sense.tsv --min_length 130 -dsb 46 --quiet</v>
      </c>
    </row>
    <row r="77" spans="1:15" x14ac:dyDescent="0.25">
      <c r="A77" s="3">
        <v>76</v>
      </c>
      <c r="B77" t="s">
        <v>41</v>
      </c>
      <c r="C77" t="s">
        <v>1</v>
      </c>
      <c r="D77" t="s">
        <v>140</v>
      </c>
      <c r="E77" t="s">
        <v>124</v>
      </c>
      <c r="F77" t="s">
        <v>79</v>
      </c>
      <c r="G77" t="s">
        <v>75</v>
      </c>
      <c r="H77" t="s">
        <v>84</v>
      </c>
      <c r="I77" cm="1">
        <f t="array" ref="I77">IF(E77="2DSB", IF(H77="R1", 67, 46), IF(E77="1DSB", IF(H77="R1", 67, 46), IF(E77="2DSBanti", IF(H77="R1", 50, 47), NA))) + IF(table_1[[#This Row],[control]]="30bpDown", 30, 0)</f>
        <v>46</v>
      </c>
      <c r="J7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7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</v>
      </c>
      <c r="L77" t="str">
        <f>_xlfn.CONCAT(table_1[[#This Row],[dsb_type]],"_", table_1[[#This Row],[strand]],"_", table_1[[#This Row],[treatment]], ".fa")</f>
        <v>1DSB_R2_sense.fa</v>
      </c>
      <c r="M77">
        <f>VLOOKUP(INT(MID(table_1[[#This Row],[library]], 4, 10)), table_1_2[#All], IF(table_1[[#This Row],[strand]]="R1", 3, 4))</f>
        <v>7238408</v>
      </c>
      <c r="N77">
        <f>IF(LEFT(table_1[[#This Row],[dsb_type]], 1) = "2", 50, 130)</f>
        <v>130</v>
      </c>
      <c r="O7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libraries_2/yjl270_WT_sgB_R2_sense.tsv --min_length 130 -dsb 46 --quiet</v>
      </c>
    </row>
    <row r="78" spans="1:15" x14ac:dyDescent="0.25">
      <c r="A78" s="3">
        <v>77</v>
      </c>
      <c r="B78" t="s">
        <v>42</v>
      </c>
      <c r="C78" t="s">
        <v>1</v>
      </c>
      <c r="D78" t="s">
        <v>140</v>
      </c>
      <c r="E78" t="s">
        <v>124</v>
      </c>
      <c r="F78" t="s">
        <v>79</v>
      </c>
      <c r="G78" t="s">
        <v>76</v>
      </c>
      <c r="H78" t="s">
        <v>84</v>
      </c>
      <c r="I78" cm="1">
        <f t="array" ref="I78">IF(E78="2DSB", IF(H78="R1", 67, 46), IF(E78="1DSB", IF(H78="R1", 67, 46), IF(E78="2DSBanti", IF(H78="R1", 50, 47), NA))) + IF(table_1[[#This Row],[control]]="30bpDown", 30, 0)</f>
        <v>46</v>
      </c>
      <c r="J7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7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</v>
      </c>
      <c r="L78" t="str">
        <f>_xlfn.CONCAT(table_1[[#This Row],[dsb_type]],"_", table_1[[#This Row],[strand]],"_", table_1[[#This Row],[treatment]], ".fa")</f>
        <v>1DSB_R2_branch.fa</v>
      </c>
      <c r="M78">
        <f>VLOOKUP(INT(MID(table_1[[#This Row],[library]], 4, 10)), table_1_2[#All], IF(table_1[[#This Row],[strand]]="R1", 3, 4))</f>
        <v>9524548</v>
      </c>
      <c r="N78">
        <f>IF(LEFT(table_1[[#This Row],[dsb_type]], 1) = "2", 50, 130)</f>
        <v>130</v>
      </c>
      <c r="O7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libraries_2/yjl271_WT_sgB_R2_branch.tsv --min_length 130 -dsb 46 --quiet</v>
      </c>
    </row>
    <row r="79" spans="1:15" x14ac:dyDescent="0.25">
      <c r="A79" s="3">
        <v>78</v>
      </c>
      <c r="B79" t="s">
        <v>43</v>
      </c>
      <c r="C79" t="s">
        <v>1</v>
      </c>
      <c r="D79" t="s">
        <v>140</v>
      </c>
      <c r="E79" t="s">
        <v>124</v>
      </c>
      <c r="F79" t="s">
        <v>79</v>
      </c>
      <c r="G79" t="s">
        <v>76</v>
      </c>
      <c r="H79" t="s">
        <v>84</v>
      </c>
      <c r="I79" cm="1">
        <f t="array" ref="I79">IF(E79="2DSB", IF(H79="R1", 67, 46), IF(E79="1DSB", IF(H79="R1", 67, 46), IF(E79="2DSBanti", IF(H79="R1", 50, 47), NA))) + IF(table_1[[#This Row],[control]]="30bpDown", 30, 0)</f>
        <v>46</v>
      </c>
      <c r="J7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7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</v>
      </c>
      <c r="L79" t="str">
        <f>_xlfn.CONCAT(table_1[[#This Row],[dsb_type]],"_", table_1[[#This Row],[strand]],"_", table_1[[#This Row],[treatment]], ".fa")</f>
        <v>1DSB_R2_branch.fa</v>
      </c>
      <c r="M79">
        <f>VLOOKUP(INT(MID(table_1[[#This Row],[library]], 4, 10)), table_1_2[#All], IF(table_1[[#This Row],[strand]]="R1", 3, 4))</f>
        <v>10125834</v>
      </c>
      <c r="N79">
        <f>IF(LEFT(table_1[[#This Row],[dsb_type]], 1) = "2", 50, 130)</f>
        <v>130</v>
      </c>
      <c r="O7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libraries_2/yjl272_WT_sgB_R2_branch.tsv --min_length 130 -dsb 46 --quiet</v>
      </c>
    </row>
    <row r="80" spans="1:15" x14ac:dyDescent="0.25">
      <c r="A80" s="3">
        <v>79</v>
      </c>
      <c r="B80" t="s">
        <v>44</v>
      </c>
      <c r="C80" t="s">
        <v>1</v>
      </c>
      <c r="D80" t="s">
        <v>140</v>
      </c>
      <c r="E80" t="s">
        <v>124</v>
      </c>
      <c r="F80" t="s">
        <v>79</v>
      </c>
      <c r="G80" t="s">
        <v>76</v>
      </c>
      <c r="H80" t="s">
        <v>84</v>
      </c>
      <c r="I80" cm="1">
        <f t="array" ref="I80">IF(E80="2DSB", IF(H80="R1", 67, 46), IF(E80="1DSB", IF(H80="R1", 67, 46), IF(E80="2DSBanti", IF(H80="R1", 50, 47), NA))) + IF(table_1[[#This Row],[control]]="30bpDown", 30, 0)</f>
        <v>46</v>
      </c>
      <c r="J8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8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</v>
      </c>
      <c r="L80" t="str">
        <f>_xlfn.CONCAT(table_1[[#This Row],[dsb_type]],"_", table_1[[#This Row],[strand]],"_", table_1[[#This Row],[treatment]], ".fa")</f>
        <v>1DSB_R2_branch.fa</v>
      </c>
      <c r="M80">
        <f>VLOOKUP(INT(MID(table_1[[#This Row],[library]], 4, 10)), table_1_2[#All], IF(table_1[[#This Row],[strand]]="R1", 3, 4))</f>
        <v>10173904</v>
      </c>
      <c r="N80">
        <f>IF(LEFT(table_1[[#This Row],[dsb_type]], 1) = "2", 50, 130)</f>
        <v>130</v>
      </c>
      <c r="O8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libraries_2/yjl273_WT_sgB_R2_branch.tsv --min_length 130 -dsb 46 --quiet</v>
      </c>
    </row>
    <row r="81" spans="1:15" x14ac:dyDescent="0.25">
      <c r="A81" s="3">
        <v>80</v>
      </c>
      <c r="B81" t="s">
        <v>45</v>
      </c>
      <c r="C81" t="s">
        <v>1</v>
      </c>
      <c r="D81" t="s">
        <v>140</v>
      </c>
      <c r="E81" t="s">
        <v>124</v>
      </c>
      <c r="F81" t="s">
        <v>79</v>
      </c>
      <c r="G81" t="s">
        <v>76</v>
      </c>
      <c r="H81" t="s">
        <v>84</v>
      </c>
      <c r="I81" cm="1">
        <f t="array" ref="I81">IF(E81="2DSB", IF(H81="R1", 67, 46), IF(E81="1DSB", IF(H81="R1", 67, 46), IF(E81="2DSBanti", IF(H81="R1", 50, 47), NA))) + IF(table_1[[#This Row],[control]]="30bpDown", 30, 0)</f>
        <v>46</v>
      </c>
      <c r="J8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8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</v>
      </c>
      <c r="L81" t="str">
        <f>_xlfn.CONCAT(table_1[[#This Row],[dsb_type]],"_", table_1[[#This Row],[strand]],"_", table_1[[#This Row],[treatment]], ".fa")</f>
        <v>1DSB_R2_branch.fa</v>
      </c>
      <c r="M81">
        <f>VLOOKUP(INT(MID(table_1[[#This Row],[library]], 4, 10)), table_1_2[#All], IF(table_1[[#This Row],[strand]]="R1", 3, 4))</f>
        <v>9525100</v>
      </c>
      <c r="N81">
        <f>IF(LEFT(table_1[[#This Row],[dsb_type]], 1) = "2", 50, 130)</f>
        <v>130</v>
      </c>
      <c r="O8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libraries_2/yjl274_WT_sgB_R2_branch.tsv --min_length 130 -dsb 46 --quiet</v>
      </c>
    </row>
    <row r="82" spans="1:15" x14ac:dyDescent="0.25">
      <c r="A82" s="3">
        <v>81</v>
      </c>
      <c r="B82" t="s">
        <v>46</v>
      </c>
      <c r="C82" t="s">
        <v>1</v>
      </c>
      <c r="D82" t="s">
        <v>140</v>
      </c>
      <c r="E82" t="s">
        <v>124</v>
      </c>
      <c r="F82" t="s">
        <v>79</v>
      </c>
      <c r="G82" t="s">
        <v>77</v>
      </c>
      <c r="H82" t="s">
        <v>84</v>
      </c>
      <c r="I82" cm="1">
        <f t="array" ref="I82">IF(E82="2DSB", IF(H82="R1", 67, 46), IF(E82="1DSB", IF(H82="R1", 67, 46), IF(E82="2DSBanti", IF(H82="R1", 50, 47), NA))) + IF(table_1[[#This Row],[control]]="30bpDown", 30, 0)</f>
        <v>46</v>
      </c>
      <c r="J8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8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</v>
      </c>
      <c r="L82" t="str">
        <f>_xlfn.CONCAT(table_1[[#This Row],[dsb_type]],"_", table_1[[#This Row],[strand]],"_", table_1[[#This Row],[treatment]], ".fa")</f>
        <v>1DSB_R2_cmv.fa</v>
      </c>
      <c r="M82">
        <f>VLOOKUP(INT(MID(table_1[[#This Row],[library]], 4, 10)), table_1_2[#All], IF(table_1[[#This Row],[strand]]="R1", 3, 4))</f>
        <v>7280860</v>
      </c>
      <c r="N82">
        <f>IF(LEFT(table_1[[#This Row],[dsb_type]], 1) = "2", 50, 130)</f>
        <v>130</v>
      </c>
      <c r="O8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libraries_2/yjl275_WT_sgB_R2_cmv.tsv --min_length 130 -dsb 46 --quiet</v>
      </c>
    </row>
    <row r="83" spans="1:15" x14ac:dyDescent="0.25">
      <c r="A83" s="3">
        <v>82</v>
      </c>
      <c r="B83" t="s">
        <v>47</v>
      </c>
      <c r="C83" t="s">
        <v>1</v>
      </c>
      <c r="D83" t="s">
        <v>140</v>
      </c>
      <c r="E83" t="s">
        <v>124</v>
      </c>
      <c r="F83" t="s">
        <v>79</v>
      </c>
      <c r="G83" t="s">
        <v>77</v>
      </c>
      <c r="H83" t="s">
        <v>84</v>
      </c>
      <c r="I83" cm="1">
        <f t="array" ref="I83">IF(E83="2DSB", IF(H83="R1", 67, 46), IF(E83="1DSB", IF(H83="R1", 67, 46), IF(E83="2DSBanti", IF(H83="R1", 50, 47), NA))) + IF(table_1[[#This Row],[control]]="30bpDown", 30, 0)</f>
        <v>46</v>
      </c>
      <c r="J8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8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</v>
      </c>
      <c r="L83" t="str">
        <f>_xlfn.CONCAT(table_1[[#This Row],[dsb_type]],"_", table_1[[#This Row],[strand]],"_", table_1[[#This Row],[treatment]], ".fa")</f>
        <v>1DSB_R2_cmv.fa</v>
      </c>
      <c r="M83">
        <f>VLOOKUP(INT(MID(table_1[[#This Row],[library]], 4, 10)), table_1_2[#All], IF(table_1[[#This Row],[strand]]="R1", 3, 4))</f>
        <v>6872217</v>
      </c>
      <c r="N83">
        <f>IF(LEFT(table_1[[#This Row],[dsb_type]], 1) = "2", 50, 130)</f>
        <v>130</v>
      </c>
      <c r="O8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libraries_2/yjl276_WT_sgB_R2_cmv.tsv --min_length 130 -dsb 46 --quiet</v>
      </c>
    </row>
    <row r="84" spans="1:15" x14ac:dyDescent="0.25">
      <c r="A84" s="3">
        <v>83</v>
      </c>
      <c r="B84" t="s">
        <v>48</v>
      </c>
      <c r="C84" t="s">
        <v>1</v>
      </c>
      <c r="D84" t="s">
        <v>140</v>
      </c>
      <c r="E84" t="s">
        <v>124</v>
      </c>
      <c r="F84" t="s">
        <v>79</v>
      </c>
      <c r="G84" t="s">
        <v>77</v>
      </c>
      <c r="H84" t="s">
        <v>84</v>
      </c>
      <c r="I84" cm="1">
        <f t="array" ref="I84">IF(E84="2DSB", IF(H84="R1", 67, 46), IF(E84="1DSB", IF(H84="R1", 67, 46), IF(E84="2DSBanti", IF(H84="R1", 50, 47), NA))) + IF(table_1[[#This Row],[control]]="30bpDown", 30, 0)</f>
        <v>46</v>
      </c>
      <c r="J8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8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</v>
      </c>
      <c r="L84" t="str">
        <f>_xlfn.CONCAT(table_1[[#This Row],[dsb_type]],"_", table_1[[#This Row],[strand]],"_", table_1[[#This Row],[treatment]], ".fa")</f>
        <v>1DSB_R2_cmv.fa</v>
      </c>
      <c r="M84">
        <f>VLOOKUP(INT(MID(table_1[[#This Row],[library]], 4, 10)), table_1_2[#All], IF(table_1[[#This Row],[strand]]="R1", 3, 4))</f>
        <v>6847531</v>
      </c>
      <c r="N84">
        <f>IF(LEFT(table_1[[#This Row],[dsb_type]], 1) = "2", 50, 130)</f>
        <v>130</v>
      </c>
      <c r="O8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libraries_2/yjl277_WT_sgB_R2_cmv.tsv --min_length 130 -dsb 46 --quiet</v>
      </c>
    </row>
    <row r="85" spans="1:15" x14ac:dyDescent="0.25">
      <c r="A85" s="3">
        <v>84</v>
      </c>
      <c r="B85" t="s">
        <v>49</v>
      </c>
      <c r="C85" t="s">
        <v>1</v>
      </c>
      <c r="D85" t="s">
        <v>140</v>
      </c>
      <c r="E85" t="s">
        <v>124</v>
      </c>
      <c r="F85" t="s">
        <v>79</v>
      </c>
      <c r="G85" t="s">
        <v>77</v>
      </c>
      <c r="H85" t="s">
        <v>84</v>
      </c>
      <c r="I85" cm="1">
        <f t="array" ref="I85">IF(E85="2DSB", IF(H85="R1", 67, 46), IF(E85="1DSB", IF(H85="R1", 67, 46), IF(E85="2DSBanti", IF(H85="R1", 50, 47), NA))) + IF(table_1[[#This Row],[control]]="30bpDown", 30, 0)</f>
        <v>46</v>
      </c>
      <c r="J8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8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</v>
      </c>
      <c r="L85" t="str">
        <f>_xlfn.CONCAT(table_1[[#This Row],[dsb_type]],"_", table_1[[#This Row],[strand]],"_", table_1[[#This Row],[treatment]], ".fa")</f>
        <v>1DSB_R2_cmv.fa</v>
      </c>
      <c r="M85">
        <f>VLOOKUP(INT(MID(table_1[[#This Row],[library]], 4, 10)), table_1_2[#All], IF(table_1[[#This Row],[strand]]="R1", 3, 4))</f>
        <v>7081713</v>
      </c>
      <c r="N85">
        <f>IF(LEFT(table_1[[#This Row],[dsb_type]], 1) = "2", 50, 130)</f>
        <v>130</v>
      </c>
      <c r="O8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libraries_2/yjl278_WT_sgB_R2_cmv.tsv --min_length 130 -dsb 46 --quiet</v>
      </c>
    </row>
    <row r="86" spans="1:15" x14ac:dyDescent="0.25">
      <c r="A86" s="3">
        <v>85</v>
      </c>
      <c r="B86" t="s">
        <v>62</v>
      </c>
      <c r="C86" t="s">
        <v>14</v>
      </c>
      <c r="D86" t="s">
        <v>140</v>
      </c>
      <c r="E86" t="s">
        <v>124</v>
      </c>
      <c r="F86" t="s">
        <v>79</v>
      </c>
      <c r="G86" t="s">
        <v>75</v>
      </c>
      <c r="H86" t="s">
        <v>84</v>
      </c>
      <c r="I86" cm="1">
        <f t="array" ref="I86">IF(E86="2DSB", IF(H86="R1", 67, 46), IF(E86="1DSB", IF(H86="R1", 67, 46), IF(E86="2DSBanti", IF(H86="R1", 50, 47), NA))) + IF(table_1[[#This Row],[control]]="30bpDown", 30, 0)</f>
        <v>46</v>
      </c>
      <c r="J8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8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</v>
      </c>
      <c r="L86" t="str">
        <f>_xlfn.CONCAT(table_1[[#This Row],[dsb_type]],"_", table_1[[#This Row],[strand]],"_", table_1[[#This Row],[treatment]], ".fa")</f>
        <v>1DSB_R2_sense.fa</v>
      </c>
      <c r="M86">
        <f>VLOOKUP(INT(MID(table_1[[#This Row],[library]], 4, 10)), table_1_2[#All], IF(table_1[[#This Row],[strand]]="R1", 3, 4))</f>
        <v>6494964</v>
      </c>
      <c r="N86">
        <f>IF(LEFT(table_1[[#This Row],[dsb_type]], 1) = "2", 50, 130)</f>
        <v>130</v>
      </c>
      <c r="O8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5" x14ac:dyDescent="0.25">
      <c r="A87" s="3">
        <v>86</v>
      </c>
      <c r="B87" t="s">
        <v>63</v>
      </c>
      <c r="C87" t="s">
        <v>14</v>
      </c>
      <c r="D87" t="s">
        <v>140</v>
      </c>
      <c r="E87" t="s">
        <v>124</v>
      </c>
      <c r="F87" t="s">
        <v>79</v>
      </c>
      <c r="G87" t="s">
        <v>75</v>
      </c>
      <c r="H87" t="s">
        <v>84</v>
      </c>
      <c r="I87" cm="1">
        <f t="array" ref="I87">IF(E87="2DSB", IF(H87="R1", 67, 46), IF(E87="1DSB", IF(H87="R1", 67, 46), IF(E87="2DSBanti", IF(H87="R1", 50, 47), NA))) + IF(table_1[[#This Row],[control]]="30bpDown", 30, 0)</f>
        <v>46</v>
      </c>
      <c r="J8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8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</v>
      </c>
      <c r="L87" t="str">
        <f>_xlfn.CONCAT(table_1[[#This Row],[dsb_type]],"_", table_1[[#This Row],[strand]],"_", table_1[[#This Row],[treatment]], ".fa")</f>
        <v>1DSB_R2_sense.fa</v>
      </c>
      <c r="M87">
        <f>VLOOKUP(INT(MID(table_1[[#This Row],[library]], 4, 10)), table_1_2[#All], IF(table_1[[#This Row],[strand]]="R1", 3, 4))</f>
        <v>7011524</v>
      </c>
      <c r="N87">
        <f>IF(LEFT(table_1[[#This Row],[dsb_type]], 1) = "2", 50, 130)</f>
        <v>130</v>
      </c>
      <c r="O8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5" x14ac:dyDescent="0.25">
      <c r="A88" s="3">
        <v>87</v>
      </c>
      <c r="B88" t="s">
        <v>64</v>
      </c>
      <c r="C88" t="s">
        <v>14</v>
      </c>
      <c r="D88" t="s">
        <v>140</v>
      </c>
      <c r="E88" t="s">
        <v>124</v>
      </c>
      <c r="F88" t="s">
        <v>79</v>
      </c>
      <c r="G88" t="s">
        <v>75</v>
      </c>
      <c r="H88" t="s">
        <v>84</v>
      </c>
      <c r="I88" cm="1">
        <f t="array" ref="I88">IF(E88="2DSB", IF(H88="R1", 67, 46), IF(E88="1DSB", IF(H88="R1", 67, 46), IF(E88="2DSBanti", IF(H88="R1", 50, 47), NA))) + IF(table_1[[#This Row],[control]]="30bpDown", 30, 0)</f>
        <v>46</v>
      </c>
      <c r="J8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8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</v>
      </c>
      <c r="L88" t="str">
        <f>_xlfn.CONCAT(table_1[[#This Row],[dsb_type]],"_", table_1[[#This Row],[strand]],"_", table_1[[#This Row],[treatment]], ".fa")</f>
        <v>1DSB_R2_sense.fa</v>
      </c>
      <c r="M88">
        <f>VLOOKUP(INT(MID(table_1[[#This Row],[library]], 4, 10)), table_1_2[#All], IF(table_1[[#This Row],[strand]]="R1", 3, 4))</f>
        <v>7131423</v>
      </c>
      <c r="N88">
        <f>IF(LEFT(table_1[[#This Row],[dsb_type]], 1) = "2", 50, 130)</f>
        <v>130</v>
      </c>
      <c r="O8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5" x14ac:dyDescent="0.25">
      <c r="A89" s="3">
        <v>88</v>
      </c>
      <c r="B89" t="s">
        <v>65</v>
      </c>
      <c r="C89" t="s">
        <v>14</v>
      </c>
      <c r="D89" t="s">
        <v>140</v>
      </c>
      <c r="E89" t="s">
        <v>124</v>
      </c>
      <c r="F89" t="s">
        <v>79</v>
      </c>
      <c r="G89" t="s">
        <v>75</v>
      </c>
      <c r="H89" t="s">
        <v>84</v>
      </c>
      <c r="I89" cm="1">
        <f t="array" ref="I89">IF(E89="2DSB", IF(H89="R1", 67, 46), IF(E89="1DSB", IF(H89="R1", 67, 46), IF(E89="2DSBanti", IF(H89="R1", 50, 47), NA))) + IF(table_1[[#This Row],[control]]="30bpDown", 30, 0)</f>
        <v>46</v>
      </c>
      <c r="J8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8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</v>
      </c>
      <c r="L89" t="str">
        <f>_xlfn.CONCAT(table_1[[#This Row],[dsb_type]],"_", table_1[[#This Row],[strand]],"_", table_1[[#This Row],[treatment]], ".fa")</f>
        <v>1DSB_R2_sense.fa</v>
      </c>
      <c r="M89">
        <f>VLOOKUP(INT(MID(table_1[[#This Row],[library]], 4, 10)), table_1_2[#All], IF(table_1[[#This Row],[strand]]="R1", 3, 4))</f>
        <v>6545416</v>
      </c>
      <c r="N89">
        <f>IF(LEFT(table_1[[#This Row],[dsb_type]], 1) = "2", 50, 130)</f>
        <v>130</v>
      </c>
      <c r="O8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5" x14ac:dyDescent="0.25">
      <c r="A90" s="3">
        <v>89</v>
      </c>
      <c r="B90" t="s">
        <v>66</v>
      </c>
      <c r="C90" t="s">
        <v>14</v>
      </c>
      <c r="D90" t="s">
        <v>140</v>
      </c>
      <c r="E90" t="s">
        <v>124</v>
      </c>
      <c r="F90" t="s">
        <v>79</v>
      </c>
      <c r="G90" t="s">
        <v>76</v>
      </c>
      <c r="H90" t="s">
        <v>84</v>
      </c>
      <c r="I90" cm="1">
        <f t="array" ref="I90">IF(E90="2DSB", IF(H90="R1", 67, 46), IF(E90="1DSB", IF(H90="R1", 67, 46), IF(E90="2DSBanti", IF(H90="R1", 50, 47), NA))) + IF(table_1[[#This Row],[control]]="30bpDown", 30, 0)</f>
        <v>46</v>
      </c>
      <c r="J9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9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</v>
      </c>
      <c r="L90" t="str">
        <f>_xlfn.CONCAT(table_1[[#This Row],[dsb_type]],"_", table_1[[#This Row],[strand]],"_", table_1[[#This Row],[treatment]], ".fa")</f>
        <v>1DSB_R2_branch.fa</v>
      </c>
      <c r="M90">
        <f>VLOOKUP(INT(MID(table_1[[#This Row],[library]], 4, 10)), table_1_2[#All], IF(table_1[[#This Row],[strand]]="R1", 3, 4))</f>
        <v>9730255</v>
      </c>
      <c r="N90">
        <f>IF(LEFT(table_1[[#This Row],[dsb_type]], 1) = "2", 50, 130)</f>
        <v>130</v>
      </c>
      <c r="O9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5" x14ac:dyDescent="0.25">
      <c r="A91" s="3">
        <v>90</v>
      </c>
      <c r="B91" t="s">
        <v>67</v>
      </c>
      <c r="C91" t="s">
        <v>14</v>
      </c>
      <c r="D91" t="s">
        <v>140</v>
      </c>
      <c r="E91" t="s">
        <v>124</v>
      </c>
      <c r="F91" t="s">
        <v>79</v>
      </c>
      <c r="G91" t="s">
        <v>76</v>
      </c>
      <c r="H91" t="s">
        <v>84</v>
      </c>
      <c r="I91" cm="1">
        <f t="array" ref="I91">IF(E91="2DSB", IF(H91="R1", 67, 46), IF(E91="1DSB", IF(H91="R1", 67, 46), IF(E91="2DSBanti", IF(H91="R1", 50, 47), NA))) + IF(table_1[[#This Row],[control]]="30bpDown", 30, 0)</f>
        <v>46</v>
      </c>
      <c r="J9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9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</v>
      </c>
      <c r="L91" t="str">
        <f>_xlfn.CONCAT(table_1[[#This Row],[dsb_type]],"_", table_1[[#This Row],[strand]],"_", table_1[[#This Row],[treatment]], ".fa")</f>
        <v>1DSB_R2_branch.fa</v>
      </c>
      <c r="M91">
        <f>VLOOKUP(INT(MID(table_1[[#This Row],[library]], 4, 10)), table_1_2[#All], IF(table_1[[#This Row],[strand]]="R1", 3, 4))</f>
        <v>10430885</v>
      </c>
      <c r="N91">
        <f>IF(LEFT(table_1[[#This Row],[dsb_type]], 1) = "2", 50, 130)</f>
        <v>130</v>
      </c>
      <c r="O9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5" x14ac:dyDescent="0.25">
      <c r="A92" s="3">
        <v>91</v>
      </c>
      <c r="B92" t="s">
        <v>68</v>
      </c>
      <c r="C92" t="s">
        <v>14</v>
      </c>
      <c r="D92" t="s">
        <v>140</v>
      </c>
      <c r="E92" t="s">
        <v>124</v>
      </c>
      <c r="F92" t="s">
        <v>79</v>
      </c>
      <c r="G92" t="s">
        <v>76</v>
      </c>
      <c r="H92" t="s">
        <v>84</v>
      </c>
      <c r="I92" cm="1">
        <f t="array" ref="I92">IF(E92="2DSB", IF(H92="R1", 67, 46), IF(E92="1DSB", IF(H92="R1", 67, 46), IF(E92="2DSBanti", IF(H92="R1", 50, 47), NA))) + IF(table_1[[#This Row],[control]]="30bpDown", 30, 0)</f>
        <v>46</v>
      </c>
      <c r="J9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9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</v>
      </c>
      <c r="L92" t="str">
        <f>_xlfn.CONCAT(table_1[[#This Row],[dsb_type]],"_", table_1[[#This Row],[strand]],"_", table_1[[#This Row],[treatment]], ".fa")</f>
        <v>1DSB_R2_branch.fa</v>
      </c>
      <c r="M92">
        <f>VLOOKUP(INT(MID(table_1[[#This Row],[library]], 4, 10)), table_1_2[#All], IF(table_1[[#This Row],[strand]]="R1", 3, 4))</f>
        <v>9770845</v>
      </c>
      <c r="N92">
        <f>IF(LEFT(table_1[[#This Row],[dsb_type]], 1) = "2", 50, 130)</f>
        <v>130</v>
      </c>
      <c r="O9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5" x14ac:dyDescent="0.25">
      <c r="A93" s="3">
        <v>92</v>
      </c>
      <c r="B93" t="s">
        <v>69</v>
      </c>
      <c r="C93" t="s">
        <v>14</v>
      </c>
      <c r="D93" t="s">
        <v>140</v>
      </c>
      <c r="E93" t="s">
        <v>124</v>
      </c>
      <c r="F93" t="s">
        <v>79</v>
      </c>
      <c r="G93" t="s">
        <v>76</v>
      </c>
      <c r="H93" t="s">
        <v>84</v>
      </c>
      <c r="I93" cm="1">
        <f t="array" ref="I93">IF(E93="2DSB", IF(H93="R1", 67, 46), IF(E93="1DSB", IF(H93="R1", 67, 46), IF(E93="2DSBanti", IF(H93="R1", 50, 47), NA))) + IF(table_1[[#This Row],[control]]="30bpDown", 30, 0)</f>
        <v>46</v>
      </c>
      <c r="J9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9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</v>
      </c>
      <c r="L93" t="str">
        <f>_xlfn.CONCAT(table_1[[#This Row],[dsb_type]],"_", table_1[[#This Row],[strand]],"_", table_1[[#This Row],[treatment]], ".fa")</f>
        <v>1DSB_R2_branch.fa</v>
      </c>
      <c r="M93">
        <f>VLOOKUP(INT(MID(table_1[[#This Row],[library]], 4, 10)), table_1_2[#All], IF(table_1[[#This Row],[strand]]="R1", 3, 4))</f>
        <v>10249893</v>
      </c>
      <c r="N93">
        <f>IF(LEFT(table_1[[#This Row],[dsb_type]], 1) = "2", 50, 130)</f>
        <v>130</v>
      </c>
      <c r="O9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5" x14ac:dyDescent="0.25">
      <c r="A94" s="3">
        <v>93</v>
      </c>
      <c r="B94" t="s">
        <v>70</v>
      </c>
      <c r="C94" t="s">
        <v>14</v>
      </c>
      <c r="D94" t="s">
        <v>140</v>
      </c>
      <c r="E94" t="s">
        <v>124</v>
      </c>
      <c r="F94" t="s">
        <v>79</v>
      </c>
      <c r="G94" t="s">
        <v>77</v>
      </c>
      <c r="H94" t="s">
        <v>84</v>
      </c>
      <c r="I94" cm="1">
        <f t="array" ref="I94">IF(E94="2DSB", IF(H94="R1", 67, 46), IF(E94="1DSB", IF(H94="R1", 67, 46), IF(E94="2DSBanti", IF(H94="R1", 50, 47), NA))) + IF(table_1[[#This Row],[control]]="30bpDown", 30, 0)</f>
        <v>46</v>
      </c>
      <c r="J9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9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</v>
      </c>
      <c r="L94" t="str">
        <f>_xlfn.CONCAT(table_1[[#This Row],[dsb_type]],"_", table_1[[#This Row],[strand]],"_", table_1[[#This Row],[treatment]], ".fa")</f>
        <v>1DSB_R2_cmv.fa</v>
      </c>
      <c r="M94">
        <f>VLOOKUP(INT(MID(table_1[[#This Row],[library]], 4, 10)), table_1_2[#All], IF(table_1[[#This Row],[strand]]="R1", 3, 4))</f>
        <v>6718301</v>
      </c>
      <c r="N94">
        <f>IF(LEFT(table_1[[#This Row],[dsb_type]], 1) = "2", 50, 130)</f>
        <v>130</v>
      </c>
      <c r="O9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libraries_2/yjl312_KO_sgB_R2_cmv.tsv --min_length 130 -dsb 46 --quiet</v>
      </c>
    </row>
    <row r="95" spans="1:15" x14ac:dyDescent="0.25">
      <c r="A95" s="3">
        <v>94</v>
      </c>
      <c r="B95" t="s">
        <v>71</v>
      </c>
      <c r="C95" t="s">
        <v>14</v>
      </c>
      <c r="D95" t="s">
        <v>140</v>
      </c>
      <c r="E95" t="s">
        <v>124</v>
      </c>
      <c r="F95" t="s">
        <v>79</v>
      </c>
      <c r="G95" t="s">
        <v>77</v>
      </c>
      <c r="H95" t="s">
        <v>84</v>
      </c>
      <c r="I95" cm="1">
        <f t="array" ref="I95">IF(E95="2DSB", IF(H95="R1", 67, 46), IF(E95="1DSB", IF(H95="R1", 67, 46), IF(E95="2DSBanti", IF(H95="R1", 50, 47), NA))) + IF(table_1[[#This Row],[control]]="30bpDown", 30, 0)</f>
        <v>46</v>
      </c>
      <c r="J9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9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</v>
      </c>
      <c r="L95" t="str">
        <f>_xlfn.CONCAT(table_1[[#This Row],[dsb_type]],"_", table_1[[#This Row],[strand]],"_", table_1[[#This Row],[treatment]], ".fa")</f>
        <v>1DSB_R2_cmv.fa</v>
      </c>
      <c r="M95">
        <f>VLOOKUP(INT(MID(table_1[[#This Row],[library]], 4, 10)), table_1_2[#All], IF(table_1[[#This Row],[strand]]="R1", 3, 4))</f>
        <v>6435913</v>
      </c>
      <c r="N95">
        <f>IF(LEFT(table_1[[#This Row],[dsb_type]], 1) = "2", 50, 130)</f>
        <v>130</v>
      </c>
      <c r="O9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libraries_2/yjl313_KO_sgB_R2_cmv.tsv --min_length 130 -dsb 46 --quiet</v>
      </c>
    </row>
    <row r="96" spans="1:15" x14ac:dyDescent="0.25">
      <c r="A96" s="3">
        <v>95</v>
      </c>
      <c r="B96" t="s">
        <v>72</v>
      </c>
      <c r="C96" t="s">
        <v>14</v>
      </c>
      <c r="D96" t="s">
        <v>140</v>
      </c>
      <c r="E96" t="s">
        <v>124</v>
      </c>
      <c r="F96" t="s">
        <v>79</v>
      </c>
      <c r="G96" t="s">
        <v>77</v>
      </c>
      <c r="H96" t="s">
        <v>84</v>
      </c>
      <c r="I96" cm="1">
        <f t="array" ref="I96">IF(E96="2DSB", IF(H96="R1", 67, 46), IF(E96="1DSB", IF(H96="R1", 67, 46), IF(E96="2DSBanti", IF(H96="R1", 50, 47), NA))) + IF(table_1[[#This Row],[control]]="30bpDown", 30, 0)</f>
        <v>46</v>
      </c>
      <c r="J9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9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</v>
      </c>
      <c r="L96" t="str">
        <f>_xlfn.CONCAT(table_1[[#This Row],[dsb_type]],"_", table_1[[#This Row],[strand]],"_", table_1[[#This Row],[treatment]], ".fa")</f>
        <v>1DSB_R2_cmv.fa</v>
      </c>
      <c r="M96">
        <f>VLOOKUP(INT(MID(table_1[[#This Row],[library]], 4, 10)), table_1_2[#All], IF(table_1[[#This Row],[strand]]="R1", 3, 4))</f>
        <v>7285831</v>
      </c>
      <c r="N96">
        <f>IF(LEFT(table_1[[#This Row],[dsb_type]], 1) = "2", 50, 130)</f>
        <v>130</v>
      </c>
      <c r="O9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libraries_2/yjl314_KO_sgB_R2_cmv.tsv --min_length 130 -dsb 46 --quiet</v>
      </c>
    </row>
    <row r="97" spans="1:15" x14ac:dyDescent="0.25">
      <c r="A97" s="3">
        <v>96</v>
      </c>
      <c r="B97" t="s">
        <v>73</v>
      </c>
      <c r="C97" t="s">
        <v>14</v>
      </c>
      <c r="D97" t="s">
        <v>140</v>
      </c>
      <c r="E97" t="s">
        <v>124</v>
      </c>
      <c r="F97" t="s">
        <v>79</v>
      </c>
      <c r="G97" t="s">
        <v>77</v>
      </c>
      <c r="H97" t="s">
        <v>84</v>
      </c>
      <c r="I97" cm="1">
        <f t="array" ref="I97">IF(E97="2DSB", IF(H97="R1", 67, 46), IF(E97="1DSB", IF(H97="R1", 67, 46), IF(E97="2DSBanti", IF(H97="R1", 50, 47), NA))) + IF(table_1[[#This Row],[control]]="30bpDown", 30, 0)</f>
        <v>46</v>
      </c>
      <c r="J9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9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</v>
      </c>
      <c r="L97" t="str">
        <f>_xlfn.CONCAT(table_1[[#This Row],[dsb_type]],"_", table_1[[#This Row],[strand]],"_", table_1[[#This Row],[treatment]], ".fa")</f>
        <v>1DSB_R2_cmv.fa</v>
      </c>
      <c r="M97">
        <f>VLOOKUP(INT(MID(table_1[[#This Row],[library]], 4, 10)), table_1_2[#All], IF(table_1[[#This Row],[strand]]="R1", 3, 4))</f>
        <v>6372479</v>
      </c>
      <c r="N97">
        <f>IF(LEFT(table_1[[#This Row],[dsb_type]], 1) = "2", 50, 130)</f>
        <v>130</v>
      </c>
      <c r="O9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libraries_2/yjl315_KO_sgB_R2_cmv.tsv --min_length 130 -dsb 46 --quiet</v>
      </c>
    </row>
    <row r="98" spans="1:15" x14ac:dyDescent="0.25">
      <c r="A98" s="3">
        <v>97</v>
      </c>
      <c r="B98" t="s">
        <v>26</v>
      </c>
      <c r="C98" t="s">
        <v>1</v>
      </c>
      <c r="D98" t="s">
        <v>141</v>
      </c>
      <c r="E98" t="s">
        <v>124</v>
      </c>
      <c r="F98" t="s">
        <v>78</v>
      </c>
      <c r="G98" t="s">
        <v>75</v>
      </c>
      <c r="H98" t="s">
        <v>83</v>
      </c>
      <c r="I98" cm="1">
        <f t="array" ref="I98">IF(E98="2DSB", IF(H98="R1", 67, 46), IF(E98="1DSB", IF(H98="R1", 67, 46), IF(E98="2DSBanti", IF(H98="R1", 50, 47), NA))) + IF(table_1[[#This Row],[control]]="30bpDown", 30, 0)</f>
        <v>97</v>
      </c>
      <c r="J9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9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yjl255_WT_sgA_R1_sense_30bpDown</v>
      </c>
      <c r="L98" s="2" t="str">
        <f>_xlfn.CONCAT(table_1[[#This Row],[dsb_type]],"_", table_1[[#This Row],[strand]],"_", table_1[[#This Row],[treatment]], ".fa")</f>
        <v>1DSB_R1_sense.fa</v>
      </c>
      <c r="M98">
        <f>VLOOKUP(INT(MID(table_1[[#This Row],[library]], 4, 10)), table_1_2[#All], IF(table_1[[#This Row],[strand]]="R1", 3, 4))</f>
        <v>7579965</v>
      </c>
      <c r="N98" s="2">
        <f>IF(LEFT(table_1[[#This Row],[dsb_type]], 1) = "2", 50, 130)</f>
        <v>130</v>
      </c>
      <c r="O9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libraries_2/yjl255_WT_sgA_R1_sense_30bpDown.tsv --min_length 130 -dsb 97 --quiet</v>
      </c>
    </row>
    <row r="99" spans="1:15" x14ac:dyDescent="0.25">
      <c r="A99" s="3">
        <v>98</v>
      </c>
      <c r="B99" t="s">
        <v>27</v>
      </c>
      <c r="C99" t="s">
        <v>1</v>
      </c>
      <c r="D99" t="s">
        <v>141</v>
      </c>
      <c r="E99" t="s">
        <v>124</v>
      </c>
      <c r="F99" t="s">
        <v>78</v>
      </c>
      <c r="G99" t="s">
        <v>75</v>
      </c>
      <c r="H99" t="s">
        <v>83</v>
      </c>
      <c r="I99" cm="1">
        <f t="array" ref="I99">IF(E99="2DSB", IF(H99="R1", 67, 46), IF(E99="1DSB", IF(H99="R1", 67, 46), IF(E99="2DSBanti", IF(H99="R1", 50, 47), NA))) + IF(table_1[[#This Row],[control]]="30bpDown", 30, 0)</f>
        <v>97</v>
      </c>
      <c r="J9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9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yjl256_WT_sgA_R1_sense_30bpDown</v>
      </c>
      <c r="L99" s="2" t="str">
        <f>_xlfn.CONCAT(table_1[[#This Row],[dsb_type]],"_", table_1[[#This Row],[strand]],"_", table_1[[#This Row],[treatment]], ".fa")</f>
        <v>1DSB_R1_sense.fa</v>
      </c>
      <c r="M99">
        <f>VLOOKUP(INT(MID(table_1[[#This Row],[library]], 4, 10)), table_1_2[#All], IF(table_1[[#This Row],[strand]]="R1", 3, 4))</f>
        <v>7982725</v>
      </c>
      <c r="N99" s="2">
        <f>IF(LEFT(table_1[[#This Row],[dsb_type]], 1) = "2", 50, 130)</f>
        <v>130</v>
      </c>
      <c r="O9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libraries_2/yjl256_WT_sgA_R1_sense_30bpDown.tsv --min_length 130 -dsb 97 --quiet</v>
      </c>
    </row>
    <row r="100" spans="1:15" x14ac:dyDescent="0.25">
      <c r="A100" s="3">
        <v>99</v>
      </c>
      <c r="B100" t="s">
        <v>28</v>
      </c>
      <c r="C100" t="s">
        <v>1</v>
      </c>
      <c r="D100" t="s">
        <v>141</v>
      </c>
      <c r="E100" t="s">
        <v>124</v>
      </c>
      <c r="F100" t="s">
        <v>78</v>
      </c>
      <c r="G100" t="s">
        <v>75</v>
      </c>
      <c r="H100" t="s">
        <v>83</v>
      </c>
      <c r="I100" cm="1">
        <f t="array" ref="I100">IF(E100="2DSB", IF(H100="R1", 67, 46), IF(E100="1DSB", IF(H100="R1", 67, 46), IF(E100="2DSBanti", IF(H100="R1", 50, 47), NA))) + IF(table_1[[#This Row],[control]]="30bpDown", 30, 0)</f>
        <v>97</v>
      </c>
      <c r="J10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10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yjl257_WT_sgA_R1_sense_30bpDown</v>
      </c>
      <c r="L100" s="2" t="str">
        <f>_xlfn.CONCAT(table_1[[#This Row],[dsb_type]],"_", table_1[[#This Row],[strand]],"_", table_1[[#This Row],[treatment]], ".fa")</f>
        <v>1DSB_R1_sense.fa</v>
      </c>
      <c r="M100">
        <f>VLOOKUP(INT(MID(table_1[[#This Row],[library]], 4, 10)), table_1_2[#All], IF(table_1[[#This Row],[strand]]="R1", 3, 4))</f>
        <v>7854740</v>
      </c>
      <c r="N100" s="2">
        <f>IF(LEFT(table_1[[#This Row],[dsb_type]], 1) = "2", 50, 130)</f>
        <v>130</v>
      </c>
      <c r="O10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libraries_2/yjl257_WT_sgA_R1_sense_30bpDown.tsv --min_length 130 -dsb 97 --quiet</v>
      </c>
    </row>
    <row r="101" spans="1:15" x14ac:dyDescent="0.25">
      <c r="A101" s="3">
        <v>100</v>
      </c>
      <c r="B101" t="s">
        <v>29</v>
      </c>
      <c r="C101" t="s">
        <v>1</v>
      </c>
      <c r="D101" t="s">
        <v>141</v>
      </c>
      <c r="E101" t="s">
        <v>124</v>
      </c>
      <c r="F101" t="s">
        <v>78</v>
      </c>
      <c r="G101" t="s">
        <v>75</v>
      </c>
      <c r="H101" t="s">
        <v>83</v>
      </c>
      <c r="I101" cm="1">
        <f t="array" ref="I101">IF(E101="2DSB", IF(H101="R1", 67, 46), IF(E101="1DSB", IF(H101="R1", 67, 46), IF(E101="2DSBanti", IF(H101="R1", 50, 47), NA))) + IF(table_1[[#This Row],[control]]="30bpDown", 30, 0)</f>
        <v>97</v>
      </c>
      <c r="J10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10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yjl258_WT_sgA_R1_sense_30bpDown</v>
      </c>
      <c r="L101" s="2" t="str">
        <f>_xlfn.CONCAT(table_1[[#This Row],[dsb_type]],"_", table_1[[#This Row],[strand]],"_", table_1[[#This Row],[treatment]], ".fa")</f>
        <v>1DSB_R1_sense.fa</v>
      </c>
      <c r="M101">
        <f>VLOOKUP(INT(MID(table_1[[#This Row],[library]], 4, 10)), table_1_2[#All], IF(table_1[[#This Row],[strand]]="R1", 3, 4))</f>
        <v>7534924</v>
      </c>
      <c r="N101" s="2">
        <f>IF(LEFT(table_1[[#This Row],[dsb_type]], 1) = "2", 50, 130)</f>
        <v>130</v>
      </c>
      <c r="O10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libraries_2/yjl258_WT_sgA_R1_sense_30bpDown.tsv --min_length 130 -dsb 97 --quiet</v>
      </c>
    </row>
    <row r="102" spans="1:15" x14ac:dyDescent="0.25">
      <c r="A102" s="3">
        <v>101</v>
      </c>
      <c r="B102" t="s">
        <v>30</v>
      </c>
      <c r="C102" t="s">
        <v>1</v>
      </c>
      <c r="D102" t="s">
        <v>141</v>
      </c>
      <c r="E102" t="s">
        <v>124</v>
      </c>
      <c r="F102" t="s">
        <v>78</v>
      </c>
      <c r="G102" t="s">
        <v>76</v>
      </c>
      <c r="H102" t="s">
        <v>83</v>
      </c>
      <c r="I102" cm="1">
        <f t="array" ref="I102">IF(E102="2DSB", IF(H102="R1", 67, 46), IF(E102="1DSB", IF(H102="R1", 67, 46), IF(E102="2DSBanti", IF(H102="R1", 50, 47), NA))) + IF(table_1[[#This Row],[control]]="30bpDown", 30, 0)</f>
        <v>97</v>
      </c>
      <c r="J10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10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yjl259_WT_sgA_R1_branch_30bpDown</v>
      </c>
      <c r="L102" s="2" t="str">
        <f>_xlfn.CONCAT(table_1[[#This Row],[dsb_type]],"_", table_1[[#This Row],[strand]],"_", table_1[[#This Row],[treatment]], ".fa")</f>
        <v>1DSB_R1_branch.fa</v>
      </c>
      <c r="M102">
        <f>VLOOKUP(INT(MID(table_1[[#This Row],[library]], 4, 10)), table_1_2[#All], IF(table_1[[#This Row],[strand]]="R1", 3, 4))</f>
        <v>8808358</v>
      </c>
      <c r="N102" s="2">
        <f>IF(LEFT(table_1[[#This Row],[dsb_type]], 1) = "2", 50, 130)</f>
        <v>130</v>
      </c>
      <c r="O10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03" spans="1:15" x14ac:dyDescent="0.25">
      <c r="A103" s="3">
        <v>102</v>
      </c>
      <c r="B103" t="s">
        <v>31</v>
      </c>
      <c r="C103" t="s">
        <v>1</v>
      </c>
      <c r="D103" t="s">
        <v>141</v>
      </c>
      <c r="E103" t="s">
        <v>124</v>
      </c>
      <c r="F103" t="s">
        <v>78</v>
      </c>
      <c r="G103" t="s">
        <v>76</v>
      </c>
      <c r="H103" t="s">
        <v>83</v>
      </c>
      <c r="I103" cm="1">
        <f t="array" ref="I103">IF(E103="2DSB", IF(H103="R1", 67, 46), IF(E103="1DSB", IF(H103="R1", 67, 46), IF(E103="2DSBanti", IF(H103="R1", 50, 47), NA))) + IF(table_1[[#This Row],[control]]="30bpDown", 30, 0)</f>
        <v>97</v>
      </c>
      <c r="J10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10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yjl260_WT_sgA_R1_branch_30bpDown</v>
      </c>
      <c r="L103" s="2" t="str">
        <f>_xlfn.CONCAT(table_1[[#This Row],[dsb_type]],"_", table_1[[#This Row],[strand]],"_", table_1[[#This Row],[treatment]], ".fa")</f>
        <v>1DSB_R1_branch.fa</v>
      </c>
      <c r="M103">
        <f>VLOOKUP(INT(MID(table_1[[#This Row],[library]], 4, 10)), table_1_2[#All], IF(table_1[[#This Row],[strand]]="R1", 3, 4))</f>
        <v>9297647</v>
      </c>
      <c r="N103" s="2">
        <f>IF(LEFT(table_1[[#This Row],[dsb_type]], 1) = "2", 50, 130)</f>
        <v>130</v>
      </c>
      <c r="O10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04" spans="1:15" x14ac:dyDescent="0.25">
      <c r="A104" s="3">
        <v>103</v>
      </c>
      <c r="B104" t="s">
        <v>32</v>
      </c>
      <c r="C104" t="s">
        <v>1</v>
      </c>
      <c r="D104" t="s">
        <v>141</v>
      </c>
      <c r="E104" t="s">
        <v>124</v>
      </c>
      <c r="F104" t="s">
        <v>78</v>
      </c>
      <c r="G104" t="s">
        <v>76</v>
      </c>
      <c r="H104" t="s">
        <v>83</v>
      </c>
      <c r="I104" cm="1">
        <f t="array" ref="I104">IF(E104="2DSB", IF(H104="R1", 67, 46), IF(E104="1DSB", IF(H104="R1", 67, 46), IF(E104="2DSBanti", IF(H104="R1", 50, 47), NA))) + IF(table_1[[#This Row],[control]]="30bpDown", 30, 0)</f>
        <v>97</v>
      </c>
      <c r="J10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10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yjl261_WT_sgA_R1_branch_30bpDown</v>
      </c>
      <c r="L104" s="2" t="str">
        <f>_xlfn.CONCAT(table_1[[#This Row],[dsb_type]],"_", table_1[[#This Row],[strand]],"_", table_1[[#This Row],[treatment]], ".fa")</f>
        <v>1DSB_R1_branch.fa</v>
      </c>
      <c r="M104">
        <f>VLOOKUP(INT(MID(table_1[[#This Row],[library]], 4, 10)), table_1_2[#All], IF(table_1[[#This Row],[strand]]="R1", 3, 4))</f>
        <v>9399483</v>
      </c>
      <c r="N104" s="2">
        <f>IF(LEFT(table_1[[#This Row],[dsb_type]], 1) = "2", 50, 130)</f>
        <v>130</v>
      </c>
      <c r="O10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05" spans="1:15" x14ac:dyDescent="0.25">
      <c r="A105" s="3">
        <v>104</v>
      </c>
      <c r="B105" t="s">
        <v>33</v>
      </c>
      <c r="C105" t="s">
        <v>1</v>
      </c>
      <c r="D105" t="s">
        <v>141</v>
      </c>
      <c r="E105" t="s">
        <v>124</v>
      </c>
      <c r="F105" t="s">
        <v>78</v>
      </c>
      <c r="G105" t="s">
        <v>76</v>
      </c>
      <c r="H105" t="s">
        <v>83</v>
      </c>
      <c r="I105" cm="1">
        <f t="array" ref="I105">IF(E105="2DSB", IF(H105="R1", 67, 46), IF(E105="1DSB", IF(H105="R1", 67, 46), IF(E105="2DSBanti", IF(H105="R1", 50, 47), NA))) + IF(table_1[[#This Row],[control]]="30bpDown", 30, 0)</f>
        <v>97</v>
      </c>
      <c r="J10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10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yjl262_WT_sgA_R1_branch_30bpDown</v>
      </c>
      <c r="L105" s="2" t="str">
        <f>_xlfn.CONCAT(table_1[[#This Row],[dsb_type]],"_", table_1[[#This Row],[strand]],"_", table_1[[#This Row],[treatment]], ".fa")</f>
        <v>1DSB_R1_branch.fa</v>
      </c>
      <c r="M105">
        <f>VLOOKUP(INT(MID(table_1[[#This Row],[library]], 4, 10)), table_1_2[#All], IF(table_1[[#This Row],[strand]]="R1", 3, 4))</f>
        <v>8799841</v>
      </c>
      <c r="N105" s="2">
        <f>IF(LEFT(table_1[[#This Row],[dsb_type]], 1) = "2", 50, 130)</f>
        <v>130</v>
      </c>
      <c r="O10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06" spans="1:15" x14ac:dyDescent="0.25">
      <c r="A106" s="3">
        <v>105</v>
      </c>
      <c r="B106" t="s">
        <v>34</v>
      </c>
      <c r="C106" t="s">
        <v>1</v>
      </c>
      <c r="D106" t="s">
        <v>141</v>
      </c>
      <c r="E106" t="s">
        <v>124</v>
      </c>
      <c r="F106" t="s">
        <v>78</v>
      </c>
      <c r="G106" t="s">
        <v>77</v>
      </c>
      <c r="H106" t="s">
        <v>83</v>
      </c>
      <c r="I106" cm="1">
        <f t="array" ref="I106">IF(E106="2DSB", IF(H106="R1", 67, 46), IF(E106="1DSB", IF(H106="R1", 67, 46), IF(E106="2DSBanti", IF(H106="R1", 50, 47), NA))) + IF(table_1[[#This Row],[control]]="30bpDown", 30, 0)</f>
        <v>97</v>
      </c>
      <c r="J10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10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yjl263_WT_sgA_R1_cmv_30bpDown</v>
      </c>
      <c r="L106" s="2" t="str">
        <f>_xlfn.CONCAT(table_1[[#This Row],[dsb_type]],"_", table_1[[#This Row],[strand]],"_", table_1[[#This Row],[treatment]], ".fa")</f>
        <v>1DSB_R1_cmv.fa</v>
      </c>
      <c r="M106">
        <f>VLOOKUP(INT(MID(table_1[[#This Row],[library]], 4, 10)), table_1_2[#All], IF(table_1[[#This Row],[strand]]="R1", 3, 4))</f>
        <v>8171224</v>
      </c>
      <c r="N106" s="2">
        <f>IF(LEFT(table_1[[#This Row],[dsb_type]], 1) = "2", 50, 130)</f>
        <v>130</v>
      </c>
      <c r="O10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libraries_2/yjl263_WT_sgA_R1_cmv_30bpDown.tsv --min_length 130 -dsb 97 --quiet</v>
      </c>
    </row>
    <row r="107" spans="1:15" x14ac:dyDescent="0.25">
      <c r="A107" s="3">
        <v>106</v>
      </c>
      <c r="B107" t="s">
        <v>35</v>
      </c>
      <c r="C107" t="s">
        <v>1</v>
      </c>
      <c r="D107" t="s">
        <v>141</v>
      </c>
      <c r="E107" t="s">
        <v>124</v>
      </c>
      <c r="F107" t="s">
        <v>78</v>
      </c>
      <c r="G107" t="s">
        <v>77</v>
      </c>
      <c r="H107" t="s">
        <v>83</v>
      </c>
      <c r="I107" cm="1">
        <f t="array" ref="I107">IF(E107="2DSB", IF(H107="R1", 67, 46), IF(E107="1DSB", IF(H107="R1", 67, 46), IF(E107="2DSBanti", IF(H107="R1", 50, 47), NA))) + IF(table_1[[#This Row],[control]]="30bpDown", 30, 0)</f>
        <v>97</v>
      </c>
      <c r="J10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10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yjl264_WT_sgA_R1_cmv_30bpDown</v>
      </c>
      <c r="L107" s="2" t="str">
        <f>_xlfn.CONCAT(table_1[[#This Row],[dsb_type]],"_", table_1[[#This Row],[strand]],"_", table_1[[#This Row],[treatment]], ".fa")</f>
        <v>1DSB_R1_cmv.fa</v>
      </c>
      <c r="M107">
        <f>VLOOKUP(INT(MID(table_1[[#This Row],[library]], 4, 10)), table_1_2[#All], IF(table_1[[#This Row],[strand]]="R1", 3, 4))</f>
        <v>8180897</v>
      </c>
      <c r="N107" s="2">
        <f>IF(LEFT(table_1[[#This Row],[dsb_type]], 1) = "2", 50, 130)</f>
        <v>130</v>
      </c>
      <c r="O10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libraries_2/yjl264_WT_sgA_R1_cmv_30bpDown.tsv --min_length 130 -dsb 97 --quiet</v>
      </c>
    </row>
    <row r="108" spans="1:15" x14ac:dyDescent="0.25">
      <c r="A108" s="3">
        <v>107</v>
      </c>
      <c r="B108" t="s">
        <v>36</v>
      </c>
      <c r="C108" t="s">
        <v>1</v>
      </c>
      <c r="D108" t="s">
        <v>141</v>
      </c>
      <c r="E108" t="s">
        <v>124</v>
      </c>
      <c r="F108" t="s">
        <v>78</v>
      </c>
      <c r="G108" t="s">
        <v>77</v>
      </c>
      <c r="H108" t="s">
        <v>83</v>
      </c>
      <c r="I108" cm="1">
        <f t="array" ref="I108">IF(E108="2DSB", IF(H108="R1", 67, 46), IF(E108="1DSB", IF(H108="R1", 67, 46), IF(E108="2DSBanti", IF(H108="R1", 50, 47), NA))) + IF(table_1[[#This Row],[control]]="30bpDown", 30, 0)</f>
        <v>97</v>
      </c>
      <c r="J10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10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yjl265_WT_sgA_R1_cmv_30bpDown</v>
      </c>
      <c r="L108" s="2" t="str">
        <f>_xlfn.CONCAT(table_1[[#This Row],[dsb_type]],"_", table_1[[#This Row],[strand]],"_", table_1[[#This Row],[treatment]], ".fa")</f>
        <v>1DSB_R1_cmv.fa</v>
      </c>
      <c r="M108">
        <f>VLOOKUP(INT(MID(table_1[[#This Row],[library]], 4, 10)), table_1_2[#All], IF(table_1[[#This Row],[strand]]="R1", 3, 4))</f>
        <v>8314116</v>
      </c>
      <c r="N108" s="2">
        <f>IF(LEFT(table_1[[#This Row],[dsb_type]], 1) = "2", 50, 130)</f>
        <v>130</v>
      </c>
      <c r="O10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libraries_2/yjl265_WT_sgA_R1_cmv_30bpDown.tsv --min_length 130 -dsb 97 --quiet</v>
      </c>
    </row>
    <row r="109" spans="1:15" x14ac:dyDescent="0.25">
      <c r="A109" s="3">
        <v>108</v>
      </c>
      <c r="B109" t="s">
        <v>37</v>
      </c>
      <c r="C109" t="s">
        <v>1</v>
      </c>
      <c r="D109" t="s">
        <v>141</v>
      </c>
      <c r="E109" t="s">
        <v>124</v>
      </c>
      <c r="F109" t="s">
        <v>78</v>
      </c>
      <c r="G109" t="s">
        <v>77</v>
      </c>
      <c r="H109" t="s">
        <v>83</v>
      </c>
      <c r="I109" cm="1">
        <f t="array" ref="I109">IF(E109="2DSB", IF(H109="R1", 67, 46), IF(E109="1DSB", IF(H109="R1", 67, 46), IF(E109="2DSBanti", IF(H109="R1", 50, 47), NA))) + IF(table_1[[#This Row],[control]]="30bpDown", 30, 0)</f>
        <v>97</v>
      </c>
      <c r="J10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10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yjl266_WT_sgA_R1_cmv_30bpDown</v>
      </c>
      <c r="L109" s="2" t="str">
        <f>_xlfn.CONCAT(table_1[[#This Row],[dsb_type]],"_", table_1[[#This Row],[strand]],"_", table_1[[#This Row],[treatment]], ".fa")</f>
        <v>1DSB_R1_cmv.fa</v>
      </c>
      <c r="M109">
        <f>VLOOKUP(INT(MID(table_1[[#This Row],[library]], 4, 10)), table_1_2[#All], IF(table_1[[#This Row],[strand]]="R1", 3, 4))</f>
        <v>8096639</v>
      </c>
      <c r="N109" s="2">
        <f>IF(LEFT(table_1[[#This Row],[dsb_type]], 1) = "2", 50, 130)</f>
        <v>130</v>
      </c>
      <c r="O10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libraries_2/yjl266_WT_sgA_R1_cmv_30bpDown.tsv --min_length 130 -dsb 97 --quiet</v>
      </c>
    </row>
    <row r="110" spans="1:15" x14ac:dyDescent="0.25">
      <c r="A110" s="3">
        <v>109</v>
      </c>
      <c r="B110" t="s">
        <v>50</v>
      </c>
      <c r="C110" t="s">
        <v>14</v>
      </c>
      <c r="D110" t="s">
        <v>141</v>
      </c>
      <c r="E110" t="s">
        <v>124</v>
      </c>
      <c r="F110" t="s">
        <v>78</v>
      </c>
      <c r="G110" t="s">
        <v>75</v>
      </c>
      <c r="H110" t="s">
        <v>83</v>
      </c>
      <c r="I110" cm="1">
        <f t="array" ref="I110">IF(E110="2DSB", IF(H110="R1", 67, 46), IF(E110="1DSB", IF(H110="R1", 67, 46), IF(E110="2DSBanti", IF(H110="R1", 50, 47), NA))) + IF(table_1[[#This Row],[control]]="30bpDown", 30, 0)</f>
        <v>97</v>
      </c>
      <c r="J11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11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yjl292_KO_sgA_R1_sense_30bpDown</v>
      </c>
      <c r="L110" s="2" t="str">
        <f>_xlfn.CONCAT(table_1[[#This Row],[dsb_type]],"_", table_1[[#This Row],[strand]],"_", table_1[[#This Row],[treatment]], ".fa")</f>
        <v>1DSB_R1_sense.fa</v>
      </c>
      <c r="M110">
        <f>VLOOKUP(INT(MID(table_1[[#This Row],[library]], 4, 10)), table_1_2[#All], IF(table_1[[#This Row],[strand]]="R1", 3, 4))</f>
        <v>8597510</v>
      </c>
      <c r="N110" s="2">
        <f>IF(LEFT(table_1[[#This Row],[dsb_type]], 1) = "2", 50, 130)</f>
        <v>130</v>
      </c>
      <c r="O11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libraries_2/yjl292_KO_sgA_R1_sense_30bpDown.tsv --min_length 130 -dsb 97 --quiet</v>
      </c>
    </row>
    <row r="111" spans="1:15" x14ac:dyDescent="0.25">
      <c r="A111" s="3">
        <v>110</v>
      </c>
      <c r="B111" t="s">
        <v>51</v>
      </c>
      <c r="C111" t="s">
        <v>14</v>
      </c>
      <c r="D111" t="s">
        <v>141</v>
      </c>
      <c r="E111" t="s">
        <v>124</v>
      </c>
      <c r="F111" t="s">
        <v>78</v>
      </c>
      <c r="G111" t="s">
        <v>75</v>
      </c>
      <c r="H111" t="s">
        <v>83</v>
      </c>
      <c r="I111" cm="1">
        <f t="array" ref="I111">IF(E111="2DSB", IF(H111="R1", 67, 46), IF(E111="1DSB", IF(H111="R1", 67, 46), IF(E111="2DSBanti", IF(H111="R1", 50, 47), NA))) + IF(table_1[[#This Row],[control]]="30bpDown", 30, 0)</f>
        <v>97</v>
      </c>
      <c r="J11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11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yjl293_KO_sgA_R1_sense_30bpDown</v>
      </c>
      <c r="L111" s="2" t="str">
        <f>_xlfn.CONCAT(table_1[[#This Row],[dsb_type]],"_", table_1[[#This Row],[strand]],"_", table_1[[#This Row],[treatment]], ".fa")</f>
        <v>1DSB_R1_sense.fa</v>
      </c>
      <c r="M111">
        <f>VLOOKUP(INT(MID(table_1[[#This Row],[library]], 4, 10)), table_1_2[#All], IF(table_1[[#This Row],[strand]]="R1", 3, 4))</f>
        <v>10116623</v>
      </c>
      <c r="N111" s="2">
        <f>IF(LEFT(table_1[[#This Row],[dsb_type]], 1) = "2", 50, 130)</f>
        <v>130</v>
      </c>
      <c r="O11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libraries_2/yjl293_KO_sgA_R1_sense_30bpDown.tsv --min_length 130 -dsb 97 --quiet</v>
      </c>
    </row>
    <row r="112" spans="1:15" x14ac:dyDescent="0.25">
      <c r="A112" s="3">
        <v>111</v>
      </c>
      <c r="B112" t="s">
        <v>52</v>
      </c>
      <c r="C112" t="s">
        <v>14</v>
      </c>
      <c r="D112" t="s">
        <v>141</v>
      </c>
      <c r="E112" t="s">
        <v>124</v>
      </c>
      <c r="F112" t="s">
        <v>78</v>
      </c>
      <c r="G112" t="s">
        <v>75</v>
      </c>
      <c r="H112" t="s">
        <v>83</v>
      </c>
      <c r="I112" cm="1">
        <f t="array" ref="I112">IF(E112="2DSB", IF(H112="R1", 67, 46), IF(E112="1DSB", IF(H112="R1", 67, 46), IF(E112="2DSBanti", IF(H112="R1", 50, 47), NA))) + IF(table_1[[#This Row],[control]]="30bpDown", 30, 0)</f>
        <v>97</v>
      </c>
      <c r="J11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11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yjl294_KO_sgA_R1_sense_30bpDown</v>
      </c>
      <c r="L112" s="2" t="str">
        <f>_xlfn.CONCAT(table_1[[#This Row],[dsb_type]],"_", table_1[[#This Row],[strand]],"_", table_1[[#This Row],[treatment]], ".fa")</f>
        <v>1DSB_R1_sense.fa</v>
      </c>
      <c r="M112">
        <f>VLOOKUP(INT(MID(table_1[[#This Row],[library]], 4, 10)), table_1_2[#All], IF(table_1[[#This Row],[strand]]="R1", 3, 4))</f>
        <v>8703707</v>
      </c>
      <c r="N112" s="2">
        <f>IF(LEFT(table_1[[#This Row],[dsb_type]], 1) = "2", 50, 130)</f>
        <v>130</v>
      </c>
      <c r="O11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libraries_2/yjl294_KO_sgA_R1_sense_30bpDown.tsv --min_length 130 -dsb 97 --quiet</v>
      </c>
    </row>
    <row r="113" spans="1:15" x14ac:dyDescent="0.25">
      <c r="A113" s="3">
        <v>112</v>
      </c>
      <c r="B113" t="s">
        <v>53</v>
      </c>
      <c r="C113" t="s">
        <v>14</v>
      </c>
      <c r="D113" t="s">
        <v>141</v>
      </c>
      <c r="E113" t="s">
        <v>124</v>
      </c>
      <c r="F113" t="s">
        <v>78</v>
      </c>
      <c r="G113" t="s">
        <v>75</v>
      </c>
      <c r="H113" t="s">
        <v>83</v>
      </c>
      <c r="I113" cm="1">
        <f t="array" ref="I113">IF(E113="2DSB", IF(H113="R1", 67, 46), IF(E113="1DSB", IF(H113="R1", 67, 46), IF(E113="2DSBanti", IF(H113="R1", 50, 47), NA))) + IF(table_1[[#This Row],[control]]="30bpDown", 30, 0)</f>
        <v>97</v>
      </c>
      <c r="J11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11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yjl295_KO_sgA_R1_sense_30bpDown</v>
      </c>
      <c r="L113" s="2" t="str">
        <f>_xlfn.CONCAT(table_1[[#This Row],[dsb_type]],"_", table_1[[#This Row],[strand]],"_", table_1[[#This Row],[treatment]], ".fa")</f>
        <v>1DSB_R1_sense.fa</v>
      </c>
      <c r="M113">
        <f>VLOOKUP(INT(MID(table_1[[#This Row],[library]], 4, 10)), table_1_2[#All], IF(table_1[[#This Row],[strand]]="R1", 3, 4))</f>
        <v>9021103</v>
      </c>
      <c r="N113" s="2">
        <f>IF(LEFT(table_1[[#This Row],[dsb_type]], 1) = "2", 50, 130)</f>
        <v>130</v>
      </c>
      <c r="O11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libraries_2/yjl295_KO_sgA_R1_sense_30bpDown.tsv --min_length 130 -dsb 97 --quiet</v>
      </c>
    </row>
    <row r="114" spans="1:15" x14ac:dyDescent="0.25">
      <c r="A114" s="3">
        <v>113</v>
      </c>
      <c r="B114" t="s">
        <v>54</v>
      </c>
      <c r="C114" t="s">
        <v>14</v>
      </c>
      <c r="D114" t="s">
        <v>141</v>
      </c>
      <c r="E114" t="s">
        <v>124</v>
      </c>
      <c r="F114" t="s">
        <v>78</v>
      </c>
      <c r="G114" t="s">
        <v>76</v>
      </c>
      <c r="H114" t="s">
        <v>83</v>
      </c>
      <c r="I114" cm="1">
        <f t="array" ref="I114">IF(E114="2DSB", IF(H114="R1", 67, 46), IF(E114="1DSB", IF(H114="R1", 67, 46), IF(E114="2DSBanti", IF(H114="R1", 50, 47), NA))) + IF(table_1[[#This Row],[control]]="30bpDown", 30, 0)</f>
        <v>97</v>
      </c>
      <c r="J11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11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yjl296_KO_sgA_R1_branch_30bpDown</v>
      </c>
      <c r="L114" s="2" t="str">
        <f>_xlfn.CONCAT(table_1[[#This Row],[dsb_type]],"_", table_1[[#This Row],[strand]],"_", table_1[[#This Row],[treatment]], ".fa")</f>
        <v>1DSB_R1_branch.fa</v>
      </c>
      <c r="M114">
        <f>VLOOKUP(INT(MID(table_1[[#This Row],[library]], 4, 10)), table_1_2[#All], IF(table_1[[#This Row],[strand]]="R1", 3, 4))</f>
        <v>11021111</v>
      </c>
      <c r="N114" s="2">
        <f>IF(LEFT(table_1[[#This Row],[dsb_type]], 1) = "2", 50, 130)</f>
        <v>130</v>
      </c>
      <c r="O11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15" spans="1:15" x14ac:dyDescent="0.25">
      <c r="A115" s="3">
        <v>114</v>
      </c>
      <c r="B115" t="s">
        <v>55</v>
      </c>
      <c r="C115" t="s">
        <v>14</v>
      </c>
      <c r="D115" t="s">
        <v>141</v>
      </c>
      <c r="E115" t="s">
        <v>124</v>
      </c>
      <c r="F115" t="s">
        <v>78</v>
      </c>
      <c r="G115" t="s">
        <v>76</v>
      </c>
      <c r="H115" t="s">
        <v>83</v>
      </c>
      <c r="I115" cm="1">
        <f t="array" ref="I115">IF(E115="2DSB", IF(H115="R1", 67, 46), IF(E115="1DSB", IF(H115="R1", 67, 46), IF(E115="2DSBanti", IF(H115="R1", 50, 47), NA))) + IF(table_1[[#This Row],[control]]="30bpDown", 30, 0)</f>
        <v>97</v>
      </c>
      <c r="J11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11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yjl297_KO_sgA_R1_branch_30bpDown</v>
      </c>
      <c r="L115" s="2" t="str">
        <f>_xlfn.CONCAT(table_1[[#This Row],[dsb_type]],"_", table_1[[#This Row],[strand]],"_", table_1[[#This Row],[treatment]], ".fa")</f>
        <v>1DSB_R1_branch.fa</v>
      </c>
      <c r="M115">
        <f>VLOOKUP(INT(MID(table_1[[#This Row],[library]], 4, 10)), table_1_2[#All], IF(table_1[[#This Row],[strand]]="R1", 3, 4))</f>
        <v>11280773</v>
      </c>
      <c r="N115" s="2">
        <f>IF(LEFT(table_1[[#This Row],[dsb_type]], 1) = "2", 50, 130)</f>
        <v>130</v>
      </c>
      <c r="O11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16" spans="1:15" x14ac:dyDescent="0.25">
      <c r="A116" s="3">
        <v>115</v>
      </c>
      <c r="B116" t="s">
        <v>56</v>
      </c>
      <c r="C116" t="s">
        <v>14</v>
      </c>
      <c r="D116" t="s">
        <v>141</v>
      </c>
      <c r="E116" t="s">
        <v>124</v>
      </c>
      <c r="F116" t="s">
        <v>78</v>
      </c>
      <c r="G116" t="s">
        <v>76</v>
      </c>
      <c r="H116" t="s">
        <v>83</v>
      </c>
      <c r="I116" cm="1">
        <f t="array" ref="I116">IF(E116="2DSB", IF(H116="R1", 67, 46), IF(E116="1DSB", IF(H116="R1", 67, 46), IF(E116="2DSBanti", IF(H116="R1", 50, 47), NA))) + IF(table_1[[#This Row],[control]]="30bpDown", 30, 0)</f>
        <v>97</v>
      </c>
      <c r="J11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11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yjl298_KO_sgA_R1_branch_30bpDown</v>
      </c>
      <c r="L116" s="2" t="str">
        <f>_xlfn.CONCAT(table_1[[#This Row],[dsb_type]],"_", table_1[[#This Row],[strand]],"_", table_1[[#This Row],[treatment]], ".fa")</f>
        <v>1DSB_R1_branch.fa</v>
      </c>
      <c r="M116">
        <f>VLOOKUP(INT(MID(table_1[[#This Row],[library]], 4, 10)), table_1_2[#All], IF(table_1[[#This Row],[strand]]="R1", 3, 4))</f>
        <v>12426852</v>
      </c>
      <c r="N116" s="2">
        <f>IF(LEFT(table_1[[#This Row],[dsb_type]], 1) = "2", 50, 130)</f>
        <v>130</v>
      </c>
      <c r="O11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17" spans="1:15" x14ac:dyDescent="0.25">
      <c r="A117" s="3">
        <v>116</v>
      </c>
      <c r="B117" t="s">
        <v>57</v>
      </c>
      <c r="C117" t="s">
        <v>14</v>
      </c>
      <c r="D117" t="s">
        <v>141</v>
      </c>
      <c r="E117" t="s">
        <v>124</v>
      </c>
      <c r="F117" t="s">
        <v>78</v>
      </c>
      <c r="G117" t="s">
        <v>76</v>
      </c>
      <c r="H117" t="s">
        <v>83</v>
      </c>
      <c r="I117" cm="1">
        <f t="array" ref="I117">IF(E117="2DSB", IF(H117="R1", 67, 46), IF(E117="1DSB", IF(H117="R1", 67, 46), IF(E117="2DSBanti", IF(H117="R1", 50, 47), NA))) + IF(table_1[[#This Row],[control]]="30bpDown", 30, 0)</f>
        <v>97</v>
      </c>
      <c r="J11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11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yjl299_KO_sgA_R1_branch_30bpDown</v>
      </c>
      <c r="L117" s="2" t="str">
        <f>_xlfn.CONCAT(table_1[[#This Row],[dsb_type]],"_", table_1[[#This Row],[strand]],"_", table_1[[#This Row],[treatment]], ".fa")</f>
        <v>1DSB_R1_branch.fa</v>
      </c>
      <c r="M117">
        <f>VLOOKUP(INT(MID(table_1[[#This Row],[library]], 4, 10)), table_1_2[#All], IF(table_1[[#This Row],[strand]]="R1", 3, 4))</f>
        <v>11659042</v>
      </c>
      <c r="N117" s="2">
        <f>IF(LEFT(table_1[[#This Row],[dsb_type]], 1) = "2", 50, 130)</f>
        <v>130</v>
      </c>
      <c r="O11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18" spans="1:15" x14ac:dyDescent="0.25">
      <c r="A118" s="3">
        <v>117</v>
      </c>
      <c r="B118" t="s">
        <v>58</v>
      </c>
      <c r="C118" t="s">
        <v>14</v>
      </c>
      <c r="D118" t="s">
        <v>141</v>
      </c>
      <c r="E118" t="s">
        <v>124</v>
      </c>
      <c r="F118" t="s">
        <v>78</v>
      </c>
      <c r="G118" t="s">
        <v>77</v>
      </c>
      <c r="H118" t="s">
        <v>83</v>
      </c>
      <c r="I118" cm="1">
        <f t="array" ref="I118">IF(E118="2DSB", IF(H118="R1", 67, 46), IF(E118="1DSB", IF(H118="R1", 67, 46), IF(E118="2DSBanti", IF(H118="R1", 50, 47), NA))) + IF(table_1[[#This Row],[control]]="30bpDown", 30, 0)</f>
        <v>97</v>
      </c>
      <c r="J11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11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yjl300_KO_sgA_R1_cmv_30bpDown</v>
      </c>
      <c r="L118" s="2" t="str">
        <f>_xlfn.CONCAT(table_1[[#This Row],[dsb_type]],"_", table_1[[#This Row],[strand]],"_", table_1[[#This Row],[treatment]], ".fa")</f>
        <v>1DSB_R1_cmv.fa</v>
      </c>
      <c r="M118">
        <f>VLOOKUP(INT(MID(table_1[[#This Row],[library]], 4, 10)), table_1_2[#All], IF(table_1[[#This Row],[strand]]="R1", 3, 4))</f>
        <v>9933546</v>
      </c>
      <c r="N118" s="2">
        <f>IF(LEFT(table_1[[#This Row],[dsb_type]], 1) = "2", 50, 130)</f>
        <v>130</v>
      </c>
      <c r="O11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libraries_2/yjl300_KO_sgA_R1_cmv_30bpDown.tsv --min_length 130 -dsb 97 --quiet</v>
      </c>
    </row>
    <row r="119" spans="1:15" x14ac:dyDescent="0.25">
      <c r="A119" s="3">
        <v>118</v>
      </c>
      <c r="B119" t="s">
        <v>59</v>
      </c>
      <c r="C119" t="s">
        <v>14</v>
      </c>
      <c r="D119" t="s">
        <v>141</v>
      </c>
      <c r="E119" t="s">
        <v>124</v>
      </c>
      <c r="F119" t="s">
        <v>78</v>
      </c>
      <c r="G119" t="s">
        <v>77</v>
      </c>
      <c r="H119" t="s">
        <v>83</v>
      </c>
      <c r="I119" cm="1">
        <f t="array" ref="I119">IF(E119="2DSB", IF(H119="R1", 67, 46), IF(E119="1DSB", IF(H119="R1", 67, 46), IF(E119="2DSBanti", IF(H119="R1", 50, 47), NA))) + IF(table_1[[#This Row],[control]]="30bpDown", 30, 0)</f>
        <v>97</v>
      </c>
      <c r="J11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11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yjl301_KO_sgA_R1_cmv_30bpDown</v>
      </c>
      <c r="L119" s="2" t="str">
        <f>_xlfn.CONCAT(table_1[[#This Row],[dsb_type]],"_", table_1[[#This Row],[strand]],"_", table_1[[#This Row],[treatment]], ".fa")</f>
        <v>1DSB_R1_cmv.fa</v>
      </c>
      <c r="M119">
        <f>VLOOKUP(INT(MID(table_1[[#This Row],[library]], 4, 10)), table_1_2[#All], IF(table_1[[#This Row],[strand]]="R1", 3, 4))</f>
        <v>10351309</v>
      </c>
      <c r="N119" s="2">
        <f>IF(LEFT(table_1[[#This Row],[dsb_type]], 1) = "2", 50, 130)</f>
        <v>130</v>
      </c>
      <c r="O11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libraries_2/yjl301_KO_sgA_R1_cmv_30bpDown.tsv --min_length 130 -dsb 97 --quiet</v>
      </c>
    </row>
    <row r="120" spans="1:15" x14ac:dyDescent="0.25">
      <c r="A120" s="3">
        <v>119</v>
      </c>
      <c r="B120" t="s">
        <v>60</v>
      </c>
      <c r="C120" t="s">
        <v>14</v>
      </c>
      <c r="D120" t="s">
        <v>141</v>
      </c>
      <c r="E120" t="s">
        <v>124</v>
      </c>
      <c r="F120" t="s">
        <v>78</v>
      </c>
      <c r="G120" t="s">
        <v>77</v>
      </c>
      <c r="H120" t="s">
        <v>83</v>
      </c>
      <c r="I120" cm="1">
        <f t="array" ref="I120">IF(E120="2DSB", IF(H120="R1", 67, 46), IF(E120="1DSB", IF(H120="R1", 67, 46), IF(E120="2DSBanti", IF(H120="R1", 50, 47), NA))) + IF(table_1[[#This Row],[control]]="30bpDown", 30, 0)</f>
        <v>97</v>
      </c>
      <c r="J12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12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yjl302_KO_sgA_R1_cmv_30bpDown</v>
      </c>
      <c r="L120" s="2" t="str">
        <f>_xlfn.CONCAT(table_1[[#This Row],[dsb_type]],"_", table_1[[#This Row],[strand]],"_", table_1[[#This Row],[treatment]], ".fa")</f>
        <v>1DSB_R1_cmv.fa</v>
      </c>
      <c r="M120">
        <f>VLOOKUP(INT(MID(table_1[[#This Row],[library]], 4, 10)), table_1_2[#All], IF(table_1[[#This Row],[strand]]="R1", 3, 4))</f>
        <v>9388188</v>
      </c>
      <c r="N120" s="2">
        <f>IF(LEFT(table_1[[#This Row],[dsb_type]], 1) = "2", 50, 130)</f>
        <v>130</v>
      </c>
      <c r="O12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libraries_2/yjl302_KO_sgA_R1_cmv_30bpDown.tsv --min_length 130 -dsb 97 --quiet</v>
      </c>
    </row>
    <row r="121" spans="1:15" x14ac:dyDescent="0.25">
      <c r="A121" s="3">
        <v>120</v>
      </c>
      <c r="B121" t="s">
        <v>61</v>
      </c>
      <c r="C121" t="s">
        <v>14</v>
      </c>
      <c r="D121" t="s">
        <v>141</v>
      </c>
      <c r="E121" t="s">
        <v>124</v>
      </c>
      <c r="F121" t="s">
        <v>78</v>
      </c>
      <c r="G121" t="s">
        <v>77</v>
      </c>
      <c r="H121" t="s">
        <v>83</v>
      </c>
      <c r="I121" cm="1">
        <f t="array" ref="I121">IF(E121="2DSB", IF(H121="R1", 67, 46), IF(E121="1DSB", IF(H121="R1", 67, 46), IF(E121="2DSBanti", IF(H121="R1", 50, 47), NA))) + IF(table_1[[#This Row],[control]]="30bpDown", 30, 0)</f>
        <v>97</v>
      </c>
      <c r="J12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12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yjl303_KO_sgA_R1_cmv_30bpDown</v>
      </c>
      <c r="L121" s="2" t="str">
        <f>_xlfn.CONCAT(table_1[[#This Row],[dsb_type]],"_", table_1[[#This Row],[strand]],"_", table_1[[#This Row],[treatment]], ".fa")</f>
        <v>1DSB_R1_cmv.fa</v>
      </c>
      <c r="M121">
        <f>VLOOKUP(INT(MID(table_1[[#This Row],[library]], 4, 10)), table_1_2[#All], IF(table_1[[#This Row],[strand]]="R1", 3, 4))</f>
        <v>8668198</v>
      </c>
      <c r="N121" s="2">
        <f>IF(LEFT(table_1[[#This Row],[dsb_type]], 1) = "2", 50, 130)</f>
        <v>130</v>
      </c>
      <c r="O12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libraries_2/yjl303_KO_sgA_R1_cmv_30bpDown.tsv --min_length 130 -dsb 97 --quiet</v>
      </c>
    </row>
    <row r="122" spans="1:15" x14ac:dyDescent="0.25">
      <c r="A122" s="3">
        <v>121</v>
      </c>
      <c r="B122" t="s">
        <v>38</v>
      </c>
      <c r="C122" t="s">
        <v>1</v>
      </c>
      <c r="D122" t="s">
        <v>141</v>
      </c>
      <c r="E122" t="s">
        <v>124</v>
      </c>
      <c r="F122" t="s">
        <v>79</v>
      </c>
      <c r="G122" t="s">
        <v>75</v>
      </c>
      <c r="H122" t="s">
        <v>84</v>
      </c>
      <c r="I122" cm="1">
        <f t="array" ref="I122">IF(E122="2DSB", IF(H122="R1", 67, 46), IF(E122="1DSB", IF(H122="R1", 67, 46), IF(E122="2DSBanti", IF(H122="R1", 50, 47), NA))) + IF(table_1[[#This Row],[control]]="30bpDown", 30, 0)</f>
        <v>76</v>
      </c>
      <c r="J12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12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yjl267_WT_sgB_R2_sense_30bpDown</v>
      </c>
      <c r="L122" s="2" t="str">
        <f>_xlfn.CONCAT(table_1[[#This Row],[dsb_type]],"_", table_1[[#This Row],[strand]],"_", table_1[[#This Row],[treatment]], ".fa")</f>
        <v>1DSB_R2_sense.fa</v>
      </c>
      <c r="M122">
        <f>VLOOKUP(INT(MID(table_1[[#This Row],[library]], 4, 10)), table_1_2[#All], IF(table_1[[#This Row],[strand]]="R1", 3, 4))</f>
        <v>7137355</v>
      </c>
      <c r="N122" s="2">
        <f>IF(LEFT(table_1[[#This Row],[dsb_type]], 1) = "2", 50, 130)</f>
        <v>130</v>
      </c>
      <c r="O12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libraries_2/yjl267_WT_sgB_R2_sense_30bpDown.tsv --min_length 130 -dsb 76 --quiet</v>
      </c>
    </row>
    <row r="123" spans="1:15" x14ac:dyDescent="0.25">
      <c r="A123" s="3">
        <v>122</v>
      </c>
      <c r="B123" t="s">
        <v>39</v>
      </c>
      <c r="C123" t="s">
        <v>1</v>
      </c>
      <c r="D123" t="s">
        <v>141</v>
      </c>
      <c r="E123" t="s">
        <v>124</v>
      </c>
      <c r="F123" t="s">
        <v>79</v>
      </c>
      <c r="G123" t="s">
        <v>75</v>
      </c>
      <c r="H123" t="s">
        <v>84</v>
      </c>
      <c r="I123" cm="1">
        <f t="array" ref="I123">IF(E123="2DSB", IF(H123="R1", 67, 46), IF(E123="1DSB", IF(H123="R1", 67, 46), IF(E123="2DSBanti", IF(H123="R1", 50, 47), NA))) + IF(table_1[[#This Row],[control]]="30bpDown", 30, 0)</f>
        <v>76</v>
      </c>
      <c r="J12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12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yjl268_WT_sgB_R2_sense_30bpDown</v>
      </c>
      <c r="L123" s="2" t="str">
        <f>_xlfn.CONCAT(table_1[[#This Row],[dsb_type]],"_", table_1[[#This Row],[strand]],"_", table_1[[#This Row],[treatment]], ".fa")</f>
        <v>1DSB_R2_sense.fa</v>
      </c>
      <c r="M123">
        <f>VLOOKUP(INT(MID(table_1[[#This Row],[library]], 4, 10)), table_1_2[#All], IF(table_1[[#This Row],[strand]]="R1", 3, 4))</f>
        <v>6618133</v>
      </c>
      <c r="N123" s="2">
        <f>IF(LEFT(table_1[[#This Row],[dsb_type]], 1) = "2", 50, 130)</f>
        <v>130</v>
      </c>
      <c r="O12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libraries_2/yjl268_WT_sgB_R2_sense_30bpDown.tsv --min_length 130 -dsb 76 --quiet</v>
      </c>
    </row>
    <row r="124" spans="1:15" x14ac:dyDescent="0.25">
      <c r="A124" s="3">
        <v>123</v>
      </c>
      <c r="B124" t="s">
        <v>40</v>
      </c>
      <c r="C124" t="s">
        <v>1</v>
      </c>
      <c r="D124" t="s">
        <v>141</v>
      </c>
      <c r="E124" t="s">
        <v>124</v>
      </c>
      <c r="F124" t="s">
        <v>79</v>
      </c>
      <c r="G124" t="s">
        <v>75</v>
      </c>
      <c r="H124" t="s">
        <v>84</v>
      </c>
      <c r="I124" cm="1">
        <f t="array" ref="I124">IF(E124="2DSB", IF(H124="R1", 67, 46), IF(E124="1DSB", IF(H124="R1", 67, 46), IF(E124="2DSBanti", IF(H124="R1", 50, 47), NA))) + IF(table_1[[#This Row],[control]]="30bpDown", 30, 0)</f>
        <v>76</v>
      </c>
      <c r="J12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12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yjl269_WT_sgB_R2_sense_30bpDown</v>
      </c>
      <c r="L124" s="2" t="str">
        <f>_xlfn.CONCAT(table_1[[#This Row],[dsb_type]],"_", table_1[[#This Row],[strand]],"_", table_1[[#This Row],[treatment]], ".fa")</f>
        <v>1DSB_R2_sense.fa</v>
      </c>
      <c r="M124">
        <f>VLOOKUP(INT(MID(table_1[[#This Row],[library]], 4, 10)), table_1_2[#All], IF(table_1[[#This Row],[strand]]="R1", 3, 4))</f>
        <v>8227882</v>
      </c>
      <c r="N124" s="2">
        <f>IF(LEFT(table_1[[#This Row],[dsb_type]], 1) = "2", 50, 130)</f>
        <v>130</v>
      </c>
      <c r="O12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libraries_2/yjl269_WT_sgB_R2_sense_30bpDown.tsv --min_length 130 -dsb 76 --quiet</v>
      </c>
    </row>
    <row r="125" spans="1:15" x14ac:dyDescent="0.25">
      <c r="A125" s="3">
        <v>124</v>
      </c>
      <c r="B125" t="s">
        <v>41</v>
      </c>
      <c r="C125" t="s">
        <v>1</v>
      </c>
      <c r="D125" t="s">
        <v>141</v>
      </c>
      <c r="E125" t="s">
        <v>124</v>
      </c>
      <c r="F125" t="s">
        <v>79</v>
      </c>
      <c r="G125" t="s">
        <v>75</v>
      </c>
      <c r="H125" t="s">
        <v>84</v>
      </c>
      <c r="I125" cm="1">
        <f t="array" ref="I125">IF(E125="2DSB", IF(H125="R1", 67, 46), IF(E125="1DSB", IF(H125="R1", 67, 46), IF(E125="2DSBanti", IF(H125="R1", 50, 47), NA))) + IF(table_1[[#This Row],[control]]="30bpDown", 30, 0)</f>
        <v>76</v>
      </c>
      <c r="J12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12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yjl270_WT_sgB_R2_sense_30bpDown</v>
      </c>
      <c r="L125" s="2" t="str">
        <f>_xlfn.CONCAT(table_1[[#This Row],[dsb_type]],"_", table_1[[#This Row],[strand]],"_", table_1[[#This Row],[treatment]], ".fa")</f>
        <v>1DSB_R2_sense.fa</v>
      </c>
      <c r="M125">
        <f>VLOOKUP(INT(MID(table_1[[#This Row],[library]], 4, 10)), table_1_2[#All], IF(table_1[[#This Row],[strand]]="R1", 3, 4))</f>
        <v>7238408</v>
      </c>
      <c r="N125" s="2">
        <f>IF(LEFT(table_1[[#This Row],[dsb_type]], 1) = "2", 50, 130)</f>
        <v>130</v>
      </c>
      <c r="O12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libraries_2/yjl270_WT_sgB_R2_sense_30bpDown.tsv --min_length 130 -dsb 76 --quiet</v>
      </c>
    </row>
    <row r="126" spans="1:15" x14ac:dyDescent="0.25">
      <c r="A126" s="3">
        <v>125</v>
      </c>
      <c r="B126" t="s">
        <v>42</v>
      </c>
      <c r="C126" t="s">
        <v>1</v>
      </c>
      <c r="D126" t="s">
        <v>141</v>
      </c>
      <c r="E126" t="s">
        <v>124</v>
      </c>
      <c r="F126" t="s">
        <v>79</v>
      </c>
      <c r="G126" t="s">
        <v>76</v>
      </c>
      <c r="H126" t="s">
        <v>84</v>
      </c>
      <c r="I126" cm="1">
        <f t="array" ref="I126">IF(E126="2DSB", IF(H126="R1", 67, 46), IF(E126="1DSB", IF(H126="R1", 67, 46), IF(E126="2DSBanti", IF(H126="R1", 50, 47), NA))) + IF(table_1[[#This Row],[control]]="30bpDown", 30, 0)</f>
        <v>76</v>
      </c>
      <c r="J12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12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yjl271_WT_sgB_R2_branch_30bpDown</v>
      </c>
      <c r="L126" s="2" t="str">
        <f>_xlfn.CONCAT(table_1[[#This Row],[dsb_type]],"_", table_1[[#This Row],[strand]],"_", table_1[[#This Row],[treatment]], ".fa")</f>
        <v>1DSB_R2_branch.fa</v>
      </c>
      <c r="M126">
        <f>VLOOKUP(INT(MID(table_1[[#This Row],[library]], 4, 10)), table_1_2[#All], IF(table_1[[#This Row],[strand]]="R1", 3, 4))</f>
        <v>9524548</v>
      </c>
      <c r="N126" s="2">
        <f>IF(LEFT(table_1[[#This Row],[dsb_type]], 1) = "2", 50, 130)</f>
        <v>130</v>
      </c>
      <c r="O12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27" spans="1:15" x14ac:dyDescent="0.25">
      <c r="A127" s="3">
        <v>126</v>
      </c>
      <c r="B127" t="s">
        <v>43</v>
      </c>
      <c r="C127" t="s">
        <v>1</v>
      </c>
      <c r="D127" t="s">
        <v>141</v>
      </c>
      <c r="E127" t="s">
        <v>124</v>
      </c>
      <c r="F127" t="s">
        <v>79</v>
      </c>
      <c r="G127" t="s">
        <v>76</v>
      </c>
      <c r="H127" t="s">
        <v>84</v>
      </c>
      <c r="I127" cm="1">
        <f t="array" ref="I127">IF(E127="2DSB", IF(H127="R1", 67, 46), IF(E127="1DSB", IF(H127="R1", 67, 46), IF(E127="2DSBanti", IF(H127="R1", 50, 47), NA))) + IF(table_1[[#This Row],[control]]="30bpDown", 30, 0)</f>
        <v>76</v>
      </c>
      <c r="J12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12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yjl272_WT_sgB_R2_branch_30bpDown</v>
      </c>
      <c r="L127" s="2" t="str">
        <f>_xlfn.CONCAT(table_1[[#This Row],[dsb_type]],"_", table_1[[#This Row],[strand]],"_", table_1[[#This Row],[treatment]], ".fa")</f>
        <v>1DSB_R2_branch.fa</v>
      </c>
      <c r="M127">
        <f>VLOOKUP(INT(MID(table_1[[#This Row],[library]], 4, 10)), table_1_2[#All], IF(table_1[[#This Row],[strand]]="R1", 3, 4))</f>
        <v>10125834</v>
      </c>
      <c r="N127" s="2">
        <f>IF(LEFT(table_1[[#This Row],[dsb_type]], 1) = "2", 50, 130)</f>
        <v>130</v>
      </c>
      <c r="O12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28" spans="1:15" x14ac:dyDescent="0.25">
      <c r="A128" s="3">
        <v>127</v>
      </c>
      <c r="B128" t="s">
        <v>44</v>
      </c>
      <c r="C128" t="s">
        <v>1</v>
      </c>
      <c r="D128" t="s">
        <v>141</v>
      </c>
      <c r="E128" t="s">
        <v>124</v>
      </c>
      <c r="F128" t="s">
        <v>79</v>
      </c>
      <c r="G128" t="s">
        <v>76</v>
      </c>
      <c r="H128" t="s">
        <v>84</v>
      </c>
      <c r="I128" cm="1">
        <f t="array" ref="I128">IF(E128="2DSB", IF(H128="R1", 67, 46), IF(E128="1DSB", IF(H128="R1", 67, 46), IF(E128="2DSBanti", IF(H128="R1", 50, 47), NA))) + IF(table_1[[#This Row],[control]]="30bpDown", 30, 0)</f>
        <v>76</v>
      </c>
      <c r="J12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12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yjl273_WT_sgB_R2_branch_30bpDown</v>
      </c>
      <c r="L128" s="2" t="str">
        <f>_xlfn.CONCAT(table_1[[#This Row],[dsb_type]],"_", table_1[[#This Row],[strand]],"_", table_1[[#This Row],[treatment]], ".fa")</f>
        <v>1DSB_R2_branch.fa</v>
      </c>
      <c r="M128">
        <f>VLOOKUP(INT(MID(table_1[[#This Row],[library]], 4, 10)), table_1_2[#All], IF(table_1[[#This Row],[strand]]="R1", 3, 4))</f>
        <v>10173904</v>
      </c>
      <c r="N128" s="2">
        <f>IF(LEFT(table_1[[#This Row],[dsb_type]], 1) = "2", 50, 130)</f>
        <v>130</v>
      </c>
      <c r="O12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29" spans="1:15" x14ac:dyDescent="0.25">
      <c r="A129" s="3">
        <v>128</v>
      </c>
      <c r="B129" t="s">
        <v>45</v>
      </c>
      <c r="C129" t="s">
        <v>1</v>
      </c>
      <c r="D129" t="s">
        <v>141</v>
      </c>
      <c r="E129" t="s">
        <v>124</v>
      </c>
      <c r="F129" t="s">
        <v>79</v>
      </c>
      <c r="G129" t="s">
        <v>76</v>
      </c>
      <c r="H129" t="s">
        <v>84</v>
      </c>
      <c r="I129" cm="1">
        <f t="array" ref="I129">IF(E129="2DSB", IF(H129="R1", 67, 46), IF(E129="1DSB", IF(H129="R1", 67, 46), IF(E129="2DSBanti", IF(H129="R1", 50, 47), NA))) + IF(table_1[[#This Row],[control]]="30bpDown", 30, 0)</f>
        <v>76</v>
      </c>
      <c r="J12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12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yjl274_WT_sgB_R2_branch_30bpDown</v>
      </c>
      <c r="L129" s="2" t="str">
        <f>_xlfn.CONCAT(table_1[[#This Row],[dsb_type]],"_", table_1[[#This Row],[strand]],"_", table_1[[#This Row],[treatment]], ".fa")</f>
        <v>1DSB_R2_branch.fa</v>
      </c>
      <c r="M129">
        <f>VLOOKUP(INT(MID(table_1[[#This Row],[library]], 4, 10)), table_1_2[#All], IF(table_1[[#This Row],[strand]]="R1", 3, 4))</f>
        <v>9525100</v>
      </c>
      <c r="N129" s="2">
        <f>IF(LEFT(table_1[[#This Row],[dsb_type]], 1) = "2", 50, 130)</f>
        <v>130</v>
      </c>
      <c r="O12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0" spans="1:15" x14ac:dyDescent="0.25">
      <c r="A130" s="3">
        <v>129</v>
      </c>
      <c r="B130" t="s">
        <v>46</v>
      </c>
      <c r="C130" t="s">
        <v>1</v>
      </c>
      <c r="D130" t="s">
        <v>141</v>
      </c>
      <c r="E130" t="s">
        <v>124</v>
      </c>
      <c r="F130" t="s">
        <v>79</v>
      </c>
      <c r="G130" t="s">
        <v>77</v>
      </c>
      <c r="H130" t="s">
        <v>84</v>
      </c>
      <c r="I130" cm="1">
        <f t="array" ref="I130">IF(E130="2DSB", IF(H130="R1", 67, 46), IF(E130="1DSB", IF(H130="R1", 67, 46), IF(E130="2DSBanti", IF(H130="R1", 50, 47), NA))) + IF(table_1[[#This Row],[control]]="30bpDown", 30, 0)</f>
        <v>76</v>
      </c>
      <c r="J13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13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yjl275_WT_sgB_R2_cmv_30bpDown</v>
      </c>
      <c r="L130" s="2" t="str">
        <f>_xlfn.CONCAT(table_1[[#This Row],[dsb_type]],"_", table_1[[#This Row],[strand]],"_", table_1[[#This Row],[treatment]], ".fa")</f>
        <v>1DSB_R2_cmv.fa</v>
      </c>
      <c r="M130">
        <f>VLOOKUP(INT(MID(table_1[[#This Row],[library]], 4, 10)), table_1_2[#All], IF(table_1[[#This Row],[strand]]="R1", 3, 4))</f>
        <v>7280860</v>
      </c>
      <c r="N130" s="2">
        <f>IF(LEFT(table_1[[#This Row],[dsb_type]], 1) = "2", 50, 130)</f>
        <v>130</v>
      </c>
      <c r="O13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libraries_2/yjl275_WT_sgB_R2_cmv_30bpDown.tsv --min_length 130 -dsb 76 --quiet</v>
      </c>
    </row>
    <row r="131" spans="1:15" x14ac:dyDescent="0.25">
      <c r="A131" s="3">
        <v>130</v>
      </c>
      <c r="B131" t="s">
        <v>47</v>
      </c>
      <c r="C131" t="s">
        <v>1</v>
      </c>
      <c r="D131" t="s">
        <v>141</v>
      </c>
      <c r="E131" t="s">
        <v>124</v>
      </c>
      <c r="F131" t="s">
        <v>79</v>
      </c>
      <c r="G131" t="s">
        <v>77</v>
      </c>
      <c r="H131" t="s">
        <v>84</v>
      </c>
      <c r="I131" cm="1">
        <f t="array" ref="I131">IF(E131="2DSB", IF(H131="R1", 67, 46), IF(E131="1DSB", IF(H131="R1", 67, 46), IF(E131="2DSBanti", IF(H131="R1", 50, 47), NA))) + IF(table_1[[#This Row],[control]]="30bpDown", 30, 0)</f>
        <v>76</v>
      </c>
      <c r="J13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13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yjl276_WT_sgB_R2_cmv_30bpDown</v>
      </c>
      <c r="L131" s="2" t="str">
        <f>_xlfn.CONCAT(table_1[[#This Row],[dsb_type]],"_", table_1[[#This Row],[strand]],"_", table_1[[#This Row],[treatment]], ".fa")</f>
        <v>1DSB_R2_cmv.fa</v>
      </c>
      <c r="M131">
        <f>VLOOKUP(INT(MID(table_1[[#This Row],[library]], 4, 10)), table_1_2[#All], IF(table_1[[#This Row],[strand]]="R1", 3, 4))</f>
        <v>6872217</v>
      </c>
      <c r="N131" s="2">
        <f>IF(LEFT(table_1[[#This Row],[dsb_type]], 1) = "2", 50, 130)</f>
        <v>130</v>
      </c>
      <c r="O13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libraries_2/yjl276_WT_sgB_R2_cmv_30bpDown.tsv --min_length 130 -dsb 76 --quiet</v>
      </c>
    </row>
    <row r="132" spans="1:15" x14ac:dyDescent="0.25">
      <c r="A132" s="3">
        <v>131</v>
      </c>
      <c r="B132" t="s">
        <v>48</v>
      </c>
      <c r="C132" t="s">
        <v>1</v>
      </c>
      <c r="D132" t="s">
        <v>141</v>
      </c>
      <c r="E132" t="s">
        <v>124</v>
      </c>
      <c r="F132" t="s">
        <v>79</v>
      </c>
      <c r="G132" t="s">
        <v>77</v>
      </c>
      <c r="H132" t="s">
        <v>84</v>
      </c>
      <c r="I132" cm="1">
        <f t="array" ref="I132">IF(E132="2DSB", IF(H132="R1", 67, 46), IF(E132="1DSB", IF(H132="R1", 67, 46), IF(E132="2DSBanti", IF(H132="R1", 50, 47), NA))) + IF(table_1[[#This Row],[control]]="30bpDown", 30, 0)</f>
        <v>76</v>
      </c>
      <c r="J13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13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yjl277_WT_sgB_R2_cmv_30bpDown</v>
      </c>
      <c r="L132" s="2" t="str">
        <f>_xlfn.CONCAT(table_1[[#This Row],[dsb_type]],"_", table_1[[#This Row],[strand]],"_", table_1[[#This Row],[treatment]], ".fa")</f>
        <v>1DSB_R2_cmv.fa</v>
      </c>
      <c r="M132">
        <f>VLOOKUP(INT(MID(table_1[[#This Row],[library]], 4, 10)), table_1_2[#All], IF(table_1[[#This Row],[strand]]="R1", 3, 4))</f>
        <v>6847531</v>
      </c>
      <c r="N132" s="2">
        <f>IF(LEFT(table_1[[#This Row],[dsb_type]], 1) = "2", 50, 130)</f>
        <v>130</v>
      </c>
      <c r="O13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libraries_2/yjl277_WT_sgB_R2_cmv_30bpDown.tsv --min_length 130 -dsb 76 --quiet</v>
      </c>
    </row>
    <row r="133" spans="1:15" x14ac:dyDescent="0.25">
      <c r="A133" s="3">
        <v>132</v>
      </c>
      <c r="B133" t="s">
        <v>49</v>
      </c>
      <c r="C133" t="s">
        <v>1</v>
      </c>
      <c r="D133" t="s">
        <v>141</v>
      </c>
      <c r="E133" t="s">
        <v>124</v>
      </c>
      <c r="F133" t="s">
        <v>79</v>
      </c>
      <c r="G133" t="s">
        <v>77</v>
      </c>
      <c r="H133" t="s">
        <v>84</v>
      </c>
      <c r="I133" cm="1">
        <f t="array" ref="I133">IF(E133="2DSB", IF(H133="R1", 67, 46), IF(E133="1DSB", IF(H133="R1", 67, 46), IF(E133="2DSBanti", IF(H133="R1", 50, 47), NA))) + IF(table_1[[#This Row],[control]]="30bpDown", 30, 0)</f>
        <v>76</v>
      </c>
      <c r="J13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13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yjl278_WT_sgB_R2_cmv_30bpDown</v>
      </c>
      <c r="L133" s="2" t="str">
        <f>_xlfn.CONCAT(table_1[[#This Row],[dsb_type]],"_", table_1[[#This Row],[strand]],"_", table_1[[#This Row],[treatment]], ".fa")</f>
        <v>1DSB_R2_cmv.fa</v>
      </c>
      <c r="M133">
        <f>VLOOKUP(INT(MID(table_1[[#This Row],[library]], 4, 10)), table_1_2[#All], IF(table_1[[#This Row],[strand]]="R1", 3, 4))</f>
        <v>7081713</v>
      </c>
      <c r="N133" s="2">
        <f>IF(LEFT(table_1[[#This Row],[dsb_type]], 1) = "2", 50, 130)</f>
        <v>130</v>
      </c>
      <c r="O13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libraries_2/yjl278_WT_sgB_R2_cmv_30bpDown.tsv --min_length 130 -dsb 76 --quiet</v>
      </c>
    </row>
    <row r="134" spans="1:15" x14ac:dyDescent="0.25">
      <c r="A134" s="3">
        <v>133</v>
      </c>
      <c r="B134" t="s">
        <v>62</v>
      </c>
      <c r="C134" t="s">
        <v>14</v>
      </c>
      <c r="D134" t="s">
        <v>141</v>
      </c>
      <c r="E134" t="s">
        <v>124</v>
      </c>
      <c r="F134" t="s">
        <v>79</v>
      </c>
      <c r="G134" t="s">
        <v>75</v>
      </c>
      <c r="H134" t="s">
        <v>84</v>
      </c>
      <c r="I134" cm="1">
        <f t="array" ref="I134">IF(E134="2DSB", IF(H134="R1", 67, 46), IF(E134="1DSB", IF(H134="R1", 67, 46), IF(E134="2DSBanti", IF(H134="R1", 50, 47), NA))) + IF(table_1[[#This Row],[control]]="30bpDown", 30, 0)</f>
        <v>76</v>
      </c>
      <c r="J13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13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yjl304_KO_sgB_R2_sense_30bpDown</v>
      </c>
      <c r="L134" s="2" t="str">
        <f>_xlfn.CONCAT(table_1[[#This Row],[dsb_type]],"_", table_1[[#This Row],[strand]],"_", table_1[[#This Row],[treatment]], ".fa")</f>
        <v>1DSB_R2_sense.fa</v>
      </c>
      <c r="M134">
        <f>VLOOKUP(INT(MID(table_1[[#This Row],[library]], 4, 10)), table_1_2[#All], IF(table_1[[#This Row],[strand]]="R1", 3, 4))</f>
        <v>6494964</v>
      </c>
      <c r="N134" s="2">
        <f>IF(LEFT(table_1[[#This Row],[dsb_type]], 1) = "2", 50, 130)</f>
        <v>130</v>
      </c>
      <c r="O13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libraries_2/yjl304_KO_sgB_R2_sense_30bpDown.tsv --min_length 130 -dsb 76 --quiet</v>
      </c>
    </row>
    <row r="135" spans="1:15" x14ac:dyDescent="0.25">
      <c r="A135" s="3">
        <v>134</v>
      </c>
      <c r="B135" t="s">
        <v>63</v>
      </c>
      <c r="C135" t="s">
        <v>14</v>
      </c>
      <c r="D135" t="s">
        <v>141</v>
      </c>
      <c r="E135" t="s">
        <v>124</v>
      </c>
      <c r="F135" t="s">
        <v>79</v>
      </c>
      <c r="G135" t="s">
        <v>75</v>
      </c>
      <c r="H135" t="s">
        <v>84</v>
      </c>
      <c r="I135" cm="1">
        <f t="array" ref="I135">IF(E135="2DSB", IF(H135="R1", 67, 46), IF(E135="1DSB", IF(H135="R1", 67, 46), IF(E135="2DSBanti", IF(H135="R1", 50, 47), NA))) + IF(table_1[[#This Row],[control]]="30bpDown", 30, 0)</f>
        <v>76</v>
      </c>
      <c r="J13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13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yjl305_KO_sgB_R2_sense_30bpDown</v>
      </c>
      <c r="L135" s="2" t="str">
        <f>_xlfn.CONCAT(table_1[[#This Row],[dsb_type]],"_", table_1[[#This Row],[strand]],"_", table_1[[#This Row],[treatment]], ".fa")</f>
        <v>1DSB_R2_sense.fa</v>
      </c>
      <c r="M135">
        <f>VLOOKUP(INT(MID(table_1[[#This Row],[library]], 4, 10)), table_1_2[#All], IF(table_1[[#This Row],[strand]]="R1", 3, 4))</f>
        <v>7011524</v>
      </c>
      <c r="N135" s="2">
        <f>IF(LEFT(table_1[[#This Row],[dsb_type]], 1) = "2", 50, 130)</f>
        <v>130</v>
      </c>
      <c r="O13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libraries_2/yjl305_KO_sgB_R2_sense_30bpDown.tsv --min_length 130 -dsb 76 --quiet</v>
      </c>
    </row>
    <row r="136" spans="1:15" x14ac:dyDescent="0.25">
      <c r="A136" s="3">
        <v>135</v>
      </c>
      <c r="B136" t="s">
        <v>64</v>
      </c>
      <c r="C136" t="s">
        <v>14</v>
      </c>
      <c r="D136" t="s">
        <v>141</v>
      </c>
      <c r="E136" t="s">
        <v>124</v>
      </c>
      <c r="F136" t="s">
        <v>79</v>
      </c>
      <c r="G136" t="s">
        <v>75</v>
      </c>
      <c r="H136" t="s">
        <v>84</v>
      </c>
      <c r="I136" cm="1">
        <f t="array" ref="I136">IF(E136="2DSB", IF(H136="R1", 67, 46), IF(E136="1DSB", IF(H136="R1", 67, 46), IF(E136="2DSBanti", IF(H136="R1", 50, 47), NA))) + IF(table_1[[#This Row],[control]]="30bpDown", 30, 0)</f>
        <v>76</v>
      </c>
      <c r="J13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13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yjl306_KO_sgB_R2_sense_30bpDown</v>
      </c>
      <c r="L136" s="2" t="str">
        <f>_xlfn.CONCAT(table_1[[#This Row],[dsb_type]],"_", table_1[[#This Row],[strand]],"_", table_1[[#This Row],[treatment]], ".fa")</f>
        <v>1DSB_R2_sense.fa</v>
      </c>
      <c r="M136">
        <f>VLOOKUP(INT(MID(table_1[[#This Row],[library]], 4, 10)), table_1_2[#All], IF(table_1[[#This Row],[strand]]="R1", 3, 4))</f>
        <v>7131423</v>
      </c>
      <c r="N136" s="2">
        <f>IF(LEFT(table_1[[#This Row],[dsb_type]], 1) = "2", 50, 130)</f>
        <v>130</v>
      </c>
      <c r="O13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libraries_2/yjl306_KO_sgB_R2_sense_30bpDown.tsv --min_length 130 -dsb 76 --quiet</v>
      </c>
    </row>
    <row r="137" spans="1:15" x14ac:dyDescent="0.25">
      <c r="A137" s="3">
        <v>136</v>
      </c>
      <c r="B137" t="s">
        <v>65</v>
      </c>
      <c r="C137" t="s">
        <v>14</v>
      </c>
      <c r="D137" t="s">
        <v>141</v>
      </c>
      <c r="E137" t="s">
        <v>124</v>
      </c>
      <c r="F137" t="s">
        <v>79</v>
      </c>
      <c r="G137" t="s">
        <v>75</v>
      </c>
      <c r="H137" t="s">
        <v>84</v>
      </c>
      <c r="I137" cm="1">
        <f t="array" ref="I137">IF(E137="2DSB", IF(H137="R1", 67, 46), IF(E137="1DSB", IF(H137="R1", 67, 46), IF(E137="2DSBanti", IF(H137="R1", 50, 47), NA))) + IF(table_1[[#This Row],[control]]="30bpDown", 30, 0)</f>
        <v>76</v>
      </c>
      <c r="J13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13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yjl307_KO_sgB_R2_sense_30bpDown</v>
      </c>
      <c r="L137" s="2" t="str">
        <f>_xlfn.CONCAT(table_1[[#This Row],[dsb_type]],"_", table_1[[#This Row],[strand]],"_", table_1[[#This Row],[treatment]], ".fa")</f>
        <v>1DSB_R2_sense.fa</v>
      </c>
      <c r="M137">
        <f>VLOOKUP(INT(MID(table_1[[#This Row],[library]], 4, 10)), table_1_2[#All], IF(table_1[[#This Row],[strand]]="R1", 3, 4))</f>
        <v>6545416</v>
      </c>
      <c r="N137" s="2">
        <f>IF(LEFT(table_1[[#This Row],[dsb_type]], 1) = "2", 50, 130)</f>
        <v>130</v>
      </c>
      <c r="O13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libraries_2/yjl307_KO_sgB_R2_sense_30bpDown.tsv --min_length 130 -dsb 76 --quiet</v>
      </c>
    </row>
    <row r="138" spans="1:15" x14ac:dyDescent="0.25">
      <c r="A138" s="3">
        <v>137</v>
      </c>
      <c r="B138" t="s">
        <v>66</v>
      </c>
      <c r="C138" t="s">
        <v>14</v>
      </c>
      <c r="D138" t="s">
        <v>141</v>
      </c>
      <c r="E138" t="s">
        <v>124</v>
      </c>
      <c r="F138" t="s">
        <v>79</v>
      </c>
      <c r="G138" t="s">
        <v>76</v>
      </c>
      <c r="H138" t="s">
        <v>84</v>
      </c>
      <c r="I138" cm="1">
        <f t="array" ref="I138">IF(E138="2DSB", IF(H138="R1", 67, 46), IF(E138="1DSB", IF(H138="R1", 67, 46), IF(E138="2DSBanti", IF(H138="R1", 50, 47), NA))) + IF(table_1[[#This Row],[control]]="30bpDown", 30, 0)</f>
        <v>76</v>
      </c>
      <c r="J13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13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yjl308_KO_sgB_R2_branch_30bpDown</v>
      </c>
      <c r="L138" s="2" t="str">
        <f>_xlfn.CONCAT(table_1[[#This Row],[dsb_type]],"_", table_1[[#This Row],[strand]],"_", table_1[[#This Row],[treatment]], ".fa")</f>
        <v>1DSB_R2_branch.fa</v>
      </c>
      <c r="M138">
        <f>VLOOKUP(INT(MID(table_1[[#This Row],[library]], 4, 10)), table_1_2[#All], IF(table_1[[#This Row],[strand]]="R1", 3, 4))</f>
        <v>9730255</v>
      </c>
      <c r="N138" s="2">
        <f>IF(LEFT(table_1[[#This Row],[dsb_type]], 1) = "2", 50, 130)</f>
        <v>130</v>
      </c>
      <c r="O13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39" spans="1:15" x14ac:dyDescent="0.25">
      <c r="A139" s="3">
        <v>138</v>
      </c>
      <c r="B139" t="s">
        <v>67</v>
      </c>
      <c r="C139" t="s">
        <v>14</v>
      </c>
      <c r="D139" t="s">
        <v>141</v>
      </c>
      <c r="E139" t="s">
        <v>124</v>
      </c>
      <c r="F139" t="s">
        <v>79</v>
      </c>
      <c r="G139" t="s">
        <v>76</v>
      </c>
      <c r="H139" t="s">
        <v>84</v>
      </c>
      <c r="I139" cm="1">
        <f t="array" ref="I139">IF(E139="2DSB", IF(H139="R1", 67, 46), IF(E139="1DSB", IF(H139="R1", 67, 46), IF(E139="2DSBanti", IF(H139="R1", 50, 47), NA))) + IF(table_1[[#This Row],[control]]="30bpDown", 30, 0)</f>
        <v>76</v>
      </c>
      <c r="J13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13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yjl309_KO_sgB_R2_branch_30bpDown</v>
      </c>
      <c r="L139" s="2" t="str">
        <f>_xlfn.CONCAT(table_1[[#This Row],[dsb_type]],"_", table_1[[#This Row],[strand]],"_", table_1[[#This Row],[treatment]], ".fa")</f>
        <v>1DSB_R2_branch.fa</v>
      </c>
      <c r="M139">
        <f>VLOOKUP(INT(MID(table_1[[#This Row],[library]], 4, 10)), table_1_2[#All], IF(table_1[[#This Row],[strand]]="R1", 3, 4))</f>
        <v>10430885</v>
      </c>
      <c r="N139" s="2">
        <f>IF(LEFT(table_1[[#This Row],[dsb_type]], 1) = "2", 50, 130)</f>
        <v>130</v>
      </c>
      <c r="O13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40" spans="1:15" x14ac:dyDescent="0.25">
      <c r="A140" s="3">
        <v>139</v>
      </c>
      <c r="B140" t="s">
        <v>68</v>
      </c>
      <c r="C140" t="s">
        <v>14</v>
      </c>
      <c r="D140" t="s">
        <v>141</v>
      </c>
      <c r="E140" t="s">
        <v>124</v>
      </c>
      <c r="F140" t="s">
        <v>79</v>
      </c>
      <c r="G140" t="s">
        <v>76</v>
      </c>
      <c r="H140" t="s">
        <v>84</v>
      </c>
      <c r="I140" cm="1">
        <f t="array" ref="I140">IF(E140="2DSB", IF(H140="R1", 67, 46), IF(E140="1DSB", IF(H140="R1", 67, 46), IF(E140="2DSBanti", IF(H140="R1", 50, 47), NA))) + IF(table_1[[#This Row],[control]]="30bpDown", 30, 0)</f>
        <v>76</v>
      </c>
      <c r="J14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14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yjl310_KO_sgB_R2_branch_30bpDown</v>
      </c>
      <c r="L140" s="2" t="str">
        <f>_xlfn.CONCAT(table_1[[#This Row],[dsb_type]],"_", table_1[[#This Row],[strand]],"_", table_1[[#This Row],[treatment]], ".fa")</f>
        <v>1DSB_R2_branch.fa</v>
      </c>
      <c r="M140">
        <f>VLOOKUP(INT(MID(table_1[[#This Row],[library]], 4, 10)), table_1_2[#All], IF(table_1[[#This Row],[strand]]="R1", 3, 4))</f>
        <v>9770845</v>
      </c>
      <c r="N140" s="2">
        <f>IF(LEFT(table_1[[#This Row],[dsb_type]], 1) = "2", 50, 130)</f>
        <v>130</v>
      </c>
      <c r="O14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41" spans="1:15" x14ac:dyDescent="0.25">
      <c r="A141" s="3">
        <v>140</v>
      </c>
      <c r="B141" t="s">
        <v>69</v>
      </c>
      <c r="C141" t="s">
        <v>14</v>
      </c>
      <c r="D141" t="s">
        <v>141</v>
      </c>
      <c r="E141" t="s">
        <v>124</v>
      </c>
      <c r="F141" t="s">
        <v>79</v>
      </c>
      <c r="G141" t="s">
        <v>76</v>
      </c>
      <c r="H141" t="s">
        <v>84</v>
      </c>
      <c r="I141" cm="1">
        <f t="array" ref="I141">IF(E141="2DSB", IF(H141="R1", 67, 46), IF(E141="1DSB", IF(H141="R1", 67, 46), IF(E141="2DSBanti", IF(H141="R1", 50, 47), NA))) + IF(table_1[[#This Row],[control]]="30bpDown", 30, 0)</f>
        <v>76</v>
      </c>
      <c r="J14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14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yjl311_KO_sgB_R2_branch_30bpDown</v>
      </c>
      <c r="L141" s="2" t="str">
        <f>_xlfn.CONCAT(table_1[[#This Row],[dsb_type]],"_", table_1[[#This Row],[strand]],"_", table_1[[#This Row],[treatment]], ".fa")</f>
        <v>1DSB_R2_branch.fa</v>
      </c>
      <c r="M141">
        <f>VLOOKUP(INT(MID(table_1[[#This Row],[library]], 4, 10)), table_1_2[#All], IF(table_1[[#This Row],[strand]]="R1", 3, 4))</f>
        <v>10249893</v>
      </c>
      <c r="N141" s="2">
        <f>IF(LEFT(table_1[[#This Row],[dsb_type]], 1) = "2", 50, 130)</f>
        <v>130</v>
      </c>
      <c r="O14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42" spans="1:15" x14ac:dyDescent="0.25">
      <c r="A142" s="3">
        <v>141</v>
      </c>
      <c r="B142" t="s">
        <v>70</v>
      </c>
      <c r="C142" t="s">
        <v>14</v>
      </c>
      <c r="D142" t="s">
        <v>141</v>
      </c>
      <c r="E142" t="s">
        <v>124</v>
      </c>
      <c r="F142" t="s">
        <v>79</v>
      </c>
      <c r="G142" t="s">
        <v>77</v>
      </c>
      <c r="H142" t="s">
        <v>84</v>
      </c>
      <c r="I142" cm="1">
        <f t="array" ref="I142">IF(E142="2DSB", IF(H142="R1", 67, 46), IF(E142="1DSB", IF(H142="R1", 67, 46), IF(E142="2DSBanti", IF(H142="R1", 50, 47), NA))) + IF(table_1[[#This Row],[control]]="30bpDown", 30, 0)</f>
        <v>76</v>
      </c>
      <c r="J14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14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yjl312_KO_sgB_R2_cmv_30bpDown</v>
      </c>
      <c r="L142" s="2" t="str">
        <f>_xlfn.CONCAT(table_1[[#This Row],[dsb_type]],"_", table_1[[#This Row],[strand]],"_", table_1[[#This Row],[treatment]], ".fa")</f>
        <v>1DSB_R2_cmv.fa</v>
      </c>
      <c r="M142">
        <f>VLOOKUP(INT(MID(table_1[[#This Row],[library]], 4, 10)), table_1_2[#All], IF(table_1[[#This Row],[strand]]="R1", 3, 4))</f>
        <v>6718301</v>
      </c>
      <c r="N142" s="2">
        <f>IF(LEFT(table_1[[#This Row],[dsb_type]], 1) = "2", 50, 130)</f>
        <v>130</v>
      </c>
      <c r="O14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libraries_2/yjl312_KO_sgB_R2_cmv_30bpDown.tsv --min_length 130 -dsb 76 --quiet</v>
      </c>
    </row>
    <row r="143" spans="1:15" x14ac:dyDescent="0.25">
      <c r="A143" s="3">
        <v>142</v>
      </c>
      <c r="B143" t="s">
        <v>71</v>
      </c>
      <c r="C143" t="s">
        <v>14</v>
      </c>
      <c r="D143" t="s">
        <v>141</v>
      </c>
      <c r="E143" t="s">
        <v>124</v>
      </c>
      <c r="F143" t="s">
        <v>79</v>
      </c>
      <c r="G143" t="s">
        <v>77</v>
      </c>
      <c r="H143" t="s">
        <v>84</v>
      </c>
      <c r="I143" cm="1">
        <f t="array" ref="I143">IF(E143="2DSB", IF(H143="R1", 67, 46), IF(E143="1DSB", IF(H143="R1", 67, 46), IF(E143="2DSBanti", IF(H143="R1", 50, 47), NA))) + IF(table_1[[#This Row],[control]]="30bpDown", 30, 0)</f>
        <v>76</v>
      </c>
      <c r="J14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14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yjl313_KO_sgB_R2_cmv_30bpDown</v>
      </c>
      <c r="L143" s="2" t="str">
        <f>_xlfn.CONCAT(table_1[[#This Row],[dsb_type]],"_", table_1[[#This Row],[strand]],"_", table_1[[#This Row],[treatment]], ".fa")</f>
        <v>1DSB_R2_cmv.fa</v>
      </c>
      <c r="M143">
        <f>VLOOKUP(INT(MID(table_1[[#This Row],[library]], 4, 10)), table_1_2[#All], IF(table_1[[#This Row],[strand]]="R1", 3, 4))</f>
        <v>6435913</v>
      </c>
      <c r="N143" s="2">
        <f>IF(LEFT(table_1[[#This Row],[dsb_type]], 1) = "2", 50, 130)</f>
        <v>130</v>
      </c>
      <c r="O14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libraries_2/yjl313_KO_sgB_R2_cmv_30bpDown.tsv --min_length 130 -dsb 76 --quiet</v>
      </c>
    </row>
    <row r="144" spans="1:15" x14ac:dyDescent="0.25">
      <c r="A144" s="3">
        <v>143</v>
      </c>
      <c r="B144" t="s">
        <v>72</v>
      </c>
      <c r="C144" t="s">
        <v>14</v>
      </c>
      <c r="D144" t="s">
        <v>141</v>
      </c>
      <c r="E144" t="s">
        <v>124</v>
      </c>
      <c r="F144" t="s">
        <v>79</v>
      </c>
      <c r="G144" t="s">
        <v>77</v>
      </c>
      <c r="H144" t="s">
        <v>84</v>
      </c>
      <c r="I144" cm="1">
        <f t="array" ref="I144">IF(E144="2DSB", IF(H144="R1", 67, 46), IF(E144="1DSB", IF(H144="R1", 67, 46), IF(E144="2DSBanti", IF(H144="R1", 50, 47), NA))) + IF(table_1[[#This Row],[control]]="30bpDown", 30, 0)</f>
        <v>76</v>
      </c>
      <c r="J14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14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yjl314_KO_sgB_R2_cmv_30bpDown</v>
      </c>
      <c r="L144" s="2" t="str">
        <f>_xlfn.CONCAT(table_1[[#This Row],[dsb_type]],"_", table_1[[#This Row],[strand]],"_", table_1[[#This Row],[treatment]], ".fa")</f>
        <v>1DSB_R2_cmv.fa</v>
      </c>
      <c r="M144">
        <f>VLOOKUP(INT(MID(table_1[[#This Row],[library]], 4, 10)), table_1_2[#All], IF(table_1[[#This Row],[strand]]="R1", 3, 4))</f>
        <v>7285831</v>
      </c>
      <c r="N144" s="2">
        <f>IF(LEFT(table_1[[#This Row],[dsb_type]], 1) = "2", 50, 130)</f>
        <v>130</v>
      </c>
      <c r="O14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libraries_2/yjl314_KO_sgB_R2_cmv_30bpDown.tsv --min_length 130 -dsb 76 --quiet</v>
      </c>
    </row>
    <row r="145" spans="1:15" x14ac:dyDescent="0.25">
      <c r="A145" s="3">
        <v>144</v>
      </c>
      <c r="B145" t="s">
        <v>73</v>
      </c>
      <c r="C145" t="s">
        <v>14</v>
      </c>
      <c r="D145" t="s">
        <v>141</v>
      </c>
      <c r="E145" t="s">
        <v>124</v>
      </c>
      <c r="F145" t="s">
        <v>79</v>
      </c>
      <c r="G145" t="s">
        <v>77</v>
      </c>
      <c r="H145" t="s">
        <v>84</v>
      </c>
      <c r="I145" cm="1">
        <f t="array" ref="I145">IF(E145="2DSB", IF(H145="R1", 67, 46), IF(E145="1DSB", IF(H145="R1", 67, 46), IF(E145="2DSBanti", IF(H145="R1", 50, 47), NA))) + IF(table_1[[#This Row],[control]]="30bpDown", 30, 0)</f>
        <v>76</v>
      </c>
      <c r="J14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14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yjl315_KO_sgB_R2_cmv_30bpDown</v>
      </c>
      <c r="L145" s="2" t="str">
        <f>_xlfn.CONCAT(table_1[[#This Row],[dsb_type]],"_", table_1[[#This Row],[strand]],"_", table_1[[#This Row],[treatment]], ".fa")</f>
        <v>1DSB_R2_cmv.fa</v>
      </c>
      <c r="M145">
        <f>VLOOKUP(INT(MID(table_1[[#This Row],[library]], 4, 10)), table_1_2[#All], IF(table_1[[#This Row],[strand]]="R1", 3, 4))</f>
        <v>6372479</v>
      </c>
      <c r="N145" s="2">
        <f>IF(LEFT(table_1[[#This Row],[dsb_type]], 1) = "2", 50, 130)</f>
        <v>130</v>
      </c>
      <c r="O14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libraries_2/yjl315_KO_sgB_R2_cmv_30bpDown.tsv --min_length 130 -dsb 76 --quiet</v>
      </c>
    </row>
    <row r="146" spans="1:15" x14ac:dyDescent="0.25">
      <c r="A146" s="3">
        <v>145</v>
      </c>
      <c r="B146" t="s">
        <v>116</v>
      </c>
      <c r="C146" t="s">
        <v>1</v>
      </c>
      <c r="D146" t="s">
        <v>140</v>
      </c>
      <c r="E146" t="s">
        <v>125</v>
      </c>
      <c r="F146" t="s">
        <v>113</v>
      </c>
      <c r="G146" t="s">
        <v>114</v>
      </c>
      <c r="H146" t="s">
        <v>83</v>
      </c>
      <c r="I146" cm="1">
        <f t="array" ref="I146">IF(E146="2DSB", IF(H146="R1", 67, 46), IF(E146="1DSB", IF(H146="R1", 67, 46), IF(E146="2DSBanti", IF(H146="R1", 50, 47), NA))) + IF(table_1[[#This Row],[control]]="30bpDown", 30, 0)</f>
        <v>50</v>
      </c>
      <c r="J1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yjl89_anti_R1_2DSBs.sam</v>
      </c>
      <c r="K1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yjl89_WT_sgCD_R1_antisense</v>
      </c>
      <c r="L146" t="str">
        <f>_xlfn.CONCAT(table_1[[#This Row],[dsb_type]],"_", table_1[[#This Row],[strand]],"_", table_1[[#This Row],[treatment]], ".fa")</f>
        <v>2DSBanti_R1_antisense.fa</v>
      </c>
      <c r="M146">
        <f>VLOOKUP(INT(MID(table_1[[#This Row],[library]], 4, 10)), table_1_2[#All], IF(table_1[[#This Row],[strand]]="R1", 3, 4))</f>
        <v>7813781</v>
      </c>
      <c r="N146">
        <f>IF(LEFT(table_1[[#This Row],[dsb_type]], 1) = "2", 50, 130)</f>
        <v>50</v>
      </c>
      <c r="O1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libraries_1/yjl89_anti_R1_2DSBs.sam -ref ref_seq/2DSBanti_R1_antisense.fa -o libraries_2/yjl89_WT_sgCD_R1_antisense.tsv --min_length 50 -dsb 50 --quiet</v>
      </c>
    </row>
    <row r="147" spans="1:15" x14ac:dyDescent="0.25">
      <c r="A147" s="3">
        <v>146</v>
      </c>
      <c r="B147" t="s">
        <v>117</v>
      </c>
      <c r="C147" t="s">
        <v>1</v>
      </c>
      <c r="D147" t="s">
        <v>140</v>
      </c>
      <c r="E147" t="s">
        <v>125</v>
      </c>
      <c r="F147" t="s">
        <v>113</v>
      </c>
      <c r="G147" t="s">
        <v>114</v>
      </c>
      <c r="H147" t="s">
        <v>83</v>
      </c>
      <c r="I147" cm="1">
        <f t="array" ref="I147">IF(E147="2DSB", IF(H147="R1", 67, 46), IF(E147="1DSB", IF(H147="R1", 67, 46), IF(E147="2DSBanti", IF(H147="R1", 50, 47), NA))) + IF(table_1[[#This Row],[control]]="30bpDown", 30, 0)</f>
        <v>50</v>
      </c>
      <c r="J1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yjl90_anti_R1_2DSBs.sam</v>
      </c>
      <c r="K1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yjl90_WT_sgCD_R1_antisense</v>
      </c>
      <c r="L147" t="str">
        <f>_xlfn.CONCAT(table_1[[#This Row],[dsb_type]],"_", table_1[[#This Row],[strand]],"_", table_1[[#This Row],[treatment]], ".fa")</f>
        <v>2DSBanti_R1_antisense.fa</v>
      </c>
      <c r="M147">
        <f>VLOOKUP(INT(MID(table_1[[#This Row],[library]], 4, 10)), table_1_2[#All], IF(table_1[[#This Row],[strand]]="R1", 3, 4))</f>
        <v>7486736</v>
      </c>
      <c r="N147">
        <f>IF(LEFT(table_1[[#This Row],[dsb_type]], 1) = "2", 50, 130)</f>
        <v>50</v>
      </c>
      <c r="O1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libraries_1/yjl90_anti_R1_2DSBs.sam -ref ref_seq/2DSBanti_R1_antisense.fa -o libraries_2/yjl90_WT_sgCD_R1_antisense.tsv --min_length 50 -dsb 50 --quiet</v>
      </c>
    </row>
    <row r="148" spans="1:15" x14ac:dyDescent="0.25">
      <c r="A148" s="3">
        <v>147</v>
      </c>
      <c r="B148" t="s">
        <v>118</v>
      </c>
      <c r="C148" t="s">
        <v>1</v>
      </c>
      <c r="D148" t="s">
        <v>140</v>
      </c>
      <c r="E148" t="s">
        <v>125</v>
      </c>
      <c r="F148" t="s">
        <v>113</v>
      </c>
      <c r="G148" t="s">
        <v>114</v>
      </c>
      <c r="H148" t="s">
        <v>83</v>
      </c>
      <c r="I148" cm="1">
        <f t="array" ref="I148">IF(E148="2DSB", IF(H148="R1", 67, 46), IF(E148="1DSB", IF(H148="R1", 67, 46), IF(E148="2DSBanti", IF(H148="R1", 50, 47), NA))) + IF(table_1[[#This Row],[control]]="30bpDown", 30, 0)</f>
        <v>50</v>
      </c>
      <c r="J1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yjl91_anti_R1_2DSBs.sam</v>
      </c>
      <c r="K1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yjl91_WT_sgCD_R1_antisense</v>
      </c>
      <c r="L148" t="str">
        <f>_xlfn.CONCAT(table_1[[#This Row],[dsb_type]],"_", table_1[[#This Row],[strand]],"_", table_1[[#This Row],[treatment]], ".fa")</f>
        <v>2DSBanti_R1_antisense.fa</v>
      </c>
      <c r="M148">
        <f>VLOOKUP(INT(MID(table_1[[#This Row],[library]], 4, 10)), table_1_2[#All], IF(table_1[[#This Row],[strand]]="R1", 3, 4))</f>
        <v>8114856</v>
      </c>
      <c r="N148">
        <f>IF(LEFT(table_1[[#This Row],[dsb_type]], 1) = "2", 50, 130)</f>
        <v>50</v>
      </c>
      <c r="O1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libraries_1/yjl91_anti_R1_2DSBs.sam -ref ref_seq/2DSBanti_R1_antisense.fa -o libraries_2/yjl91_WT_sgCD_R1_antisense.tsv --min_length 50 -dsb 50 --quiet</v>
      </c>
    </row>
    <row r="149" spans="1:15" x14ac:dyDescent="0.25">
      <c r="A149" s="3">
        <v>148</v>
      </c>
      <c r="B149" t="s">
        <v>119</v>
      </c>
      <c r="C149" t="s">
        <v>1</v>
      </c>
      <c r="D149" t="s">
        <v>140</v>
      </c>
      <c r="E149" t="s">
        <v>125</v>
      </c>
      <c r="F149" t="s">
        <v>113</v>
      </c>
      <c r="G149" t="s">
        <v>114</v>
      </c>
      <c r="H149" t="s">
        <v>83</v>
      </c>
      <c r="I149" cm="1">
        <f t="array" ref="I149">IF(E149="2DSB", IF(H149="R1", 67, 46), IF(E149="1DSB", IF(H149="R1", 67, 46), IF(E149="2DSBanti", IF(H149="R1", 50, 47), NA))) + IF(table_1[[#This Row],[control]]="30bpDown", 30, 0)</f>
        <v>50</v>
      </c>
      <c r="J1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yjl92_anti_R1_2DSBs.sam</v>
      </c>
      <c r="K1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yjl92_WT_sgCD_R1_antisense</v>
      </c>
      <c r="L149" t="str">
        <f>_xlfn.CONCAT(table_1[[#This Row],[dsb_type]],"_", table_1[[#This Row],[strand]],"_", table_1[[#This Row],[treatment]], ".fa")</f>
        <v>2DSBanti_R1_antisense.fa</v>
      </c>
      <c r="M149">
        <f>VLOOKUP(INT(MID(table_1[[#This Row],[library]], 4, 10)), table_1_2[#All], IF(table_1[[#This Row],[strand]]="R1", 3, 4))</f>
        <v>6586577</v>
      </c>
      <c r="N149">
        <f>IF(LEFT(table_1[[#This Row],[dsb_type]], 1) = "2", 50, 130)</f>
        <v>50</v>
      </c>
      <c r="O1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libraries_1/yjl92_anti_R1_2DSBs.sam -ref ref_seq/2DSBanti_R1_antisense.fa -o libraries_2/yjl92_WT_sgCD_R1_antisense.tsv --min_length 50 -dsb 50 --quiet</v>
      </c>
    </row>
    <row r="150" spans="1:15" x14ac:dyDescent="0.25">
      <c r="A150" s="3">
        <v>149</v>
      </c>
      <c r="B150" t="s">
        <v>120</v>
      </c>
      <c r="C150" t="s">
        <v>1</v>
      </c>
      <c r="D150" t="s">
        <v>140</v>
      </c>
      <c r="E150" t="s">
        <v>125</v>
      </c>
      <c r="F150" t="s">
        <v>113</v>
      </c>
      <c r="G150" t="s">
        <v>115</v>
      </c>
      <c r="H150" t="s">
        <v>83</v>
      </c>
      <c r="I150" cm="1">
        <f t="array" ref="I150">IF(E150="2DSB", IF(H150="R1", 67, 46), IF(E150="1DSB", IF(H150="R1", 67, 46), IF(E150="2DSBanti", IF(H150="R1", 50, 47), NA))) + IF(table_1[[#This Row],[control]]="30bpDown", 30, 0)</f>
        <v>50</v>
      </c>
      <c r="J1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yjl93_anti_R1_2DSBs.sam</v>
      </c>
      <c r="K1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yjl93_WT_sgCD_R1_splicing</v>
      </c>
      <c r="L150" t="str">
        <f>_xlfn.CONCAT(table_1[[#This Row],[dsb_type]],"_", table_1[[#This Row],[strand]],"_", table_1[[#This Row],[treatment]], ".fa")</f>
        <v>2DSBanti_R1_splicing.fa</v>
      </c>
      <c r="M150">
        <f>VLOOKUP(INT(MID(table_1[[#This Row],[library]], 4, 10)), table_1_2[#All], IF(table_1[[#This Row],[strand]]="R1", 3, 4))</f>
        <v>9334492</v>
      </c>
      <c r="N150">
        <f>IF(LEFT(table_1[[#This Row],[dsb_type]], 1) = "2", 50, 130)</f>
        <v>50</v>
      </c>
      <c r="O1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libraries_1/yjl93_anti_R1_2DSBs.sam -ref ref_seq/2DSBanti_R1_splicing.fa -o libraries_2/yjl93_WT_sgCD_R1_splicing.tsv --min_length 50 -dsb 50 --quiet</v>
      </c>
    </row>
    <row r="151" spans="1:15" x14ac:dyDescent="0.25">
      <c r="A151" s="3">
        <v>150</v>
      </c>
      <c r="B151" t="s">
        <v>121</v>
      </c>
      <c r="C151" t="s">
        <v>1</v>
      </c>
      <c r="D151" t="s">
        <v>140</v>
      </c>
      <c r="E151" t="s">
        <v>125</v>
      </c>
      <c r="F151" t="s">
        <v>113</v>
      </c>
      <c r="G151" t="s">
        <v>115</v>
      </c>
      <c r="H151" t="s">
        <v>83</v>
      </c>
      <c r="I151" cm="1">
        <f t="array" ref="I151">IF(E151="2DSB", IF(H151="R1", 67, 46), IF(E151="1DSB", IF(H151="R1", 67, 46), IF(E151="2DSBanti", IF(H151="R1", 50, 47), NA))) + IF(table_1[[#This Row],[control]]="30bpDown", 30, 0)</f>
        <v>50</v>
      </c>
      <c r="J1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yjl94_anti_R1_2DSBs.sam</v>
      </c>
      <c r="K1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yjl94_WT_sgCD_R1_splicing</v>
      </c>
      <c r="L151" t="str">
        <f>_xlfn.CONCAT(table_1[[#This Row],[dsb_type]],"_", table_1[[#This Row],[strand]],"_", table_1[[#This Row],[treatment]], ".fa")</f>
        <v>2DSBanti_R1_splicing.fa</v>
      </c>
      <c r="M151">
        <f>VLOOKUP(INT(MID(table_1[[#This Row],[library]], 4, 10)), table_1_2[#All], IF(table_1[[#This Row],[strand]]="R1", 3, 4))</f>
        <v>9142001</v>
      </c>
      <c r="N151">
        <f>IF(LEFT(table_1[[#This Row],[dsb_type]], 1) = "2", 50, 130)</f>
        <v>50</v>
      </c>
      <c r="O1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libraries_1/yjl94_anti_R1_2DSBs.sam -ref ref_seq/2DSBanti_R1_splicing.fa -o libraries_2/yjl94_WT_sgCD_R1_splicing.tsv --min_length 50 -dsb 50 --quiet</v>
      </c>
    </row>
    <row r="152" spans="1:15" x14ac:dyDescent="0.25">
      <c r="A152" s="3">
        <v>151</v>
      </c>
      <c r="B152" t="s">
        <v>122</v>
      </c>
      <c r="C152" t="s">
        <v>1</v>
      </c>
      <c r="D152" t="s">
        <v>140</v>
      </c>
      <c r="E152" t="s">
        <v>125</v>
      </c>
      <c r="F152" t="s">
        <v>113</v>
      </c>
      <c r="G152" t="s">
        <v>115</v>
      </c>
      <c r="H152" t="s">
        <v>83</v>
      </c>
      <c r="I152" cm="1">
        <f t="array" ref="I152">IF(E152="2DSB", IF(H152="R1", 67, 46), IF(E152="1DSB", IF(H152="R1", 67, 46), IF(E152="2DSBanti", IF(H152="R1", 50, 47), NA))) + IF(table_1[[#This Row],[control]]="30bpDown", 30, 0)</f>
        <v>50</v>
      </c>
      <c r="J1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yjl95_anti_R1_2DSBs.sam</v>
      </c>
      <c r="K1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yjl95_WT_sgCD_R1_splicing</v>
      </c>
      <c r="L152" t="str">
        <f>_xlfn.CONCAT(table_1[[#This Row],[dsb_type]],"_", table_1[[#This Row],[strand]],"_", table_1[[#This Row],[treatment]], ".fa")</f>
        <v>2DSBanti_R1_splicing.fa</v>
      </c>
      <c r="M152">
        <f>VLOOKUP(INT(MID(table_1[[#This Row],[library]], 4, 10)), table_1_2[#All], IF(table_1[[#This Row],[strand]]="R1", 3, 4))</f>
        <v>8497185</v>
      </c>
      <c r="N152">
        <f>IF(LEFT(table_1[[#This Row],[dsb_type]], 1) = "2", 50, 130)</f>
        <v>50</v>
      </c>
      <c r="O1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libraries_1/yjl95_anti_R1_2DSBs.sam -ref ref_seq/2DSBanti_R1_splicing.fa -o libraries_2/yjl95_WT_sgCD_R1_splicing.tsv --min_length 50 -dsb 50 --quiet</v>
      </c>
    </row>
    <row r="153" spans="1:15" x14ac:dyDescent="0.25">
      <c r="A153" s="3">
        <v>152</v>
      </c>
      <c r="B153" t="s">
        <v>123</v>
      </c>
      <c r="C153" t="s">
        <v>1</v>
      </c>
      <c r="D153" t="s">
        <v>140</v>
      </c>
      <c r="E153" t="s">
        <v>125</v>
      </c>
      <c r="F153" t="s">
        <v>113</v>
      </c>
      <c r="G153" t="s">
        <v>115</v>
      </c>
      <c r="H153" t="s">
        <v>83</v>
      </c>
      <c r="I153" cm="1">
        <f t="array" ref="I153">IF(E153="2DSB", IF(H153="R1", 67, 46), IF(E153="1DSB", IF(H153="R1", 67, 46), IF(E153="2DSBanti", IF(H153="R1", 50, 47), NA))) + IF(table_1[[#This Row],[control]]="30bpDown", 30, 0)</f>
        <v>50</v>
      </c>
      <c r="J1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yjl96_anti_R1_2DSBs.sam</v>
      </c>
      <c r="K1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yjl96_WT_sgCD_R1_splicing</v>
      </c>
      <c r="L153" t="str">
        <f>_xlfn.CONCAT(table_1[[#This Row],[dsb_type]],"_", table_1[[#This Row],[strand]],"_", table_1[[#This Row],[treatment]], ".fa")</f>
        <v>2DSBanti_R1_splicing.fa</v>
      </c>
      <c r="M153">
        <f>VLOOKUP(INT(MID(table_1[[#This Row],[library]], 4, 10)), table_1_2[#All], IF(table_1[[#This Row],[strand]]="R1", 3, 4))</f>
        <v>8346242</v>
      </c>
      <c r="N153">
        <f>IF(LEFT(table_1[[#This Row],[dsb_type]], 1) = "2", 50, 130)</f>
        <v>50</v>
      </c>
      <c r="O1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libraries_1/yjl96_anti_R1_2DSBs.sam -ref ref_seq/2DSBanti_R1_splicing.fa -o libraries_2/yjl96_WT_sgCD_R1_splicing.tsv --min_length 50 -dsb 50 --quiet</v>
      </c>
    </row>
    <row r="154" spans="1:15" x14ac:dyDescent="0.25">
      <c r="A154" s="3">
        <v>153</v>
      </c>
      <c r="B154" t="s">
        <v>116</v>
      </c>
      <c r="C154" t="s">
        <v>1</v>
      </c>
      <c r="D154" t="s">
        <v>140</v>
      </c>
      <c r="E154" t="s">
        <v>125</v>
      </c>
      <c r="F154" t="s">
        <v>113</v>
      </c>
      <c r="G154" t="s">
        <v>114</v>
      </c>
      <c r="H154" t="s">
        <v>84</v>
      </c>
      <c r="I154" cm="1">
        <f t="array" ref="I154">IF(E154="2DSB", IF(H154="R1", 67, 46), IF(E154="1DSB", IF(H154="R1", 67, 46), IF(E154="2DSBanti", IF(H154="R1", 50, 47), NA))) + IF(table_1[[#This Row],[control]]="30bpDown", 30, 0)</f>
        <v>47</v>
      </c>
      <c r="J1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yjl89_anti_R2_2DSBs.sam</v>
      </c>
      <c r="K1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yjl89_WT_sgCD_R2_antisense</v>
      </c>
      <c r="L154" t="str">
        <f>_xlfn.CONCAT(table_1[[#This Row],[dsb_type]],"_", table_1[[#This Row],[strand]],"_", table_1[[#This Row],[treatment]], ".fa")</f>
        <v>2DSBanti_R2_antisense.fa</v>
      </c>
      <c r="M154">
        <f>VLOOKUP(INT(MID(table_1[[#This Row],[library]], 4, 10)), table_1_2[#All], IF(table_1[[#This Row],[strand]]="R1", 3, 4))</f>
        <v>7813781</v>
      </c>
      <c r="N154">
        <f>IF(LEFT(table_1[[#This Row],[dsb_type]], 1) = "2", 50, 130)</f>
        <v>50</v>
      </c>
      <c r="O1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libraries_1/yjl89_anti_R2_2DSBs.sam -ref ref_seq/2DSBanti_R2_antisense.fa -o libraries_2/yjl89_WT_sgCD_R2_antisense.tsv --min_length 50 -dsb 47 --quiet</v>
      </c>
    </row>
    <row r="155" spans="1:15" x14ac:dyDescent="0.25">
      <c r="A155" s="3">
        <v>154</v>
      </c>
      <c r="B155" t="s">
        <v>117</v>
      </c>
      <c r="C155" t="s">
        <v>1</v>
      </c>
      <c r="D155" t="s">
        <v>140</v>
      </c>
      <c r="E155" t="s">
        <v>125</v>
      </c>
      <c r="F155" t="s">
        <v>113</v>
      </c>
      <c r="G155" t="s">
        <v>114</v>
      </c>
      <c r="H155" t="s">
        <v>84</v>
      </c>
      <c r="I155" cm="1">
        <f t="array" ref="I155">IF(E155="2DSB", IF(H155="R1", 67, 46), IF(E155="1DSB", IF(H155="R1", 67, 46), IF(E155="2DSBanti", IF(H155="R1", 50, 47), NA))) + IF(table_1[[#This Row],[control]]="30bpDown", 30, 0)</f>
        <v>47</v>
      </c>
      <c r="J1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yjl90_anti_R2_2DSBs.sam</v>
      </c>
      <c r="K1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yjl90_WT_sgCD_R2_antisense</v>
      </c>
      <c r="L155" t="str">
        <f>_xlfn.CONCAT(table_1[[#This Row],[dsb_type]],"_", table_1[[#This Row],[strand]],"_", table_1[[#This Row],[treatment]], ".fa")</f>
        <v>2DSBanti_R2_antisense.fa</v>
      </c>
      <c r="M155">
        <f>VLOOKUP(INT(MID(table_1[[#This Row],[library]], 4, 10)), table_1_2[#All], IF(table_1[[#This Row],[strand]]="R1", 3, 4))</f>
        <v>7486736</v>
      </c>
      <c r="N155">
        <f>IF(LEFT(table_1[[#This Row],[dsb_type]], 1) = "2", 50, 130)</f>
        <v>50</v>
      </c>
      <c r="O1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libraries_1/yjl90_anti_R2_2DSBs.sam -ref ref_seq/2DSBanti_R2_antisense.fa -o libraries_2/yjl90_WT_sgCD_R2_antisense.tsv --min_length 50 -dsb 47 --quiet</v>
      </c>
    </row>
    <row r="156" spans="1:15" x14ac:dyDescent="0.25">
      <c r="A156" s="3">
        <v>155</v>
      </c>
      <c r="B156" t="s">
        <v>118</v>
      </c>
      <c r="C156" t="s">
        <v>1</v>
      </c>
      <c r="D156" t="s">
        <v>140</v>
      </c>
      <c r="E156" t="s">
        <v>125</v>
      </c>
      <c r="F156" t="s">
        <v>113</v>
      </c>
      <c r="G156" t="s">
        <v>114</v>
      </c>
      <c r="H156" t="s">
        <v>84</v>
      </c>
      <c r="I156" cm="1">
        <f t="array" ref="I156">IF(E156="2DSB", IF(H156="R1", 67, 46), IF(E156="1DSB", IF(H156="R1", 67, 46), IF(E156="2DSBanti", IF(H156="R1", 50, 47), NA))) + IF(table_1[[#This Row],[control]]="30bpDown", 30, 0)</f>
        <v>47</v>
      </c>
      <c r="J1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yjl91_anti_R2_2DSBs.sam</v>
      </c>
      <c r="K1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yjl91_WT_sgCD_R2_antisense</v>
      </c>
      <c r="L156" t="str">
        <f>_xlfn.CONCAT(table_1[[#This Row],[dsb_type]],"_", table_1[[#This Row],[strand]],"_", table_1[[#This Row],[treatment]], ".fa")</f>
        <v>2DSBanti_R2_antisense.fa</v>
      </c>
      <c r="M156">
        <f>VLOOKUP(INT(MID(table_1[[#This Row],[library]], 4, 10)), table_1_2[#All], IF(table_1[[#This Row],[strand]]="R1", 3, 4))</f>
        <v>8114856</v>
      </c>
      <c r="N156">
        <f>IF(LEFT(table_1[[#This Row],[dsb_type]], 1) = "2", 50, 130)</f>
        <v>50</v>
      </c>
      <c r="O1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libraries_1/yjl91_anti_R2_2DSBs.sam -ref ref_seq/2DSBanti_R2_antisense.fa -o libraries_2/yjl91_WT_sgCD_R2_antisense.tsv --min_length 50 -dsb 47 --quiet</v>
      </c>
    </row>
    <row r="157" spans="1:15" x14ac:dyDescent="0.25">
      <c r="A157" s="3">
        <v>156</v>
      </c>
      <c r="B157" t="s">
        <v>119</v>
      </c>
      <c r="C157" t="s">
        <v>1</v>
      </c>
      <c r="D157" t="s">
        <v>140</v>
      </c>
      <c r="E157" t="s">
        <v>125</v>
      </c>
      <c r="F157" t="s">
        <v>113</v>
      </c>
      <c r="G157" t="s">
        <v>114</v>
      </c>
      <c r="H157" t="s">
        <v>84</v>
      </c>
      <c r="I157" cm="1">
        <f t="array" ref="I157">IF(E157="2DSB", IF(H157="R1", 67, 46), IF(E157="1DSB", IF(H157="R1", 67, 46), IF(E157="2DSBanti", IF(H157="R1", 50, 47), NA))) + IF(table_1[[#This Row],[control]]="30bpDown", 30, 0)</f>
        <v>47</v>
      </c>
      <c r="J1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yjl92_anti_R2_2DSBs.sam</v>
      </c>
      <c r="K1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yjl92_WT_sgCD_R2_antisense</v>
      </c>
      <c r="L157" t="str">
        <f>_xlfn.CONCAT(table_1[[#This Row],[dsb_type]],"_", table_1[[#This Row],[strand]],"_", table_1[[#This Row],[treatment]], ".fa")</f>
        <v>2DSBanti_R2_antisense.fa</v>
      </c>
      <c r="M157">
        <f>VLOOKUP(INT(MID(table_1[[#This Row],[library]], 4, 10)), table_1_2[#All], IF(table_1[[#This Row],[strand]]="R1", 3, 4))</f>
        <v>6586577</v>
      </c>
      <c r="N157">
        <f>IF(LEFT(table_1[[#This Row],[dsb_type]], 1) = "2", 50, 130)</f>
        <v>50</v>
      </c>
      <c r="O1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libraries_1/yjl92_anti_R2_2DSBs.sam -ref ref_seq/2DSBanti_R2_antisense.fa -o libraries_2/yjl92_WT_sgCD_R2_antisense.tsv --min_length 50 -dsb 47 --quiet</v>
      </c>
    </row>
    <row r="158" spans="1:15" x14ac:dyDescent="0.25">
      <c r="A158" s="3">
        <v>157</v>
      </c>
      <c r="B158" t="s">
        <v>120</v>
      </c>
      <c r="C158" t="s">
        <v>1</v>
      </c>
      <c r="D158" t="s">
        <v>140</v>
      </c>
      <c r="E158" t="s">
        <v>125</v>
      </c>
      <c r="F158" t="s">
        <v>113</v>
      </c>
      <c r="G158" t="s">
        <v>115</v>
      </c>
      <c r="H158" t="s">
        <v>84</v>
      </c>
      <c r="I158" cm="1">
        <f t="array" ref="I158">IF(E158="2DSB", IF(H158="R1", 67, 46), IF(E158="1DSB", IF(H158="R1", 67, 46), IF(E158="2DSBanti", IF(H158="R1", 50, 47), NA))) + IF(table_1[[#This Row],[control]]="30bpDown", 30, 0)</f>
        <v>47</v>
      </c>
      <c r="J1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yjl93_anti_R2_2DSBs.sam</v>
      </c>
      <c r="K1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yjl93_WT_sgCD_R2_splicing</v>
      </c>
      <c r="L158" t="str">
        <f>_xlfn.CONCAT(table_1[[#This Row],[dsb_type]],"_", table_1[[#This Row],[strand]],"_", table_1[[#This Row],[treatment]], ".fa")</f>
        <v>2DSBanti_R2_splicing.fa</v>
      </c>
      <c r="M158">
        <f>VLOOKUP(INT(MID(table_1[[#This Row],[library]], 4, 10)), table_1_2[#All], IF(table_1[[#This Row],[strand]]="R1", 3, 4))</f>
        <v>9334492</v>
      </c>
      <c r="N158">
        <f>IF(LEFT(table_1[[#This Row],[dsb_type]], 1) = "2", 50, 130)</f>
        <v>50</v>
      </c>
      <c r="O1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libraries_1/yjl93_anti_R2_2DSBs.sam -ref ref_seq/2DSBanti_R2_splicing.fa -o libraries_2/yjl93_WT_sgCD_R2_splicing.tsv --min_length 50 -dsb 47 --quiet</v>
      </c>
    </row>
    <row r="159" spans="1:15" x14ac:dyDescent="0.25">
      <c r="A159" s="3">
        <v>158</v>
      </c>
      <c r="B159" t="s">
        <v>121</v>
      </c>
      <c r="C159" t="s">
        <v>1</v>
      </c>
      <c r="D159" t="s">
        <v>140</v>
      </c>
      <c r="E159" t="s">
        <v>125</v>
      </c>
      <c r="F159" t="s">
        <v>113</v>
      </c>
      <c r="G159" t="s">
        <v>115</v>
      </c>
      <c r="H159" t="s">
        <v>84</v>
      </c>
      <c r="I159" cm="1">
        <f t="array" ref="I159">IF(E159="2DSB", IF(H159="R1", 67, 46), IF(E159="1DSB", IF(H159="R1", 67, 46), IF(E159="2DSBanti", IF(H159="R1", 50, 47), NA))) + IF(table_1[[#This Row],[control]]="30bpDown", 30, 0)</f>
        <v>47</v>
      </c>
      <c r="J1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yjl94_anti_R2_2DSBs.sam</v>
      </c>
      <c r="K1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yjl94_WT_sgCD_R2_splicing</v>
      </c>
      <c r="L159" t="str">
        <f>_xlfn.CONCAT(table_1[[#This Row],[dsb_type]],"_", table_1[[#This Row],[strand]],"_", table_1[[#This Row],[treatment]], ".fa")</f>
        <v>2DSBanti_R2_splicing.fa</v>
      </c>
      <c r="M159">
        <f>VLOOKUP(INT(MID(table_1[[#This Row],[library]], 4, 10)), table_1_2[#All], IF(table_1[[#This Row],[strand]]="R1", 3, 4))</f>
        <v>9142001</v>
      </c>
      <c r="N159">
        <f>IF(LEFT(table_1[[#This Row],[dsb_type]], 1) = "2", 50, 130)</f>
        <v>50</v>
      </c>
      <c r="O1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libraries_1/yjl94_anti_R2_2DSBs.sam -ref ref_seq/2DSBanti_R2_splicing.fa -o libraries_2/yjl94_WT_sgCD_R2_splicing.tsv --min_length 50 -dsb 47 --quiet</v>
      </c>
    </row>
    <row r="160" spans="1:15" x14ac:dyDescent="0.25">
      <c r="A160" s="3">
        <v>159</v>
      </c>
      <c r="B160" t="s">
        <v>122</v>
      </c>
      <c r="C160" t="s">
        <v>1</v>
      </c>
      <c r="D160" t="s">
        <v>140</v>
      </c>
      <c r="E160" t="s">
        <v>125</v>
      </c>
      <c r="F160" t="s">
        <v>113</v>
      </c>
      <c r="G160" t="s">
        <v>115</v>
      </c>
      <c r="H160" t="s">
        <v>84</v>
      </c>
      <c r="I160" cm="1">
        <f t="array" ref="I160">IF(E160="2DSB", IF(H160="R1", 67, 46), IF(E160="1DSB", IF(H160="R1", 67, 46), IF(E160="2DSBanti", IF(H160="R1", 50, 47), NA))) + IF(table_1[[#This Row],[control]]="30bpDown", 30, 0)</f>
        <v>47</v>
      </c>
      <c r="J1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yjl95_anti_R2_2DSBs.sam</v>
      </c>
      <c r="K1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yjl95_WT_sgCD_R2_splicing</v>
      </c>
      <c r="L160" t="str">
        <f>_xlfn.CONCAT(table_1[[#This Row],[dsb_type]],"_", table_1[[#This Row],[strand]],"_", table_1[[#This Row],[treatment]], ".fa")</f>
        <v>2DSBanti_R2_splicing.fa</v>
      </c>
      <c r="M160">
        <f>VLOOKUP(INT(MID(table_1[[#This Row],[library]], 4, 10)), table_1_2[#All], IF(table_1[[#This Row],[strand]]="R1", 3, 4))</f>
        <v>8497185</v>
      </c>
      <c r="N160">
        <f>IF(LEFT(table_1[[#This Row],[dsb_type]], 1) = "2", 50, 130)</f>
        <v>50</v>
      </c>
      <c r="O1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libraries_1/yjl95_anti_R2_2DSBs.sam -ref ref_seq/2DSBanti_R2_splicing.fa -o libraries_2/yjl95_WT_sgCD_R2_splicing.tsv --min_length 50 -dsb 47 --quiet</v>
      </c>
    </row>
    <row r="161" spans="1:15" x14ac:dyDescent="0.25">
      <c r="A161" s="3">
        <v>160</v>
      </c>
      <c r="B161" t="s">
        <v>123</v>
      </c>
      <c r="C161" t="s">
        <v>1</v>
      </c>
      <c r="D161" t="s">
        <v>140</v>
      </c>
      <c r="E161" t="s">
        <v>125</v>
      </c>
      <c r="F161" t="s">
        <v>113</v>
      </c>
      <c r="G161" t="s">
        <v>115</v>
      </c>
      <c r="H161" t="s">
        <v>84</v>
      </c>
      <c r="I161" cm="1">
        <f t="array" ref="I161">IF(E161="2DSB", IF(H161="R1", 67, 46), IF(E161="1DSB", IF(H161="R1", 67, 46), IF(E161="2DSBanti", IF(H161="R1", 50, 47), NA))) + IF(table_1[[#This Row],[control]]="30bpDown", 30, 0)</f>
        <v>47</v>
      </c>
      <c r="J1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yjl96_anti_R2_2DSBs.sam</v>
      </c>
      <c r="K1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yjl96_WT_sgCD_R2_splicing</v>
      </c>
      <c r="L161" t="str">
        <f>_xlfn.CONCAT(table_1[[#This Row],[dsb_type]],"_", table_1[[#This Row],[strand]],"_", table_1[[#This Row],[treatment]], ".fa")</f>
        <v>2DSBanti_R2_splicing.fa</v>
      </c>
      <c r="M161">
        <f>VLOOKUP(INT(MID(table_1[[#This Row],[library]], 4, 10)), table_1_2[#All], IF(table_1[[#This Row],[strand]]="R1", 3, 4))</f>
        <v>8346242</v>
      </c>
      <c r="N161">
        <f>IF(LEFT(table_1[[#This Row],[dsb_type]], 1) = "2", 50, 130)</f>
        <v>50</v>
      </c>
      <c r="O1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libraries_1/yjl96_anti_R2_2DSBs.sam -ref ref_seq/2DSBanti_R2_splicing.fa -o libraries_2/yjl96_WT_sgCD_R2_splicing.tsv --min_length 50 -dsb 47 --quiet</v>
      </c>
    </row>
    <row r="162" spans="1:15" x14ac:dyDescent="0.25">
      <c r="A162" s="3">
        <v>161</v>
      </c>
      <c r="B162" t="s">
        <v>131</v>
      </c>
      <c r="C162" t="s">
        <v>1</v>
      </c>
      <c r="D162" t="s">
        <v>186</v>
      </c>
      <c r="E162" t="s">
        <v>124</v>
      </c>
      <c r="F162" t="s">
        <v>78</v>
      </c>
      <c r="G162" t="s">
        <v>75</v>
      </c>
      <c r="H162" t="s">
        <v>83</v>
      </c>
      <c r="I162" cm="1">
        <f t="array" ref="I162">IF(E162="2DSB", IF(H162="R1", 67, 46), IF(E162="1DSB", IF(H162="R1", 67, 46), IF(E162="2DSBanti", IF(H162="R1", 50, 47), NA))) + IF(table_1[[#This Row],[control]]="30bpDown", 30, 0)</f>
        <v>67</v>
      </c>
      <c r="J1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yjl244_NHEJ_hg39_R1.sam</v>
      </c>
      <c r="K1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yjl244_WT_sgA_R1_sense_noDSB</v>
      </c>
      <c r="L162" t="str">
        <f>_xlfn.CONCAT(table_1[[#This Row],[dsb_type]],"_", table_1[[#This Row],[strand]],"_", table_1[[#This Row],[treatment]], ".fa")</f>
        <v>1DSB_R1_sense.fa</v>
      </c>
      <c r="M162">
        <f>VLOOKUP(INT(MID(table_1[[#This Row],[library]], 4, 10)), table_1_2[#All], IF(table_1[[#This Row],[strand]]="R1", 3, 4))</f>
        <v>10005232</v>
      </c>
      <c r="N162">
        <f>IF(LEFT(table_1[[#This Row],[dsb_type]], 1) = "2", 50, 130)</f>
        <v>130</v>
      </c>
      <c r="O1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5" x14ac:dyDescent="0.25">
      <c r="A163" s="3">
        <v>162</v>
      </c>
      <c r="B163" t="s">
        <v>132</v>
      </c>
      <c r="C163" t="s">
        <v>1</v>
      </c>
      <c r="D163" t="s">
        <v>186</v>
      </c>
      <c r="E163" t="s">
        <v>124</v>
      </c>
      <c r="F163" t="s">
        <v>78</v>
      </c>
      <c r="G163" t="s">
        <v>76</v>
      </c>
      <c r="H163" t="s">
        <v>83</v>
      </c>
      <c r="I163" cm="1">
        <f t="array" ref="I163">IF(E163="2DSB", IF(H163="R1", 67, 46), IF(E163="1DSB", IF(H163="R1", 67, 46), IF(E163="2DSBanti", IF(H163="R1", 50, 47), NA))) + IF(table_1[[#This Row],[control]]="30bpDown", 30, 0)</f>
        <v>67</v>
      </c>
      <c r="J1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yjl245_NHEJ_hg39_R1.sam</v>
      </c>
      <c r="K1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yjl245_WT_sgA_R1_branch_noDSB</v>
      </c>
      <c r="L163" t="str">
        <f>_xlfn.CONCAT(table_1[[#This Row],[dsb_type]],"_", table_1[[#This Row],[strand]],"_", table_1[[#This Row],[treatment]], ".fa")</f>
        <v>1DSB_R1_branch.fa</v>
      </c>
      <c r="M163">
        <f>VLOOKUP(INT(MID(table_1[[#This Row],[library]], 4, 10)), table_1_2[#All], IF(table_1[[#This Row],[strand]]="R1", 3, 4))</f>
        <v>12898941</v>
      </c>
      <c r="N163">
        <f>IF(LEFT(table_1[[#This Row],[dsb_type]], 1) = "2", 50, 130)</f>
        <v>130</v>
      </c>
      <c r="O1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5" x14ac:dyDescent="0.25">
      <c r="A164" s="3">
        <v>163</v>
      </c>
      <c r="B164" t="s">
        <v>133</v>
      </c>
      <c r="C164" t="s">
        <v>1</v>
      </c>
      <c r="D164" t="s">
        <v>186</v>
      </c>
      <c r="E164" t="s">
        <v>124</v>
      </c>
      <c r="F164" t="s">
        <v>78</v>
      </c>
      <c r="G164" t="s">
        <v>77</v>
      </c>
      <c r="H164" t="s">
        <v>83</v>
      </c>
      <c r="I164" cm="1">
        <f t="array" ref="I164">IF(E164="2DSB", IF(H164="R1", 67, 46), IF(E164="1DSB", IF(H164="R1", 67, 46), IF(E164="2DSBanti", IF(H164="R1", 50, 47), NA))) + IF(table_1[[#This Row],[control]]="30bpDown", 30, 0)</f>
        <v>67</v>
      </c>
      <c r="J1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yjl246_NHEJ_hg39_R1.sam</v>
      </c>
      <c r="K1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yjl246_WT_sgA_R1_cmv_noDSB</v>
      </c>
      <c r="L164" t="str">
        <f>_xlfn.CONCAT(table_1[[#This Row],[dsb_type]],"_", table_1[[#This Row],[strand]],"_", table_1[[#This Row],[treatment]], ".fa")</f>
        <v>1DSB_R1_cmv.fa</v>
      </c>
      <c r="M164">
        <f>VLOOKUP(INT(MID(table_1[[#This Row],[library]], 4, 10)), table_1_2[#All], IF(table_1[[#This Row],[strand]]="R1", 3, 4))</f>
        <v>10217401</v>
      </c>
      <c r="N164">
        <f>IF(LEFT(table_1[[#This Row],[dsb_type]], 1) = "2", 50, 130)</f>
        <v>130</v>
      </c>
      <c r="O1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5" x14ac:dyDescent="0.25">
      <c r="A165" s="3">
        <v>164</v>
      </c>
      <c r="B165" t="s">
        <v>135</v>
      </c>
      <c r="C165" t="s">
        <v>14</v>
      </c>
      <c r="D165" t="s">
        <v>186</v>
      </c>
      <c r="E165" t="s">
        <v>124</v>
      </c>
      <c r="F165" t="s">
        <v>78</v>
      </c>
      <c r="G165" t="s">
        <v>75</v>
      </c>
      <c r="H165" t="s">
        <v>83</v>
      </c>
      <c r="I165" cm="1">
        <f t="array" ref="I165">IF(E165="2DSB", IF(H165="R1", 67, 46), IF(E165="1DSB", IF(H165="R1", 67, 46), IF(E165="2DSBanti", IF(H165="R1", 50, 47), NA))) + IF(table_1[[#This Row],[control]]="30bpDown", 30, 0)</f>
        <v>67</v>
      </c>
      <c r="J1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yjl281_NHEJ_hg39_R1.sam</v>
      </c>
      <c r="K1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yjl281_KO_sgA_R1_sense_noDSB</v>
      </c>
      <c r="L165" t="str">
        <f>_xlfn.CONCAT(table_1[[#This Row],[dsb_type]],"_", table_1[[#This Row],[strand]],"_", table_1[[#This Row],[treatment]], ".fa")</f>
        <v>1DSB_R1_sense.fa</v>
      </c>
      <c r="M165">
        <f>VLOOKUP(INT(MID(table_1[[#This Row],[library]], 4, 10)), table_1_2[#All], IF(table_1[[#This Row],[strand]]="R1", 3, 4))</f>
        <v>7424148</v>
      </c>
      <c r="N165">
        <f>IF(LEFT(table_1[[#This Row],[dsb_type]], 1) = "2", 50, 130)</f>
        <v>130</v>
      </c>
      <c r="O1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5" x14ac:dyDescent="0.25">
      <c r="A166" s="3">
        <v>165</v>
      </c>
      <c r="B166" t="s">
        <v>136</v>
      </c>
      <c r="C166" t="s">
        <v>14</v>
      </c>
      <c r="D166" t="s">
        <v>186</v>
      </c>
      <c r="E166" t="s">
        <v>124</v>
      </c>
      <c r="F166" t="s">
        <v>78</v>
      </c>
      <c r="G166" t="s">
        <v>76</v>
      </c>
      <c r="H166" t="s">
        <v>83</v>
      </c>
      <c r="I166" cm="1">
        <f t="array" ref="I166">IF(E166="2DSB", IF(H166="R1", 67, 46), IF(E166="1DSB", IF(H166="R1", 67, 46), IF(E166="2DSBanti", IF(H166="R1", 50, 47), NA))) + IF(table_1[[#This Row],[control]]="30bpDown", 30, 0)</f>
        <v>67</v>
      </c>
      <c r="J1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yjl282_NHEJ_hg39_R1.sam</v>
      </c>
      <c r="K1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yjl282_KO_sgA_R1_branch_noDSB</v>
      </c>
      <c r="L166" t="str">
        <f>_xlfn.CONCAT(table_1[[#This Row],[dsb_type]],"_", table_1[[#This Row],[strand]],"_", table_1[[#This Row],[treatment]], ".fa")</f>
        <v>1DSB_R1_branch.fa</v>
      </c>
      <c r="M166">
        <f>VLOOKUP(INT(MID(table_1[[#This Row],[library]], 4, 10)), table_1_2[#All], IF(table_1[[#This Row],[strand]]="R1", 3, 4))</f>
        <v>10190833</v>
      </c>
      <c r="N166">
        <f>IF(LEFT(table_1[[#This Row],[dsb_type]], 1) = "2", 50, 130)</f>
        <v>130</v>
      </c>
      <c r="O1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5" x14ac:dyDescent="0.25">
      <c r="A167" s="3">
        <v>166</v>
      </c>
      <c r="B167" t="s">
        <v>137</v>
      </c>
      <c r="C167" t="s">
        <v>14</v>
      </c>
      <c r="D167" t="s">
        <v>186</v>
      </c>
      <c r="E167" t="s">
        <v>124</v>
      </c>
      <c r="F167" t="s">
        <v>78</v>
      </c>
      <c r="G167" t="s">
        <v>77</v>
      </c>
      <c r="H167" t="s">
        <v>83</v>
      </c>
      <c r="I167" cm="1">
        <f t="array" ref="I167">IF(E167="2DSB", IF(H167="R1", 67, 46), IF(E167="1DSB", IF(H167="R1", 67, 46), IF(E167="2DSBanti", IF(H167="R1", 50, 47), NA))) + IF(table_1[[#This Row],[control]]="30bpDown", 30, 0)</f>
        <v>67</v>
      </c>
      <c r="J1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yjl283_NHEJ_hg39_R1.sam</v>
      </c>
      <c r="K1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yjl283_KO_sgA_R1_cmv_noDSB</v>
      </c>
      <c r="L167" t="str">
        <f>_xlfn.CONCAT(table_1[[#This Row],[dsb_type]],"_", table_1[[#This Row],[strand]],"_", table_1[[#This Row],[treatment]], ".fa")</f>
        <v>1DSB_R1_cmv.fa</v>
      </c>
      <c r="M167">
        <f>VLOOKUP(INT(MID(table_1[[#This Row],[library]], 4, 10)), table_1_2[#All], IF(table_1[[#This Row],[strand]]="R1", 3, 4))</f>
        <v>7763439</v>
      </c>
      <c r="N167">
        <f>IF(LEFT(table_1[[#This Row],[dsb_type]], 1) = "2", 50, 130)</f>
        <v>130</v>
      </c>
      <c r="O1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5" x14ac:dyDescent="0.25">
      <c r="A168" s="3">
        <v>167</v>
      </c>
      <c r="B168" t="s">
        <v>131</v>
      </c>
      <c r="C168" t="s">
        <v>1</v>
      </c>
      <c r="D168" t="s">
        <v>186</v>
      </c>
      <c r="E168" t="s">
        <v>124</v>
      </c>
      <c r="F168" t="s">
        <v>79</v>
      </c>
      <c r="G168" t="s">
        <v>75</v>
      </c>
      <c r="H168" t="s">
        <v>84</v>
      </c>
      <c r="I168" cm="1">
        <f t="array" ref="I168">IF(E168="2DSB", IF(H168="R1", 67, 46), IF(E168="1DSB", IF(H168="R1", 67, 46), IF(E168="2DSBanti", IF(H168="R1", 50, 47), NA))) + IF(table_1[[#This Row],[control]]="30bpDown", 30, 0)</f>
        <v>46</v>
      </c>
      <c r="J1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yjl244_NHEJ_hg42_R2.sam</v>
      </c>
      <c r="K1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yjl244_WT_sgB_R2_sense_noDSB</v>
      </c>
      <c r="L168" t="str">
        <f>_xlfn.CONCAT(table_1[[#This Row],[dsb_type]],"_", table_1[[#This Row],[strand]],"_", table_1[[#This Row],[treatment]], ".fa")</f>
        <v>1DSB_R2_sense.fa</v>
      </c>
      <c r="M168">
        <f>VLOOKUP(INT(MID(table_1[[#This Row],[library]], 4, 10)), table_1_2[#All], IF(table_1[[#This Row],[strand]]="R1", 3, 4))</f>
        <v>9354510</v>
      </c>
      <c r="N168">
        <f>IF(LEFT(table_1[[#This Row],[dsb_type]], 1) = "2", 50, 130)</f>
        <v>130</v>
      </c>
      <c r="O1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5" x14ac:dyDescent="0.25">
      <c r="A169" s="3">
        <v>168</v>
      </c>
      <c r="B169" t="s">
        <v>132</v>
      </c>
      <c r="C169" t="s">
        <v>1</v>
      </c>
      <c r="D169" t="s">
        <v>186</v>
      </c>
      <c r="E169" t="s">
        <v>124</v>
      </c>
      <c r="F169" t="s">
        <v>79</v>
      </c>
      <c r="G169" t="s">
        <v>76</v>
      </c>
      <c r="H169" t="s">
        <v>84</v>
      </c>
      <c r="I169" cm="1">
        <f t="array" ref="I169">IF(E169="2DSB", IF(H169="R1", 67, 46), IF(E169="1DSB", IF(H169="R1", 67, 46), IF(E169="2DSBanti", IF(H169="R1", 50, 47), NA))) + IF(table_1[[#This Row],[control]]="30bpDown", 30, 0)</f>
        <v>46</v>
      </c>
      <c r="J1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yjl245_NHEJ_hg42_R2.sam</v>
      </c>
      <c r="K1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yjl245_WT_sgB_R2_branch_noDSB</v>
      </c>
      <c r="L169" t="str">
        <f>_xlfn.CONCAT(table_1[[#This Row],[dsb_type]],"_", table_1[[#This Row],[strand]],"_", table_1[[#This Row],[treatment]], ".fa")</f>
        <v>1DSB_R2_branch.fa</v>
      </c>
      <c r="M169">
        <f>VLOOKUP(INT(MID(table_1[[#This Row],[library]], 4, 10)), table_1_2[#All], IF(table_1[[#This Row],[strand]]="R1", 3, 4))</f>
        <v>12461219</v>
      </c>
      <c r="N169">
        <f>IF(LEFT(table_1[[#This Row],[dsb_type]], 1) = "2", 50, 130)</f>
        <v>130</v>
      </c>
      <c r="O1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5" x14ac:dyDescent="0.25">
      <c r="A170" s="3">
        <v>169</v>
      </c>
      <c r="B170" t="s">
        <v>133</v>
      </c>
      <c r="C170" t="s">
        <v>1</v>
      </c>
      <c r="D170" t="s">
        <v>186</v>
      </c>
      <c r="E170" t="s">
        <v>124</v>
      </c>
      <c r="F170" t="s">
        <v>79</v>
      </c>
      <c r="G170" t="s">
        <v>77</v>
      </c>
      <c r="H170" t="s">
        <v>84</v>
      </c>
      <c r="I170" cm="1">
        <f t="array" ref="I170">IF(E170="2DSB", IF(H170="R1", 67, 46), IF(E170="1DSB", IF(H170="R1", 67, 46), IF(E170="2DSBanti", IF(H170="R1", 50, 47), NA))) + IF(table_1[[#This Row],[control]]="30bpDown", 30, 0)</f>
        <v>46</v>
      </c>
      <c r="J1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yjl246_NHEJ_hg42_R2.sam</v>
      </c>
      <c r="K1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yjl246_WT_sgB_R2_cmv_noDSB</v>
      </c>
      <c r="L170" t="str">
        <f>_xlfn.CONCAT(table_1[[#This Row],[dsb_type]],"_", table_1[[#This Row],[strand]],"_", table_1[[#This Row],[treatment]], ".fa")</f>
        <v>1DSB_R2_cmv.fa</v>
      </c>
      <c r="M170">
        <f>VLOOKUP(INT(MID(table_1[[#This Row],[library]], 4, 10)), table_1_2[#All], IF(table_1[[#This Row],[strand]]="R1", 3, 4))</f>
        <v>9853052</v>
      </c>
      <c r="N170">
        <f>IF(LEFT(table_1[[#This Row],[dsb_type]], 1) = "2", 50, 130)</f>
        <v>130</v>
      </c>
      <c r="O1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5" x14ac:dyDescent="0.25">
      <c r="A171" s="3">
        <v>170</v>
      </c>
      <c r="B171" t="s">
        <v>135</v>
      </c>
      <c r="C171" t="s">
        <v>14</v>
      </c>
      <c r="D171" t="s">
        <v>186</v>
      </c>
      <c r="E171" t="s">
        <v>124</v>
      </c>
      <c r="F171" t="s">
        <v>79</v>
      </c>
      <c r="G171" t="s">
        <v>75</v>
      </c>
      <c r="H171" t="s">
        <v>84</v>
      </c>
      <c r="I171" cm="1">
        <f t="array" ref="I171">IF(E171="2DSB", IF(H171="R1", 67, 46), IF(E171="1DSB", IF(H171="R1", 67, 46), IF(E171="2DSBanti", IF(H171="R1", 50, 47), NA))) + IF(table_1[[#This Row],[control]]="30bpDown", 30, 0)</f>
        <v>46</v>
      </c>
      <c r="J1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yjl281_NHEJ_hg42_R2.sam</v>
      </c>
      <c r="K1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yjl281_KO_sgB_R2_sense_noDSB</v>
      </c>
      <c r="L171" t="str">
        <f>_xlfn.CONCAT(table_1[[#This Row],[dsb_type]],"_", table_1[[#This Row],[strand]],"_", table_1[[#This Row],[treatment]], ".fa")</f>
        <v>1DSB_R2_sense.fa</v>
      </c>
      <c r="M171">
        <f>VLOOKUP(INT(MID(table_1[[#This Row],[library]], 4, 10)), table_1_2[#All], IF(table_1[[#This Row],[strand]]="R1", 3, 4))</f>
        <v>7181166</v>
      </c>
      <c r="N171">
        <f>IF(LEFT(table_1[[#This Row],[dsb_type]], 1) = "2", 50, 130)</f>
        <v>130</v>
      </c>
      <c r="O1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5" x14ac:dyDescent="0.25">
      <c r="A172" s="3">
        <v>171</v>
      </c>
      <c r="B172" t="s">
        <v>136</v>
      </c>
      <c r="C172" t="s">
        <v>14</v>
      </c>
      <c r="D172" t="s">
        <v>186</v>
      </c>
      <c r="E172" t="s">
        <v>124</v>
      </c>
      <c r="F172" t="s">
        <v>79</v>
      </c>
      <c r="G172" t="s">
        <v>76</v>
      </c>
      <c r="H172" t="s">
        <v>84</v>
      </c>
      <c r="I172" cm="1">
        <f t="array" ref="I172">IF(E172="2DSB", IF(H172="R1", 67, 46), IF(E172="1DSB", IF(H172="R1", 67, 46), IF(E172="2DSBanti", IF(H172="R1", 50, 47), NA))) + IF(table_1[[#This Row],[control]]="30bpDown", 30, 0)</f>
        <v>46</v>
      </c>
      <c r="J1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yjl282_NHEJ_hg42_R2.sam</v>
      </c>
      <c r="K1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yjl282_KO_sgB_R2_branch_noDSB</v>
      </c>
      <c r="L172" t="str">
        <f>_xlfn.CONCAT(table_1[[#This Row],[dsb_type]],"_", table_1[[#This Row],[strand]],"_", table_1[[#This Row],[treatment]], ".fa")</f>
        <v>1DSB_R2_branch.fa</v>
      </c>
      <c r="M172">
        <f>VLOOKUP(INT(MID(table_1[[#This Row],[library]], 4, 10)), table_1_2[#All], IF(table_1[[#This Row],[strand]]="R1", 3, 4))</f>
        <v>10027116</v>
      </c>
      <c r="N172">
        <f>IF(LEFT(table_1[[#This Row],[dsb_type]], 1) = "2", 50, 130)</f>
        <v>130</v>
      </c>
      <c r="O1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5" x14ac:dyDescent="0.25">
      <c r="A173" s="3">
        <v>172</v>
      </c>
      <c r="B173" t="s">
        <v>137</v>
      </c>
      <c r="C173" t="s">
        <v>14</v>
      </c>
      <c r="D173" t="s">
        <v>186</v>
      </c>
      <c r="E173" t="s">
        <v>124</v>
      </c>
      <c r="F173" t="s">
        <v>79</v>
      </c>
      <c r="G173" t="s">
        <v>77</v>
      </c>
      <c r="H173" t="s">
        <v>84</v>
      </c>
      <c r="I173" cm="1">
        <f t="array" ref="I173">IF(E173="2DSB", IF(H173="R1", 67, 46), IF(E173="1DSB", IF(H173="R1", 67, 46), IF(E173="2DSBanti", IF(H173="R1", 50, 47), NA))) + IF(table_1[[#This Row],[control]]="30bpDown", 30, 0)</f>
        <v>46</v>
      </c>
      <c r="J1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yjl283_NHEJ_hg42_R2.sam</v>
      </c>
      <c r="K1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yjl283_KO_sgB_R2_cmv_noDSB</v>
      </c>
      <c r="L173" t="str">
        <f>_xlfn.CONCAT(table_1[[#This Row],[dsb_type]],"_", table_1[[#This Row],[strand]],"_", table_1[[#This Row],[treatment]], ".fa")</f>
        <v>1DSB_R2_cmv.fa</v>
      </c>
      <c r="M173">
        <f>VLOOKUP(INT(MID(table_1[[#This Row],[library]], 4, 10)), table_1_2[#All], IF(table_1[[#This Row],[strand]]="R1", 3, 4))</f>
        <v>7622513</v>
      </c>
      <c r="N173">
        <f>IF(LEFT(table_1[[#This Row],[dsb_type]], 1) = "2", 50, 130)</f>
        <v>130</v>
      </c>
      <c r="O1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libraries_1/yjl283_NHEJ_hg42_R2.sam -ref ref_seq/1DSB_R2_cmv.fa -o libraries_2/yjl283_KO_sgB_R2_cmv_noDSB.tsv --min_length 130 -dsb 46 --quiet</v>
      </c>
    </row>
    <row r="175" spans="1:15" x14ac:dyDescent="0.25">
      <c r="B175" s="1" t="s">
        <v>177</v>
      </c>
    </row>
    <row r="176" spans="1:15" x14ac:dyDescent="0.25">
      <c r="B176" t="str">
        <f>_xlfn.TEXTJOIN(CHAR(10), TRUE, table_1[command_filter_nhej])</f>
        <v>python 1_process_nhej/filter_nhej.py -sam libraries_1/yjl217_R1_2DSBs.sam -ref ref_seq/2DSB_R1_sense.fa -o libraries_2/yjl217_WT_sgAB_R1_sense.tsv --min_length 50 -dsb 67 --quiet
python 1_process_nhej/filter_nhej.py -sam libraries_1/yjl218_R1_2DSBs.sam -ref ref_seq/2DSB_R1_sense.fa -o libraries_2/yjl218_WT_sgAB_R1_sense.tsv --min_length 50 -dsb 67 --quiet
python 1_process_nhej/filter_nhej.py -sam libraries_1/yjl219_R1_2DSBs.sam -ref ref_seq/2DSB_R1_sense.fa -o libraries_2/yjl219_WT_sgAB_R1_sense.tsv --min_length 50 -dsb 67 --quiet
python 1_process_nhej/filter_nhej.py -sam libraries_1/yjl220_R1_2DSBs.sam -ref ref_seq/2DSB_R1_sense.fa -o libraries_2/yjl220_WT_sgAB_R1_sense.tsv --min_length 50 -dsb 67 --quiet
python 1_process_nhej/filter_nhej.py -sam libraries_1/yjl221_R1_2DSBs.sam -ref ref_seq/2DSB_R1_branch.fa -o libraries_2/yjl221_WT_sgAB_R1_branch.tsv --min_length 50 -dsb 67 --quiet
python 1_process_nhej/filter_nhej.py -sam libraries_1/yjl222_R1_2DSBs.sam -ref ref_seq/2DSB_R1_branch.fa -o libraries_2/yjl222_WT_sgAB_R1_branch.tsv --min_length 50 -dsb 67 --quiet
python 1_process_nhej/filter_nhej.py -sam libraries_1/yjl223_R1_2DSBs.sam -ref ref_seq/2DSB_R1_branch.fa -o libraries_2/yjl223_WT_sgAB_R1_branch.tsv --min_length 50 -dsb 67 --quiet
python 1_process_nhej/filter_nhej.py -sam libraries_1/yjl224_R1_2DSBs.sam -ref ref_seq/2DSB_R1_branch.fa -o libraries_2/yjl224_WT_sgAB_R1_branch.tsv --min_length 50 -dsb 67 --quiet
python 1_process_nhej/filter_nhej.py -sam libraries_1/yjl225_R1_2DSBs.sam -ref ref_seq/2DSB_R1_cmv.fa -o libraries_2/yjl225_WT_sgAB_R1_cmv.tsv --min_length 50 -dsb 67 --quiet
python 1_process_nhej/filter_nhej.py -sam libraries_1/yjl226_R1_2DSBs.sam -ref ref_seq/2DSB_R1_cmv.fa -o libraries_2/yjl226_WT_sgAB_R1_cmv.tsv --min_length 50 -dsb 67 --quiet
python 1_process_nhej/filter_nhej.py -sam libraries_1/yjl227_R1_2DSBs.sam -ref ref_seq/2DSB_R1_cmv.fa -o libraries_2/yjl227_WT_sgAB_R1_cmv.tsv --min_length 50 -dsb 67 --quiet
python 1_process_nhej/filter_nhej.py -sam libraries_1/yjl228_R1_2DSBs.sam -ref ref_seq/2DSB_R1_cmv.fa -o libraries_2/yjl228_WT_sgAB_R1_cmv.tsv --min_length 50 -dsb 67 --quiet
python 1_process_nhej/filter_nhej.py -sam libraries_1/yjl229_R1_2DSBs.sam -ref ref_seq/2DSB_R1_sense.fa -o libraries_2/yjl229_KO_sgAB_R1_sense.tsv --min_length 50 -dsb 67 --quiet
python 1_process_nhej/filter_nhej.py -sam libraries_1/yjl230_R1_2DSBs.sam -ref ref_seq/2DSB_R1_sense.fa -o libraries_2/yjl230_KO_sgAB_R1_sense.tsv --min_length 50 -dsb 67 --quiet
python 1_process_nhej/filter_nhej.py -sam libraries_1/yjl231_R1_2DSBs.sam -ref ref_seq/2DSB_R1_sense.fa -o libraries_2/yjl231_KO_sgAB_R1_sense.tsv --min_length 50 -dsb 67 --quiet
python 1_process_nhej/filter_nhej.py -sam libraries_1/yjl232_R1_2DSBs.sam -ref ref_seq/2DSB_R1_sense.fa -o libraries_2/yjl232_KO_sgAB_R1_sense.tsv --min_length 50 -dsb 67 --quiet
python 1_process_nhej/filter_nhej.py -sam libraries_1/yjl233_R1_2DSBs.sam -ref ref_seq/2DSB_R1_branch.fa -o libraries_2/yjl233_KO_sgAB_R1_branch.tsv --min_length 50 -dsb 67 --quiet
python 1_process_nhej/filter_nhej.py -sam libraries_1/yjl234_R1_2DSBs.sam -ref ref_seq/2DSB_R1_branch.fa -o libraries_2/yjl234_KO_sgAB_R1_branch.tsv --min_length 50 -dsb 67 --quiet
python 1_process_nhej/filter_nhej.py -sam libraries_1/yjl235_R1_2DSBs.sam -ref ref_seq/2DSB_R1_branch.fa -o libraries_2/yjl235_KO_sgAB_R1_branch.tsv --min_length 50 -dsb 67 --quiet
python 1_process_nhej/filter_nhej.py -sam libraries_1/yjl236_R1_2DSBs.sam -ref ref_seq/2DSB_R1_branch.fa -o libraries_2/yjl236_KO_sgAB_R1_branch.tsv --min_length 50 -dsb 67 --quiet
python 1_process_nhej/filter_nhej.py -sam libraries_1/yjl237_R1_2DSBs.sam -ref ref_seq/2DSB_R1_cmv.fa -o libraries_2/yjl237_KO_sgAB_R1_cmv.tsv --min_length 50 -dsb 67 --quiet
python 1_process_nhej/filter_nhej.py -sam libraries_1/yjl238_R1_2DSBs.sam -ref ref_seq/2DSB_R1_cmv.fa -o libraries_2/yjl238_KO_sgAB_R1_cmv.tsv --min_length 50 -dsb 67 --quiet
python 1_process_nhej/filter_nhej.py -sam libraries_1/yjl239_R1_2DSBs.sam -ref ref_seq/2DSB_R1_cmv.fa -o libraries_2/yjl239_KO_sgAB_R1_cmv.tsv --min_length 50 -dsb 67 --quiet
python 1_process_nhej/filter_nhej.py -sam libraries_1/yjl240_R1_2DSBs.sam -ref ref_seq/2DSB_R1_cmv.fa -o libraries_2/yjl240_KO_sgAB_R1_cmv.tsv --min_length 50 -dsb 67 --quiet
python 1_process_nhej/filter_nhej.py -sam libraries_1/yjl217_R2_2DSBs.sam -ref ref_seq/2DSB_R2_sense.fa -o libraries_2/yjl217_WT_sgAB_R2_sense.tsv --min_length 50 -dsb 46 --quiet
python 1_process_nhej/filter_nhej.py -sam libraries_1/yjl218_R2_2DSBs.sam -ref ref_seq/2DSB_R2_sense.fa -o libraries_2/yjl218_WT_sgAB_R2_sense.tsv --min_length 50 -dsb 46 --quiet
python 1_process_nhej/filter_nhej.py -sam libraries_1/yjl219_R2_2DSBs.sam -ref ref_seq/2DSB_R2_sense.fa -o libraries_2/yjl219_WT_sgAB_R2_sense.tsv --min_length 50 -dsb 46 --quiet
python 1_process_nhej/filter_nhej.py -sam libraries_1/yjl220_R2_2DSBs.sam -ref ref_seq/2DSB_R2_sense.fa -o libraries_2/yjl220_WT_sgAB_R2_sense.tsv --min_length 50 -dsb 46 --quiet
python 1_process_nhej/filter_nhej.py -sam libraries_1/yjl221_R2_2DSBs.sam -ref ref_seq/2DSB_R2_branch.fa -o libraries_2/yjl221_WT_sgAB_R2_branch.tsv --min_length 50 -dsb 46 --quiet
python 1_process_nhej/filter_nhej.py -sam libraries_1/yjl222_R2_2DSBs.sam -ref ref_seq/2DSB_R2_branch.fa -o libraries_2/yjl222_WT_sgAB_R2_branch.tsv --min_length 50 -dsb 46 --quiet
python 1_process_nhej/filter_nhej.py -sam libraries_1/yjl223_R2_2DSBs.sam -ref ref_seq/2DSB_R2_branch.fa -o libraries_2/yjl223_WT_sgAB_R2_branch.tsv --min_length 50 -dsb 46 --quiet
python 1_process_nhej/filter_nhej.py -sam libraries_1/yjl224_R2_2DSBs.sam -ref ref_seq/2DSB_R2_branch.fa -o libraries_2/yjl224_WT_sgAB_R2_branch.tsv --min_length 50 -dsb 46 --quiet
python 1_process_nhej/filter_nhej.py -sam libraries_1/yjl225_R2_2DSBs.sam -ref ref_seq/2DSB_R2_cmv.fa -o libraries_2/yjl225_WT_sgAB_R2_cmv.tsv --min_length 50 -dsb 46 --quiet
python 1_process_nhej/filter_nhej.py -sam libraries_1/yjl226_R2_2DSBs.sam -ref ref_seq/2DSB_R2_cmv.fa -o libraries_2/yjl226_WT_sgAB_R2_cmv.tsv --min_length 50 -dsb 46 --quiet
python 1_process_nhej/filter_nhej.py -sam libraries_1/yjl227_R2_2DSBs.sam -ref ref_seq/2DSB_R2_cmv.fa -o libraries_2/yjl227_WT_sgAB_R2_cmv.tsv --min_length 50 -dsb 46 --quiet
python 1_process_nhej/filter_nhej.py -sam libraries_1/yjl228_R2_2DSBs.sam -ref ref_seq/2DSB_R2_cmv.fa -o libraries_2/yjl228_WT_sgAB_R2_cmv.tsv --min_length 50 -dsb 46 --quiet
python 1_process_nhej/filter_nhej.py -sam libraries_1/yjl229_R2_2DSBs.sam -ref ref_seq/2DSB_R2_sense.fa -o libraries_2/yjl229_KO_sgAB_R2_sense.tsv --min_length 50 -dsb 46 --quiet
python 1_process_nhej/filter_nhej.py -sam libraries_1/yjl230_R2_2DSBs.sam -ref ref_seq/2DSB_R2_sense.fa -o libraries_2/yjl230_KO_sgAB_R2_sense.tsv --min_length 50 -dsb 46 --quiet
python 1_process_nhej/filter_nhej.py -sam libraries_1/yjl231_R2_2DSBs.sam -ref ref_seq/2DSB_R2_sense.fa -o libraries_2/yjl231_KO_sgAB_R2_sense.tsv --min_length 50 -dsb 46 --quiet
python 1_process_nhej/filter_nhej.py -sam libraries_1/yjl232_R2_2DSBs.sam -ref ref_seq/2DSB_R2_sense.fa -o libraries_2/yjl232_KO_sgAB_R2_sense.tsv --min_length 50 -dsb 46 --quiet
python 1_process_nhej/filter_nhej.py -sam libraries_1/yjl233_R2_2DSBs.sam -ref ref_seq/2DSB_R2_branch.fa -o libraries_2/yjl233_KO_sgAB_R2_branch.tsv --min_length 50 -dsb 46 --quiet
python 1_process_nhej/filter_nhej.py -sam libraries_1/yjl234_R2_2DSBs.sam -ref ref_seq/2DSB_R2_branch.fa -o libraries_2/yjl234_KO_sgAB_R2_branch.tsv --min_length 50 -dsb 46 --quiet
python 1_process_nhej/filter_nhej.py -sam libraries_1/yjl235_R2_2DSBs.sam -ref ref_seq/2DSB_R2_branch.fa -o libraries_2/yjl235_KO_sgAB_R2_branch.tsv --min_length 50 -dsb 46 --quiet
python 1_process_nhej/filter_nhej.py -sam libraries_1/yjl236_R2_2DSBs.sam -ref ref_seq/2DSB_R2_branch.fa -o libraries_2/yjl236_KO_sgAB_R2_branch.tsv --min_length 50 -dsb 46 --quiet
python 1_process_nhej/filter_nhej.py -sam libraries_1/yjl237_R2_2DSBs.sam -ref ref_seq/2DSB_R2_cmv.fa -o libraries_2/yjl237_KO_sgAB_R2_cmv.tsv --min_length 50 -dsb 46 --quiet
python 1_process_nhej/filter_nhej.py -sam libraries_1/yjl238_R2_2DSBs.sam -ref ref_seq/2DSB_R2_cmv.fa -o libraries_2/yjl238_KO_sgAB_R2_cmv.tsv --min_length 50 -dsb 46 --quiet
python 1_process_nhej/filter_nhej.py -sam libraries_1/yjl239_R2_2DSBs.sam -ref ref_seq/2DSB_R2_cmv.fa -o libraries_2/yjl239_KO_sgAB_R2_cmv.tsv --min_length 50 -dsb 46 --quiet
python 1_process_nhej/filter_nhej.py -sam libraries_1/yjl240_R2_2DSBs.sam -ref ref_seq/2DSB_R2_cmv.fa -o libraries_2/yjl240_KO_sgAB_R2_cmv.tsv --min_length 50 -dsb 46 --quiet
python 1_process_nhej/filter_nhej.py -sam libraries_1/yjl255_R1_sgA.sam -ref ref_seq/1DSB_R1_sense.fa -o libraries_2/yjl255_WT_sgA_R1_sense.tsv --min_length 130 -dsb 67 --quiet
python 1_process_nhej/filter_nhej.py -sam libraries_1/yjl256_R1_sgA.sam -ref ref_seq/1DSB_R1_sense.fa -o libraries_2/yjl256_WT_sgA_R1_sense.tsv --min_length 130 -dsb 67 --quiet
python 1_process_nhej/filter_nhej.py -sam libraries_1/yjl257_R1_sgA.sam -ref ref_seq/1DSB_R1_sense.fa -o libraries_2/yjl257_WT_sgA_R1_sense.tsv --min_length 130 -dsb 67 --quiet
python 1_process_nhej/filter_nhej.py -sam libraries_1/yjl258_R1_sgA.sam -ref ref_seq/1DSB_R1_sense.fa -o libraries_2/yjl258_WT_sgA_R1_sense.tsv --min_length 130 -dsb 67 --quiet
python 1_process_nhej/filter_nhej.py -sam libraries_1/yjl259_R1_sgA.sam -ref ref_seq/1DSB_R1_branch.fa -o libraries_2/yjl259_WT_sgA_R1_branch.tsv --min_length 130 -dsb 67 --quiet
python 1_process_nhej/filter_nhej.py -sam libraries_1/yjl260_R1_sgA.sam -ref ref_seq/1DSB_R1_branch.fa -o libraries_2/yjl260_WT_sgA_R1_branch.tsv --min_length 130 -dsb 67 --quiet
python 1_process_nhej/filter_nhej.py -sam libraries_1/yjl261_R1_sgA.sam -ref ref_seq/1DSB_R1_branch.fa -o libraries_2/yjl261_WT_sgA_R1_branch.tsv --min_length 130 -dsb 67 --quiet
python 1_process_nhej/filter_nhej.py -sam libraries_1/yjl262_R1_sgA.sam -ref ref_seq/1DSB_R1_branch.fa -o libraries_2/yjl262_WT_sgA_R1_branch.tsv --min_length 130 -dsb 67 --quiet
python 1_process_nhej/filter_nhej.py -sam libraries_1/yjl263_R1_sgA.sam -ref ref_seq/1DSB_R1_cmv.fa -o libraries_2/yjl263_WT_sgA_R1_cmv.tsv --min_length 130 -dsb 67 --quiet
python 1_process_nhej/filter_nhej.py -sam libraries_1/yjl264_R1_sgA.sam -ref ref_seq/1DSB_R1_cmv.fa -o libraries_2/yjl264_WT_sgA_R1_cmv.tsv --min_length 130 -dsb 67 --quiet
python 1_process_nhej/filter_nhej.py -sam libraries_1/yjl265_R1_sgA.sam -ref ref_seq/1DSB_R1_cmv.fa -o libraries_2/yjl265_WT_sgA_R1_cmv.tsv --min_length 130 -dsb 67 --quiet
python 1_process_nhej/filter_nhej.py -sam libraries_1/yjl266_R1_sgA.sam -ref ref_seq/1DSB_R1_cmv.fa -o libraries_2/yjl266_WT_sgA_R1_cmv.tsv --min_length 130 -dsb 67 --quiet
python 1_process_nhej/filter_nhej.py -sam libraries_1/yjl292_R1_sgA.sam -ref ref_seq/1DSB_R1_sense.fa -o libraries_2/yjl292_KO_sgA_R1_sense.tsv --min_length 130 -dsb 67 --quiet
python 1_process_nhej/filter_nhej.py -sam libraries_1/yjl293_R1_sgA.sam -ref ref_seq/1DSB_R1_sense.fa -o libraries_2/yjl293_KO_sgA_R1_sense.tsv --min_length 130 -dsb 67 --quiet
python 1_process_nhej/filter_nhej.py -sam libraries_1/yjl294_R1_sgA.sam -ref ref_seq/1DSB_R1_sense.fa -o libraries_2/yjl294_KO_sgA_R1_sense.tsv --min_length 130 -dsb 67 --quiet
python 1_process_nhej/filter_nhej.py -sam libraries_1/yjl295_R1_sgA.sam -ref ref_seq/1DSB_R1_sense.fa -o libraries_2/yjl295_KO_sgA_R1_sense.tsv --min_length 130 -dsb 67 --quiet
python 1_process_nhej/filter_nhej.py -sam libraries_1/yjl296_R1_sgA.sam -ref ref_seq/1DSB_R1_branch.fa -o libraries_2/yjl296_KO_sgA_R1_branch.tsv --min_length 130 -dsb 67 --quiet
python 1_process_nhej/filter_nhej.py -sam libraries_1/yjl297_R1_sgA.sam -ref ref_seq/1DSB_R1_branch.fa -o libraries_2/yjl297_KO_sgA_R1_branch.tsv --min_length 130 -dsb 67 --quiet
python 1_process_nhej/filter_nhej.py -sam libraries_1/yjl298_R1_sgA.sam -ref ref_seq/1DSB_R1_branch.fa -o libraries_2/yjl298_KO_sgA_R1_branch.tsv --min_length 130 -dsb 67 --quiet
python 1_process_nhej/filter_nhej.py -sam libraries_1/yjl299_R1_sgA.sam -ref ref_seq/1DSB_R1_branch.fa -o libraries_2/yjl299_KO_sgA_R1_branch.tsv --min_length 130 -dsb 67 --quiet
python 1_process_nhej/filter_nhej.py -sam libraries_1/yjl300_R1_sgA.sam -ref ref_seq/1DSB_R1_cmv.fa -o libraries_2/yjl300_KO_sgA_R1_cmv.tsv --min_length 130 -dsb 67 --quiet
python 1_process_nhej/filter_nhej.py -sam libraries_1/yjl301_R1_sgA.sam -ref ref_seq/1DSB_R1_cmv.fa -o libraries_2/yjl301_KO_sgA_R1_cmv.tsv --min_length 130 -dsb 67 --quiet
python 1_process_nhej/filter_nhej.py -sam libraries_1/yjl302_R1_sgA.sam -ref ref_seq/1DSB_R1_cmv.fa -o libraries_2/yjl302_KO_sgA_R1_cmv.tsv --min_length 130 -dsb 67 --quiet
python 1_process_nhej/filter_nhej.py -sam libraries_1/yjl303_R1_sgA.sam -ref ref_seq/1DSB_R1_cmv.fa -o libraries_2/yjl303_KO_sgA_R1_cmv.tsv --min_length 130 -dsb 67 --quiet
python 1_process_nhej/filter_nhej.py -sam libraries_1/yjl267_R2_sgB.sam -ref ref_seq/1DSB_R2_sense.fa -o libraries_2/yjl267_WT_sgB_R2_sense.tsv --min_length 130 -dsb 46 --quiet
python 1_process_nhej/filter_nhej.py -sam libraries_1/yjl268_R2_sgB.sam -ref ref_seq/1DSB_R2_sense.fa -o libraries_2/yjl268_WT_sgB_R2_sense.tsv --min_length 130 -dsb 46 --quiet
python 1_process_nhej/filter_nhej.py -sam libraries_1/yjl269_R2_sgB.sam -ref ref_seq/1DSB_R2_sense.fa -o libraries_2/yjl269_WT_sgB_R2_sense.tsv --min_length 130 -dsb 46 --quiet
python 1_process_nhej/filter_nhej.py -sam libraries_1/yjl270_R2_sgB.sam -ref ref_seq/1DSB_R2_sense.fa -o libraries_2/yjl270_WT_sgB_R2_sense.tsv --min_length 130 -dsb 46 --quiet
python 1_process_nhej/filter_nhej.py -sam libraries_1/yjl271_R2_sgB.sam -ref ref_seq/1DSB_R2_branch.fa -o libraries_2/yjl271_WT_sgB_R2_branch.tsv --min_length 130 -dsb 46 --quiet
python 1_process_nhej/filter_nhej.py -sam libraries_1/yjl272_R2_sgB.sam -ref ref_seq/1DSB_R2_branch.fa -o libraries_2/yjl272_WT_sgB_R2_branch.tsv --min_length 130 -dsb 46 --quiet
python 1_process_nhej/filter_nhej.py -sam libraries_1/yjl273_R2_sgB.sam -ref ref_seq/1DSB_R2_branch.fa -o libraries_2/yjl273_WT_sgB_R2_branch.tsv --min_length 130 -dsb 46 --quiet
python 1_process_nhej/filter_nhej.py -sam libraries_1/yjl274_R2_sgB.sam -ref ref_seq/1DSB_R2_branch.fa -o libraries_2/yjl274_WT_sgB_R2_branch.tsv --min_length 130 -dsb 46 --quiet
python 1_process_nhej/filter_nhej.py -sam libraries_1/yjl275_R2_sgB.sam -ref ref_seq/1DSB_R2_cmv.fa -o libraries_2/yjl275_WT_sgB_R2_cmv.tsv --min_length 130 -dsb 46 --quiet
python 1_process_nhej/filter_nhej.py -sam libraries_1/yjl276_R2_sgB.sam -ref ref_seq/1DSB_R2_cmv.fa -o libraries_2/yjl276_WT_sgB_R2_cmv.tsv --min_length 130 -dsb 46 --quiet
python 1_process_nhej/filter_nhej.py -sam libraries_1/yjl277_R2_sgB.sam -ref ref_seq/1DSB_R2_cmv.fa -o libraries_2/yjl277_WT_sgB_R2_cmv.tsv --min_length 130 -dsb 46 --quiet
python 1_process_nhej/filter_nhej.py -sam libraries_1/yjl278_R2_sgB.sam -ref ref_seq/1DSB_R2_cmv.fa -o libraries_2/yjl278_WT_sgB_R2_cmv.tsv --min_length 130 -dsb 46 --quiet
python 1_process_nhej/filter_nhej.py -sam libraries_1/yjl304_R2_sgB.sam -ref ref_seq/1DSB_R2_sense.fa -o libraries_2/yjl304_KO_sgB_R2_sense.tsv --min_length 130 -dsb 46 --quiet
python 1_process_nhej/filter_nhej.py -sam libraries_1/yjl305_R2_sgB.sam -ref ref_seq/1DSB_R2_sense.fa -o libraries_2/yjl305_KO_sgB_R2_sense.tsv --min_length 130 -dsb 46 --quiet
python 1_process_nhej/filter_nhej.py -sam libraries_1/yjl306_R2_sgB.sam -ref ref_seq/1DSB_R2_sense.fa -o libraries_2/yjl306_KO_sgB_R2_sense.tsv --min_length 130 -dsb 46 --quiet
python 1_process_nhej/filter_nhej.py -sam libraries_1/yjl307_R2_sgB.sam -ref ref_seq/1DSB_R2_sense.fa -o libraries_2/yjl307_KO_sgB_R2_sense.tsv --min_length 130 -dsb 46 --quiet
python 1_process_nhej/filter_nhej.py -sam libraries_1/yjl308_R2_sgB.sam -ref ref_seq/1DSB_R2_branch.fa -o libraries_2/yjl308_KO_sgB_R2_branch.tsv --min_length 130 -dsb 46 --quiet
python 1_process_nhej/filter_nhej.py -sam libraries_1/yjl309_R2_sgB.sam -ref ref_seq/1DSB_R2_branch.fa -o libraries_2/yjl309_KO_sgB_R2_branch.tsv --min_length 130 -dsb 46 --quiet
python 1_process_nhej/filter_nhej.py -sam libraries_1/yjl310_R2_sgB.sam -ref ref_seq/1DSB_R2_branch.fa -o libraries_2/yjl310_KO_sgB_R2_branch.tsv --min_length 130 -dsb 46 --quiet
python 1_process_nhej/filter_nhej.py -sam libraries_1/yjl311_R2_sgB.sam -ref ref_seq/1DSB_R2_branch.fa -o libraries_2/yjl311_KO_sgB_R2_branch.tsv --min_length 130 -dsb 46 --quiet
python 1_process_nhej/filter_nhej.py -sam libraries_1/yjl312_R2_sgB.sam -ref ref_seq/1DSB_R2_cmv.fa -o libraries_2/yjl312_KO_sgB_R2_cmv.tsv --min_length 130 -dsb 46 --quiet
python 1_process_nhej/filter_nhej.py -sam libraries_1/yjl313_R2_sgB.sam -ref ref_seq/1DSB_R2_cmv.fa -o libraries_2/yjl313_KO_sgB_R2_cmv.tsv --min_length 130 -dsb 46 --quiet
python 1_process_nhej/filter_nhej.py -sam libraries_1/yjl314_R2_sgB.sam -ref ref_seq/1DSB_R2_cmv.fa -o libraries_2/yjl314_KO_sgB_R2_cmv.tsv --min_length 130 -dsb 46 --quiet
python 1_process_nhej/filter_nhej.py -sam libraries_1/yjl315_R2_sgB.sam -ref ref_seq/1DSB_R2_cmv.fa -o libraries_2/yjl315_KO_sgB_R2_cmv.tsv --min_length 130 -dsb 46 --quiet
python 1_process_nhej/filter_nhej.py -sam libraries_1/yjl255_R1_sgA.sam -ref ref_seq/1DSB_R1_sense.fa -o libraries_2/yjl255_WT_sgA_R1_sense_30bpDown.tsv --min_length 130 -dsb 97 --quiet
python 1_process_nhej/filter_nhej.py -sam libraries_1/yjl256_R1_sgA.sam -ref ref_seq/1DSB_R1_sense.fa -o libraries_2/yjl256_WT_sgA_R1_sense_30bpDown.tsv --min_length 130 -dsb 97 --quiet
python 1_process_nhej/filter_nhej.py -sam libraries_1/yjl257_R1_sgA.sam -ref ref_seq/1DSB_R1_sense.fa -o libraries_2/yjl257_WT_sgA_R1_sense_30bpDown.tsv --min_length 130 -dsb 97 --quiet
python 1_process_nhej/filter_nhej.py -sam libraries_1/yjl258_R1_sgA.sam -ref ref_seq/1DSB_R1_sense.fa -o libraries_2/yjl258_WT_sgA_R1_sense_30bpDown.tsv --min_length 130 -dsb 97 --quiet
python 1_process_nhej/filter_nhej.py -sam libraries_1/yjl259_R1_sgA.sam -ref ref_seq/1DSB_R1_branch.fa -o libraries_2/yjl259_WT_sgA_R1_branch_30bpDown.tsv --min_length 130 -dsb 97 --quiet
python 1_process_nhej/filter_nhej.py -sam libraries_1/yjl260_R1_sgA.sam -ref ref_seq/1DSB_R1_branch.fa -o libraries_2/yjl260_WT_sgA_R1_branch_30bpDown.tsv --min_length 130 -dsb 97 --quiet
python 1_process_nhej/filter_nhej.py -sam libraries_1/yjl261_R1_sgA.sam -ref ref_seq/1DSB_R1_branch.fa -o libraries_2/yjl261_WT_sgA_R1_branch_30bpDown.tsv --min_length 130 -dsb 97 --quiet
python 1_process_nhej/filter_nhej.py -sam libraries_1/yjl262_R1_sgA.sam -ref ref_seq/1DSB_R1_branch.fa -o libraries_2/yjl262_WT_sgA_R1_branch_30bpDown.tsv --min_length 130 -dsb 97 --quiet
python 1_process_nhej/filter_nhej.py -sam libraries_1/yjl263_R1_sgA.sam -ref ref_seq/1DSB_R1_cmv.fa -o libraries_2/yjl263_WT_sgA_R1_cmv_30bpDown.tsv --min_length 130 -dsb 97 --quiet
python 1_process_nhej/filter_nhej.py -sam libraries_1/yjl264_R1_sgA.sam -ref ref_seq/1DSB_R1_cmv.fa -o libraries_2/yjl264_WT_sgA_R1_cmv_30bpDown.tsv --min_length 130 -dsb 97 --quiet
python 1_process_nhej/filter_nhej.py -sam libraries_1/yjl265_R1_sgA.sam -ref ref_seq/1DSB_R1_cmv.fa -o libraries_2/yjl265_WT_sgA_R1_cmv_30bpDown.tsv --min_length 130 -dsb 97 --quiet
python 1_process_nhej/filter_nhej.py -sam libraries_1/yjl266_R1_sgA.sam -ref ref_seq/1DSB_R1_cmv.fa -o libraries_2/yjl266_WT_sgA_R1_cmv_30bpDown.tsv --min_length 130 -dsb 97 --quiet
python 1_process_nhej/filter_nhej.py -sam libraries_1/yjl292_R1_sgA.sam -ref ref_seq/1DSB_R1_sense.fa -o libraries_2/yjl292_KO_sgA_R1_sense_30bpDown.tsv --min_length 130 -dsb 97 --quiet
python 1_process_nhej/filter_nhej.py -sam libraries_1/yjl293_R1_sgA.sam -ref ref_seq/1DSB_R1_sense.fa -o libraries_2/yjl293_KO_sgA_R1_sense_30bpDown.tsv --min_length 130 -dsb 97 --quiet
python 1_process_nhej/filter_nhej.py -sam libraries_1/yjl294_R1_sgA.sam -ref ref_seq/1DSB_R1_sense.fa -o libraries_2/yjl294_KO_sgA_R1_sense_30bpDown.tsv --min_length 130 -dsb 97 --quiet
python 1_process_nhej/filter_nhej.py -sam libraries_1/yjl295_R1_sgA.sam -ref ref_seq/1DSB_R1_sense.fa -o libraries_2/yjl295_KO_sgA_R1_sense_30bpDown.tsv --min_length 130 -dsb 97 --quiet
python 1_process_nhej/filter_nhej.py -sam libraries_1/yjl296_R1_sgA.sam -ref ref_seq/1DSB_R1_branch.fa -o libraries_2/yjl296_KO_sgA_R1_branch_30bpDown.tsv --min_length 130 -dsb 97 --quiet
python 1_process_nhej/filter_nhej.py -sam libraries_1/yjl297_R1_sgA.sam -ref ref_seq/1DSB_R1_branch.fa -o libraries_2/yjl297_KO_sgA_R1_branch_30bpDown.tsv --min_length 130 -dsb 97 --quiet
python 1_process_nhej/filter_nhej.py -sam libraries_1/yjl298_R1_sgA.sam -ref ref_seq/1DSB_R1_branch.fa -o libraries_2/yjl298_KO_sgA_R1_branch_30bpDown.tsv --min_length 130 -dsb 97 --quiet
python 1_process_nhej/filter_nhej.py -sam libraries_1/yjl299_R1_sgA.sam -ref ref_seq/1DSB_R1_branch.fa -o libraries_2/yjl299_KO_sgA_R1_branch_30bpDown.tsv --min_length 130 -dsb 97 --quiet
python 1_process_nhej/filter_nhej.py -sam libraries_1/yjl300_R1_sgA.sam -ref ref_seq/1DSB_R1_cmv.fa -o libraries_2/yjl300_KO_sgA_R1_cmv_30bpDown.tsv --min_length 130 -dsb 97 --quiet
python 1_process_nhej/filter_nhej.py -sam libraries_1/yjl301_R1_sgA.sam -ref ref_seq/1DSB_R1_cmv.fa -o libraries_2/yjl301_KO_sgA_R1_cmv_30bpDown.tsv --min_length 130 -dsb 97 --quiet
python 1_process_nhej/filter_nhej.py -sam libraries_1/yjl302_R1_sgA.sam -ref ref_seq/1DSB_R1_cmv.fa -o libraries_2/yjl302_KO_sgA_R1_cmv_30bpDown.tsv --min_length 130 -dsb 97 --quiet
python 1_process_nhej/filter_nhej.py -sam libraries_1/yjl303_R1_sgA.sam -ref ref_seq/1DSB_R1_cmv.fa -o libraries_2/yjl303_KO_sgA_R1_cmv_30bpDown.tsv --min_length 130 -dsb 97 --quiet
python 1_process_nhej/filter_nhej.py -sam libraries_1/yjl267_R2_sgB.sam -ref ref_seq/1DSB_R2_sense.fa -o libraries_2/yjl267_WT_sgB_R2_sense_30bpDown.tsv --min_length 130 -dsb 76 --quiet
python 1_process_nhej/filter_nhej.py -sam libraries_1/yjl268_R2_sgB.sam -ref ref_seq/1DSB_R2_sense.fa -o libraries_2/yjl268_WT_sgB_R2_sense_30bpDown.tsv --min_length 130 -dsb 76 --quiet
python 1_process_nhej/filter_nhej.py -sam libraries_1/yjl269_R2_sgB.sam -ref ref_seq/1DSB_R2_sense.fa -o libraries_2/yjl269_WT_sgB_R2_sense_30bpDown.tsv --min_length 130 -dsb 76 --quiet
python 1_process_nhej/filter_nhej.py -sam libraries_1/yjl270_R2_sgB.sam -ref ref_seq/1DSB_R2_sense.fa -o libraries_2/yjl270_WT_sgB_R2_sense_30bpDown.tsv --min_length 130 -dsb 76 --quiet
python 1_process_nhej/filter_nhej.py -sam libraries_1/yjl271_R2_sgB.sam -ref ref_seq/1DSB_R2_branch.fa -o libraries_2/yjl271_WT_sgB_R2_branch_30bpDown.tsv --min_length 130 -dsb 76 --quiet
python 1_process_nhej/filter_nhej.py -sam libraries_1/yjl272_R2_sgB.sam -ref ref_seq/1DSB_R2_branch.fa -o libraries_2/yjl272_WT_sgB_R2_branch_30bpDown.tsv --min_length 130 -dsb 76 --quiet
python 1_process_nhej/filter_nhej.py -sam libraries_1/yjl273_R2_sgB.sam -ref ref_seq/1DSB_R2_branch.fa -o libraries_2/yjl273_WT_sgB_R2_branch_30bpDown.tsv --min_length 130 -dsb 76 --quiet
python 1_process_nhej/filter_nhej.py -sam libraries_1/yjl274_R2_sgB.sam -ref ref_seq/1DSB_R2_branch.fa -o libraries_2/yjl274_WT_sgB_R2_branch_30bpDown.tsv --min_length 130 -dsb 76 --quiet
python 1_process_nhej/filter_nhej.py -sam libraries_1/yjl275_R2_sgB.sam -ref ref_seq/1DSB_R2_cmv.fa -o libraries_2/yjl275_WT_sgB_R2_cmv_30bpDown.tsv --min_length 130 -dsb 76 --quiet
python 1_process_nhej/filter_nhej.py -sam libraries_1/yjl276_R2_sgB.sam -ref ref_seq/1DSB_R2_cmv.fa -o libraries_2/yjl276_WT_sgB_R2_cmv_30bpDown.tsv --min_length 130 -dsb 76 --quiet
python 1_process_nhej/filter_nhej.py -sam libraries_1/yjl277_R2_sgB.sam -ref ref_seq/1DSB_R2_cmv.fa -o libraries_2/yjl277_WT_sgB_R2_cmv_30bpDown.tsv --min_length 130 -dsb 76 --quiet
python 1_process_nhej/filter_nhej.py -sam libraries_1/yjl278_R2_sgB.sam -ref ref_seq/1DSB_R2_cmv.fa -o libraries_2/yjl278_WT_sgB_R2_cmv_30bpDown.tsv --min_length 130 -dsb 76 --quiet
python 1_process_nhej/filter_nhej.py -sam libraries_1/yjl304_R2_sgB.sam -ref ref_seq/1DSB_R2_sense.fa -o libraries_2/yjl304_KO_sgB_R2_sense_30bpDown.tsv --min_length 130 -dsb 76 --quiet
python 1_process_nhej/filter_nhej.py -sam libraries_1/yjl305_R2_sgB.sam -ref ref_seq/1DSB_R2_sense.fa -o libraries_2/yjl305_KO_sgB_R2_sense_30bpDown.tsv --min_length 130 -dsb 76 --quiet
python 1_process_nhej/filter_nhej.py -sam libraries_1/yjl306_R2_sgB.sam -ref ref_seq/1DSB_R2_sense.fa -o libraries_2/yjl306_KO_sgB_R2_sense_30bpDown.tsv --min_length 130 -dsb 76 --quiet
python 1_process_nhej/filter_nhej.py -sam libraries_1/yjl307_R2_sgB.sam -ref ref_seq/1DSB_R2_sense.fa -o libraries_2/yjl307_KO_sgB_R2_sense_30bpDown.tsv --min_length 130 -dsb 76 --quiet
python 1_process_nhej/filter_nhej.py -sam libraries_1/yjl308_R2_sgB.sam -ref ref_seq/1DSB_R2_branch.fa -o libraries_2/yjl308_KO_sgB_R2_branch_30bpDown.tsv --min_length 130 -dsb 76 --quiet
python 1_process_nhej/filter_nhej.py -sam libraries_1/yjl309_R2_sgB.sam -ref ref_seq/1DSB_R2_branch.fa -o libraries_2/yjl309_KO_sgB_R2_branch_30bpDown.tsv --min_length 130 -dsb 76 --quiet
python 1_process_nhej/filter_nhej.py -sam libraries_1/yjl310_R2_sgB.sam -ref ref_seq/1DSB_R2_branch.fa -o libraries_2/yjl310_KO_sgB_R2_branch_30bpDown.tsv --min_length 130 -dsb 76 --quiet
python 1_process_nhej/filter_nhej.py -sam libraries_1/yjl311_R2_sgB.sam -ref ref_seq/1DSB_R2_branch.fa -o libraries_2/yjl311_KO_sgB_R2_branch_30bpDown.tsv --min_length 130 -dsb 76 --quiet
python 1_process_nhej/filter_nhej.py -sam libraries_1/yjl312_R2_sgB.sam -ref ref_seq/1DSB_R2_cmv.fa -o libraries_2/yjl312_KO_sgB_R2_cmv_30bpDown.tsv --min_length 130 -dsb 76 --quiet
python 1_process_nhej/filter_nhej.py -sam libraries_1/yjl313_R2_sgB.sam -ref ref_seq/1DSB_R2_cmv.fa -o libraries_2/yjl313_KO_sgB_R2_cmv_30bpDown.tsv --min_length 130 -dsb 76 --quiet
python 1_process_nhej/filter_nhej.py -sam libraries_1/yjl314_R2_sgB.sam -ref ref_seq/1DSB_R2_cmv.fa -o libraries_2/yjl314_KO_sgB_R2_cmv_30bpDown.tsv --min_length 130 -dsb 76 --quiet
python 1_process_nhej/filter_nhej.py -sam libraries_1/yjl315_R2_sgB.sam -ref ref_seq/1DSB_R2_cmv.fa -o libraries_2/yjl315_KO_sgB_R2_cmv_30bpDown.tsv --min_length 130 -dsb 76 --quiet
python 1_process_nhej/filter_nhej.py -sam libraries_1/yjl89_anti_R1_2DSBs.sam -ref ref_seq/2DSBanti_R1_antisense.fa -o libraries_2/yjl89_WT_sgCD_R1_antisense.tsv --min_length 50 -dsb 50 --quiet
python 1_process_nhej/filter_nhej.py -sam libraries_1/yjl90_anti_R1_2DSBs.sam -ref ref_seq/2DSBanti_R1_antisense.fa -o libraries_2/yjl90_WT_sgCD_R1_antisense.tsv --min_length 50 -dsb 50 --quiet
python 1_process_nhej/filter_nhej.py -sam libraries_1/yjl91_anti_R1_2DSBs.sam -ref ref_seq/2DSBanti_R1_antisense.fa -o libraries_2/yjl91_WT_sgCD_R1_antisense.tsv --min_length 50 -dsb 50 --quiet
python 1_process_nhej/filter_nhej.py -sam libraries_1/yjl92_anti_R1_2DSBs.sam -ref ref_seq/2DSBanti_R1_antisense.fa -o libraries_2/yjl92_WT_sgCD_R1_antisense.tsv --min_length 50 -dsb 50 --quiet
python 1_process_nhej/filter_nhej.py -sam libraries_1/yjl93_anti_R1_2DSBs.sam -ref ref_seq/2DSBanti_R1_splicing.fa -o libraries_2/yjl93_WT_sgCD_R1_splicing.tsv --min_length 50 -dsb 50 --quiet
python 1_process_nhej/filter_nhej.py -sam libraries_1/yjl94_anti_R1_2DSBs.sam -ref ref_seq/2DSBanti_R1_splicing.fa -o libraries_2/yjl94_WT_sgCD_R1_splicing.tsv --min_length 50 -dsb 50 --quiet
python 1_process_nhej/filter_nhej.py -sam libraries_1/yjl95_anti_R1_2DSBs.sam -ref ref_seq/2DSBanti_R1_splicing.fa -o libraries_2/yjl95_WT_sgCD_R1_splicing.tsv --min_length 50 -dsb 50 --quiet
python 1_process_nhej/filter_nhej.py -sam libraries_1/yjl96_anti_R1_2DSBs.sam -ref ref_seq/2DSBanti_R1_splicing.fa -o libraries_2/yjl96_WT_sgCD_R1_splicing.tsv --min_length 50 -dsb 50 --quiet
python 1_process_nhej/filter_nhej.py -sam libraries_1/yjl89_anti_R2_2DSBs.sam -ref ref_seq/2DSBanti_R2_antisense.fa -o libraries_2/yjl89_WT_sgCD_R2_antisense.tsv --min_length 50 -dsb 47 --quiet
python 1_process_nhej/filter_nhej.py -sam libraries_1/yjl90_anti_R2_2DSBs.sam -ref ref_seq/2DSBanti_R2_antisense.fa -o libraries_2/yjl90_WT_sgCD_R2_antisense.tsv --min_length 50 -dsb 47 --quiet
python 1_process_nhej/filter_nhej.py -sam libraries_1/yjl91_anti_R2_2DSBs.sam -ref ref_seq/2DSBanti_R2_antisense.fa -o libraries_2/yjl91_WT_sgCD_R2_antisense.tsv --min_length 50 -dsb 47 --quiet
python 1_process_nhej/filter_nhej.py -sam libraries_1/yjl92_anti_R2_2DSBs.sam -ref ref_seq/2DSBanti_R2_antisense.fa -o libraries_2/yjl92_WT_sgCD_R2_antisense.tsv --min_length 50 -dsb 47 --quiet
python 1_process_nhej/filter_nhej.py -sam libraries_1/yjl93_anti_R2_2DSBs.sam -ref ref_seq/2DSBanti_R2_splicing.fa -o libraries_2/yjl93_WT_sgCD_R2_splicing.tsv --min_length 50 -dsb 47 --quiet
python 1_process_nhej/filter_nhej.py -sam libraries_1/yjl94_anti_R2_2DSBs.sam -ref ref_seq/2DSBanti_R2_splicing.fa -o libraries_2/yjl94_WT_sgCD_R2_splicing.tsv --min_length 50 -dsb 47 --quiet
python 1_process_nhej/filter_nhej.py -sam libraries_1/yjl95_anti_R2_2DSBs.sam -ref ref_seq/2DSBanti_R2_splicing.fa -o libraries_2/yjl95_WT_sgCD_R2_splicing.tsv --min_length 50 -dsb 47 --quiet
python 1_process_nhej/filter_nhej.py -sam libraries_1/yjl96_anti_R2_2DSBs.sam -ref ref_seq/2DSBanti_R2_splicing.fa -o libraries_2/yjl96_WT_sgCD_R2_splicing.tsv --min_length 50 -dsb 47 --quiet
python 1_process_nhej/filter_nhej.py -sam libraries_1/yjl244_NHEJ_hg39_R1.sam -ref ref_seq/1DSB_R1_sense.fa -o libraries_2/yjl244_WT_sgA_R1_sense_noDSB.tsv --min_length 130 -dsb 67 --quiet
python 1_process_nhej/filter_nhej.py -sam libraries_1/yjl245_NHEJ_hg39_R1.sam -ref ref_seq/1DSB_R1_branch.fa -o libraries_2/yjl245_WT_sgA_R1_branch_noDSB.tsv --min_length 130 -dsb 67 --quiet
python 1_process_nhej/filter_nhej.py -sam libraries_1/yjl246_NHEJ_hg39_R1.sam -ref ref_seq/1DSB_R1_cmv.fa -o libraries_2/yjl246_WT_sgA_R1_cmv_noDSB.tsv --min_length 130 -dsb 67 --quiet
python 1_process_nhej/filter_nhej.py -sam libraries_1/yjl281_NHEJ_hg39_R1.sam -ref ref_seq/1DSB_R1_sense.fa -o libraries_2/yjl281_KO_sgA_R1_sense_noDSB.tsv --min_length 130 -dsb 67 --quiet
python 1_process_nhej/filter_nhej.py -sam libraries_1/yjl282_NHEJ_hg39_R1.sam -ref ref_seq/1DSB_R1_branch.fa -o libraries_2/yjl282_KO_sgA_R1_branch_noDSB.tsv --min_length 130 -dsb 67 --quiet
python 1_process_nhej/filter_nhej.py -sam libraries_1/yjl283_NHEJ_hg39_R1.sam -ref ref_seq/1DSB_R1_cmv.fa -o libraries_2/yjl283_KO_sgA_R1_cmv_noDSB.tsv --min_length 130 -dsb 67 --quiet
python 1_process_nhej/filter_nhej.py -sam libraries_1/yjl244_NHEJ_hg42_R2.sam -ref ref_seq/1DSB_R2_sense.fa -o libraries_2/yjl244_WT_sgB_R2_sense_noDSB.tsv --min_length 130 -dsb 46 --quiet
python 1_process_nhej/filter_nhej.py -sam libraries_1/yjl245_NHEJ_hg42_R2.sam -ref ref_seq/1DSB_R2_branch.fa -o libraries_2/yjl245_WT_sgB_R2_branch_noDSB.tsv --min_length 130 -dsb 46 --quiet
python 1_process_nhej/filter_nhej.py -sam libraries_1/yjl246_NHEJ_hg42_R2.sam -ref ref_seq/1DSB_R2_cmv.fa -o libraries_2/yjl246_WT_sgB_R2_cmv_noDSB.tsv --min_length 130 -dsb 46 --quiet
python 1_process_nhej/filter_nhej.py -sam libraries_1/yjl281_NHEJ_hg42_R2.sam -ref ref_seq/1DSB_R2_sense.fa -o libraries_2/yjl281_KO_sgB_R2_sense_noDSB.tsv --min_length 130 -dsb 46 --quiet
python 1_process_nhej/filter_nhej.py -sam libraries_1/yjl282_NHEJ_hg42_R2.sam -ref ref_seq/1DSB_R2_branch.fa -o libraries_2/yjl282_KO_sgB_R2_branch_noDSB.tsv --min_length 130 -dsb 46 --quiet
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9"/>
  <sheetViews>
    <sheetView topLeftCell="A34" workbookViewId="0">
      <selection activeCell="C45" sqref="C45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25.42578125" customWidth="1"/>
    <col min="13" max="13" width="20.5703125" customWidth="1"/>
    <col min="14" max="14" width="15.140625" customWidth="1"/>
    <col min="15" max="18" width="15.42578125" bestFit="1" customWidth="1"/>
  </cols>
  <sheetData>
    <row r="1" spans="1:19" x14ac:dyDescent="0.25">
      <c r="A1" s="1" t="s">
        <v>112</v>
      </c>
      <c r="B1" s="1" t="s">
        <v>86</v>
      </c>
      <c r="C1" s="1" t="s">
        <v>134</v>
      </c>
      <c r="D1" s="1" t="s">
        <v>102</v>
      </c>
      <c r="E1" s="1" t="s">
        <v>101</v>
      </c>
      <c r="F1" s="1" t="s">
        <v>104</v>
      </c>
      <c r="G1" s="1" t="s">
        <v>82</v>
      </c>
      <c r="H1" s="1" t="s">
        <v>81</v>
      </c>
      <c r="I1" s="1" t="s">
        <v>103</v>
      </c>
      <c r="J1" s="1" t="s">
        <v>139</v>
      </c>
      <c r="K1" s="1" t="s">
        <v>93</v>
      </c>
      <c r="L1" s="1" t="s">
        <v>95</v>
      </c>
      <c r="M1" s="1" t="s">
        <v>97</v>
      </c>
      <c r="N1" s="1" t="s">
        <v>99</v>
      </c>
      <c r="O1" s="1" t="s">
        <v>94</v>
      </c>
      <c r="P1" s="1" t="s">
        <v>96</v>
      </c>
      <c r="Q1" s="1" t="s">
        <v>98</v>
      </c>
      <c r="R1" s="1" t="s">
        <v>100</v>
      </c>
      <c r="S1" s="1" t="s">
        <v>168</v>
      </c>
    </row>
    <row r="2" spans="1:19" x14ac:dyDescent="0.25">
      <c r="A2" s="1">
        <v>1</v>
      </c>
      <c r="B2" t="str">
        <f ca="1">OFFSET(table_1[ref], 4 * (table_2_1[[#This Row],[index]] - 1), 0, 1, 1)</f>
        <v>2DSB_R1_sense.fa</v>
      </c>
      <c r="C2" t="str">
        <f ca="1">OFFSET(table_1[control], 4 * (table_2_1[[#This Row],[index]] - 1), 0, 1, 1)</f>
        <v>none</v>
      </c>
      <c r="D2" t="str">
        <f ca="1">OFFSET(table_1[dsb_type], 4 * (table_2_1[[#This Row],[index]] - 1), 0, 1, 1)</f>
        <v>2DSB</v>
      </c>
      <c r="E2">
        <f ca="1">OFFSET(table_1[dsb_pos], 4 * (table_2_1[[#This Row],[index]] - 1), 0, 1, 1)</f>
        <v>67</v>
      </c>
      <c r="F2" t="str">
        <f ca="1">OFFSET(table_1[cell], 4 * (table_2_1[[#This Row],[index]] - 1), 0, 1, 1)</f>
        <v>WT</v>
      </c>
      <c r="G2" t="str">
        <f ca="1">OFFSET(table_1[strand], 4 * (table_2_1[[#This Row],[index]] - 1), 0, 1, 1)</f>
        <v>R1</v>
      </c>
      <c r="H2" t="str">
        <f ca="1">OFFSET(table_1[treatment], 4 * (table_2_1[[#This Row],[index]] - 1), 0, 1, 1)</f>
        <v>sense</v>
      </c>
      <c r="I2" t="str">
        <f ca="1">OFFSET(table_1[hguide], 4 * (table_2_1[[#This Row],[index]] - 1), 0, 1, 1)</f>
        <v>sgAB</v>
      </c>
      <c r="J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WT_sgAB_R1_sense</v>
      </c>
      <c r="K2" t="str" cm="1">
        <f t="array" aca="1" ref="K2" ca="1">OFFSET(table_1[[file_out]:[file_out]], 4 * (table_2_1[[#This Row],[index]:[index]] - 1) + COLUMN() - 11, 0, 1, 1)</f>
        <v>yjl217_WT_sgAB_R1_sense</v>
      </c>
      <c r="L2" t="str" cm="1">
        <f t="array" aca="1" ref="L2" ca="1">OFFSET(table_1[[file_out]:[file_out]], 4 * (table_2_1[[#This Row],[index]:[index]] - 1) + COLUMN() - 11, 0, 1, 1)</f>
        <v>yjl218_WT_sgAB_R1_sense</v>
      </c>
      <c r="M2" t="str" cm="1">
        <f t="array" aca="1" ref="M2" ca="1">OFFSET(table_1[[file_out]:[file_out]], 4 * (table_2_1[[#This Row],[index]:[index]] - 1) + COLUMN() - 11, 0, 1, 1)</f>
        <v>yjl219_WT_sgAB_R1_sense</v>
      </c>
      <c r="N2" t="str" cm="1">
        <f t="array" aca="1" ref="N2" ca="1">OFFSET(table_1[[file_out]:[file_out]], 4 * (table_2_1[[#This Row],[index]:[index]] - 1) + COLUMN() - 11, 0, 1, 1)</f>
        <v>yjl220_WT_sgAB_R1_sense</v>
      </c>
      <c r="O2" cm="1">
        <f t="array" aca="1" ref="O2" ca="1">OFFSET(table_1[[total_reads]:[total_reads]], 4 * (table_2_1[[#This Row],[index]:[index]] - 1) + COLUMN() - 15, 0, 1, 1)</f>
        <v>6630053</v>
      </c>
      <c r="P2" cm="1">
        <f t="array" aca="1" ref="P2" ca="1">OFFSET(table_1[[total_reads]:[total_reads]], 4 * (table_2_1[[#This Row],[index]:[index]] - 1) + COLUMN() - 15, 0, 1, 1)</f>
        <v>7246619</v>
      </c>
      <c r="Q2" cm="1">
        <f t="array" aca="1" ref="Q2" ca="1">OFFSET(table_1[[total_reads]:[total_reads]], 4 * (table_2_1[[#This Row],[index]:[index]] - 1) + COLUMN() - 15, 0, 1, 1)</f>
        <v>8069391</v>
      </c>
      <c r="R2" cm="1">
        <f t="array" aca="1" ref="R2" ca="1">OFFSET(table_1[[total_reads]:[total_reads]], 4 * (table_2_1[[#This Row],[index]:[index]] - 1) + COLUMN() - 15, 0, 1, 1)</f>
        <v>7513691</v>
      </c>
      <c r="S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libraries_2/yjl217_WT_sgAB_R1_sense.tsv libraries_2/yjl218_WT_sgAB_R1_sense.tsv libraries_2/yjl219_WT_sgAB_R1_sense.tsv libraries_2/yjl220_WT_sgAB_R1_sense.tsv --total_reads 6630053 7246619 8069391 7513691 -o libraries_3/WT_sgAB_R1_sense.tsv --quiet </v>
      </c>
    </row>
    <row r="3" spans="1:19" x14ac:dyDescent="0.25">
      <c r="A3" s="1">
        <v>2</v>
      </c>
      <c r="B3" t="str">
        <f ca="1">OFFSET(table_1[ref], 4 * (table_2_1[[#This Row],[index]] - 1), 0, 1, 1)</f>
        <v>2DSB_R1_branch.fa</v>
      </c>
      <c r="C3" t="str">
        <f ca="1">OFFSET(table_1[control], 4 * (table_2_1[[#This Row],[index]] - 1), 0, 1, 1)</f>
        <v>none</v>
      </c>
      <c r="D3" t="str">
        <f ca="1">OFFSET(table_1[dsb_type], 4 * (table_2_1[[#This Row],[index]] - 1), 0, 1, 1)</f>
        <v>2DSB</v>
      </c>
      <c r="E3">
        <f ca="1">OFFSET(table_1[dsb_pos], 4 * (table_2_1[[#This Row],[index]] - 1), 0, 1, 1)</f>
        <v>67</v>
      </c>
      <c r="F3" t="str">
        <f ca="1">OFFSET(table_1[cell], 4 * (table_2_1[[#This Row],[index]] - 1), 0, 1, 1)</f>
        <v>WT</v>
      </c>
      <c r="G3" t="str">
        <f ca="1">OFFSET(table_1[strand], 4 * (table_2_1[[#This Row],[index]] - 1), 0, 1, 1)</f>
        <v>R1</v>
      </c>
      <c r="H3" t="str">
        <f ca="1">OFFSET(table_1[treatment], 4 * (table_2_1[[#This Row],[index]] - 1), 0, 1, 1)</f>
        <v>branch</v>
      </c>
      <c r="I3" t="str">
        <f ca="1">OFFSET(table_1[hguide], 4 * (table_2_1[[#This Row],[index]] - 1), 0, 1, 1)</f>
        <v>sgAB</v>
      </c>
      <c r="J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WT_sgAB_R1_branch</v>
      </c>
      <c r="K3" t="str" cm="1">
        <f t="array" aca="1" ref="K3" ca="1">OFFSET(table_1[[file_out]:[file_out]], 4 * (table_2_1[[#This Row],[index]:[index]] - 1) + COLUMN() - 11, 0, 1, 1)</f>
        <v>yjl221_WT_sgAB_R1_branch</v>
      </c>
      <c r="L3" t="str" cm="1">
        <f t="array" aca="1" ref="L3" ca="1">OFFSET(table_1[[file_out]:[file_out]], 4 * (table_2_1[[#This Row],[index]:[index]] - 1) + COLUMN() - 11, 0, 1, 1)</f>
        <v>yjl222_WT_sgAB_R1_branch</v>
      </c>
      <c r="M3" t="str" cm="1">
        <f t="array" aca="1" ref="M3" ca="1">OFFSET(table_1[[file_out]:[file_out]], 4 * (table_2_1[[#This Row],[index]:[index]] - 1) + COLUMN() - 11, 0, 1, 1)</f>
        <v>yjl223_WT_sgAB_R1_branch</v>
      </c>
      <c r="N3" t="str" cm="1">
        <f t="array" aca="1" ref="N3" ca="1">OFFSET(table_1[[file_out]:[file_out]], 4 * (table_2_1[[#This Row],[index]:[index]] - 1) + COLUMN() - 11, 0, 1, 1)</f>
        <v>yjl224_WT_sgAB_R1_branch</v>
      </c>
      <c r="O3" cm="1">
        <f t="array" aca="1" ref="O3" ca="1">OFFSET(table_1[[total_reads]:[total_reads]], 4 * (table_2_1[[#This Row],[index]:[index]] - 1) + COLUMN() - 15, 0, 1, 1)</f>
        <v>9021462</v>
      </c>
      <c r="P3" cm="1">
        <f t="array" aca="1" ref="P3" ca="1">OFFSET(table_1[[total_reads]:[total_reads]], 4 * (table_2_1[[#This Row],[index]:[index]] - 1) + COLUMN() - 15, 0, 1, 1)</f>
        <v>9430938</v>
      </c>
      <c r="Q3" cm="1">
        <f t="array" aca="1" ref="Q3" ca="1">OFFSET(table_1[[total_reads]:[total_reads]], 4 * (table_2_1[[#This Row],[index]:[index]] - 1) + COLUMN() - 15, 0, 1, 1)</f>
        <v>9051278</v>
      </c>
      <c r="R3" cm="1">
        <f t="array" aca="1" ref="R3" ca="1">OFFSET(table_1[[total_reads]:[total_reads]], 4 * (table_2_1[[#This Row],[index]:[index]] - 1) + COLUMN() - 15, 0, 1, 1)</f>
        <v>9192054</v>
      </c>
      <c r="S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libraries_2/yjl221_WT_sgAB_R1_branch.tsv libraries_2/yjl222_WT_sgAB_R1_branch.tsv libraries_2/yjl223_WT_sgAB_R1_branch.tsv libraries_2/yjl224_WT_sgAB_R1_branch.tsv --total_reads 9021462 9430938 9051278 9192054 -o libraries_3/WT_sgAB_R1_branch.tsv --quiet </v>
      </c>
    </row>
    <row r="4" spans="1:19" x14ac:dyDescent="0.25">
      <c r="A4" s="1">
        <v>3</v>
      </c>
      <c r="B4" t="str">
        <f ca="1">OFFSET(table_1[ref], 4 * (table_2_1[[#This Row],[index]] - 1), 0, 1, 1)</f>
        <v>2DSB_R1_cmv.fa</v>
      </c>
      <c r="C4" t="str">
        <f ca="1">OFFSET(table_1[control], 4 * (table_2_1[[#This Row],[index]] - 1), 0, 1, 1)</f>
        <v>none</v>
      </c>
      <c r="D4" t="str">
        <f ca="1">OFFSET(table_1[dsb_type], 4 * (table_2_1[[#This Row],[index]] - 1), 0, 1, 1)</f>
        <v>2DSB</v>
      </c>
      <c r="E4">
        <f ca="1">OFFSET(table_1[dsb_pos], 4 * (table_2_1[[#This Row],[index]] - 1), 0, 1, 1)</f>
        <v>67</v>
      </c>
      <c r="F4" t="str">
        <f ca="1">OFFSET(table_1[cell], 4 * (table_2_1[[#This Row],[index]] - 1), 0, 1, 1)</f>
        <v>WT</v>
      </c>
      <c r="G4" t="str">
        <f ca="1">OFFSET(table_1[strand], 4 * (table_2_1[[#This Row],[index]] - 1), 0, 1, 1)</f>
        <v>R1</v>
      </c>
      <c r="H4" t="str">
        <f ca="1">OFFSET(table_1[treatment], 4 * (table_2_1[[#This Row],[index]] - 1), 0, 1, 1)</f>
        <v>cmv</v>
      </c>
      <c r="I4" t="str">
        <f ca="1">OFFSET(table_1[hguide], 4 * (table_2_1[[#This Row],[index]] - 1), 0, 1, 1)</f>
        <v>sgAB</v>
      </c>
      <c r="J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WT_sgAB_R1_cmv</v>
      </c>
      <c r="K4" t="str" cm="1">
        <f t="array" aca="1" ref="K4" ca="1">OFFSET(table_1[[file_out]:[file_out]], 4 * (table_2_1[[#This Row],[index]:[index]] - 1) + COLUMN() - 11, 0, 1, 1)</f>
        <v>yjl225_WT_sgAB_R1_cmv</v>
      </c>
      <c r="L4" t="str" cm="1">
        <f t="array" aca="1" ref="L4" ca="1">OFFSET(table_1[[file_out]:[file_out]], 4 * (table_2_1[[#This Row],[index]:[index]] - 1) + COLUMN() - 11, 0, 1, 1)</f>
        <v>yjl226_WT_sgAB_R1_cmv</v>
      </c>
      <c r="M4" t="str" cm="1">
        <f t="array" aca="1" ref="M4" ca="1">OFFSET(table_1[[file_out]:[file_out]], 4 * (table_2_1[[#This Row],[index]:[index]] - 1) + COLUMN() - 11, 0, 1, 1)</f>
        <v>yjl227_WT_sgAB_R1_cmv</v>
      </c>
      <c r="N4" t="str" cm="1">
        <f t="array" aca="1" ref="N4" ca="1">OFFSET(table_1[[file_out]:[file_out]], 4 * (table_2_1[[#This Row],[index]:[index]] - 1) + COLUMN() - 11, 0, 1, 1)</f>
        <v>yjl228_WT_sgAB_R1_cmv</v>
      </c>
      <c r="O4" cm="1">
        <f t="array" aca="1" ref="O4" ca="1">OFFSET(table_1[[total_reads]:[total_reads]], 4 * (table_2_1[[#This Row],[index]:[index]] - 1) + COLUMN() - 15, 0, 1, 1)</f>
        <v>7604379</v>
      </c>
      <c r="P4" cm="1">
        <f t="array" aca="1" ref="P4" ca="1">OFFSET(table_1[[total_reads]:[total_reads]], 4 * (table_2_1[[#This Row],[index]:[index]] - 1) + COLUMN() - 15, 0, 1, 1)</f>
        <v>8885716</v>
      </c>
      <c r="Q4" cm="1">
        <f t="array" aca="1" ref="Q4" ca="1">OFFSET(table_1[[total_reads]:[total_reads]], 4 * (table_2_1[[#This Row],[index]:[index]] - 1) + COLUMN() - 15, 0, 1, 1)</f>
        <v>8150455</v>
      </c>
      <c r="R4" cm="1">
        <f t="array" aca="1" ref="R4" ca="1">OFFSET(table_1[[total_reads]:[total_reads]], 4 * (table_2_1[[#This Row],[index]:[index]] - 1) + COLUMN() - 15, 0, 1, 1)</f>
        <v>7694818</v>
      </c>
      <c r="S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libraries_2/yjl225_WT_sgAB_R1_cmv.tsv libraries_2/yjl226_WT_sgAB_R1_cmv.tsv libraries_2/yjl227_WT_sgAB_R1_cmv.tsv libraries_2/yjl228_WT_sgAB_R1_cmv.tsv --total_reads 7604379 8885716 8150455 7694818 -o libraries_3/WT_sgAB_R1_cmv.tsv --quiet </v>
      </c>
    </row>
    <row r="5" spans="1:19" x14ac:dyDescent="0.25">
      <c r="A5" s="1">
        <v>4</v>
      </c>
      <c r="B5" t="str">
        <f ca="1">OFFSET(table_1[ref], 4 * (table_2_1[[#This Row],[index]] - 1), 0, 1, 1)</f>
        <v>2DSB_R1_sense.fa</v>
      </c>
      <c r="C5" t="str">
        <f ca="1">OFFSET(table_1[control], 4 * (table_2_1[[#This Row],[index]] - 1), 0, 1, 1)</f>
        <v>none</v>
      </c>
      <c r="D5" t="str">
        <f ca="1">OFFSET(table_1[dsb_type], 4 * (table_2_1[[#This Row],[index]] - 1), 0, 1, 1)</f>
        <v>2DSB</v>
      </c>
      <c r="E5">
        <f ca="1">OFFSET(table_1[dsb_pos], 4 * (table_2_1[[#This Row],[index]] - 1), 0, 1, 1)</f>
        <v>67</v>
      </c>
      <c r="F5" t="str">
        <f ca="1">OFFSET(table_1[cell], 4 * (table_2_1[[#This Row],[index]] - 1), 0, 1, 1)</f>
        <v>KO</v>
      </c>
      <c r="G5" t="str">
        <f ca="1">OFFSET(table_1[strand], 4 * (table_2_1[[#This Row],[index]] - 1), 0, 1, 1)</f>
        <v>R1</v>
      </c>
      <c r="H5" t="str">
        <f ca="1">OFFSET(table_1[treatment], 4 * (table_2_1[[#This Row],[index]] - 1), 0, 1, 1)</f>
        <v>sense</v>
      </c>
      <c r="I5" t="str">
        <f ca="1">OFFSET(table_1[hguide], 4 * (table_2_1[[#This Row],[index]] - 1), 0, 1, 1)</f>
        <v>sgAB</v>
      </c>
      <c r="J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KO_sgAB_R1_sense</v>
      </c>
      <c r="K5" t="str" cm="1">
        <f t="array" aca="1" ref="K5" ca="1">OFFSET(table_1[[file_out]:[file_out]], 4 * (table_2_1[[#This Row],[index]:[index]] - 1) + COLUMN() - 11, 0, 1, 1)</f>
        <v>yjl229_KO_sgAB_R1_sense</v>
      </c>
      <c r="L5" t="str" cm="1">
        <f t="array" aca="1" ref="L5" ca="1">OFFSET(table_1[[file_out]:[file_out]], 4 * (table_2_1[[#This Row],[index]:[index]] - 1) + COLUMN() - 11, 0, 1, 1)</f>
        <v>yjl230_KO_sgAB_R1_sense</v>
      </c>
      <c r="M5" t="str" cm="1">
        <f t="array" aca="1" ref="M5" ca="1">OFFSET(table_1[[file_out]:[file_out]], 4 * (table_2_1[[#This Row],[index]:[index]] - 1) + COLUMN() - 11, 0, 1, 1)</f>
        <v>yjl231_KO_sgAB_R1_sense</v>
      </c>
      <c r="N5" t="str" cm="1">
        <f t="array" aca="1" ref="N5" ca="1">OFFSET(table_1[[file_out]:[file_out]], 4 * (table_2_1[[#This Row],[index]:[index]] - 1) + COLUMN() - 11, 0, 1, 1)</f>
        <v>yjl232_KO_sgAB_R1_sense</v>
      </c>
      <c r="O5" cm="1">
        <f t="array" aca="1" ref="O5" ca="1">OFFSET(table_1[[total_reads]:[total_reads]], 4 * (table_2_1[[#This Row],[index]:[index]] - 1) + COLUMN() - 15, 0, 1, 1)</f>
        <v>11320509</v>
      </c>
      <c r="P5" cm="1">
        <f t="array" aca="1" ref="P5" ca="1">OFFSET(table_1[[total_reads]:[total_reads]], 4 * (table_2_1[[#This Row],[index]:[index]] - 1) + COLUMN() - 15, 0, 1, 1)</f>
        <v>12480734</v>
      </c>
      <c r="Q5" cm="1">
        <f t="array" aca="1" ref="Q5" ca="1">OFFSET(table_1[[total_reads]:[total_reads]], 4 * (table_2_1[[#This Row],[index]:[index]] - 1) + COLUMN() - 15, 0, 1, 1)</f>
        <v>12500966</v>
      </c>
      <c r="R5" cm="1">
        <f t="array" aca="1" ref="R5" ca="1">OFFSET(table_1[[total_reads]:[total_reads]], 4 * (table_2_1[[#This Row],[index]:[index]] - 1) + COLUMN() - 15, 0, 1, 1)</f>
        <v>12479012</v>
      </c>
      <c r="S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libraries_2/yjl229_KO_sgAB_R1_sense.tsv libraries_2/yjl230_KO_sgAB_R1_sense.tsv libraries_2/yjl231_KO_sgAB_R1_sense.tsv libraries_2/yjl232_KO_sgAB_R1_sense.tsv --total_reads 11320509 12480734 12500966 12479012 -o libraries_3/KO_sgAB_R1_sense.tsv --quiet </v>
      </c>
    </row>
    <row r="6" spans="1:19" x14ac:dyDescent="0.25">
      <c r="A6" s="1">
        <v>5</v>
      </c>
      <c r="B6" t="str">
        <f ca="1">OFFSET(table_1[ref], 4 * (table_2_1[[#This Row],[index]] - 1), 0, 1, 1)</f>
        <v>2DSB_R1_branch.fa</v>
      </c>
      <c r="C6" t="str">
        <f ca="1">OFFSET(table_1[control], 4 * (table_2_1[[#This Row],[index]] - 1), 0, 1, 1)</f>
        <v>none</v>
      </c>
      <c r="D6" t="str">
        <f ca="1">OFFSET(table_1[dsb_type], 4 * (table_2_1[[#This Row],[index]] - 1), 0, 1, 1)</f>
        <v>2DSB</v>
      </c>
      <c r="E6">
        <f ca="1">OFFSET(table_1[dsb_pos], 4 * (table_2_1[[#This Row],[index]] - 1), 0, 1, 1)</f>
        <v>67</v>
      </c>
      <c r="F6" t="str">
        <f ca="1">OFFSET(table_1[cell], 4 * (table_2_1[[#This Row],[index]] - 1), 0, 1, 1)</f>
        <v>KO</v>
      </c>
      <c r="G6" t="str">
        <f ca="1">OFFSET(table_1[strand], 4 * (table_2_1[[#This Row],[index]] - 1), 0, 1, 1)</f>
        <v>R1</v>
      </c>
      <c r="H6" t="str">
        <f ca="1">OFFSET(table_1[treatment], 4 * (table_2_1[[#This Row],[index]] - 1), 0, 1, 1)</f>
        <v>branch</v>
      </c>
      <c r="I6" t="str">
        <f ca="1">OFFSET(table_1[hguide], 4 * (table_2_1[[#This Row],[index]] - 1), 0, 1, 1)</f>
        <v>sgAB</v>
      </c>
      <c r="J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KO_sgAB_R1_branch</v>
      </c>
      <c r="K6" t="str" cm="1">
        <f t="array" aca="1" ref="K6" ca="1">OFFSET(table_1[[file_out]:[file_out]], 4 * (table_2_1[[#This Row],[index]:[index]] - 1) + COLUMN() - 11, 0, 1, 1)</f>
        <v>yjl233_KO_sgAB_R1_branch</v>
      </c>
      <c r="L6" t="str" cm="1">
        <f t="array" aca="1" ref="L6" ca="1">OFFSET(table_1[[file_out]:[file_out]], 4 * (table_2_1[[#This Row],[index]:[index]] - 1) + COLUMN() - 11, 0, 1, 1)</f>
        <v>yjl234_KO_sgAB_R1_branch</v>
      </c>
      <c r="M6" t="str" cm="1">
        <f t="array" aca="1" ref="M6" ca="1">OFFSET(table_1[[file_out]:[file_out]], 4 * (table_2_1[[#This Row],[index]:[index]] - 1) + COLUMN() - 11, 0, 1, 1)</f>
        <v>yjl235_KO_sgAB_R1_branch</v>
      </c>
      <c r="N6" t="str" cm="1">
        <f t="array" aca="1" ref="N6" ca="1">OFFSET(table_1[[file_out]:[file_out]], 4 * (table_2_1[[#This Row],[index]:[index]] - 1) + COLUMN() - 11, 0, 1, 1)</f>
        <v>yjl236_KO_sgAB_R1_branch</v>
      </c>
      <c r="O6" cm="1">
        <f t="array" aca="1" ref="O6" ca="1">OFFSET(table_1[[total_reads]:[total_reads]], 4 * (table_2_1[[#This Row],[index]:[index]] - 1) + COLUMN() - 15, 0, 1, 1)</f>
        <v>13912975</v>
      </c>
      <c r="P6" cm="1">
        <f t="array" aca="1" ref="P6" ca="1">OFFSET(table_1[[total_reads]:[total_reads]], 4 * (table_2_1[[#This Row],[index]:[index]] - 1) + COLUMN() - 15, 0, 1, 1)</f>
        <v>15839537</v>
      </c>
      <c r="Q6" cm="1">
        <f t="array" aca="1" ref="Q6" ca="1">OFFSET(table_1[[total_reads]:[total_reads]], 4 * (table_2_1[[#This Row],[index]:[index]] - 1) + COLUMN() - 15, 0, 1, 1)</f>
        <v>13872702</v>
      </c>
      <c r="R6" cm="1">
        <f t="array" aca="1" ref="R6" ca="1">OFFSET(table_1[[total_reads]:[total_reads]], 4 * (table_2_1[[#This Row],[index]:[index]] - 1) + COLUMN() - 15, 0, 1, 1)</f>
        <v>13493608</v>
      </c>
      <c r="S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libraries_2/yjl233_KO_sgAB_R1_branch.tsv libraries_2/yjl234_KO_sgAB_R1_branch.tsv libraries_2/yjl235_KO_sgAB_R1_branch.tsv libraries_2/yjl236_KO_sgAB_R1_branch.tsv --total_reads 13912975 15839537 13872702 13493608 -o libraries_3/KO_sgAB_R1_branch.tsv --quiet </v>
      </c>
    </row>
    <row r="7" spans="1:19" x14ac:dyDescent="0.25">
      <c r="A7" s="1">
        <v>6</v>
      </c>
      <c r="B7" t="str">
        <f ca="1">OFFSET(table_1[ref], 4 * (table_2_1[[#This Row],[index]] - 1), 0, 1, 1)</f>
        <v>2DSB_R1_cmv.fa</v>
      </c>
      <c r="C7" t="str">
        <f ca="1">OFFSET(table_1[control], 4 * (table_2_1[[#This Row],[index]] - 1), 0, 1, 1)</f>
        <v>none</v>
      </c>
      <c r="D7" t="str">
        <f ca="1">OFFSET(table_1[dsb_type], 4 * (table_2_1[[#This Row],[index]] - 1), 0, 1, 1)</f>
        <v>2DSB</v>
      </c>
      <c r="E7">
        <f ca="1">OFFSET(table_1[dsb_pos], 4 * (table_2_1[[#This Row],[index]] - 1), 0, 1, 1)</f>
        <v>67</v>
      </c>
      <c r="F7" t="str">
        <f ca="1">OFFSET(table_1[cell], 4 * (table_2_1[[#This Row],[index]] - 1), 0, 1, 1)</f>
        <v>KO</v>
      </c>
      <c r="G7" t="str">
        <f ca="1">OFFSET(table_1[strand], 4 * (table_2_1[[#This Row],[index]] - 1), 0, 1, 1)</f>
        <v>R1</v>
      </c>
      <c r="H7" t="str">
        <f ca="1">OFFSET(table_1[treatment], 4 * (table_2_1[[#This Row],[index]] - 1), 0, 1, 1)</f>
        <v>cmv</v>
      </c>
      <c r="I7" t="str">
        <f ca="1">OFFSET(table_1[hguide], 4 * (table_2_1[[#This Row],[index]] - 1), 0, 1, 1)</f>
        <v>sgAB</v>
      </c>
      <c r="J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KO_sgAB_R1_cmv</v>
      </c>
      <c r="K7" t="str" cm="1">
        <f t="array" aca="1" ref="K7" ca="1">OFFSET(table_1[[file_out]:[file_out]], 4 * (table_2_1[[#This Row],[index]:[index]] - 1) + COLUMN() - 11, 0, 1, 1)</f>
        <v>yjl237_KO_sgAB_R1_cmv</v>
      </c>
      <c r="L7" t="str" cm="1">
        <f t="array" aca="1" ref="L7" ca="1">OFFSET(table_1[[file_out]:[file_out]], 4 * (table_2_1[[#This Row],[index]:[index]] - 1) + COLUMN() - 11, 0, 1, 1)</f>
        <v>yjl238_KO_sgAB_R1_cmv</v>
      </c>
      <c r="M7" t="str" cm="1">
        <f t="array" aca="1" ref="M7" ca="1">OFFSET(table_1[[file_out]:[file_out]], 4 * (table_2_1[[#This Row],[index]:[index]] - 1) + COLUMN() - 11, 0, 1, 1)</f>
        <v>yjl239_KO_sgAB_R1_cmv</v>
      </c>
      <c r="N7" t="str" cm="1">
        <f t="array" aca="1" ref="N7" ca="1">OFFSET(table_1[[file_out]:[file_out]], 4 * (table_2_1[[#This Row],[index]:[index]] - 1) + COLUMN() - 11, 0, 1, 1)</f>
        <v>yjl240_KO_sgAB_R1_cmv</v>
      </c>
      <c r="O7" cm="1">
        <f t="array" aca="1" ref="O7" ca="1">OFFSET(table_1[[total_reads]:[total_reads]], 4 * (table_2_1[[#This Row],[index]:[index]] - 1) + COLUMN() - 15, 0, 1, 1)</f>
        <v>11307677</v>
      </c>
      <c r="P7" cm="1">
        <f t="array" aca="1" ref="P7" ca="1">OFFSET(table_1[[total_reads]:[total_reads]], 4 * (table_2_1[[#This Row],[index]:[index]] - 1) + COLUMN() - 15, 0, 1, 1)</f>
        <v>11757615</v>
      </c>
      <c r="Q7" cm="1">
        <f t="array" aca="1" ref="Q7" ca="1">OFFSET(table_1[[total_reads]:[total_reads]], 4 * (table_2_1[[#This Row],[index]:[index]] - 1) + COLUMN() - 15, 0, 1, 1)</f>
        <v>10272339</v>
      </c>
      <c r="R7" cm="1">
        <f t="array" aca="1" ref="R7" ca="1">OFFSET(table_1[[total_reads]:[total_reads]], 4 * (table_2_1[[#This Row],[index]:[index]] - 1) + COLUMN() - 15, 0, 1, 1)</f>
        <v>9412394</v>
      </c>
      <c r="S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libraries_2/yjl237_KO_sgAB_R1_cmv.tsv libraries_2/yjl238_KO_sgAB_R1_cmv.tsv libraries_2/yjl239_KO_sgAB_R1_cmv.tsv libraries_2/yjl240_KO_sgAB_R1_cmv.tsv --total_reads 11307677 11757615 10272339 9412394 -o libraries_3/KO_sgAB_R1_cmv.tsv --quiet </v>
      </c>
    </row>
    <row r="8" spans="1:19" x14ac:dyDescent="0.25">
      <c r="A8" s="1">
        <v>7</v>
      </c>
      <c r="B8" t="str">
        <f ca="1">OFFSET(table_1[ref], 4 * (table_2_1[[#This Row],[index]] - 1), 0, 1, 1)</f>
        <v>2DSB_R2_sense.fa</v>
      </c>
      <c r="C8" t="str">
        <f ca="1">OFFSET(table_1[control], 4 * (table_2_1[[#This Row],[index]] - 1), 0, 1, 1)</f>
        <v>none</v>
      </c>
      <c r="D8" t="str">
        <f ca="1">OFFSET(table_1[dsb_type], 4 * (table_2_1[[#This Row],[index]] - 1), 0, 1, 1)</f>
        <v>2DSB</v>
      </c>
      <c r="E8">
        <f ca="1">OFFSET(table_1[dsb_pos], 4 * (table_2_1[[#This Row],[index]] - 1), 0, 1, 1)</f>
        <v>46</v>
      </c>
      <c r="F8" t="str">
        <f ca="1">OFFSET(table_1[cell], 4 * (table_2_1[[#This Row],[index]] - 1), 0, 1, 1)</f>
        <v>WT</v>
      </c>
      <c r="G8" t="str">
        <f ca="1">OFFSET(table_1[strand], 4 * (table_2_1[[#This Row],[index]] - 1), 0, 1, 1)</f>
        <v>R2</v>
      </c>
      <c r="H8" t="str">
        <f ca="1">OFFSET(table_1[treatment], 4 * (table_2_1[[#This Row],[index]] - 1), 0, 1, 1)</f>
        <v>sense</v>
      </c>
      <c r="I8" t="str">
        <f ca="1">OFFSET(table_1[hguide], 4 * (table_2_1[[#This Row],[index]] - 1), 0, 1, 1)</f>
        <v>sgAB</v>
      </c>
      <c r="J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WT_sgAB_R2_sense</v>
      </c>
      <c r="K8" t="str" cm="1">
        <f t="array" aca="1" ref="K8" ca="1">OFFSET(table_1[[file_out]:[file_out]], 4 * (table_2_1[[#This Row],[index]:[index]] - 1) + COLUMN() - 11, 0, 1, 1)</f>
        <v>yjl217_WT_sgAB_R2_sense</v>
      </c>
      <c r="L8" t="str" cm="1">
        <f t="array" aca="1" ref="L8" ca="1">OFFSET(table_1[[file_out]:[file_out]], 4 * (table_2_1[[#This Row],[index]:[index]] - 1) + COLUMN() - 11, 0, 1, 1)</f>
        <v>yjl218_WT_sgAB_R2_sense</v>
      </c>
      <c r="M8" t="str" cm="1">
        <f t="array" aca="1" ref="M8" ca="1">OFFSET(table_1[[file_out]:[file_out]], 4 * (table_2_1[[#This Row],[index]:[index]] - 1) + COLUMN() - 11, 0, 1, 1)</f>
        <v>yjl219_WT_sgAB_R2_sense</v>
      </c>
      <c r="N8" t="str" cm="1">
        <f t="array" aca="1" ref="N8" ca="1">OFFSET(table_1[[file_out]:[file_out]], 4 * (table_2_1[[#This Row],[index]:[index]] - 1) + COLUMN() - 11, 0, 1, 1)</f>
        <v>yjl220_WT_sgAB_R2_sense</v>
      </c>
      <c r="O8" cm="1">
        <f t="array" aca="1" ref="O8" ca="1">OFFSET(table_1[[total_reads]:[total_reads]], 4 * (table_2_1[[#This Row],[index]:[index]] - 1) + COLUMN() - 15, 0, 1, 1)</f>
        <v>6177083</v>
      </c>
      <c r="P8" cm="1">
        <f t="array" aca="1" ref="P8" ca="1">OFFSET(table_1[[total_reads]:[total_reads]], 4 * (table_2_1[[#This Row],[index]:[index]] - 1) + COLUMN() - 15, 0, 1, 1)</f>
        <v>6744517</v>
      </c>
      <c r="Q8" cm="1">
        <f t="array" aca="1" ref="Q8" ca="1">OFFSET(table_1[[total_reads]:[total_reads]], 4 * (table_2_1[[#This Row],[index]:[index]] - 1) + COLUMN() - 15, 0, 1, 1)</f>
        <v>7507107</v>
      </c>
      <c r="R8" cm="1">
        <f t="array" aca="1" ref="R8" ca="1">OFFSET(table_1[[total_reads]:[total_reads]], 4 * (table_2_1[[#This Row],[index]:[index]] - 1) + COLUMN() - 15, 0, 1, 1)</f>
        <v>7001340</v>
      </c>
      <c r="S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libraries_2/yjl217_WT_sgAB_R2_sense.tsv libraries_2/yjl218_WT_sgAB_R2_sense.tsv libraries_2/yjl219_WT_sgAB_R2_sense.tsv libraries_2/yjl220_WT_sgAB_R2_sense.tsv --total_reads 6177083 6744517 7507107 7001340 -o libraries_3/WT_sgAB_R2_sense.tsv --quiet </v>
      </c>
    </row>
    <row r="9" spans="1:19" x14ac:dyDescent="0.25">
      <c r="A9" s="1">
        <v>8</v>
      </c>
      <c r="B9" t="str">
        <f ca="1">OFFSET(table_1[ref], 4 * (table_2_1[[#This Row],[index]] - 1), 0, 1, 1)</f>
        <v>2DSB_R2_branch.fa</v>
      </c>
      <c r="C9" t="str">
        <f ca="1">OFFSET(table_1[control], 4 * (table_2_1[[#This Row],[index]] - 1), 0, 1, 1)</f>
        <v>none</v>
      </c>
      <c r="D9" t="str">
        <f ca="1">OFFSET(table_1[dsb_type], 4 * (table_2_1[[#This Row],[index]] - 1), 0, 1, 1)</f>
        <v>2DSB</v>
      </c>
      <c r="E9">
        <f ca="1">OFFSET(table_1[dsb_pos], 4 * (table_2_1[[#This Row],[index]] - 1), 0, 1, 1)</f>
        <v>46</v>
      </c>
      <c r="F9" t="str">
        <f ca="1">OFFSET(table_1[cell], 4 * (table_2_1[[#This Row],[index]] - 1), 0, 1, 1)</f>
        <v>WT</v>
      </c>
      <c r="G9" t="str">
        <f ca="1">OFFSET(table_1[strand], 4 * (table_2_1[[#This Row],[index]] - 1), 0, 1, 1)</f>
        <v>R2</v>
      </c>
      <c r="H9" t="str">
        <f ca="1">OFFSET(table_1[treatment], 4 * (table_2_1[[#This Row],[index]] - 1), 0, 1, 1)</f>
        <v>branch</v>
      </c>
      <c r="I9" t="str">
        <f ca="1">OFFSET(table_1[hguide], 4 * (table_2_1[[#This Row],[index]] - 1), 0, 1, 1)</f>
        <v>sgAB</v>
      </c>
      <c r="J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WT_sgAB_R2_branch</v>
      </c>
      <c r="K9" t="str" cm="1">
        <f t="array" aca="1" ref="K9" ca="1">OFFSET(table_1[[file_out]:[file_out]], 4 * (table_2_1[[#This Row],[index]:[index]] - 1) + COLUMN() - 11, 0, 1, 1)</f>
        <v>yjl221_WT_sgAB_R2_branch</v>
      </c>
      <c r="L9" t="str" cm="1">
        <f t="array" aca="1" ref="L9" ca="1">OFFSET(table_1[[file_out]:[file_out]], 4 * (table_2_1[[#This Row],[index]:[index]] - 1) + COLUMN() - 11, 0, 1, 1)</f>
        <v>yjl222_WT_sgAB_R2_branch</v>
      </c>
      <c r="M9" t="str" cm="1">
        <f t="array" aca="1" ref="M9" ca="1">OFFSET(table_1[[file_out]:[file_out]], 4 * (table_2_1[[#This Row],[index]:[index]] - 1) + COLUMN() - 11, 0, 1, 1)</f>
        <v>yjl223_WT_sgAB_R2_branch</v>
      </c>
      <c r="N9" t="str" cm="1">
        <f t="array" aca="1" ref="N9" ca="1">OFFSET(table_1[[file_out]:[file_out]], 4 * (table_2_1[[#This Row],[index]:[index]] - 1) + COLUMN() - 11, 0, 1, 1)</f>
        <v>yjl224_WT_sgAB_R2_branch</v>
      </c>
      <c r="O9" cm="1">
        <f t="array" aca="1" ref="O9" ca="1">OFFSET(table_1[[total_reads]:[total_reads]], 4 * (table_2_1[[#This Row],[index]:[index]] - 1) + COLUMN() - 15, 0, 1, 1)</f>
        <v>8525251</v>
      </c>
      <c r="P9" cm="1">
        <f t="array" aca="1" ref="P9" ca="1">OFFSET(table_1[[total_reads]:[total_reads]], 4 * (table_2_1[[#This Row],[index]:[index]] - 1) + COLUMN() - 15, 0, 1, 1)</f>
        <v>8875435</v>
      </c>
      <c r="Q9" cm="1">
        <f t="array" aca="1" ref="Q9" ca="1">OFFSET(table_1[[total_reads]:[total_reads]], 4 * (table_2_1[[#This Row],[index]:[index]] - 1) + COLUMN() - 15, 0, 1, 1)</f>
        <v>8522228</v>
      </c>
      <c r="R9" cm="1">
        <f t="array" aca="1" ref="R9" ca="1">OFFSET(table_1[[total_reads]:[total_reads]], 4 * (table_2_1[[#This Row],[index]:[index]] - 1) + COLUMN() - 15, 0, 1, 1)</f>
        <v>8656502</v>
      </c>
      <c r="S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libraries_2/yjl221_WT_sgAB_R2_branch.tsv libraries_2/yjl222_WT_sgAB_R2_branch.tsv libraries_2/yjl223_WT_sgAB_R2_branch.tsv libraries_2/yjl224_WT_sgAB_R2_branch.tsv --total_reads 8525251 8875435 8522228 8656502 -o libraries_3/WT_sgAB_R2_branch.tsv --quiet </v>
      </c>
    </row>
    <row r="10" spans="1:19" x14ac:dyDescent="0.25">
      <c r="A10" s="1">
        <v>9</v>
      </c>
      <c r="B10" t="str">
        <f ca="1">OFFSET(table_1[ref], 4 * (table_2_1[[#This Row],[index]] - 1), 0, 1, 1)</f>
        <v>2DSB_R2_cmv.fa</v>
      </c>
      <c r="C10" t="str">
        <f ca="1">OFFSET(table_1[control], 4 * (table_2_1[[#This Row],[index]] - 1), 0, 1, 1)</f>
        <v>none</v>
      </c>
      <c r="D10" t="str">
        <f ca="1">OFFSET(table_1[dsb_type], 4 * (table_2_1[[#This Row],[index]] - 1), 0, 1, 1)</f>
        <v>2DSB</v>
      </c>
      <c r="E10">
        <f ca="1">OFFSET(table_1[dsb_pos], 4 * (table_2_1[[#This Row],[index]] - 1), 0, 1, 1)</f>
        <v>46</v>
      </c>
      <c r="F10" t="str">
        <f ca="1">OFFSET(table_1[cell], 4 * (table_2_1[[#This Row],[index]] - 1), 0, 1, 1)</f>
        <v>WT</v>
      </c>
      <c r="G10" t="str">
        <f ca="1">OFFSET(table_1[strand], 4 * (table_2_1[[#This Row],[index]] - 1), 0, 1, 1)</f>
        <v>R2</v>
      </c>
      <c r="H10" t="str">
        <f ca="1">OFFSET(table_1[treatment], 4 * (table_2_1[[#This Row],[index]] - 1), 0, 1, 1)</f>
        <v>cmv</v>
      </c>
      <c r="I10" t="str">
        <f ca="1">OFFSET(table_1[hguide], 4 * (table_2_1[[#This Row],[index]] - 1), 0, 1, 1)</f>
        <v>sgAB</v>
      </c>
      <c r="J1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WT_sgAB_R2_cmv</v>
      </c>
      <c r="K10" t="str" cm="1">
        <f t="array" aca="1" ref="K10" ca="1">OFFSET(table_1[[file_out]:[file_out]], 4 * (table_2_1[[#This Row],[index]:[index]] - 1) + COLUMN() - 11, 0, 1, 1)</f>
        <v>yjl225_WT_sgAB_R2_cmv</v>
      </c>
      <c r="L10" t="str" cm="1">
        <f t="array" aca="1" ref="L10" ca="1">OFFSET(table_1[[file_out]:[file_out]], 4 * (table_2_1[[#This Row],[index]:[index]] - 1) + COLUMN() - 11, 0, 1, 1)</f>
        <v>yjl226_WT_sgAB_R2_cmv</v>
      </c>
      <c r="M10" t="str" cm="1">
        <f t="array" aca="1" ref="M10" ca="1">OFFSET(table_1[[file_out]:[file_out]], 4 * (table_2_1[[#This Row],[index]:[index]] - 1) + COLUMN() - 11, 0, 1, 1)</f>
        <v>yjl227_WT_sgAB_R2_cmv</v>
      </c>
      <c r="N10" t="str" cm="1">
        <f t="array" aca="1" ref="N10" ca="1">OFFSET(table_1[[file_out]:[file_out]], 4 * (table_2_1[[#This Row],[index]:[index]] - 1) + COLUMN() - 11, 0, 1, 1)</f>
        <v>yjl228_WT_sgAB_R2_cmv</v>
      </c>
      <c r="O10" cm="1">
        <f t="array" aca="1" ref="O10" ca="1">OFFSET(table_1[[total_reads]:[total_reads]], 4 * (table_2_1[[#This Row],[index]:[index]] - 1) + COLUMN() - 15, 0, 1, 1)</f>
        <v>6898791</v>
      </c>
      <c r="P10" cm="1">
        <f t="array" aca="1" ref="P10" ca="1">OFFSET(table_1[[total_reads]:[total_reads]], 4 * (table_2_1[[#This Row],[index]:[index]] - 1) + COLUMN() - 15, 0, 1, 1)</f>
        <v>7986453</v>
      </c>
      <c r="Q10" cm="1">
        <f t="array" aca="1" ref="Q10" ca="1">OFFSET(table_1[[total_reads]:[total_reads]], 4 * (table_2_1[[#This Row],[index]:[index]] - 1) + COLUMN() - 15, 0, 1, 1)</f>
        <v>7354088</v>
      </c>
      <c r="R10" cm="1">
        <f t="array" aca="1" ref="R10" ca="1">OFFSET(table_1[[total_reads]:[total_reads]], 4 * (table_2_1[[#This Row],[index]:[index]] - 1) + COLUMN() - 15, 0, 1, 1)</f>
        <v>6940576</v>
      </c>
      <c r="S1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libraries_2/yjl225_WT_sgAB_R2_cmv.tsv libraries_2/yjl226_WT_sgAB_R2_cmv.tsv libraries_2/yjl227_WT_sgAB_R2_cmv.tsv libraries_2/yjl228_WT_sgAB_R2_cmv.tsv --total_reads 6898791 7986453 7354088 6940576 -o libraries_3/WT_sgAB_R2_cmv.tsv --quiet </v>
      </c>
    </row>
    <row r="11" spans="1:19" x14ac:dyDescent="0.25">
      <c r="A11" s="1">
        <v>10</v>
      </c>
      <c r="B11" t="str">
        <f ca="1">OFFSET(table_1[ref], 4 * (table_2_1[[#This Row],[index]] - 1), 0, 1, 1)</f>
        <v>2DSB_R2_sense.fa</v>
      </c>
      <c r="C11" t="str">
        <f ca="1">OFFSET(table_1[control], 4 * (table_2_1[[#This Row],[index]] - 1), 0, 1, 1)</f>
        <v>none</v>
      </c>
      <c r="D11" t="str">
        <f ca="1">OFFSET(table_1[dsb_type], 4 * (table_2_1[[#This Row],[index]] - 1), 0, 1, 1)</f>
        <v>2DSB</v>
      </c>
      <c r="E11">
        <f ca="1">OFFSET(table_1[dsb_pos], 4 * (table_2_1[[#This Row],[index]] - 1), 0, 1, 1)</f>
        <v>46</v>
      </c>
      <c r="F11" t="str">
        <f ca="1">OFFSET(table_1[cell], 4 * (table_2_1[[#This Row],[index]] - 1), 0, 1, 1)</f>
        <v>KO</v>
      </c>
      <c r="G11" t="str">
        <f ca="1">OFFSET(table_1[strand], 4 * (table_2_1[[#This Row],[index]] - 1), 0, 1, 1)</f>
        <v>R2</v>
      </c>
      <c r="H11" t="str">
        <f ca="1">OFFSET(table_1[treatment], 4 * (table_2_1[[#This Row],[index]] - 1), 0, 1, 1)</f>
        <v>sense</v>
      </c>
      <c r="I11" t="str">
        <f ca="1">OFFSET(table_1[hguide], 4 * (table_2_1[[#This Row],[index]] - 1), 0, 1, 1)</f>
        <v>sgAB</v>
      </c>
      <c r="J1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KO_sgAB_R2_sense</v>
      </c>
      <c r="K11" t="str" cm="1">
        <f t="array" aca="1" ref="K11" ca="1">OFFSET(table_1[[file_out]:[file_out]], 4 * (table_2_1[[#This Row],[index]:[index]] - 1) + COLUMN() - 11, 0, 1, 1)</f>
        <v>yjl229_KO_sgAB_R2_sense</v>
      </c>
      <c r="L11" t="str" cm="1">
        <f t="array" aca="1" ref="L11" ca="1">OFFSET(table_1[[file_out]:[file_out]], 4 * (table_2_1[[#This Row],[index]:[index]] - 1) + COLUMN() - 11, 0, 1, 1)</f>
        <v>yjl230_KO_sgAB_R2_sense</v>
      </c>
      <c r="M11" t="str" cm="1">
        <f t="array" aca="1" ref="M11" ca="1">OFFSET(table_1[[file_out]:[file_out]], 4 * (table_2_1[[#This Row],[index]:[index]] - 1) + COLUMN() - 11, 0, 1, 1)</f>
        <v>yjl231_KO_sgAB_R2_sense</v>
      </c>
      <c r="N11" t="str" cm="1">
        <f t="array" aca="1" ref="N11" ca="1">OFFSET(table_1[[file_out]:[file_out]], 4 * (table_2_1[[#This Row],[index]:[index]] - 1) + COLUMN() - 11, 0, 1, 1)</f>
        <v>yjl232_KO_sgAB_R2_sense</v>
      </c>
      <c r="O11" cm="1">
        <f t="array" aca="1" ref="O11" ca="1">OFFSET(table_1[[total_reads]:[total_reads]], 4 * (table_2_1[[#This Row],[index]:[index]] - 1) + COLUMN() - 15, 0, 1, 1)</f>
        <v>10142826</v>
      </c>
      <c r="P11" cm="1">
        <f t="array" aca="1" ref="P11" ca="1">OFFSET(table_1[[total_reads]:[total_reads]], 4 * (table_2_1[[#This Row],[index]:[index]] - 1) + COLUMN() - 15, 0, 1, 1)</f>
        <v>11211467</v>
      </c>
      <c r="Q11" cm="1">
        <f t="array" aca="1" ref="Q11" ca="1">OFFSET(table_1[[total_reads]:[total_reads]], 4 * (table_2_1[[#This Row],[index]:[index]] - 1) + COLUMN() - 15, 0, 1, 1)</f>
        <v>11130391</v>
      </c>
      <c r="R11" cm="1">
        <f t="array" aca="1" ref="R11" ca="1">OFFSET(table_1[[total_reads]:[total_reads]], 4 * (table_2_1[[#This Row],[index]:[index]] - 1) + COLUMN() - 15, 0, 1, 1)</f>
        <v>11080481</v>
      </c>
      <c r="S1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libraries_2/yjl229_KO_sgAB_R2_sense.tsv libraries_2/yjl230_KO_sgAB_R2_sense.tsv libraries_2/yjl231_KO_sgAB_R2_sense.tsv libraries_2/yjl232_KO_sgAB_R2_sense.tsv --total_reads 10142826 11211467 11130391 11080481 -o libraries_3/KO_sgAB_R2_sense.tsv --quiet </v>
      </c>
    </row>
    <row r="12" spans="1:19" x14ac:dyDescent="0.25">
      <c r="A12" s="1">
        <v>11</v>
      </c>
      <c r="B12" t="str">
        <f ca="1">OFFSET(table_1[ref], 4 * (table_2_1[[#This Row],[index]] - 1), 0, 1, 1)</f>
        <v>2DSB_R2_branch.fa</v>
      </c>
      <c r="C12" t="str">
        <f ca="1">OFFSET(table_1[control], 4 * (table_2_1[[#This Row],[index]] - 1), 0, 1, 1)</f>
        <v>none</v>
      </c>
      <c r="D12" t="str">
        <f ca="1">OFFSET(table_1[dsb_type], 4 * (table_2_1[[#This Row],[index]] - 1), 0, 1, 1)</f>
        <v>2DSB</v>
      </c>
      <c r="E12">
        <f ca="1">OFFSET(table_1[dsb_pos], 4 * (table_2_1[[#This Row],[index]] - 1), 0, 1, 1)</f>
        <v>46</v>
      </c>
      <c r="F12" t="str">
        <f ca="1">OFFSET(table_1[cell], 4 * (table_2_1[[#This Row],[index]] - 1), 0, 1, 1)</f>
        <v>KO</v>
      </c>
      <c r="G12" t="str">
        <f ca="1">OFFSET(table_1[strand], 4 * (table_2_1[[#This Row],[index]] - 1), 0, 1, 1)</f>
        <v>R2</v>
      </c>
      <c r="H12" t="str">
        <f ca="1">OFFSET(table_1[treatment], 4 * (table_2_1[[#This Row],[index]] - 1), 0, 1, 1)</f>
        <v>branch</v>
      </c>
      <c r="I12" t="str">
        <f ca="1">OFFSET(table_1[hguide], 4 * (table_2_1[[#This Row],[index]] - 1), 0, 1, 1)</f>
        <v>sgAB</v>
      </c>
      <c r="J1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KO_sgAB_R2_branch</v>
      </c>
      <c r="K12" t="str" cm="1">
        <f t="array" aca="1" ref="K12" ca="1">OFFSET(table_1[[file_out]:[file_out]], 4 * (table_2_1[[#This Row],[index]:[index]] - 1) + COLUMN() - 11, 0, 1, 1)</f>
        <v>yjl233_KO_sgAB_R2_branch</v>
      </c>
      <c r="L12" t="str" cm="1">
        <f t="array" aca="1" ref="L12" ca="1">OFFSET(table_1[[file_out]:[file_out]], 4 * (table_2_1[[#This Row],[index]:[index]] - 1) + COLUMN() - 11, 0, 1, 1)</f>
        <v>yjl234_KO_sgAB_R2_branch</v>
      </c>
      <c r="M12" t="str" cm="1">
        <f t="array" aca="1" ref="M12" ca="1">OFFSET(table_1[[file_out]:[file_out]], 4 * (table_2_1[[#This Row],[index]:[index]] - 1) + COLUMN() - 11, 0, 1, 1)</f>
        <v>yjl235_KO_sgAB_R2_branch</v>
      </c>
      <c r="N12" t="str" cm="1">
        <f t="array" aca="1" ref="N12" ca="1">OFFSET(table_1[[file_out]:[file_out]], 4 * (table_2_1[[#This Row],[index]:[index]] - 1) + COLUMN() - 11, 0, 1, 1)</f>
        <v>yjl236_KO_sgAB_R2_branch</v>
      </c>
      <c r="O12" cm="1">
        <f t="array" aca="1" ref="O12" ca="1">OFFSET(table_1[[total_reads]:[total_reads]], 4 * (table_2_1[[#This Row],[index]:[index]] - 1) + COLUMN() - 15, 0, 1, 1)</f>
        <v>12987477</v>
      </c>
      <c r="P12" cm="1">
        <f t="array" aca="1" ref="P12" ca="1">OFFSET(table_1[[total_reads]:[total_reads]], 4 * (table_2_1[[#This Row],[index]:[index]] - 1) + COLUMN() - 15, 0, 1, 1)</f>
        <v>14745821</v>
      </c>
      <c r="Q12" cm="1">
        <f t="array" aca="1" ref="Q12" ca="1">OFFSET(table_1[[total_reads]:[total_reads]], 4 * (table_2_1[[#This Row],[index]:[index]] - 1) + COLUMN() - 15, 0, 1, 1)</f>
        <v>12946604</v>
      </c>
      <c r="R12" cm="1">
        <f t="array" aca="1" ref="R12" ca="1">OFFSET(table_1[[total_reads]:[total_reads]], 4 * (table_2_1[[#This Row],[index]:[index]] - 1) + COLUMN() - 15, 0, 1, 1)</f>
        <v>12582077</v>
      </c>
      <c r="S1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libraries_2/yjl233_KO_sgAB_R2_branch.tsv libraries_2/yjl234_KO_sgAB_R2_branch.tsv libraries_2/yjl235_KO_sgAB_R2_branch.tsv libraries_2/yjl236_KO_sgAB_R2_branch.tsv --total_reads 12987477 14745821 12946604 12582077 -o libraries_3/KO_sgAB_R2_branch.tsv --quiet </v>
      </c>
    </row>
    <row r="13" spans="1:19" x14ac:dyDescent="0.25">
      <c r="A13" s="1">
        <v>12</v>
      </c>
      <c r="B13" t="str">
        <f ca="1">OFFSET(table_1[ref], 4 * (table_2_1[[#This Row],[index]] - 1), 0, 1, 1)</f>
        <v>2DSB_R2_cmv.fa</v>
      </c>
      <c r="C13" t="str">
        <f ca="1">OFFSET(table_1[control], 4 * (table_2_1[[#This Row],[index]] - 1), 0, 1, 1)</f>
        <v>none</v>
      </c>
      <c r="D13" t="str">
        <f ca="1">OFFSET(table_1[dsb_type], 4 * (table_2_1[[#This Row],[index]] - 1), 0, 1, 1)</f>
        <v>2DSB</v>
      </c>
      <c r="E13">
        <f ca="1">OFFSET(table_1[dsb_pos], 4 * (table_2_1[[#This Row],[index]] - 1), 0, 1, 1)</f>
        <v>46</v>
      </c>
      <c r="F13" t="str">
        <f ca="1">OFFSET(table_1[cell], 4 * (table_2_1[[#This Row],[index]] - 1), 0, 1, 1)</f>
        <v>KO</v>
      </c>
      <c r="G13" t="str">
        <f ca="1">OFFSET(table_1[strand], 4 * (table_2_1[[#This Row],[index]] - 1), 0, 1, 1)</f>
        <v>R2</v>
      </c>
      <c r="H13" t="str">
        <f ca="1">OFFSET(table_1[treatment], 4 * (table_2_1[[#This Row],[index]] - 1), 0, 1, 1)</f>
        <v>cmv</v>
      </c>
      <c r="I13" t="str">
        <f ca="1">OFFSET(table_1[hguide], 4 * (table_2_1[[#This Row],[index]] - 1), 0, 1, 1)</f>
        <v>sgAB</v>
      </c>
      <c r="J1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KO_sgAB_R2_cmv</v>
      </c>
      <c r="K13" t="str" cm="1">
        <f t="array" aca="1" ref="K13" ca="1">OFFSET(table_1[[file_out]:[file_out]], 4 * (table_2_1[[#This Row],[index]:[index]] - 1) + COLUMN() - 11, 0, 1, 1)</f>
        <v>yjl237_KO_sgAB_R2_cmv</v>
      </c>
      <c r="L13" t="str" cm="1">
        <f t="array" aca="1" ref="L13" ca="1">OFFSET(table_1[[file_out]:[file_out]], 4 * (table_2_1[[#This Row],[index]:[index]] - 1) + COLUMN() - 11, 0, 1, 1)</f>
        <v>yjl238_KO_sgAB_R2_cmv</v>
      </c>
      <c r="M13" t="str" cm="1">
        <f t="array" aca="1" ref="M13" ca="1">OFFSET(table_1[[file_out]:[file_out]], 4 * (table_2_1[[#This Row],[index]:[index]] - 1) + COLUMN() - 11, 0, 1, 1)</f>
        <v>yjl239_KO_sgAB_R2_cmv</v>
      </c>
      <c r="N13" t="str" cm="1">
        <f t="array" aca="1" ref="N13" ca="1">OFFSET(table_1[[file_out]:[file_out]], 4 * (table_2_1[[#This Row],[index]:[index]] - 1) + COLUMN() - 11, 0, 1, 1)</f>
        <v>yjl240_KO_sgAB_R2_cmv</v>
      </c>
      <c r="O13" cm="1">
        <f t="array" aca="1" ref="O13" ca="1">OFFSET(table_1[[total_reads]:[total_reads]], 4 * (table_2_1[[#This Row],[index]:[index]] - 1) + COLUMN() - 15, 0, 1, 1)</f>
        <v>10562895</v>
      </c>
      <c r="P13" cm="1">
        <f t="array" aca="1" ref="P13" ca="1">OFFSET(table_1[[total_reads]:[total_reads]], 4 * (table_2_1[[#This Row],[index]:[index]] - 1) + COLUMN() - 15, 0, 1, 1)</f>
        <v>10985096</v>
      </c>
      <c r="Q13" cm="1">
        <f t="array" aca="1" ref="Q13" ca="1">OFFSET(table_1[[total_reads]:[total_reads]], 4 * (table_2_1[[#This Row],[index]:[index]] - 1) + COLUMN() - 15, 0, 1, 1)</f>
        <v>9559721</v>
      </c>
      <c r="R13" cm="1">
        <f t="array" aca="1" ref="R13" ca="1">OFFSET(table_1[[total_reads]:[total_reads]], 4 * (table_2_1[[#This Row],[index]:[index]] - 1) + COLUMN() - 15, 0, 1, 1)</f>
        <v>8729797</v>
      </c>
      <c r="S1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libraries_2/yjl237_KO_sgAB_R2_cmv.tsv libraries_2/yjl238_KO_sgAB_R2_cmv.tsv libraries_2/yjl239_KO_sgAB_R2_cmv.tsv libraries_2/yjl240_KO_sgAB_R2_cmv.tsv --total_reads 10562895 10985096 9559721 8729797 -o libraries_3/KO_sgAB_R2_cmv.tsv --quiet </v>
      </c>
    </row>
    <row r="14" spans="1:19" x14ac:dyDescent="0.25">
      <c r="A14" s="1">
        <v>13</v>
      </c>
      <c r="B14" t="str">
        <f ca="1">OFFSET(table_1[ref], 4 * (table_2_1[[#This Row],[index]] - 1), 0, 1, 1)</f>
        <v>1DSB_R1_sense.fa</v>
      </c>
      <c r="C14" t="str">
        <f ca="1">OFFSET(table_1[control], 4 * (table_2_1[[#This Row],[index]] - 1), 0, 1, 1)</f>
        <v>none</v>
      </c>
      <c r="D14" t="str">
        <f ca="1">OFFSET(table_1[dsb_type], 4 * (table_2_1[[#This Row],[index]] - 1), 0, 1, 1)</f>
        <v>1DSB</v>
      </c>
      <c r="E14">
        <f ca="1">OFFSET(table_1[dsb_pos], 4 * (table_2_1[[#This Row],[index]] - 1), 0, 1, 1)</f>
        <v>67</v>
      </c>
      <c r="F14" t="str">
        <f ca="1">OFFSET(table_1[cell], 4 * (table_2_1[[#This Row],[index]] - 1), 0, 1, 1)</f>
        <v>WT</v>
      </c>
      <c r="G14" t="str">
        <f ca="1">OFFSET(table_1[strand], 4 * (table_2_1[[#This Row],[index]] - 1), 0, 1, 1)</f>
        <v>R1</v>
      </c>
      <c r="H14" t="str">
        <f ca="1">OFFSET(table_1[treatment], 4 * (table_2_1[[#This Row],[index]] - 1), 0, 1, 1)</f>
        <v>sense</v>
      </c>
      <c r="I14" t="str">
        <f ca="1">OFFSET(table_1[hguide], 4 * (table_2_1[[#This Row],[index]] - 1), 0, 1, 1)</f>
        <v>sgA</v>
      </c>
      <c r="J1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</v>
      </c>
      <c r="K14" t="str" cm="1">
        <f t="array" aca="1" ref="K14" ca="1">OFFSET(table_1[[file_out]:[file_out]], 4 * (table_2_1[[#This Row],[index]:[index]] - 1) + COLUMN() - 11, 0, 1, 1)</f>
        <v>yjl255_WT_sgA_R1_sense</v>
      </c>
      <c r="L14" t="str" cm="1">
        <f t="array" aca="1" ref="L14" ca="1">OFFSET(table_1[[file_out]:[file_out]], 4 * (table_2_1[[#This Row],[index]:[index]] - 1) + COLUMN() - 11, 0, 1, 1)</f>
        <v>yjl256_WT_sgA_R1_sense</v>
      </c>
      <c r="M14" t="str" cm="1">
        <f t="array" aca="1" ref="M14" ca="1">OFFSET(table_1[[file_out]:[file_out]], 4 * (table_2_1[[#This Row],[index]:[index]] - 1) + COLUMN() - 11, 0, 1, 1)</f>
        <v>yjl257_WT_sgA_R1_sense</v>
      </c>
      <c r="N14" t="str" cm="1">
        <f t="array" aca="1" ref="N14" ca="1">OFFSET(table_1[[file_out]:[file_out]], 4 * (table_2_1[[#This Row],[index]:[index]] - 1) + COLUMN() - 11, 0, 1, 1)</f>
        <v>yjl258_WT_sgA_R1_sense</v>
      </c>
      <c r="O14" cm="1">
        <f t="array" aca="1" ref="O14" ca="1">OFFSET(table_1[[total_reads]:[total_reads]], 4 * (table_2_1[[#This Row],[index]:[index]] - 1) + COLUMN() - 15, 0, 1, 1)</f>
        <v>7579965</v>
      </c>
      <c r="P14" cm="1">
        <f t="array" aca="1" ref="P14" ca="1">OFFSET(table_1[[total_reads]:[total_reads]], 4 * (table_2_1[[#This Row],[index]:[index]] - 1) + COLUMN() - 15, 0, 1, 1)</f>
        <v>7982725</v>
      </c>
      <c r="Q14" cm="1">
        <f t="array" aca="1" ref="Q14" ca="1">OFFSET(table_1[[total_reads]:[total_reads]], 4 * (table_2_1[[#This Row],[index]:[index]] - 1) + COLUMN() - 15, 0, 1, 1)</f>
        <v>7854740</v>
      </c>
      <c r="R14" cm="1">
        <f t="array" aca="1" ref="R14" ca="1">OFFSET(table_1[[total_reads]:[total_reads]], 4 * (table_2_1[[#This Row],[index]:[index]] - 1) + COLUMN() - 15, 0, 1, 1)</f>
        <v>7534924</v>
      </c>
      <c r="S1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libraries_2/yjl255_WT_sgA_R1_sense.tsv libraries_2/yjl256_WT_sgA_R1_sense.tsv libraries_2/yjl257_WT_sgA_R1_sense.tsv libraries_2/yjl258_WT_sgA_R1_sense.tsv --total_reads 7579965 7982725 7854740 7534924 -o libraries_3/WT_sgA_R1_sense.tsv --quiet </v>
      </c>
    </row>
    <row r="15" spans="1:19" x14ac:dyDescent="0.25">
      <c r="A15" s="1">
        <v>14</v>
      </c>
      <c r="B15" t="str">
        <f ca="1">OFFSET(table_1[ref], 4 * (table_2_1[[#This Row],[index]] - 1), 0, 1, 1)</f>
        <v>1DSB_R1_branch.fa</v>
      </c>
      <c r="C15" t="str">
        <f ca="1">OFFSET(table_1[control], 4 * (table_2_1[[#This Row],[index]] - 1), 0, 1, 1)</f>
        <v>none</v>
      </c>
      <c r="D15" t="str">
        <f ca="1">OFFSET(table_1[dsb_type], 4 * (table_2_1[[#This Row],[index]] - 1), 0, 1, 1)</f>
        <v>1DSB</v>
      </c>
      <c r="E15">
        <f ca="1">OFFSET(table_1[dsb_pos], 4 * (table_2_1[[#This Row],[index]] - 1), 0, 1, 1)</f>
        <v>67</v>
      </c>
      <c r="F15" t="str">
        <f ca="1">OFFSET(table_1[cell], 4 * (table_2_1[[#This Row],[index]] - 1), 0, 1, 1)</f>
        <v>WT</v>
      </c>
      <c r="G15" t="str">
        <f ca="1">OFFSET(table_1[strand], 4 * (table_2_1[[#This Row],[index]] - 1), 0, 1, 1)</f>
        <v>R1</v>
      </c>
      <c r="H15" t="str">
        <f ca="1">OFFSET(table_1[treatment], 4 * (table_2_1[[#This Row],[index]] - 1), 0, 1, 1)</f>
        <v>branch</v>
      </c>
      <c r="I15" t="str">
        <f ca="1">OFFSET(table_1[hguide], 4 * (table_2_1[[#This Row],[index]] - 1), 0, 1, 1)</f>
        <v>sgA</v>
      </c>
      <c r="J1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</v>
      </c>
      <c r="K15" t="str" cm="1">
        <f t="array" aca="1" ref="K15" ca="1">OFFSET(table_1[[file_out]:[file_out]], 4 * (table_2_1[[#This Row],[index]:[index]] - 1) + COLUMN() - 11, 0, 1, 1)</f>
        <v>yjl259_WT_sgA_R1_branch</v>
      </c>
      <c r="L15" t="str" cm="1">
        <f t="array" aca="1" ref="L15" ca="1">OFFSET(table_1[[file_out]:[file_out]], 4 * (table_2_1[[#This Row],[index]:[index]] - 1) + COLUMN() - 11, 0, 1, 1)</f>
        <v>yjl260_WT_sgA_R1_branch</v>
      </c>
      <c r="M15" t="str" cm="1">
        <f t="array" aca="1" ref="M15" ca="1">OFFSET(table_1[[file_out]:[file_out]], 4 * (table_2_1[[#This Row],[index]:[index]] - 1) + COLUMN() - 11, 0, 1, 1)</f>
        <v>yjl261_WT_sgA_R1_branch</v>
      </c>
      <c r="N15" t="str" cm="1">
        <f t="array" aca="1" ref="N15" ca="1">OFFSET(table_1[[file_out]:[file_out]], 4 * (table_2_1[[#This Row],[index]:[index]] - 1) + COLUMN() - 11, 0, 1, 1)</f>
        <v>yjl262_WT_sgA_R1_branch</v>
      </c>
      <c r="O15" cm="1">
        <f t="array" aca="1" ref="O15" ca="1">OFFSET(table_1[[total_reads]:[total_reads]], 4 * (table_2_1[[#This Row],[index]:[index]] - 1) + COLUMN() - 15, 0, 1, 1)</f>
        <v>8808358</v>
      </c>
      <c r="P15" cm="1">
        <f t="array" aca="1" ref="P15" ca="1">OFFSET(table_1[[total_reads]:[total_reads]], 4 * (table_2_1[[#This Row],[index]:[index]] - 1) + COLUMN() - 15, 0, 1, 1)</f>
        <v>9297647</v>
      </c>
      <c r="Q15" cm="1">
        <f t="array" aca="1" ref="Q15" ca="1">OFFSET(table_1[[total_reads]:[total_reads]], 4 * (table_2_1[[#This Row],[index]:[index]] - 1) + COLUMN() - 15, 0, 1, 1)</f>
        <v>9399483</v>
      </c>
      <c r="R15" cm="1">
        <f t="array" aca="1" ref="R15" ca="1">OFFSET(table_1[[total_reads]:[total_reads]], 4 * (table_2_1[[#This Row],[index]:[index]] - 1) + COLUMN() - 15, 0, 1, 1)</f>
        <v>8799841</v>
      </c>
      <c r="S1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libraries_2/yjl259_WT_sgA_R1_branch.tsv libraries_2/yjl260_WT_sgA_R1_branch.tsv libraries_2/yjl261_WT_sgA_R1_branch.tsv libraries_2/yjl262_WT_sgA_R1_branch.tsv --total_reads 8808358 9297647 9399483 8799841 -o libraries_3/WT_sgA_R1_branch.tsv --quiet </v>
      </c>
    </row>
    <row r="16" spans="1:19" x14ac:dyDescent="0.25">
      <c r="A16" s="1">
        <v>15</v>
      </c>
      <c r="B16" t="str">
        <f ca="1">OFFSET(table_1[ref], 4 * (table_2_1[[#This Row],[index]] - 1), 0, 1, 1)</f>
        <v>1DSB_R1_cmv.fa</v>
      </c>
      <c r="C16" t="str">
        <f ca="1">OFFSET(table_1[control], 4 * (table_2_1[[#This Row],[index]] - 1), 0, 1, 1)</f>
        <v>none</v>
      </c>
      <c r="D16" t="str">
        <f ca="1">OFFSET(table_1[dsb_type], 4 * (table_2_1[[#This Row],[index]] - 1), 0, 1, 1)</f>
        <v>1DSB</v>
      </c>
      <c r="E16">
        <f ca="1">OFFSET(table_1[dsb_pos], 4 * (table_2_1[[#This Row],[index]] - 1), 0, 1, 1)</f>
        <v>67</v>
      </c>
      <c r="F16" t="str">
        <f ca="1">OFFSET(table_1[cell], 4 * (table_2_1[[#This Row],[index]] - 1), 0, 1, 1)</f>
        <v>WT</v>
      </c>
      <c r="G16" t="str">
        <f ca="1">OFFSET(table_1[strand], 4 * (table_2_1[[#This Row],[index]] - 1), 0, 1, 1)</f>
        <v>R1</v>
      </c>
      <c r="H16" t="str">
        <f ca="1">OFFSET(table_1[treatment], 4 * (table_2_1[[#This Row],[index]] - 1), 0, 1, 1)</f>
        <v>cmv</v>
      </c>
      <c r="I16" t="str">
        <f ca="1">OFFSET(table_1[hguide], 4 * (table_2_1[[#This Row],[index]] - 1), 0, 1, 1)</f>
        <v>sgA</v>
      </c>
      <c r="J1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</v>
      </c>
      <c r="K16" t="str" cm="1">
        <f t="array" aca="1" ref="K16" ca="1">OFFSET(table_1[[file_out]:[file_out]], 4 * (table_2_1[[#This Row],[index]:[index]] - 1) + COLUMN() - 11, 0, 1, 1)</f>
        <v>yjl263_WT_sgA_R1_cmv</v>
      </c>
      <c r="L16" t="str" cm="1">
        <f t="array" aca="1" ref="L16" ca="1">OFFSET(table_1[[file_out]:[file_out]], 4 * (table_2_1[[#This Row],[index]:[index]] - 1) + COLUMN() - 11, 0, 1, 1)</f>
        <v>yjl264_WT_sgA_R1_cmv</v>
      </c>
      <c r="M16" t="str" cm="1">
        <f t="array" aca="1" ref="M16" ca="1">OFFSET(table_1[[file_out]:[file_out]], 4 * (table_2_1[[#This Row],[index]:[index]] - 1) + COLUMN() - 11, 0, 1, 1)</f>
        <v>yjl265_WT_sgA_R1_cmv</v>
      </c>
      <c r="N16" t="str" cm="1">
        <f t="array" aca="1" ref="N16" ca="1">OFFSET(table_1[[file_out]:[file_out]], 4 * (table_2_1[[#This Row],[index]:[index]] - 1) + COLUMN() - 11, 0, 1, 1)</f>
        <v>yjl266_WT_sgA_R1_cmv</v>
      </c>
      <c r="O16" cm="1">
        <f t="array" aca="1" ref="O16" ca="1">OFFSET(table_1[[total_reads]:[total_reads]], 4 * (table_2_1[[#This Row],[index]:[index]] - 1) + COLUMN() - 15, 0, 1, 1)</f>
        <v>8171224</v>
      </c>
      <c r="P16" cm="1">
        <f t="array" aca="1" ref="P16" ca="1">OFFSET(table_1[[total_reads]:[total_reads]], 4 * (table_2_1[[#This Row],[index]:[index]] - 1) + COLUMN() - 15, 0, 1, 1)</f>
        <v>8180897</v>
      </c>
      <c r="Q16" cm="1">
        <f t="array" aca="1" ref="Q16" ca="1">OFFSET(table_1[[total_reads]:[total_reads]], 4 * (table_2_1[[#This Row],[index]:[index]] - 1) + COLUMN() - 15, 0, 1, 1)</f>
        <v>8314116</v>
      </c>
      <c r="R16" cm="1">
        <f t="array" aca="1" ref="R16" ca="1">OFFSET(table_1[[total_reads]:[total_reads]], 4 * (table_2_1[[#This Row],[index]:[index]] - 1) + COLUMN() - 15, 0, 1, 1)</f>
        <v>8096639</v>
      </c>
      <c r="S1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libraries_2/yjl263_WT_sgA_R1_cmv.tsv libraries_2/yjl264_WT_sgA_R1_cmv.tsv libraries_2/yjl265_WT_sgA_R1_cmv.tsv libraries_2/yjl266_WT_sgA_R1_cmv.tsv --total_reads 8171224 8180897 8314116 8096639 -o libraries_3/WT_sgA_R1_cmv.tsv --quiet </v>
      </c>
    </row>
    <row r="17" spans="1:19" x14ac:dyDescent="0.25">
      <c r="A17" s="1">
        <v>16</v>
      </c>
      <c r="B17" t="str">
        <f ca="1">OFFSET(table_1[ref], 4 * (table_2_1[[#This Row],[index]] - 1), 0, 1, 1)</f>
        <v>1DSB_R1_sense.fa</v>
      </c>
      <c r="C17" t="str">
        <f ca="1">OFFSET(table_1[control], 4 * (table_2_1[[#This Row],[index]] - 1), 0, 1, 1)</f>
        <v>none</v>
      </c>
      <c r="D17" t="str">
        <f ca="1">OFFSET(table_1[dsb_type], 4 * (table_2_1[[#This Row],[index]] - 1), 0, 1, 1)</f>
        <v>1DSB</v>
      </c>
      <c r="E17">
        <f ca="1">OFFSET(table_1[dsb_pos], 4 * (table_2_1[[#This Row],[index]] - 1), 0, 1, 1)</f>
        <v>67</v>
      </c>
      <c r="F17" t="str">
        <f ca="1">OFFSET(table_1[cell], 4 * (table_2_1[[#This Row],[index]] - 1), 0, 1, 1)</f>
        <v>KO</v>
      </c>
      <c r="G17" t="str">
        <f ca="1">OFFSET(table_1[strand], 4 * (table_2_1[[#This Row],[index]] - 1), 0, 1, 1)</f>
        <v>R1</v>
      </c>
      <c r="H17" t="str">
        <f ca="1">OFFSET(table_1[treatment], 4 * (table_2_1[[#This Row],[index]] - 1), 0, 1, 1)</f>
        <v>sense</v>
      </c>
      <c r="I17" t="str">
        <f ca="1">OFFSET(table_1[hguide], 4 * (table_2_1[[#This Row],[index]] - 1), 0, 1, 1)</f>
        <v>sgA</v>
      </c>
      <c r="J1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</v>
      </c>
      <c r="K17" t="str" cm="1">
        <f t="array" aca="1" ref="K17" ca="1">OFFSET(table_1[[file_out]:[file_out]], 4 * (table_2_1[[#This Row],[index]:[index]] - 1) + COLUMN() - 11, 0, 1, 1)</f>
        <v>yjl292_KO_sgA_R1_sense</v>
      </c>
      <c r="L17" t="str" cm="1">
        <f t="array" aca="1" ref="L17" ca="1">OFFSET(table_1[[file_out]:[file_out]], 4 * (table_2_1[[#This Row],[index]:[index]] - 1) + COLUMN() - 11, 0, 1, 1)</f>
        <v>yjl293_KO_sgA_R1_sense</v>
      </c>
      <c r="M17" t="str" cm="1">
        <f t="array" aca="1" ref="M17" ca="1">OFFSET(table_1[[file_out]:[file_out]], 4 * (table_2_1[[#This Row],[index]:[index]] - 1) + COLUMN() - 11, 0, 1, 1)</f>
        <v>yjl294_KO_sgA_R1_sense</v>
      </c>
      <c r="N17" t="str" cm="1">
        <f t="array" aca="1" ref="N17" ca="1">OFFSET(table_1[[file_out]:[file_out]], 4 * (table_2_1[[#This Row],[index]:[index]] - 1) + COLUMN() - 11, 0, 1, 1)</f>
        <v>yjl295_KO_sgA_R1_sense</v>
      </c>
      <c r="O17" cm="1">
        <f t="array" aca="1" ref="O17" ca="1">OFFSET(table_1[[total_reads]:[total_reads]], 4 * (table_2_1[[#This Row],[index]:[index]] - 1) + COLUMN() - 15, 0, 1, 1)</f>
        <v>8597510</v>
      </c>
      <c r="P17" cm="1">
        <f t="array" aca="1" ref="P17" ca="1">OFFSET(table_1[[total_reads]:[total_reads]], 4 * (table_2_1[[#This Row],[index]:[index]] - 1) + COLUMN() - 15, 0, 1, 1)</f>
        <v>10116623</v>
      </c>
      <c r="Q17" cm="1">
        <f t="array" aca="1" ref="Q17" ca="1">OFFSET(table_1[[total_reads]:[total_reads]], 4 * (table_2_1[[#This Row],[index]:[index]] - 1) + COLUMN() - 15, 0, 1, 1)</f>
        <v>8703707</v>
      </c>
      <c r="R17" cm="1">
        <f t="array" aca="1" ref="R17" ca="1">OFFSET(table_1[[total_reads]:[total_reads]], 4 * (table_2_1[[#This Row],[index]:[index]] - 1) + COLUMN() - 15, 0, 1, 1)</f>
        <v>9021103</v>
      </c>
      <c r="S1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libraries_2/yjl292_KO_sgA_R1_sense.tsv libraries_2/yjl293_KO_sgA_R1_sense.tsv libraries_2/yjl294_KO_sgA_R1_sense.tsv libraries_2/yjl295_KO_sgA_R1_sense.tsv --total_reads 8597510 10116623 8703707 9021103 -o libraries_3/KO_sgA_R1_sense.tsv --quiet </v>
      </c>
    </row>
    <row r="18" spans="1:19" x14ac:dyDescent="0.25">
      <c r="A18" s="1">
        <v>17</v>
      </c>
      <c r="B18" t="str">
        <f ca="1">OFFSET(table_1[ref], 4 * (table_2_1[[#This Row],[index]] - 1), 0, 1, 1)</f>
        <v>1DSB_R1_branch.fa</v>
      </c>
      <c r="C18" t="str">
        <f ca="1">OFFSET(table_1[control], 4 * (table_2_1[[#This Row],[index]] - 1), 0, 1, 1)</f>
        <v>none</v>
      </c>
      <c r="D18" t="str">
        <f ca="1">OFFSET(table_1[dsb_type], 4 * (table_2_1[[#This Row],[index]] - 1), 0, 1, 1)</f>
        <v>1DSB</v>
      </c>
      <c r="E18">
        <f ca="1">OFFSET(table_1[dsb_pos], 4 * (table_2_1[[#This Row],[index]] - 1), 0, 1, 1)</f>
        <v>67</v>
      </c>
      <c r="F18" t="str">
        <f ca="1">OFFSET(table_1[cell], 4 * (table_2_1[[#This Row],[index]] - 1), 0, 1, 1)</f>
        <v>KO</v>
      </c>
      <c r="G18" t="str">
        <f ca="1">OFFSET(table_1[strand], 4 * (table_2_1[[#This Row],[index]] - 1), 0, 1, 1)</f>
        <v>R1</v>
      </c>
      <c r="H18" t="str">
        <f ca="1">OFFSET(table_1[treatment], 4 * (table_2_1[[#This Row],[index]] - 1), 0, 1, 1)</f>
        <v>branch</v>
      </c>
      <c r="I18" t="str">
        <f ca="1">OFFSET(table_1[hguide], 4 * (table_2_1[[#This Row],[index]] - 1), 0, 1, 1)</f>
        <v>sgA</v>
      </c>
      <c r="J1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</v>
      </c>
      <c r="K18" t="str" cm="1">
        <f t="array" aca="1" ref="K18" ca="1">OFFSET(table_1[[file_out]:[file_out]], 4 * (table_2_1[[#This Row],[index]:[index]] - 1) + COLUMN() - 11, 0, 1, 1)</f>
        <v>yjl296_KO_sgA_R1_branch</v>
      </c>
      <c r="L18" t="str" cm="1">
        <f t="array" aca="1" ref="L18" ca="1">OFFSET(table_1[[file_out]:[file_out]], 4 * (table_2_1[[#This Row],[index]:[index]] - 1) + COLUMN() - 11, 0, 1, 1)</f>
        <v>yjl297_KO_sgA_R1_branch</v>
      </c>
      <c r="M18" t="str" cm="1">
        <f t="array" aca="1" ref="M18" ca="1">OFFSET(table_1[[file_out]:[file_out]], 4 * (table_2_1[[#This Row],[index]:[index]] - 1) + COLUMN() - 11, 0, 1, 1)</f>
        <v>yjl298_KO_sgA_R1_branch</v>
      </c>
      <c r="N18" t="str" cm="1">
        <f t="array" aca="1" ref="N18" ca="1">OFFSET(table_1[[file_out]:[file_out]], 4 * (table_2_1[[#This Row],[index]:[index]] - 1) + COLUMN() - 11, 0, 1, 1)</f>
        <v>yjl299_KO_sgA_R1_branch</v>
      </c>
      <c r="O18" cm="1">
        <f t="array" aca="1" ref="O18" ca="1">OFFSET(table_1[[total_reads]:[total_reads]], 4 * (table_2_1[[#This Row],[index]:[index]] - 1) + COLUMN() - 15, 0, 1, 1)</f>
        <v>11021111</v>
      </c>
      <c r="P18" cm="1">
        <f t="array" aca="1" ref="P18" ca="1">OFFSET(table_1[[total_reads]:[total_reads]], 4 * (table_2_1[[#This Row],[index]:[index]] - 1) + COLUMN() - 15, 0, 1, 1)</f>
        <v>11280773</v>
      </c>
      <c r="Q18" cm="1">
        <f t="array" aca="1" ref="Q18" ca="1">OFFSET(table_1[[total_reads]:[total_reads]], 4 * (table_2_1[[#This Row],[index]:[index]] - 1) + COLUMN() - 15, 0, 1, 1)</f>
        <v>12426852</v>
      </c>
      <c r="R18" cm="1">
        <f t="array" aca="1" ref="R18" ca="1">OFFSET(table_1[[total_reads]:[total_reads]], 4 * (table_2_1[[#This Row],[index]:[index]] - 1) + COLUMN() - 15, 0, 1, 1)</f>
        <v>11659042</v>
      </c>
      <c r="S1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libraries_2/yjl296_KO_sgA_R1_branch.tsv libraries_2/yjl297_KO_sgA_R1_branch.tsv libraries_2/yjl298_KO_sgA_R1_branch.tsv libraries_2/yjl299_KO_sgA_R1_branch.tsv --total_reads 11021111 11280773 12426852 11659042 -o libraries_3/KO_sgA_R1_branch.tsv --quiet </v>
      </c>
    </row>
    <row r="19" spans="1:19" x14ac:dyDescent="0.25">
      <c r="A19" s="1">
        <v>18</v>
      </c>
      <c r="B19" t="str">
        <f ca="1">OFFSET(table_1[ref], 4 * (table_2_1[[#This Row],[index]] - 1), 0, 1, 1)</f>
        <v>1DSB_R1_cmv.fa</v>
      </c>
      <c r="C19" t="str">
        <f ca="1">OFFSET(table_1[control], 4 * (table_2_1[[#This Row],[index]] - 1), 0, 1, 1)</f>
        <v>none</v>
      </c>
      <c r="D19" t="str">
        <f ca="1">OFFSET(table_1[dsb_type], 4 * (table_2_1[[#This Row],[index]] - 1), 0, 1, 1)</f>
        <v>1DSB</v>
      </c>
      <c r="E19">
        <f ca="1">OFFSET(table_1[dsb_pos], 4 * (table_2_1[[#This Row],[index]] - 1), 0, 1, 1)</f>
        <v>67</v>
      </c>
      <c r="F19" t="str">
        <f ca="1">OFFSET(table_1[cell], 4 * (table_2_1[[#This Row],[index]] - 1), 0, 1, 1)</f>
        <v>KO</v>
      </c>
      <c r="G19" t="str">
        <f ca="1">OFFSET(table_1[strand], 4 * (table_2_1[[#This Row],[index]] - 1), 0, 1, 1)</f>
        <v>R1</v>
      </c>
      <c r="H19" t="str">
        <f ca="1">OFFSET(table_1[treatment], 4 * (table_2_1[[#This Row],[index]] - 1), 0, 1, 1)</f>
        <v>cmv</v>
      </c>
      <c r="I19" t="str">
        <f ca="1">OFFSET(table_1[hguide], 4 * (table_2_1[[#This Row],[index]] - 1), 0, 1, 1)</f>
        <v>sgA</v>
      </c>
      <c r="J1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</v>
      </c>
      <c r="K19" t="str" cm="1">
        <f t="array" aca="1" ref="K19" ca="1">OFFSET(table_1[[file_out]:[file_out]], 4 * (table_2_1[[#This Row],[index]:[index]] - 1) + COLUMN() - 11, 0, 1, 1)</f>
        <v>yjl300_KO_sgA_R1_cmv</v>
      </c>
      <c r="L19" t="str" cm="1">
        <f t="array" aca="1" ref="L19" ca="1">OFFSET(table_1[[file_out]:[file_out]], 4 * (table_2_1[[#This Row],[index]:[index]] - 1) + COLUMN() - 11, 0, 1, 1)</f>
        <v>yjl301_KO_sgA_R1_cmv</v>
      </c>
      <c r="M19" t="str" cm="1">
        <f t="array" aca="1" ref="M19" ca="1">OFFSET(table_1[[file_out]:[file_out]], 4 * (table_2_1[[#This Row],[index]:[index]] - 1) + COLUMN() - 11, 0, 1, 1)</f>
        <v>yjl302_KO_sgA_R1_cmv</v>
      </c>
      <c r="N19" t="str" cm="1">
        <f t="array" aca="1" ref="N19" ca="1">OFFSET(table_1[[file_out]:[file_out]], 4 * (table_2_1[[#This Row],[index]:[index]] - 1) + COLUMN() - 11, 0, 1, 1)</f>
        <v>yjl303_KO_sgA_R1_cmv</v>
      </c>
      <c r="O19" cm="1">
        <f t="array" aca="1" ref="O19" ca="1">OFFSET(table_1[[total_reads]:[total_reads]], 4 * (table_2_1[[#This Row],[index]:[index]] - 1) + COLUMN() - 15, 0, 1, 1)</f>
        <v>9933546</v>
      </c>
      <c r="P19" cm="1">
        <f t="array" aca="1" ref="P19" ca="1">OFFSET(table_1[[total_reads]:[total_reads]], 4 * (table_2_1[[#This Row],[index]:[index]] - 1) + COLUMN() - 15, 0, 1, 1)</f>
        <v>10351309</v>
      </c>
      <c r="Q19" cm="1">
        <f t="array" aca="1" ref="Q19" ca="1">OFFSET(table_1[[total_reads]:[total_reads]], 4 * (table_2_1[[#This Row],[index]:[index]] - 1) + COLUMN() - 15, 0, 1, 1)</f>
        <v>9388188</v>
      </c>
      <c r="R19" cm="1">
        <f t="array" aca="1" ref="R19" ca="1">OFFSET(table_1[[total_reads]:[total_reads]], 4 * (table_2_1[[#This Row],[index]:[index]] - 1) + COLUMN() - 15, 0, 1, 1)</f>
        <v>8668198</v>
      </c>
      <c r="S1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libraries_2/yjl300_KO_sgA_R1_cmv.tsv libraries_2/yjl301_KO_sgA_R1_cmv.tsv libraries_2/yjl302_KO_sgA_R1_cmv.tsv libraries_2/yjl303_KO_sgA_R1_cmv.tsv --total_reads 9933546 10351309 9388188 8668198 -o libraries_3/KO_sgA_R1_cmv.tsv --quiet </v>
      </c>
    </row>
    <row r="20" spans="1:19" x14ac:dyDescent="0.25">
      <c r="A20" s="1">
        <v>19</v>
      </c>
      <c r="B20" t="str">
        <f ca="1">OFFSET(table_1[ref], 4 * (table_2_1[[#This Row],[index]] - 1), 0, 1, 1)</f>
        <v>1DSB_R2_sense.fa</v>
      </c>
      <c r="C20" t="str">
        <f ca="1">OFFSET(table_1[control], 4 * (table_2_1[[#This Row],[index]] - 1), 0, 1, 1)</f>
        <v>none</v>
      </c>
      <c r="D20" t="str">
        <f ca="1">OFFSET(table_1[dsb_type], 4 * (table_2_1[[#This Row],[index]] - 1), 0, 1, 1)</f>
        <v>1DSB</v>
      </c>
      <c r="E20">
        <f ca="1">OFFSET(table_1[dsb_pos], 4 * (table_2_1[[#This Row],[index]] - 1), 0, 1, 1)</f>
        <v>46</v>
      </c>
      <c r="F20" t="str">
        <f ca="1">OFFSET(table_1[cell], 4 * (table_2_1[[#This Row],[index]] - 1), 0, 1, 1)</f>
        <v>WT</v>
      </c>
      <c r="G20" t="str">
        <f ca="1">OFFSET(table_1[strand], 4 * (table_2_1[[#This Row],[index]] - 1), 0, 1, 1)</f>
        <v>R2</v>
      </c>
      <c r="H20" t="str">
        <f ca="1">OFFSET(table_1[treatment], 4 * (table_2_1[[#This Row],[index]] - 1), 0, 1, 1)</f>
        <v>sense</v>
      </c>
      <c r="I20" t="str">
        <f ca="1">OFFSET(table_1[hguide], 4 * (table_2_1[[#This Row],[index]] - 1), 0, 1, 1)</f>
        <v>sgB</v>
      </c>
      <c r="J2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</v>
      </c>
      <c r="K20" t="str" cm="1">
        <f t="array" aca="1" ref="K20" ca="1">OFFSET(table_1[[file_out]:[file_out]], 4 * (table_2_1[[#This Row],[index]:[index]] - 1) + COLUMN() - 11, 0, 1, 1)</f>
        <v>yjl267_WT_sgB_R2_sense</v>
      </c>
      <c r="L20" t="str" cm="1">
        <f t="array" aca="1" ref="L20" ca="1">OFFSET(table_1[[file_out]:[file_out]], 4 * (table_2_1[[#This Row],[index]:[index]] - 1) + COLUMN() - 11, 0, 1, 1)</f>
        <v>yjl268_WT_sgB_R2_sense</v>
      </c>
      <c r="M20" t="str" cm="1">
        <f t="array" aca="1" ref="M20" ca="1">OFFSET(table_1[[file_out]:[file_out]], 4 * (table_2_1[[#This Row],[index]:[index]] - 1) + COLUMN() - 11, 0, 1, 1)</f>
        <v>yjl269_WT_sgB_R2_sense</v>
      </c>
      <c r="N20" t="str" cm="1">
        <f t="array" aca="1" ref="N20" ca="1">OFFSET(table_1[[file_out]:[file_out]], 4 * (table_2_1[[#This Row],[index]:[index]] - 1) + COLUMN() - 11, 0, 1, 1)</f>
        <v>yjl270_WT_sgB_R2_sense</v>
      </c>
      <c r="O20" cm="1">
        <f t="array" aca="1" ref="O20" ca="1">OFFSET(table_1[[total_reads]:[total_reads]], 4 * (table_2_1[[#This Row],[index]:[index]] - 1) + COLUMN() - 15, 0, 1, 1)</f>
        <v>7137355</v>
      </c>
      <c r="P20" cm="1">
        <f t="array" aca="1" ref="P20" ca="1">OFFSET(table_1[[total_reads]:[total_reads]], 4 * (table_2_1[[#This Row],[index]:[index]] - 1) + COLUMN() - 15, 0, 1, 1)</f>
        <v>6618133</v>
      </c>
      <c r="Q20" cm="1">
        <f t="array" aca="1" ref="Q20" ca="1">OFFSET(table_1[[total_reads]:[total_reads]], 4 * (table_2_1[[#This Row],[index]:[index]] - 1) + COLUMN() - 15, 0, 1, 1)</f>
        <v>8227882</v>
      </c>
      <c r="R20" cm="1">
        <f t="array" aca="1" ref="R20" ca="1">OFFSET(table_1[[total_reads]:[total_reads]], 4 * (table_2_1[[#This Row],[index]:[index]] - 1) + COLUMN() - 15, 0, 1, 1)</f>
        <v>7238408</v>
      </c>
      <c r="S2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libraries_2/yjl267_WT_sgB_R2_sense.tsv libraries_2/yjl268_WT_sgB_R2_sense.tsv libraries_2/yjl269_WT_sgB_R2_sense.tsv libraries_2/yjl270_WT_sgB_R2_sense.tsv --total_reads 7137355 6618133 8227882 7238408 -o libraries_3/WT_sgB_R2_sense.tsv --quiet </v>
      </c>
    </row>
    <row r="21" spans="1:19" x14ac:dyDescent="0.25">
      <c r="A21" s="1">
        <v>20</v>
      </c>
      <c r="B21" t="str">
        <f ca="1">OFFSET(table_1[ref], 4 * (table_2_1[[#This Row],[index]] - 1), 0, 1, 1)</f>
        <v>1DSB_R2_branch.fa</v>
      </c>
      <c r="C21" t="str">
        <f ca="1">OFFSET(table_1[control], 4 * (table_2_1[[#This Row],[index]] - 1), 0, 1, 1)</f>
        <v>none</v>
      </c>
      <c r="D21" t="str">
        <f ca="1">OFFSET(table_1[dsb_type], 4 * (table_2_1[[#This Row],[index]] - 1), 0, 1, 1)</f>
        <v>1DSB</v>
      </c>
      <c r="E21">
        <f ca="1">OFFSET(table_1[dsb_pos], 4 * (table_2_1[[#This Row],[index]] - 1), 0, 1, 1)</f>
        <v>46</v>
      </c>
      <c r="F21" t="str">
        <f ca="1">OFFSET(table_1[cell], 4 * (table_2_1[[#This Row],[index]] - 1), 0, 1, 1)</f>
        <v>WT</v>
      </c>
      <c r="G21" t="str">
        <f ca="1">OFFSET(table_1[strand], 4 * (table_2_1[[#This Row],[index]] - 1), 0, 1, 1)</f>
        <v>R2</v>
      </c>
      <c r="H21" t="str">
        <f ca="1">OFFSET(table_1[treatment], 4 * (table_2_1[[#This Row],[index]] - 1), 0, 1, 1)</f>
        <v>branch</v>
      </c>
      <c r="I21" t="str">
        <f ca="1">OFFSET(table_1[hguide], 4 * (table_2_1[[#This Row],[index]] - 1), 0, 1, 1)</f>
        <v>sgB</v>
      </c>
      <c r="J2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</v>
      </c>
      <c r="K21" t="str" cm="1">
        <f t="array" aca="1" ref="K21" ca="1">OFFSET(table_1[[file_out]:[file_out]], 4 * (table_2_1[[#This Row],[index]:[index]] - 1) + COLUMN() - 11, 0, 1, 1)</f>
        <v>yjl271_WT_sgB_R2_branch</v>
      </c>
      <c r="L21" t="str" cm="1">
        <f t="array" aca="1" ref="L21" ca="1">OFFSET(table_1[[file_out]:[file_out]], 4 * (table_2_1[[#This Row],[index]:[index]] - 1) + COLUMN() - 11, 0, 1, 1)</f>
        <v>yjl272_WT_sgB_R2_branch</v>
      </c>
      <c r="M21" t="str" cm="1">
        <f t="array" aca="1" ref="M21" ca="1">OFFSET(table_1[[file_out]:[file_out]], 4 * (table_2_1[[#This Row],[index]:[index]] - 1) + COLUMN() - 11, 0, 1, 1)</f>
        <v>yjl273_WT_sgB_R2_branch</v>
      </c>
      <c r="N21" t="str" cm="1">
        <f t="array" aca="1" ref="N21" ca="1">OFFSET(table_1[[file_out]:[file_out]], 4 * (table_2_1[[#This Row],[index]:[index]] - 1) + COLUMN() - 11, 0, 1, 1)</f>
        <v>yjl274_WT_sgB_R2_branch</v>
      </c>
      <c r="O21" cm="1">
        <f t="array" aca="1" ref="O21" ca="1">OFFSET(table_1[[total_reads]:[total_reads]], 4 * (table_2_1[[#This Row],[index]:[index]] - 1) + COLUMN() - 15, 0, 1, 1)</f>
        <v>9524548</v>
      </c>
      <c r="P21" cm="1">
        <f t="array" aca="1" ref="P21" ca="1">OFFSET(table_1[[total_reads]:[total_reads]], 4 * (table_2_1[[#This Row],[index]:[index]] - 1) + COLUMN() - 15, 0, 1, 1)</f>
        <v>10125834</v>
      </c>
      <c r="Q21" cm="1">
        <f t="array" aca="1" ref="Q21" ca="1">OFFSET(table_1[[total_reads]:[total_reads]], 4 * (table_2_1[[#This Row],[index]:[index]] - 1) + COLUMN() - 15, 0, 1, 1)</f>
        <v>10173904</v>
      </c>
      <c r="R21" cm="1">
        <f t="array" aca="1" ref="R21" ca="1">OFFSET(table_1[[total_reads]:[total_reads]], 4 * (table_2_1[[#This Row],[index]:[index]] - 1) + COLUMN() - 15, 0, 1, 1)</f>
        <v>9525100</v>
      </c>
      <c r="S2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libraries_2/yjl271_WT_sgB_R2_branch.tsv libraries_2/yjl272_WT_sgB_R2_branch.tsv libraries_2/yjl273_WT_sgB_R2_branch.tsv libraries_2/yjl274_WT_sgB_R2_branch.tsv --total_reads 9524548 10125834 10173904 9525100 -o libraries_3/WT_sgB_R2_branch.tsv --quiet </v>
      </c>
    </row>
    <row r="22" spans="1:19" x14ac:dyDescent="0.25">
      <c r="A22" s="1">
        <v>21</v>
      </c>
      <c r="B22" t="str">
        <f ca="1">OFFSET(table_1[ref], 4 * (table_2_1[[#This Row],[index]] - 1), 0, 1, 1)</f>
        <v>1DSB_R2_cmv.fa</v>
      </c>
      <c r="C22" t="str">
        <f ca="1">OFFSET(table_1[control], 4 * (table_2_1[[#This Row],[index]] - 1), 0, 1, 1)</f>
        <v>none</v>
      </c>
      <c r="D22" t="str">
        <f ca="1">OFFSET(table_1[dsb_type], 4 * (table_2_1[[#This Row],[index]] - 1), 0, 1, 1)</f>
        <v>1DSB</v>
      </c>
      <c r="E22">
        <f ca="1">OFFSET(table_1[dsb_pos], 4 * (table_2_1[[#This Row],[index]] - 1), 0, 1, 1)</f>
        <v>46</v>
      </c>
      <c r="F22" t="str">
        <f ca="1">OFFSET(table_1[cell], 4 * (table_2_1[[#This Row],[index]] - 1), 0, 1, 1)</f>
        <v>WT</v>
      </c>
      <c r="G22" t="str">
        <f ca="1">OFFSET(table_1[strand], 4 * (table_2_1[[#This Row],[index]] - 1), 0, 1, 1)</f>
        <v>R2</v>
      </c>
      <c r="H22" t="str">
        <f ca="1">OFFSET(table_1[treatment], 4 * (table_2_1[[#This Row],[index]] - 1), 0, 1, 1)</f>
        <v>cmv</v>
      </c>
      <c r="I22" t="str">
        <f ca="1">OFFSET(table_1[hguide], 4 * (table_2_1[[#This Row],[index]] - 1), 0, 1, 1)</f>
        <v>sgB</v>
      </c>
      <c r="J2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</v>
      </c>
      <c r="K22" t="str" cm="1">
        <f t="array" aca="1" ref="K22" ca="1">OFFSET(table_1[[file_out]:[file_out]], 4 * (table_2_1[[#This Row],[index]:[index]] - 1) + COLUMN() - 11, 0, 1, 1)</f>
        <v>yjl275_WT_sgB_R2_cmv</v>
      </c>
      <c r="L22" t="str" cm="1">
        <f t="array" aca="1" ref="L22" ca="1">OFFSET(table_1[[file_out]:[file_out]], 4 * (table_2_1[[#This Row],[index]:[index]] - 1) + COLUMN() - 11, 0, 1, 1)</f>
        <v>yjl276_WT_sgB_R2_cmv</v>
      </c>
      <c r="M22" t="str" cm="1">
        <f t="array" aca="1" ref="M22" ca="1">OFFSET(table_1[[file_out]:[file_out]], 4 * (table_2_1[[#This Row],[index]:[index]] - 1) + COLUMN() - 11, 0, 1, 1)</f>
        <v>yjl277_WT_sgB_R2_cmv</v>
      </c>
      <c r="N22" t="str" cm="1">
        <f t="array" aca="1" ref="N22" ca="1">OFFSET(table_1[[file_out]:[file_out]], 4 * (table_2_1[[#This Row],[index]:[index]] - 1) + COLUMN() - 11, 0, 1, 1)</f>
        <v>yjl278_WT_sgB_R2_cmv</v>
      </c>
      <c r="O22" cm="1">
        <f t="array" aca="1" ref="O22" ca="1">OFFSET(table_1[[total_reads]:[total_reads]], 4 * (table_2_1[[#This Row],[index]:[index]] - 1) + COLUMN() - 15, 0, 1, 1)</f>
        <v>7280860</v>
      </c>
      <c r="P22" cm="1">
        <f t="array" aca="1" ref="P22" ca="1">OFFSET(table_1[[total_reads]:[total_reads]], 4 * (table_2_1[[#This Row],[index]:[index]] - 1) + COLUMN() - 15, 0, 1, 1)</f>
        <v>6872217</v>
      </c>
      <c r="Q22" cm="1">
        <f t="array" aca="1" ref="Q22" ca="1">OFFSET(table_1[[total_reads]:[total_reads]], 4 * (table_2_1[[#This Row],[index]:[index]] - 1) + COLUMN() - 15, 0, 1, 1)</f>
        <v>6847531</v>
      </c>
      <c r="R22" cm="1">
        <f t="array" aca="1" ref="R22" ca="1">OFFSET(table_1[[total_reads]:[total_reads]], 4 * (table_2_1[[#This Row],[index]:[index]] - 1) + COLUMN() - 15, 0, 1, 1)</f>
        <v>7081713</v>
      </c>
      <c r="S2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libraries_2/yjl275_WT_sgB_R2_cmv.tsv libraries_2/yjl276_WT_sgB_R2_cmv.tsv libraries_2/yjl277_WT_sgB_R2_cmv.tsv libraries_2/yjl278_WT_sgB_R2_cmv.tsv --total_reads 7280860 6872217 6847531 7081713 -o libraries_3/WT_sgB_R2_cmv.tsv --quiet </v>
      </c>
    </row>
    <row r="23" spans="1:19" x14ac:dyDescent="0.25">
      <c r="A23" s="1">
        <v>22</v>
      </c>
      <c r="B23" t="str">
        <f ca="1">OFFSET(table_1[ref], 4 * (table_2_1[[#This Row],[index]] - 1), 0, 1, 1)</f>
        <v>1DSB_R2_sense.fa</v>
      </c>
      <c r="C23" t="str">
        <f ca="1">OFFSET(table_1[control], 4 * (table_2_1[[#This Row],[index]] - 1), 0, 1, 1)</f>
        <v>none</v>
      </c>
      <c r="D23" t="str">
        <f ca="1">OFFSET(table_1[dsb_type], 4 * (table_2_1[[#This Row],[index]] - 1), 0, 1, 1)</f>
        <v>1DSB</v>
      </c>
      <c r="E23">
        <f ca="1">OFFSET(table_1[dsb_pos], 4 * (table_2_1[[#This Row],[index]] - 1), 0, 1, 1)</f>
        <v>46</v>
      </c>
      <c r="F23" t="str">
        <f ca="1">OFFSET(table_1[cell], 4 * (table_2_1[[#This Row],[index]] - 1), 0, 1, 1)</f>
        <v>KO</v>
      </c>
      <c r="G23" t="str">
        <f ca="1">OFFSET(table_1[strand], 4 * (table_2_1[[#This Row],[index]] - 1), 0, 1, 1)</f>
        <v>R2</v>
      </c>
      <c r="H23" t="str">
        <f ca="1">OFFSET(table_1[treatment], 4 * (table_2_1[[#This Row],[index]] - 1), 0, 1, 1)</f>
        <v>sense</v>
      </c>
      <c r="I23" t="str">
        <f ca="1">OFFSET(table_1[hguide], 4 * (table_2_1[[#This Row],[index]] - 1), 0, 1, 1)</f>
        <v>sgB</v>
      </c>
      <c r="J2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</v>
      </c>
      <c r="K23" t="str" cm="1">
        <f t="array" aca="1" ref="K23" ca="1">OFFSET(table_1[[file_out]:[file_out]], 4 * (table_2_1[[#This Row],[index]:[index]] - 1) + COLUMN() - 11, 0, 1, 1)</f>
        <v>yjl304_KO_sgB_R2_sense</v>
      </c>
      <c r="L23" t="str" cm="1">
        <f t="array" aca="1" ref="L23" ca="1">OFFSET(table_1[[file_out]:[file_out]], 4 * (table_2_1[[#This Row],[index]:[index]] - 1) + COLUMN() - 11, 0, 1, 1)</f>
        <v>yjl305_KO_sgB_R2_sense</v>
      </c>
      <c r="M23" t="str" cm="1">
        <f t="array" aca="1" ref="M23" ca="1">OFFSET(table_1[[file_out]:[file_out]], 4 * (table_2_1[[#This Row],[index]:[index]] - 1) + COLUMN() - 11, 0, 1, 1)</f>
        <v>yjl306_KO_sgB_R2_sense</v>
      </c>
      <c r="N23" t="str" cm="1">
        <f t="array" aca="1" ref="N23" ca="1">OFFSET(table_1[[file_out]:[file_out]], 4 * (table_2_1[[#This Row],[index]:[index]] - 1) + COLUMN() - 11, 0, 1, 1)</f>
        <v>yjl307_KO_sgB_R2_sense</v>
      </c>
      <c r="O23" cm="1">
        <f t="array" aca="1" ref="O23" ca="1">OFFSET(table_1[[total_reads]:[total_reads]], 4 * (table_2_1[[#This Row],[index]:[index]] - 1) + COLUMN() - 15, 0, 1, 1)</f>
        <v>6494964</v>
      </c>
      <c r="P23" cm="1">
        <f t="array" aca="1" ref="P23" ca="1">OFFSET(table_1[[total_reads]:[total_reads]], 4 * (table_2_1[[#This Row],[index]:[index]] - 1) + COLUMN() - 15, 0, 1, 1)</f>
        <v>7011524</v>
      </c>
      <c r="Q23" cm="1">
        <f t="array" aca="1" ref="Q23" ca="1">OFFSET(table_1[[total_reads]:[total_reads]], 4 * (table_2_1[[#This Row],[index]:[index]] - 1) + COLUMN() - 15, 0, 1, 1)</f>
        <v>7131423</v>
      </c>
      <c r="R23" cm="1">
        <f t="array" aca="1" ref="R23" ca="1">OFFSET(table_1[[total_reads]:[total_reads]], 4 * (table_2_1[[#This Row],[index]:[index]] - 1) + COLUMN() - 15, 0, 1, 1)</f>
        <v>6545416</v>
      </c>
      <c r="S2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libraries_2/yjl304_KO_sgB_R2_sense.tsv libraries_2/yjl305_KO_sgB_R2_sense.tsv libraries_2/yjl306_KO_sgB_R2_sense.tsv libraries_2/yjl307_KO_sgB_R2_sense.tsv --total_reads 6494964 7011524 7131423 6545416 -o libraries_3/KO_sgB_R2_sense.tsv --quiet </v>
      </c>
    </row>
    <row r="24" spans="1:19" x14ac:dyDescent="0.25">
      <c r="A24" s="1">
        <v>23</v>
      </c>
      <c r="B24" t="str">
        <f ca="1">OFFSET(table_1[ref], 4 * (table_2_1[[#This Row],[index]] - 1), 0, 1, 1)</f>
        <v>1DSB_R2_branch.fa</v>
      </c>
      <c r="C24" t="str">
        <f ca="1">OFFSET(table_1[control], 4 * (table_2_1[[#This Row],[index]] - 1), 0, 1, 1)</f>
        <v>none</v>
      </c>
      <c r="D24" t="str">
        <f ca="1">OFFSET(table_1[dsb_type], 4 * (table_2_1[[#This Row],[index]] - 1), 0, 1, 1)</f>
        <v>1DSB</v>
      </c>
      <c r="E24">
        <f ca="1">OFFSET(table_1[dsb_pos], 4 * (table_2_1[[#This Row],[index]] - 1), 0, 1, 1)</f>
        <v>46</v>
      </c>
      <c r="F24" t="str">
        <f ca="1">OFFSET(table_1[cell], 4 * (table_2_1[[#This Row],[index]] - 1), 0, 1, 1)</f>
        <v>KO</v>
      </c>
      <c r="G24" t="str">
        <f ca="1">OFFSET(table_1[strand], 4 * (table_2_1[[#This Row],[index]] - 1), 0, 1, 1)</f>
        <v>R2</v>
      </c>
      <c r="H24" t="str">
        <f ca="1">OFFSET(table_1[treatment], 4 * (table_2_1[[#This Row],[index]] - 1), 0, 1, 1)</f>
        <v>branch</v>
      </c>
      <c r="I24" t="str">
        <f ca="1">OFFSET(table_1[hguide], 4 * (table_2_1[[#This Row],[index]] - 1), 0, 1, 1)</f>
        <v>sgB</v>
      </c>
      <c r="J2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</v>
      </c>
      <c r="K24" t="str" cm="1">
        <f t="array" aca="1" ref="K24" ca="1">OFFSET(table_1[[file_out]:[file_out]], 4 * (table_2_1[[#This Row],[index]:[index]] - 1) + COLUMN() - 11, 0, 1, 1)</f>
        <v>yjl308_KO_sgB_R2_branch</v>
      </c>
      <c r="L24" t="str" cm="1">
        <f t="array" aca="1" ref="L24" ca="1">OFFSET(table_1[[file_out]:[file_out]], 4 * (table_2_1[[#This Row],[index]:[index]] - 1) + COLUMN() - 11, 0, 1, 1)</f>
        <v>yjl309_KO_sgB_R2_branch</v>
      </c>
      <c r="M24" t="str" cm="1">
        <f t="array" aca="1" ref="M24" ca="1">OFFSET(table_1[[file_out]:[file_out]], 4 * (table_2_1[[#This Row],[index]:[index]] - 1) + COLUMN() - 11, 0, 1, 1)</f>
        <v>yjl310_KO_sgB_R2_branch</v>
      </c>
      <c r="N24" t="str" cm="1">
        <f t="array" aca="1" ref="N24" ca="1">OFFSET(table_1[[file_out]:[file_out]], 4 * (table_2_1[[#This Row],[index]:[index]] - 1) + COLUMN() - 11, 0, 1, 1)</f>
        <v>yjl311_KO_sgB_R2_branch</v>
      </c>
      <c r="O24" cm="1">
        <f t="array" aca="1" ref="O24" ca="1">OFFSET(table_1[[total_reads]:[total_reads]], 4 * (table_2_1[[#This Row],[index]:[index]] - 1) + COLUMN() - 15, 0, 1, 1)</f>
        <v>9730255</v>
      </c>
      <c r="P24" cm="1">
        <f t="array" aca="1" ref="P24" ca="1">OFFSET(table_1[[total_reads]:[total_reads]], 4 * (table_2_1[[#This Row],[index]:[index]] - 1) + COLUMN() - 15, 0, 1, 1)</f>
        <v>10430885</v>
      </c>
      <c r="Q24" cm="1">
        <f t="array" aca="1" ref="Q24" ca="1">OFFSET(table_1[[total_reads]:[total_reads]], 4 * (table_2_1[[#This Row],[index]:[index]] - 1) + COLUMN() - 15, 0, 1, 1)</f>
        <v>9770845</v>
      </c>
      <c r="R24" cm="1">
        <f t="array" aca="1" ref="R24" ca="1">OFFSET(table_1[[total_reads]:[total_reads]], 4 * (table_2_1[[#This Row],[index]:[index]] - 1) + COLUMN() - 15, 0, 1, 1)</f>
        <v>10249893</v>
      </c>
      <c r="S2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libraries_2/yjl308_KO_sgB_R2_branch.tsv libraries_2/yjl309_KO_sgB_R2_branch.tsv libraries_2/yjl310_KO_sgB_R2_branch.tsv libraries_2/yjl311_KO_sgB_R2_branch.tsv --total_reads 9730255 10430885 9770845 10249893 -o libraries_3/KO_sgB_R2_branch.tsv --quiet </v>
      </c>
    </row>
    <row r="25" spans="1:19" x14ac:dyDescent="0.25">
      <c r="A25" s="1">
        <v>24</v>
      </c>
      <c r="B25" t="str">
        <f ca="1">OFFSET(table_1[ref], 4 * (table_2_1[[#This Row],[index]] - 1), 0, 1, 1)</f>
        <v>1DSB_R2_cmv.fa</v>
      </c>
      <c r="C25" t="str">
        <f ca="1">OFFSET(table_1[control], 4 * (table_2_1[[#This Row],[index]] - 1), 0, 1, 1)</f>
        <v>none</v>
      </c>
      <c r="D25" t="str">
        <f ca="1">OFFSET(table_1[dsb_type], 4 * (table_2_1[[#This Row],[index]] - 1), 0, 1, 1)</f>
        <v>1DSB</v>
      </c>
      <c r="E25">
        <f ca="1">OFFSET(table_1[dsb_pos], 4 * (table_2_1[[#This Row],[index]] - 1), 0, 1, 1)</f>
        <v>46</v>
      </c>
      <c r="F25" t="str">
        <f ca="1">OFFSET(table_1[cell], 4 * (table_2_1[[#This Row],[index]] - 1), 0, 1, 1)</f>
        <v>KO</v>
      </c>
      <c r="G25" t="str">
        <f ca="1">OFFSET(table_1[strand], 4 * (table_2_1[[#This Row],[index]] - 1), 0, 1, 1)</f>
        <v>R2</v>
      </c>
      <c r="H25" t="str">
        <f ca="1">OFFSET(table_1[treatment], 4 * (table_2_1[[#This Row],[index]] - 1), 0, 1, 1)</f>
        <v>cmv</v>
      </c>
      <c r="I25" t="str">
        <f ca="1">OFFSET(table_1[hguide], 4 * (table_2_1[[#This Row],[index]] - 1), 0, 1, 1)</f>
        <v>sgB</v>
      </c>
      <c r="J2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</v>
      </c>
      <c r="K25" t="str" cm="1">
        <f t="array" aca="1" ref="K25" ca="1">OFFSET(table_1[[file_out]:[file_out]], 4 * (table_2_1[[#This Row],[index]:[index]] - 1) + COLUMN() - 11, 0, 1, 1)</f>
        <v>yjl312_KO_sgB_R2_cmv</v>
      </c>
      <c r="L25" t="str" cm="1">
        <f t="array" aca="1" ref="L25" ca="1">OFFSET(table_1[[file_out]:[file_out]], 4 * (table_2_1[[#This Row],[index]:[index]] - 1) + COLUMN() - 11, 0, 1, 1)</f>
        <v>yjl313_KO_sgB_R2_cmv</v>
      </c>
      <c r="M25" t="str" cm="1">
        <f t="array" aca="1" ref="M25" ca="1">OFFSET(table_1[[file_out]:[file_out]], 4 * (table_2_1[[#This Row],[index]:[index]] - 1) + COLUMN() - 11, 0, 1, 1)</f>
        <v>yjl314_KO_sgB_R2_cmv</v>
      </c>
      <c r="N25" t="str" cm="1">
        <f t="array" aca="1" ref="N25" ca="1">OFFSET(table_1[[file_out]:[file_out]], 4 * (table_2_1[[#This Row],[index]:[index]] - 1) + COLUMN() - 11, 0, 1, 1)</f>
        <v>yjl315_KO_sgB_R2_cmv</v>
      </c>
      <c r="O25" cm="1">
        <f t="array" aca="1" ref="O25" ca="1">OFFSET(table_1[[total_reads]:[total_reads]], 4 * (table_2_1[[#This Row],[index]:[index]] - 1) + COLUMN() - 15, 0, 1, 1)</f>
        <v>6718301</v>
      </c>
      <c r="P25" cm="1">
        <f t="array" aca="1" ref="P25" ca="1">OFFSET(table_1[[total_reads]:[total_reads]], 4 * (table_2_1[[#This Row],[index]:[index]] - 1) + COLUMN() - 15, 0, 1, 1)</f>
        <v>6435913</v>
      </c>
      <c r="Q25" cm="1">
        <f t="array" aca="1" ref="Q25" ca="1">OFFSET(table_1[[total_reads]:[total_reads]], 4 * (table_2_1[[#This Row],[index]:[index]] - 1) + COLUMN() - 15, 0, 1, 1)</f>
        <v>7285831</v>
      </c>
      <c r="R25" cm="1">
        <f t="array" aca="1" ref="R25" ca="1">OFFSET(table_1[[total_reads]:[total_reads]], 4 * (table_2_1[[#This Row],[index]:[index]] - 1) + COLUMN() - 15, 0, 1, 1)</f>
        <v>6372479</v>
      </c>
      <c r="S2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libraries_2/yjl312_KO_sgB_R2_cmv.tsv libraries_2/yjl313_KO_sgB_R2_cmv.tsv libraries_2/yjl314_KO_sgB_R2_cmv.tsv libraries_2/yjl315_KO_sgB_R2_cmv.tsv --total_reads 6718301 6435913 7285831 6372479 -o libraries_3/KO_sgB_R2_cmv.tsv --quiet </v>
      </c>
    </row>
    <row r="26" spans="1:19" x14ac:dyDescent="0.25">
      <c r="A26" s="1">
        <v>25</v>
      </c>
      <c r="B26" t="str">
        <f ca="1">OFFSET(table_1[ref], 4 * (table_2_1[[#This Row],[index]] - 1), 0, 1, 1)</f>
        <v>1DSB_R1_sense.fa</v>
      </c>
      <c r="C26" t="str">
        <f ca="1">OFFSET(table_1[control], 4 * (table_2_1[[#This Row],[index]] - 1), 0, 1, 1)</f>
        <v>30bpDown</v>
      </c>
      <c r="D26" t="str">
        <f ca="1">OFFSET(table_1[dsb_type], 4 * (table_2_1[[#This Row],[index]] - 1), 0, 1, 1)</f>
        <v>1DSB</v>
      </c>
      <c r="E26">
        <f ca="1">OFFSET(table_1[dsb_pos], 4 * (table_2_1[[#This Row],[index]] - 1), 0, 1, 1)</f>
        <v>97</v>
      </c>
      <c r="F26" t="str">
        <f ca="1">OFFSET(table_1[cell], 4 * (table_2_1[[#This Row],[index]] - 1), 0, 1, 1)</f>
        <v>WT</v>
      </c>
      <c r="G26" t="str">
        <f ca="1">OFFSET(table_1[strand], 4 * (table_2_1[[#This Row],[index]] - 1), 0, 1, 1)</f>
        <v>R1</v>
      </c>
      <c r="H26" t="str">
        <f ca="1">OFFSET(table_1[treatment], 4 * (table_2_1[[#This Row],[index]] - 1), 0, 1, 1)</f>
        <v>sense</v>
      </c>
      <c r="I26" t="str">
        <f ca="1">OFFSET(table_1[hguide], 4 * (table_2_1[[#This Row],[index]] - 1), 0, 1, 1)</f>
        <v>sgA</v>
      </c>
      <c r="J2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WT_sgA_R1_sense_30bpDown</v>
      </c>
      <c r="K26" t="str" cm="1">
        <f t="array" aca="1" ref="K26" ca="1">OFFSET(table_1[[file_out]:[file_out]], 4 * (table_2_1[[#This Row],[index]:[index]] - 1) + COLUMN() - 11, 0, 1, 1)</f>
        <v>yjl255_WT_sgA_R1_sense_30bpDown</v>
      </c>
      <c r="L26" t="str" cm="1">
        <f t="array" aca="1" ref="L26" ca="1">OFFSET(table_1[[file_out]:[file_out]], 4 * (table_2_1[[#This Row],[index]:[index]] - 1) + COLUMN() - 11, 0, 1, 1)</f>
        <v>yjl256_WT_sgA_R1_sense_30bpDown</v>
      </c>
      <c r="M26" t="str" cm="1">
        <f t="array" aca="1" ref="M26" ca="1">OFFSET(table_1[[file_out]:[file_out]], 4 * (table_2_1[[#This Row],[index]:[index]] - 1) + COLUMN() - 11, 0, 1, 1)</f>
        <v>yjl257_WT_sgA_R1_sense_30bpDown</v>
      </c>
      <c r="N26" t="str" cm="1">
        <f t="array" aca="1" ref="N26" ca="1">OFFSET(table_1[[file_out]:[file_out]], 4 * (table_2_1[[#This Row],[index]:[index]] - 1) + COLUMN() - 11, 0, 1, 1)</f>
        <v>yjl258_WT_sgA_R1_sense_30bpDown</v>
      </c>
      <c r="O26" cm="1">
        <f t="array" aca="1" ref="O26" ca="1">OFFSET(table_1[[total_reads]:[total_reads]], 4 * (table_2_1[[#This Row],[index]:[index]] - 1) + COLUMN() - 15, 0, 1, 1)</f>
        <v>7579965</v>
      </c>
      <c r="P26" cm="1">
        <f t="array" aca="1" ref="P26" ca="1">OFFSET(table_1[[total_reads]:[total_reads]], 4 * (table_2_1[[#This Row],[index]:[index]] - 1) + COLUMN() - 15, 0, 1, 1)</f>
        <v>7982725</v>
      </c>
      <c r="Q26" cm="1">
        <f t="array" aca="1" ref="Q26" ca="1">OFFSET(table_1[[total_reads]:[total_reads]], 4 * (table_2_1[[#This Row],[index]:[index]] - 1) + COLUMN() - 15, 0, 1, 1)</f>
        <v>7854740</v>
      </c>
      <c r="R26" cm="1">
        <f t="array" aca="1" ref="R26" ca="1">OFFSET(table_1[[total_reads]:[total_reads]], 4 * (table_2_1[[#This Row],[index]:[index]] - 1) + COLUMN() - 15, 0, 1, 1)</f>
        <v>7534924</v>
      </c>
      <c r="S2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libraries_2/yjl255_WT_sgA_R1_sense_30bpDown.tsv libraries_2/yjl256_WT_sgA_R1_sense_30bpDown.tsv libraries_2/yjl257_WT_sgA_R1_sense_30bpDown.tsv libraries_2/yjl258_WT_sgA_R1_sense_30bpDown.tsv --total_reads 7579965 7982725 7854740 7534924 -o libraries_3/WT_sgA_R1_sense_30bpDown.tsv --quiet </v>
      </c>
    </row>
    <row r="27" spans="1:19" x14ac:dyDescent="0.25">
      <c r="A27" s="1">
        <v>26</v>
      </c>
      <c r="B27" t="str">
        <f ca="1">OFFSET(table_1[ref], 4 * (table_2_1[[#This Row],[index]] - 1), 0, 1, 1)</f>
        <v>1DSB_R1_branch.fa</v>
      </c>
      <c r="C27" t="str">
        <f ca="1">OFFSET(table_1[control], 4 * (table_2_1[[#This Row],[index]] - 1), 0, 1, 1)</f>
        <v>30bpDown</v>
      </c>
      <c r="D27" t="str">
        <f ca="1">OFFSET(table_1[dsb_type], 4 * (table_2_1[[#This Row],[index]] - 1), 0, 1, 1)</f>
        <v>1DSB</v>
      </c>
      <c r="E27">
        <f ca="1">OFFSET(table_1[dsb_pos], 4 * (table_2_1[[#This Row],[index]] - 1), 0, 1, 1)</f>
        <v>97</v>
      </c>
      <c r="F27" t="str">
        <f ca="1">OFFSET(table_1[cell], 4 * (table_2_1[[#This Row],[index]] - 1), 0, 1, 1)</f>
        <v>WT</v>
      </c>
      <c r="G27" t="str">
        <f ca="1">OFFSET(table_1[strand], 4 * (table_2_1[[#This Row],[index]] - 1), 0, 1, 1)</f>
        <v>R1</v>
      </c>
      <c r="H27" t="str">
        <f ca="1">OFFSET(table_1[treatment], 4 * (table_2_1[[#This Row],[index]] - 1), 0, 1, 1)</f>
        <v>branch</v>
      </c>
      <c r="I27" t="str">
        <f ca="1">OFFSET(table_1[hguide], 4 * (table_2_1[[#This Row],[index]] - 1), 0, 1, 1)</f>
        <v>sgA</v>
      </c>
      <c r="J2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WT_sgA_R1_branch_30bpDown</v>
      </c>
      <c r="K27" t="str" cm="1">
        <f t="array" aca="1" ref="K27" ca="1">OFFSET(table_1[[file_out]:[file_out]], 4 * (table_2_1[[#This Row],[index]:[index]] - 1) + COLUMN() - 11, 0, 1, 1)</f>
        <v>yjl259_WT_sgA_R1_branch_30bpDown</v>
      </c>
      <c r="L27" t="str" cm="1">
        <f t="array" aca="1" ref="L27" ca="1">OFFSET(table_1[[file_out]:[file_out]], 4 * (table_2_1[[#This Row],[index]:[index]] - 1) + COLUMN() - 11, 0, 1, 1)</f>
        <v>yjl260_WT_sgA_R1_branch_30bpDown</v>
      </c>
      <c r="M27" t="str" cm="1">
        <f t="array" aca="1" ref="M27" ca="1">OFFSET(table_1[[file_out]:[file_out]], 4 * (table_2_1[[#This Row],[index]:[index]] - 1) + COLUMN() - 11, 0, 1, 1)</f>
        <v>yjl261_WT_sgA_R1_branch_30bpDown</v>
      </c>
      <c r="N27" t="str" cm="1">
        <f t="array" aca="1" ref="N27" ca="1">OFFSET(table_1[[file_out]:[file_out]], 4 * (table_2_1[[#This Row],[index]:[index]] - 1) + COLUMN() - 11, 0, 1, 1)</f>
        <v>yjl262_WT_sgA_R1_branch_30bpDown</v>
      </c>
      <c r="O27" cm="1">
        <f t="array" aca="1" ref="O27" ca="1">OFFSET(table_1[[total_reads]:[total_reads]], 4 * (table_2_1[[#This Row],[index]:[index]] - 1) + COLUMN() - 15, 0, 1, 1)</f>
        <v>8808358</v>
      </c>
      <c r="P27" cm="1">
        <f t="array" aca="1" ref="P27" ca="1">OFFSET(table_1[[total_reads]:[total_reads]], 4 * (table_2_1[[#This Row],[index]:[index]] - 1) + COLUMN() - 15, 0, 1, 1)</f>
        <v>9297647</v>
      </c>
      <c r="Q27" cm="1">
        <f t="array" aca="1" ref="Q27" ca="1">OFFSET(table_1[[total_reads]:[total_reads]], 4 * (table_2_1[[#This Row],[index]:[index]] - 1) + COLUMN() - 15, 0, 1, 1)</f>
        <v>9399483</v>
      </c>
      <c r="R27" cm="1">
        <f t="array" aca="1" ref="R27" ca="1">OFFSET(table_1[[total_reads]:[total_reads]], 4 * (table_2_1[[#This Row],[index]:[index]] - 1) + COLUMN() - 15, 0, 1, 1)</f>
        <v>8799841</v>
      </c>
      <c r="S2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libraries_2/yjl259_WT_sgA_R1_branch_30bpDown.tsv libraries_2/yjl260_WT_sgA_R1_branch_30bpDown.tsv libraries_2/yjl261_WT_sgA_R1_branch_30bpDown.tsv libraries_2/yjl262_WT_sgA_R1_branch_30bpDown.tsv --total_reads 8808358 9297647 9399483 8799841 -o libraries_3/WT_sgA_R1_branch_30bpDown.tsv --quiet </v>
      </c>
    </row>
    <row r="28" spans="1:19" x14ac:dyDescent="0.25">
      <c r="A28" s="1">
        <v>27</v>
      </c>
      <c r="B28" t="str">
        <f ca="1">OFFSET(table_1[ref], 4 * (table_2_1[[#This Row],[index]] - 1), 0, 1, 1)</f>
        <v>1DSB_R1_cmv.fa</v>
      </c>
      <c r="C28" t="str">
        <f ca="1">OFFSET(table_1[control], 4 * (table_2_1[[#This Row],[index]] - 1), 0, 1, 1)</f>
        <v>30bpDown</v>
      </c>
      <c r="D28" t="str">
        <f ca="1">OFFSET(table_1[dsb_type], 4 * (table_2_1[[#This Row],[index]] - 1), 0, 1, 1)</f>
        <v>1DSB</v>
      </c>
      <c r="E28">
        <f ca="1">OFFSET(table_1[dsb_pos], 4 * (table_2_1[[#This Row],[index]] - 1), 0, 1, 1)</f>
        <v>97</v>
      </c>
      <c r="F28" t="str">
        <f ca="1">OFFSET(table_1[cell], 4 * (table_2_1[[#This Row],[index]] - 1), 0, 1, 1)</f>
        <v>WT</v>
      </c>
      <c r="G28" t="str">
        <f ca="1">OFFSET(table_1[strand], 4 * (table_2_1[[#This Row],[index]] - 1), 0, 1, 1)</f>
        <v>R1</v>
      </c>
      <c r="H28" t="str">
        <f ca="1">OFFSET(table_1[treatment], 4 * (table_2_1[[#This Row],[index]] - 1), 0, 1, 1)</f>
        <v>cmv</v>
      </c>
      <c r="I28" t="str">
        <f ca="1">OFFSET(table_1[hguide], 4 * (table_2_1[[#This Row],[index]] - 1), 0, 1, 1)</f>
        <v>sgA</v>
      </c>
      <c r="J2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WT_sgA_R1_cmv_30bpDown</v>
      </c>
      <c r="K28" t="str" cm="1">
        <f t="array" aca="1" ref="K28" ca="1">OFFSET(table_1[[file_out]:[file_out]], 4 * (table_2_1[[#This Row],[index]:[index]] - 1) + COLUMN() - 11, 0, 1, 1)</f>
        <v>yjl263_WT_sgA_R1_cmv_30bpDown</v>
      </c>
      <c r="L28" t="str" cm="1">
        <f t="array" aca="1" ref="L28" ca="1">OFFSET(table_1[[file_out]:[file_out]], 4 * (table_2_1[[#This Row],[index]:[index]] - 1) + COLUMN() - 11, 0, 1, 1)</f>
        <v>yjl264_WT_sgA_R1_cmv_30bpDown</v>
      </c>
      <c r="M28" t="str" cm="1">
        <f t="array" aca="1" ref="M28" ca="1">OFFSET(table_1[[file_out]:[file_out]], 4 * (table_2_1[[#This Row],[index]:[index]] - 1) + COLUMN() - 11, 0, 1, 1)</f>
        <v>yjl265_WT_sgA_R1_cmv_30bpDown</v>
      </c>
      <c r="N28" t="str" cm="1">
        <f t="array" aca="1" ref="N28" ca="1">OFFSET(table_1[[file_out]:[file_out]], 4 * (table_2_1[[#This Row],[index]:[index]] - 1) + COLUMN() - 11, 0, 1, 1)</f>
        <v>yjl266_WT_sgA_R1_cmv_30bpDown</v>
      </c>
      <c r="O28" cm="1">
        <f t="array" aca="1" ref="O28" ca="1">OFFSET(table_1[[total_reads]:[total_reads]], 4 * (table_2_1[[#This Row],[index]:[index]] - 1) + COLUMN() - 15, 0, 1, 1)</f>
        <v>8171224</v>
      </c>
      <c r="P28" cm="1">
        <f t="array" aca="1" ref="P28" ca="1">OFFSET(table_1[[total_reads]:[total_reads]], 4 * (table_2_1[[#This Row],[index]:[index]] - 1) + COLUMN() - 15, 0, 1, 1)</f>
        <v>8180897</v>
      </c>
      <c r="Q28" cm="1">
        <f t="array" aca="1" ref="Q28" ca="1">OFFSET(table_1[[total_reads]:[total_reads]], 4 * (table_2_1[[#This Row],[index]:[index]] - 1) + COLUMN() - 15, 0, 1, 1)</f>
        <v>8314116</v>
      </c>
      <c r="R28" cm="1">
        <f t="array" aca="1" ref="R28" ca="1">OFFSET(table_1[[total_reads]:[total_reads]], 4 * (table_2_1[[#This Row],[index]:[index]] - 1) + COLUMN() - 15, 0, 1, 1)</f>
        <v>8096639</v>
      </c>
      <c r="S2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libraries_2/yjl263_WT_sgA_R1_cmv_30bpDown.tsv libraries_2/yjl264_WT_sgA_R1_cmv_30bpDown.tsv libraries_2/yjl265_WT_sgA_R1_cmv_30bpDown.tsv libraries_2/yjl266_WT_sgA_R1_cmv_30bpDown.tsv --total_reads 8171224 8180897 8314116 8096639 -o libraries_3/WT_sgA_R1_cmv_30bpDown.tsv --quiet </v>
      </c>
    </row>
    <row r="29" spans="1:19" x14ac:dyDescent="0.25">
      <c r="A29" s="1">
        <v>28</v>
      </c>
      <c r="B29" t="str">
        <f ca="1">OFFSET(table_1[ref], 4 * (table_2_1[[#This Row],[index]] - 1), 0, 1, 1)</f>
        <v>1DSB_R1_sense.fa</v>
      </c>
      <c r="C29" t="str">
        <f ca="1">OFFSET(table_1[control], 4 * (table_2_1[[#This Row],[index]] - 1), 0, 1, 1)</f>
        <v>30bpDown</v>
      </c>
      <c r="D29" t="str">
        <f ca="1">OFFSET(table_1[dsb_type], 4 * (table_2_1[[#This Row],[index]] - 1), 0, 1, 1)</f>
        <v>1DSB</v>
      </c>
      <c r="E29">
        <f ca="1">OFFSET(table_1[dsb_pos], 4 * (table_2_1[[#This Row],[index]] - 1), 0, 1, 1)</f>
        <v>97</v>
      </c>
      <c r="F29" t="str">
        <f ca="1">OFFSET(table_1[cell], 4 * (table_2_1[[#This Row],[index]] - 1), 0, 1, 1)</f>
        <v>KO</v>
      </c>
      <c r="G29" t="str">
        <f ca="1">OFFSET(table_1[strand], 4 * (table_2_1[[#This Row],[index]] - 1), 0, 1, 1)</f>
        <v>R1</v>
      </c>
      <c r="H29" t="str">
        <f ca="1">OFFSET(table_1[treatment], 4 * (table_2_1[[#This Row],[index]] - 1), 0, 1, 1)</f>
        <v>sense</v>
      </c>
      <c r="I29" t="str">
        <f ca="1">OFFSET(table_1[hguide], 4 * (table_2_1[[#This Row],[index]] - 1), 0, 1, 1)</f>
        <v>sgA</v>
      </c>
      <c r="J2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KO_sgA_R1_sense_30bpDown</v>
      </c>
      <c r="K29" t="str" cm="1">
        <f t="array" aca="1" ref="K29" ca="1">OFFSET(table_1[[file_out]:[file_out]], 4 * (table_2_1[[#This Row],[index]:[index]] - 1) + COLUMN() - 11, 0, 1, 1)</f>
        <v>yjl292_KO_sgA_R1_sense_30bpDown</v>
      </c>
      <c r="L29" t="str" cm="1">
        <f t="array" aca="1" ref="L29" ca="1">OFFSET(table_1[[file_out]:[file_out]], 4 * (table_2_1[[#This Row],[index]:[index]] - 1) + COLUMN() - 11, 0, 1, 1)</f>
        <v>yjl293_KO_sgA_R1_sense_30bpDown</v>
      </c>
      <c r="M29" t="str" cm="1">
        <f t="array" aca="1" ref="M29" ca="1">OFFSET(table_1[[file_out]:[file_out]], 4 * (table_2_1[[#This Row],[index]:[index]] - 1) + COLUMN() - 11, 0, 1, 1)</f>
        <v>yjl294_KO_sgA_R1_sense_30bpDown</v>
      </c>
      <c r="N29" t="str" cm="1">
        <f t="array" aca="1" ref="N29" ca="1">OFFSET(table_1[[file_out]:[file_out]], 4 * (table_2_1[[#This Row],[index]:[index]] - 1) + COLUMN() - 11, 0, 1, 1)</f>
        <v>yjl295_KO_sgA_R1_sense_30bpDown</v>
      </c>
      <c r="O29" cm="1">
        <f t="array" aca="1" ref="O29" ca="1">OFFSET(table_1[[total_reads]:[total_reads]], 4 * (table_2_1[[#This Row],[index]:[index]] - 1) + COLUMN() - 15, 0, 1, 1)</f>
        <v>8597510</v>
      </c>
      <c r="P29" cm="1">
        <f t="array" aca="1" ref="P29" ca="1">OFFSET(table_1[[total_reads]:[total_reads]], 4 * (table_2_1[[#This Row],[index]:[index]] - 1) + COLUMN() - 15, 0, 1, 1)</f>
        <v>10116623</v>
      </c>
      <c r="Q29" cm="1">
        <f t="array" aca="1" ref="Q29" ca="1">OFFSET(table_1[[total_reads]:[total_reads]], 4 * (table_2_1[[#This Row],[index]:[index]] - 1) + COLUMN() - 15, 0, 1, 1)</f>
        <v>8703707</v>
      </c>
      <c r="R29" cm="1">
        <f t="array" aca="1" ref="R29" ca="1">OFFSET(table_1[[total_reads]:[total_reads]], 4 * (table_2_1[[#This Row],[index]:[index]] - 1) + COLUMN() - 15, 0, 1, 1)</f>
        <v>9021103</v>
      </c>
      <c r="S2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libraries_2/yjl292_KO_sgA_R1_sense_30bpDown.tsv libraries_2/yjl293_KO_sgA_R1_sense_30bpDown.tsv libraries_2/yjl294_KO_sgA_R1_sense_30bpDown.tsv libraries_2/yjl295_KO_sgA_R1_sense_30bpDown.tsv --total_reads 8597510 10116623 8703707 9021103 -o libraries_3/KO_sgA_R1_sense_30bpDown.tsv --quiet </v>
      </c>
    </row>
    <row r="30" spans="1:19" x14ac:dyDescent="0.25">
      <c r="A30" s="1">
        <v>29</v>
      </c>
      <c r="B30" t="str">
        <f ca="1">OFFSET(table_1[ref], 4 * (table_2_1[[#This Row],[index]] - 1), 0, 1, 1)</f>
        <v>1DSB_R1_branch.fa</v>
      </c>
      <c r="C30" t="str">
        <f ca="1">OFFSET(table_1[control], 4 * (table_2_1[[#This Row],[index]] - 1), 0, 1, 1)</f>
        <v>30bpDown</v>
      </c>
      <c r="D30" t="str">
        <f ca="1">OFFSET(table_1[dsb_type], 4 * (table_2_1[[#This Row],[index]] - 1), 0, 1, 1)</f>
        <v>1DSB</v>
      </c>
      <c r="E30">
        <f ca="1">OFFSET(table_1[dsb_pos], 4 * (table_2_1[[#This Row],[index]] - 1), 0, 1, 1)</f>
        <v>97</v>
      </c>
      <c r="F30" t="str">
        <f ca="1">OFFSET(table_1[cell], 4 * (table_2_1[[#This Row],[index]] - 1), 0, 1, 1)</f>
        <v>KO</v>
      </c>
      <c r="G30" t="str">
        <f ca="1">OFFSET(table_1[strand], 4 * (table_2_1[[#This Row],[index]] - 1), 0, 1, 1)</f>
        <v>R1</v>
      </c>
      <c r="H30" t="str">
        <f ca="1">OFFSET(table_1[treatment], 4 * (table_2_1[[#This Row],[index]] - 1), 0, 1, 1)</f>
        <v>branch</v>
      </c>
      <c r="I30" t="str">
        <f ca="1">OFFSET(table_1[hguide], 4 * (table_2_1[[#This Row],[index]] - 1), 0, 1, 1)</f>
        <v>sgA</v>
      </c>
      <c r="J3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KO_sgA_R1_branch_30bpDown</v>
      </c>
      <c r="K30" t="str" cm="1">
        <f t="array" aca="1" ref="K30" ca="1">OFFSET(table_1[[file_out]:[file_out]], 4 * (table_2_1[[#This Row],[index]:[index]] - 1) + COLUMN() - 11, 0, 1, 1)</f>
        <v>yjl296_KO_sgA_R1_branch_30bpDown</v>
      </c>
      <c r="L30" t="str" cm="1">
        <f t="array" aca="1" ref="L30" ca="1">OFFSET(table_1[[file_out]:[file_out]], 4 * (table_2_1[[#This Row],[index]:[index]] - 1) + COLUMN() - 11, 0, 1, 1)</f>
        <v>yjl297_KO_sgA_R1_branch_30bpDown</v>
      </c>
      <c r="M30" t="str" cm="1">
        <f t="array" aca="1" ref="M30" ca="1">OFFSET(table_1[[file_out]:[file_out]], 4 * (table_2_1[[#This Row],[index]:[index]] - 1) + COLUMN() - 11, 0, 1, 1)</f>
        <v>yjl298_KO_sgA_R1_branch_30bpDown</v>
      </c>
      <c r="N30" t="str" cm="1">
        <f t="array" aca="1" ref="N30" ca="1">OFFSET(table_1[[file_out]:[file_out]], 4 * (table_2_1[[#This Row],[index]:[index]] - 1) + COLUMN() - 11, 0, 1, 1)</f>
        <v>yjl299_KO_sgA_R1_branch_30bpDown</v>
      </c>
      <c r="O30" cm="1">
        <f t="array" aca="1" ref="O30" ca="1">OFFSET(table_1[[total_reads]:[total_reads]], 4 * (table_2_1[[#This Row],[index]:[index]] - 1) + COLUMN() - 15, 0, 1, 1)</f>
        <v>11021111</v>
      </c>
      <c r="P30" cm="1">
        <f t="array" aca="1" ref="P30" ca="1">OFFSET(table_1[[total_reads]:[total_reads]], 4 * (table_2_1[[#This Row],[index]:[index]] - 1) + COLUMN() - 15, 0, 1, 1)</f>
        <v>11280773</v>
      </c>
      <c r="Q30" cm="1">
        <f t="array" aca="1" ref="Q30" ca="1">OFFSET(table_1[[total_reads]:[total_reads]], 4 * (table_2_1[[#This Row],[index]:[index]] - 1) + COLUMN() - 15, 0, 1, 1)</f>
        <v>12426852</v>
      </c>
      <c r="R30" cm="1">
        <f t="array" aca="1" ref="R30" ca="1">OFFSET(table_1[[total_reads]:[total_reads]], 4 * (table_2_1[[#This Row],[index]:[index]] - 1) + COLUMN() - 15, 0, 1, 1)</f>
        <v>11659042</v>
      </c>
      <c r="S3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libraries_2/yjl296_KO_sgA_R1_branch_30bpDown.tsv libraries_2/yjl297_KO_sgA_R1_branch_30bpDown.tsv libraries_2/yjl298_KO_sgA_R1_branch_30bpDown.tsv libraries_2/yjl299_KO_sgA_R1_branch_30bpDown.tsv --total_reads 11021111 11280773 12426852 11659042 -o libraries_3/KO_sgA_R1_branch_30bpDown.tsv --quiet </v>
      </c>
    </row>
    <row r="31" spans="1:19" x14ac:dyDescent="0.25">
      <c r="A31" s="1">
        <v>30</v>
      </c>
      <c r="B31" t="str">
        <f ca="1">OFFSET(table_1[ref], 4 * (table_2_1[[#This Row],[index]] - 1), 0, 1, 1)</f>
        <v>1DSB_R1_cmv.fa</v>
      </c>
      <c r="C31" t="str">
        <f ca="1">OFFSET(table_1[control], 4 * (table_2_1[[#This Row],[index]] - 1), 0, 1, 1)</f>
        <v>30bpDown</v>
      </c>
      <c r="D31" t="str">
        <f ca="1">OFFSET(table_1[dsb_type], 4 * (table_2_1[[#This Row],[index]] - 1), 0, 1, 1)</f>
        <v>1DSB</v>
      </c>
      <c r="E31">
        <f ca="1">OFFSET(table_1[dsb_pos], 4 * (table_2_1[[#This Row],[index]] - 1), 0, 1, 1)</f>
        <v>97</v>
      </c>
      <c r="F31" t="str">
        <f ca="1">OFFSET(table_1[cell], 4 * (table_2_1[[#This Row],[index]] - 1), 0, 1, 1)</f>
        <v>KO</v>
      </c>
      <c r="G31" t="str">
        <f ca="1">OFFSET(table_1[strand], 4 * (table_2_1[[#This Row],[index]] - 1), 0, 1, 1)</f>
        <v>R1</v>
      </c>
      <c r="H31" t="str">
        <f ca="1">OFFSET(table_1[treatment], 4 * (table_2_1[[#This Row],[index]] - 1), 0, 1, 1)</f>
        <v>cmv</v>
      </c>
      <c r="I31" t="str">
        <f ca="1">OFFSET(table_1[hguide], 4 * (table_2_1[[#This Row],[index]] - 1), 0, 1, 1)</f>
        <v>sgA</v>
      </c>
      <c r="J3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KO_sgA_R1_cmv_30bpDown</v>
      </c>
      <c r="K31" t="str" cm="1">
        <f t="array" aca="1" ref="K31" ca="1">OFFSET(table_1[[file_out]:[file_out]], 4 * (table_2_1[[#This Row],[index]:[index]] - 1) + COLUMN() - 11, 0, 1, 1)</f>
        <v>yjl300_KO_sgA_R1_cmv_30bpDown</v>
      </c>
      <c r="L31" t="str" cm="1">
        <f t="array" aca="1" ref="L31" ca="1">OFFSET(table_1[[file_out]:[file_out]], 4 * (table_2_1[[#This Row],[index]:[index]] - 1) + COLUMN() - 11, 0, 1, 1)</f>
        <v>yjl301_KO_sgA_R1_cmv_30bpDown</v>
      </c>
      <c r="M31" t="str" cm="1">
        <f t="array" aca="1" ref="M31" ca="1">OFFSET(table_1[[file_out]:[file_out]], 4 * (table_2_1[[#This Row],[index]:[index]] - 1) + COLUMN() - 11, 0, 1, 1)</f>
        <v>yjl302_KO_sgA_R1_cmv_30bpDown</v>
      </c>
      <c r="N31" t="str" cm="1">
        <f t="array" aca="1" ref="N31" ca="1">OFFSET(table_1[[file_out]:[file_out]], 4 * (table_2_1[[#This Row],[index]:[index]] - 1) + COLUMN() - 11, 0, 1, 1)</f>
        <v>yjl303_KO_sgA_R1_cmv_30bpDown</v>
      </c>
      <c r="O31" cm="1">
        <f t="array" aca="1" ref="O31" ca="1">OFFSET(table_1[[total_reads]:[total_reads]], 4 * (table_2_1[[#This Row],[index]:[index]] - 1) + COLUMN() - 15, 0, 1, 1)</f>
        <v>9933546</v>
      </c>
      <c r="P31" cm="1">
        <f t="array" aca="1" ref="P31" ca="1">OFFSET(table_1[[total_reads]:[total_reads]], 4 * (table_2_1[[#This Row],[index]:[index]] - 1) + COLUMN() - 15, 0, 1, 1)</f>
        <v>10351309</v>
      </c>
      <c r="Q31" cm="1">
        <f t="array" aca="1" ref="Q31" ca="1">OFFSET(table_1[[total_reads]:[total_reads]], 4 * (table_2_1[[#This Row],[index]:[index]] - 1) + COLUMN() - 15, 0, 1, 1)</f>
        <v>9388188</v>
      </c>
      <c r="R31" cm="1">
        <f t="array" aca="1" ref="R31" ca="1">OFFSET(table_1[[total_reads]:[total_reads]], 4 * (table_2_1[[#This Row],[index]:[index]] - 1) + COLUMN() - 15, 0, 1, 1)</f>
        <v>8668198</v>
      </c>
      <c r="S3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libraries_2/yjl300_KO_sgA_R1_cmv_30bpDown.tsv libraries_2/yjl301_KO_sgA_R1_cmv_30bpDown.tsv libraries_2/yjl302_KO_sgA_R1_cmv_30bpDown.tsv libraries_2/yjl303_KO_sgA_R1_cmv_30bpDown.tsv --total_reads 9933546 10351309 9388188 8668198 -o libraries_3/KO_sgA_R1_cmv_30bpDown.tsv --quiet </v>
      </c>
    </row>
    <row r="32" spans="1:19" x14ac:dyDescent="0.25">
      <c r="A32" s="1">
        <v>31</v>
      </c>
      <c r="B32" t="str">
        <f ca="1">OFFSET(table_1[ref], 4 * (table_2_1[[#This Row],[index]] - 1), 0, 1, 1)</f>
        <v>1DSB_R2_sense.fa</v>
      </c>
      <c r="C32" t="str">
        <f ca="1">OFFSET(table_1[control], 4 * (table_2_1[[#This Row],[index]] - 1), 0, 1, 1)</f>
        <v>30bpDown</v>
      </c>
      <c r="D32" t="str">
        <f ca="1">OFFSET(table_1[dsb_type], 4 * (table_2_1[[#This Row],[index]] - 1), 0, 1, 1)</f>
        <v>1DSB</v>
      </c>
      <c r="E32">
        <f ca="1">OFFSET(table_1[dsb_pos], 4 * (table_2_1[[#This Row],[index]] - 1), 0, 1, 1)</f>
        <v>76</v>
      </c>
      <c r="F32" t="str">
        <f ca="1">OFFSET(table_1[cell], 4 * (table_2_1[[#This Row],[index]] - 1), 0, 1, 1)</f>
        <v>WT</v>
      </c>
      <c r="G32" t="str">
        <f ca="1">OFFSET(table_1[strand], 4 * (table_2_1[[#This Row],[index]] - 1), 0, 1, 1)</f>
        <v>R2</v>
      </c>
      <c r="H32" t="str">
        <f ca="1">OFFSET(table_1[treatment], 4 * (table_2_1[[#This Row],[index]] - 1), 0, 1, 1)</f>
        <v>sense</v>
      </c>
      <c r="I32" t="str">
        <f ca="1">OFFSET(table_1[hguide], 4 * (table_2_1[[#This Row],[index]] - 1), 0, 1, 1)</f>
        <v>sgB</v>
      </c>
      <c r="J3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WT_sgB_R2_sense_30bpDown</v>
      </c>
      <c r="K32" t="str" cm="1">
        <f t="array" aca="1" ref="K32" ca="1">OFFSET(table_1[[file_out]:[file_out]], 4 * (table_2_1[[#This Row],[index]:[index]] - 1) + COLUMN() - 11, 0, 1, 1)</f>
        <v>yjl267_WT_sgB_R2_sense_30bpDown</v>
      </c>
      <c r="L32" t="str" cm="1">
        <f t="array" aca="1" ref="L32" ca="1">OFFSET(table_1[[file_out]:[file_out]], 4 * (table_2_1[[#This Row],[index]:[index]] - 1) + COLUMN() - 11, 0, 1, 1)</f>
        <v>yjl268_WT_sgB_R2_sense_30bpDown</v>
      </c>
      <c r="M32" t="str" cm="1">
        <f t="array" aca="1" ref="M32" ca="1">OFFSET(table_1[[file_out]:[file_out]], 4 * (table_2_1[[#This Row],[index]:[index]] - 1) + COLUMN() - 11, 0, 1, 1)</f>
        <v>yjl269_WT_sgB_R2_sense_30bpDown</v>
      </c>
      <c r="N32" t="str" cm="1">
        <f t="array" aca="1" ref="N32" ca="1">OFFSET(table_1[[file_out]:[file_out]], 4 * (table_2_1[[#This Row],[index]:[index]] - 1) + COLUMN() - 11, 0, 1, 1)</f>
        <v>yjl270_WT_sgB_R2_sense_30bpDown</v>
      </c>
      <c r="O32" cm="1">
        <f t="array" aca="1" ref="O32" ca="1">OFFSET(table_1[[total_reads]:[total_reads]], 4 * (table_2_1[[#This Row],[index]:[index]] - 1) + COLUMN() - 15, 0, 1, 1)</f>
        <v>7137355</v>
      </c>
      <c r="P32" cm="1">
        <f t="array" aca="1" ref="P32" ca="1">OFFSET(table_1[[total_reads]:[total_reads]], 4 * (table_2_1[[#This Row],[index]:[index]] - 1) + COLUMN() - 15, 0, 1, 1)</f>
        <v>6618133</v>
      </c>
      <c r="Q32" cm="1">
        <f t="array" aca="1" ref="Q32" ca="1">OFFSET(table_1[[total_reads]:[total_reads]], 4 * (table_2_1[[#This Row],[index]:[index]] - 1) + COLUMN() - 15, 0, 1, 1)</f>
        <v>8227882</v>
      </c>
      <c r="R32" cm="1">
        <f t="array" aca="1" ref="R32" ca="1">OFFSET(table_1[[total_reads]:[total_reads]], 4 * (table_2_1[[#This Row],[index]:[index]] - 1) + COLUMN() - 15, 0, 1, 1)</f>
        <v>7238408</v>
      </c>
      <c r="S3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libraries_2/yjl267_WT_sgB_R2_sense_30bpDown.tsv libraries_2/yjl268_WT_sgB_R2_sense_30bpDown.tsv libraries_2/yjl269_WT_sgB_R2_sense_30bpDown.tsv libraries_2/yjl270_WT_sgB_R2_sense_30bpDown.tsv --total_reads 7137355 6618133 8227882 7238408 -o libraries_3/WT_sgB_R2_sense_30bpDown.tsv --quiet </v>
      </c>
    </row>
    <row r="33" spans="1:19" x14ac:dyDescent="0.25">
      <c r="A33" s="1">
        <v>32</v>
      </c>
      <c r="B33" t="str">
        <f ca="1">OFFSET(table_1[ref], 4 * (table_2_1[[#This Row],[index]] - 1), 0, 1, 1)</f>
        <v>1DSB_R2_branch.fa</v>
      </c>
      <c r="C33" t="str">
        <f ca="1">OFFSET(table_1[control], 4 * (table_2_1[[#This Row],[index]] - 1), 0, 1, 1)</f>
        <v>30bpDown</v>
      </c>
      <c r="D33" t="str">
        <f ca="1">OFFSET(table_1[dsb_type], 4 * (table_2_1[[#This Row],[index]] - 1), 0, 1, 1)</f>
        <v>1DSB</v>
      </c>
      <c r="E33">
        <f ca="1">OFFSET(table_1[dsb_pos], 4 * (table_2_1[[#This Row],[index]] - 1), 0, 1, 1)</f>
        <v>76</v>
      </c>
      <c r="F33" t="str">
        <f ca="1">OFFSET(table_1[cell], 4 * (table_2_1[[#This Row],[index]] - 1), 0, 1, 1)</f>
        <v>WT</v>
      </c>
      <c r="G33" t="str">
        <f ca="1">OFFSET(table_1[strand], 4 * (table_2_1[[#This Row],[index]] - 1), 0, 1, 1)</f>
        <v>R2</v>
      </c>
      <c r="H33" t="str">
        <f ca="1">OFFSET(table_1[treatment], 4 * (table_2_1[[#This Row],[index]] - 1), 0, 1, 1)</f>
        <v>branch</v>
      </c>
      <c r="I33" t="str">
        <f ca="1">OFFSET(table_1[hguide], 4 * (table_2_1[[#This Row],[index]] - 1), 0, 1, 1)</f>
        <v>sgB</v>
      </c>
      <c r="J3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WT_sgB_R2_branch_30bpDown</v>
      </c>
      <c r="K33" t="str" cm="1">
        <f t="array" aca="1" ref="K33" ca="1">OFFSET(table_1[[file_out]:[file_out]], 4 * (table_2_1[[#This Row],[index]:[index]] - 1) + COLUMN() - 11, 0, 1, 1)</f>
        <v>yjl271_WT_sgB_R2_branch_30bpDown</v>
      </c>
      <c r="L33" t="str" cm="1">
        <f t="array" aca="1" ref="L33" ca="1">OFFSET(table_1[[file_out]:[file_out]], 4 * (table_2_1[[#This Row],[index]:[index]] - 1) + COLUMN() - 11, 0, 1, 1)</f>
        <v>yjl272_WT_sgB_R2_branch_30bpDown</v>
      </c>
      <c r="M33" t="str" cm="1">
        <f t="array" aca="1" ref="M33" ca="1">OFFSET(table_1[[file_out]:[file_out]], 4 * (table_2_1[[#This Row],[index]:[index]] - 1) + COLUMN() - 11, 0, 1, 1)</f>
        <v>yjl273_WT_sgB_R2_branch_30bpDown</v>
      </c>
      <c r="N33" t="str" cm="1">
        <f t="array" aca="1" ref="N33" ca="1">OFFSET(table_1[[file_out]:[file_out]], 4 * (table_2_1[[#This Row],[index]:[index]] - 1) + COLUMN() - 11, 0, 1, 1)</f>
        <v>yjl274_WT_sgB_R2_branch_30bpDown</v>
      </c>
      <c r="O33" cm="1">
        <f t="array" aca="1" ref="O33" ca="1">OFFSET(table_1[[total_reads]:[total_reads]], 4 * (table_2_1[[#This Row],[index]:[index]] - 1) + COLUMN() - 15, 0, 1, 1)</f>
        <v>9524548</v>
      </c>
      <c r="P33" cm="1">
        <f t="array" aca="1" ref="P33" ca="1">OFFSET(table_1[[total_reads]:[total_reads]], 4 * (table_2_1[[#This Row],[index]:[index]] - 1) + COLUMN() - 15, 0, 1, 1)</f>
        <v>10125834</v>
      </c>
      <c r="Q33" cm="1">
        <f t="array" aca="1" ref="Q33" ca="1">OFFSET(table_1[[total_reads]:[total_reads]], 4 * (table_2_1[[#This Row],[index]:[index]] - 1) + COLUMN() - 15, 0, 1, 1)</f>
        <v>10173904</v>
      </c>
      <c r="R33" cm="1">
        <f t="array" aca="1" ref="R33" ca="1">OFFSET(table_1[[total_reads]:[total_reads]], 4 * (table_2_1[[#This Row],[index]:[index]] - 1) + COLUMN() - 15, 0, 1, 1)</f>
        <v>9525100</v>
      </c>
      <c r="S3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libraries_2/yjl271_WT_sgB_R2_branch_30bpDown.tsv libraries_2/yjl272_WT_sgB_R2_branch_30bpDown.tsv libraries_2/yjl273_WT_sgB_R2_branch_30bpDown.tsv libraries_2/yjl274_WT_sgB_R2_branch_30bpDown.tsv --total_reads 9524548 10125834 10173904 9525100 -o libraries_3/WT_sgB_R2_branch_30bpDown.tsv --quiet </v>
      </c>
    </row>
    <row r="34" spans="1:19" x14ac:dyDescent="0.25">
      <c r="A34" s="1">
        <v>33</v>
      </c>
      <c r="B34" t="str">
        <f ca="1">OFFSET(table_1[ref], 4 * (table_2_1[[#This Row],[index]] - 1), 0, 1, 1)</f>
        <v>1DSB_R2_cmv.fa</v>
      </c>
      <c r="C34" t="str">
        <f ca="1">OFFSET(table_1[control], 4 * (table_2_1[[#This Row],[index]] - 1), 0, 1, 1)</f>
        <v>30bpDown</v>
      </c>
      <c r="D34" t="str">
        <f ca="1">OFFSET(table_1[dsb_type], 4 * (table_2_1[[#This Row],[index]] - 1), 0, 1, 1)</f>
        <v>1DSB</v>
      </c>
      <c r="E34">
        <f ca="1">OFFSET(table_1[dsb_pos], 4 * (table_2_1[[#This Row],[index]] - 1), 0, 1, 1)</f>
        <v>76</v>
      </c>
      <c r="F34" t="str">
        <f ca="1">OFFSET(table_1[cell], 4 * (table_2_1[[#This Row],[index]] - 1), 0, 1, 1)</f>
        <v>WT</v>
      </c>
      <c r="G34" t="str">
        <f ca="1">OFFSET(table_1[strand], 4 * (table_2_1[[#This Row],[index]] - 1), 0, 1, 1)</f>
        <v>R2</v>
      </c>
      <c r="H34" t="str">
        <f ca="1">OFFSET(table_1[treatment], 4 * (table_2_1[[#This Row],[index]] - 1), 0, 1, 1)</f>
        <v>cmv</v>
      </c>
      <c r="I34" t="str">
        <f ca="1">OFFSET(table_1[hguide], 4 * (table_2_1[[#This Row],[index]] - 1), 0, 1, 1)</f>
        <v>sgB</v>
      </c>
      <c r="J3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WT_sgB_R2_cmv_30bpDown</v>
      </c>
      <c r="K34" t="str" cm="1">
        <f t="array" aca="1" ref="K34" ca="1">OFFSET(table_1[[file_out]:[file_out]], 4 * (table_2_1[[#This Row],[index]:[index]] - 1) + COLUMN() - 11, 0, 1, 1)</f>
        <v>yjl275_WT_sgB_R2_cmv_30bpDown</v>
      </c>
      <c r="L34" t="str" cm="1">
        <f t="array" aca="1" ref="L34" ca="1">OFFSET(table_1[[file_out]:[file_out]], 4 * (table_2_1[[#This Row],[index]:[index]] - 1) + COLUMN() - 11, 0, 1, 1)</f>
        <v>yjl276_WT_sgB_R2_cmv_30bpDown</v>
      </c>
      <c r="M34" t="str" cm="1">
        <f t="array" aca="1" ref="M34" ca="1">OFFSET(table_1[[file_out]:[file_out]], 4 * (table_2_1[[#This Row],[index]:[index]] - 1) + COLUMN() - 11, 0, 1, 1)</f>
        <v>yjl277_WT_sgB_R2_cmv_30bpDown</v>
      </c>
      <c r="N34" t="str" cm="1">
        <f t="array" aca="1" ref="N34" ca="1">OFFSET(table_1[[file_out]:[file_out]], 4 * (table_2_1[[#This Row],[index]:[index]] - 1) + COLUMN() - 11, 0, 1, 1)</f>
        <v>yjl278_WT_sgB_R2_cmv_30bpDown</v>
      </c>
      <c r="O34" cm="1">
        <f t="array" aca="1" ref="O34" ca="1">OFFSET(table_1[[total_reads]:[total_reads]], 4 * (table_2_1[[#This Row],[index]:[index]] - 1) + COLUMN() - 15, 0, 1, 1)</f>
        <v>7280860</v>
      </c>
      <c r="P34" cm="1">
        <f t="array" aca="1" ref="P34" ca="1">OFFSET(table_1[[total_reads]:[total_reads]], 4 * (table_2_1[[#This Row],[index]:[index]] - 1) + COLUMN() - 15, 0, 1, 1)</f>
        <v>6872217</v>
      </c>
      <c r="Q34" cm="1">
        <f t="array" aca="1" ref="Q34" ca="1">OFFSET(table_1[[total_reads]:[total_reads]], 4 * (table_2_1[[#This Row],[index]:[index]] - 1) + COLUMN() - 15, 0, 1, 1)</f>
        <v>6847531</v>
      </c>
      <c r="R34" cm="1">
        <f t="array" aca="1" ref="R34" ca="1">OFFSET(table_1[[total_reads]:[total_reads]], 4 * (table_2_1[[#This Row],[index]:[index]] - 1) + COLUMN() - 15, 0, 1, 1)</f>
        <v>7081713</v>
      </c>
      <c r="S3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libraries_2/yjl275_WT_sgB_R2_cmv_30bpDown.tsv libraries_2/yjl276_WT_sgB_R2_cmv_30bpDown.tsv libraries_2/yjl277_WT_sgB_R2_cmv_30bpDown.tsv libraries_2/yjl278_WT_sgB_R2_cmv_30bpDown.tsv --total_reads 7280860 6872217 6847531 7081713 -o libraries_3/WT_sgB_R2_cmv_30bpDown.tsv --quiet </v>
      </c>
    </row>
    <row r="35" spans="1:19" x14ac:dyDescent="0.25">
      <c r="A35" s="1">
        <v>34</v>
      </c>
      <c r="B35" t="str">
        <f ca="1">OFFSET(table_1[ref], 4 * (table_2_1[[#This Row],[index]] - 1), 0, 1, 1)</f>
        <v>1DSB_R2_sense.fa</v>
      </c>
      <c r="C35" t="str">
        <f ca="1">OFFSET(table_1[control], 4 * (table_2_1[[#This Row],[index]] - 1), 0, 1, 1)</f>
        <v>30bpDown</v>
      </c>
      <c r="D35" t="str">
        <f ca="1">OFFSET(table_1[dsb_type], 4 * (table_2_1[[#This Row],[index]] - 1), 0, 1, 1)</f>
        <v>1DSB</v>
      </c>
      <c r="E35">
        <f ca="1">OFFSET(table_1[dsb_pos], 4 * (table_2_1[[#This Row],[index]] - 1), 0, 1, 1)</f>
        <v>76</v>
      </c>
      <c r="F35" t="str">
        <f ca="1">OFFSET(table_1[cell], 4 * (table_2_1[[#This Row],[index]] - 1), 0, 1, 1)</f>
        <v>KO</v>
      </c>
      <c r="G35" t="str">
        <f ca="1">OFFSET(table_1[strand], 4 * (table_2_1[[#This Row],[index]] - 1), 0, 1, 1)</f>
        <v>R2</v>
      </c>
      <c r="H35" t="str">
        <f ca="1">OFFSET(table_1[treatment], 4 * (table_2_1[[#This Row],[index]] - 1), 0, 1, 1)</f>
        <v>sense</v>
      </c>
      <c r="I35" t="str">
        <f ca="1">OFFSET(table_1[hguide], 4 * (table_2_1[[#This Row],[index]] - 1), 0, 1, 1)</f>
        <v>sgB</v>
      </c>
      <c r="J3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KO_sgB_R2_sense_30bpDown</v>
      </c>
      <c r="K35" t="str" cm="1">
        <f t="array" aca="1" ref="K35" ca="1">OFFSET(table_1[[file_out]:[file_out]], 4 * (table_2_1[[#This Row],[index]:[index]] - 1) + COLUMN() - 11, 0, 1, 1)</f>
        <v>yjl304_KO_sgB_R2_sense_30bpDown</v>
      </c>
      <c r="L35" t="str" cm="1">
        <f t="array" aca="1" ref="L35" ca="1">OFFSET(table_1[[file_out]:[file_out]], 4 * (table_2_1[[#This Row],[index]:[index]] - 1) + COLUMN() - 11, 0, 1, 1)</f>
        <v>yjl305_KO_sgB_R2_sense_30bpDown</v>
      </c>
      <c r="M35" t="str" cm="1">
        <f t="array" aca="1" ref="M35" ca="1">OFFSET(table_1[[file_out]:[file_out]], 4 * (table_2_1[[#This Row],[index]:[index]] - 1) + COLUMN() - 11, 0, 1, 1)</f>
        <v>yjl306_KO_sgB_R2_sense_30bpDown</v>
      </c>
      <c r="N35" t="str" cm="1">
        <f t="array" aca="1" ref="N35" ca="1">OFFSET(table_1[[file_out]:[file_out]], 4 * (table_2_1[[#This Row],[index]:[index]] - 1) + COLUMN() - 11, 0, 1, 1)</f>
        <v>yjl307_KO_sgB_R2_sense_30bpDown</v>
      </c>
      <c r="O35" cm="1">
        <f t="array" aca="1" ref="O35" ca="1">OFFSET(table_1[[total_reads]:[total_reads]], 4 * (table_2_1[[#This Row],[index]:[index]] - 1) + COLUMN() - 15, 0, 1, 1)</f>
        <v>6494964</v>
      </c>
      <c r="P35" cm="1">
        <f t="array" aca="1" ref="P35" ca="1">OFFSET(table_1[[total_reads]:[total_reads]], 4 * (table_2_1[[#This Row],[index]:[index]] - 1) + COLUMN() - 15, 0, 1, 1)</f>
        <v>7011524</v>
      </c>
      <c r="Q35" cm="1">
        <f t="array" aca="1" ref="Q35" ca="1">OFFSET(table_1[[total_reads]:[total_reads]], 4 * (table_2_1[[#This Row],[index]:[index]] - 1) + COLUMN() - 15, 0, 1, 1)</f>
        <v>7131423</v>
      </c>
      <c r="R35" cm="1">
        <f t="array" aca="1" ref="R35" ca="1">OFFSET(table_1[[total_reads]:[total_reads]], 4 * (table_2_1[[#This Row],[index]:[index]] - 1) + COLUMN() - 15, 0, 1, 1)</f>
        <v>6545416</v>
      </c>
      <c r="S3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libraries_2/yjl304_KO_sgB_R2_sense_30bpDown.tsv libraries_2/yjl305_KO_sgB_R2_sense_30bpDown.tsv libraries_2/yjl306_KO_sgB_R2_sense_30bpDown.tsv libraries_2/yjl307_KO_sgB_R2_sense_30bpDown.tsv --total_reads 6494964 7011524 7131423 6545416 -o libraries_3/KO_sgB_R2_sense_30bpDown.tsv --quiet </v>
      </c>
    </row>
    <row r="36" spans="1:19" x14ac:dyDescent="0.25">
      <c r="A36" s="1">
        <v>35</v>
      </c>
      <c r="B36" t="str">
        <f ca="1">OFFSET(table_1[ref], 4 * (table_2_1[[#This Row],[index]] - 1), 0, 1, 1)</f>
        <v>1DSB_R2_branch.fa</v>
      </c>
      <c r="C36" t="str">
        <f ca="1">OFFSET(table_1[control], 4 * (table_2_1[[#This Row],[index]] - 1), 0, 1, 1)</f>
        <v>30bpDown</v>
      </c>
      <c r="D36" t="str">
        <f ca="1">OFFSET(table_1[dsb_type], 4 * (table_2_1[[#This Row],[index]] - 1), 0, 1, 1)</f>
        <v>1DSB</v>
      </c>
      <c r="E36">
        <f ca="1">OFFSET(table_1[dsb_pos], 4 * (table_2_1[[#This Row],[index]] - 1), 0, 1, 1)</f>
        <v>76</v>
      </c>
      <c r="F36" t="str">
        <f ca="1">OFFSET(table_1[cell], 4 * (table_2_1[[#This Row],[index]] - 1), 0, 1, 1)</f>
        <v>KO</v>
      </c>
      <c r="G36" t="str">
        <f ca="1">OFFSET(table_1[strand], 4 * (table_2_1[[#This Row],[index]] - 1), 0, 1, 1)</f>
        <v>R2</v>
      </c>
      <c r="H36" t="str">
        <f ca="1">OFFSET(table_1[treatment], 4 * (table_2_1[[#This Row],[index]] - 1), 0, 1, 1)</f>
        <v>branch</v>
      </c>
      <c r="I36" t="str">
        <f ca="1">OFFSET(table_1[hguide], 4 * (table_2_1[[#This Row],[index]] - 1), 0, 1, 1)</f>
        <v>sgB</v>
      </c>
      <c r="J3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KO_sgB_R2_branch_30bpDown</v>
      </c>
      <c r="K36" t="str" cm="1">
        <f t="array" aca="1" ref="K36" ca="1">OFFSET(table_1[[file_out]:[file_out]], 4 * (table_2_1[[#This Row],[index]:[index]] - 1) + COLUMN() - 11, 0, 1, 1)</f>
        <v>yjl308_KO_sgB_R2_branch_30bpDown</v>
      </c>
      <c r="L36" t="str" cm="1">
        <f t="array" aca="1" ref="L36" ca="1">OFFSET(table_1[[file_out]:[file_out]], 4 * (table_2_1[[#This Row],[index]:[index]] - 1) + COLUMN() - 11, 0, 1, 1)</f>
        <v>yjl309_KO_sgB_R2_branch_30bpDown</v>
      </c>
      <c r="M36" t="str" cm="1">
        <f t="array" aca="1" ref="M36" ca="1">OFFSET(table_1[[file_out]:[file_out]], 4 * (table_2_1[[#This Row],[index]:[index]] - 1) + COLUMN() - 11, 0, 1, 1)</f>
        <v>yjl310_KO_sgB_R2_branch_30bpDown</v>
      </c>
      <c r="N36" t="str" cm="1">
        <f t="array" aca="1" ref="N36" ca="1">OFFSET(table_1[[file_out]:[file_out]], 4 * (table_2_1[[#This Row],[index]:[index]] - 1) + COLUMN() - 11, 0, 1, 1)</f>
        <v>yjl311_KO_sgB_R2_branch_30bpDown</v>
      </c>
      <c r="O36" cm="1">
        <f t="array" aca="1" ref="O36" ca="1">OFFSET(table_1[[total_reads]:[total_reads]], 4 * (table_2_1[[#This Row],[index]:[index]] - 1) + COLUMN() - 15, 0, 1, 1)</f>
        <v>9730255</v>
      </c>
      <c r="P36" cm="1">
        <f t="array" aca="1" ref="P36" ca="1">OFFSET(table_1[[total_reads]:[total_reads]], 4 * (table_2_1[[#This Row],[index]:[index]] - 1) + COLUMN() - 15, 0, 1, 1)</f>
        <v>10430885</v>
      </c>
      <c r="Q36" cm="1">
        <f t="array" aca="1" ref="Q36" ca="1">OFFSET(table_1[[total_reads]:[total_reads]], 4 * (table_2_1[[#This Row],[index]:[index]] - 1) + COLUMN() - 15, 0, 1, 1)</f>
        <v>9770845</v>
      </c>
      <c r="R36" cm="1">
        <f t="array" aca="1" ref="R36" ca="1">OFFSET(table_1[[total_reads]:[total_reads]], 4 * (table_2_1[[#This Row],[index]:[index]] - 1) + COLUMN() - 15, 0, 1, 1)</f>
        <v>10249893</v>
      </c>
      <c r="S3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libraries_2/yjl308_KO_sgB_R2_branch_30bpDown.tsv libraries_2/yjl309_KO_sgB_R2_branch_30bpDown.tsv libraries_2/yjl310_KO_sgB_R2_branch_30bpDown.tsv libraries_2/yjl311_KO_sgB_R2_branch_30bpDown.tsv --total_reads 9730255 10430885 9770845 10249893 -o libraries_3/KO_sgB_R2_branch_30bpDown.tsv --quiet </v>
      </c>
    </row>
    <row r="37" spans="1:19" x14ac:dyDescent="0.25">
      <c r="A37" s="1">
        <v>36</v>
      </c>
      <c r="B37" t="str">
        <f ca="1">OFFSET(table_1[ref], 4 * (table_2_1[[#This Row],[index]] - 1), 0, 1, 1)</f>
        <v>1DSB_R2_cmv.fa</v>
      </c>
      <c r="C37" t="str">
        <f ca="1">OFFSET(table_1[control], 4 * (table_2_1[[#This Row],[index]] - 1), 0, 1, 1)</f>
        <v>30bpDown</v>
      </c>
      <c r="D37" t="str">
        <f ca="1">OFFSET(table_1[dsb_type], 4 * (table_2_1[[#This Row],[index]] - 1), 0, 1, 1)</f>
        <v>1DSB</v>
      </c>
      <c r="E37">
        <f ca="1">OFFSET(table_1[dsb_pos], 4 * (table_2_1[[#This Row],[index]] - 1), 0, 1, 1)</f>
        <v>76</v>
      </c>
      <c r="F37" t="str">
        <f ca="1">OFFSET(table_1[cell], 4 * (table_2_1[[#This Row],[index]] - 1), 0, 1, 1)</f>
        <v>KO</v>
      </c>
      <c r="G37" t="str">
        <f ca="1">OFFSET(table_1[strand], 4 * (table_2_1[[#This Row],[index]] - 1), 0, 1, 1)</f>
        <v>R2</v>
      </c>
      <c r="H37" t="str">
        <f ca="1">OFFSET(table_1[treatment], 4 * (table_2_1[[#This Row],[index]] - 1), 0, 1, 1)</f>
        <v>cmv</v>
      </c>
      <c r="I37" t="str">
        <f ca="1">OFFSET(table_1[hguide], 4 * (table_2_1[[#This Row],[index]] - 1), 0, 1, 1)</f>
        <v>sgB</v>
      </c>
      <c r="J3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KO_sgB_R2_cmv_30bpDown</v>
      </c>
      <c r="K37" t="str" cm="1">
        <f t="array" aca="1" ref="K37" ca="1">OFFSET(table_1[[file_out]:[file_out]], 4 * (table_2_1[[#This Row],[index]:[index]] - 1) + COLUMN() - 11, 0, 1, 1)</f>
        <v>yjl312_KO_sgB_R2_cmv_30bpDown</v>
      </c>
      <c r="L37" t="str" cm="1">
        <f t="array" aca="1" ref="L37" ca="1">OFFSET(table_1[[file_out]:[file_out]], 4 * (table_2_1[[#This Row],[index]:[index]] - 1) + COLUMN() - 11, 0, 1, 1)</f>
        <v>yjl313_KO_sgB_R2_cmv_30bpDown</v>
      </c>
      <c r="M37" t="str" cm="1">
        <f t="array" aca="1" ref="M37" ca="1">OFFSET(table_1[[file_out]:[file_out]], 4 * (table_2_1[[#This Row],[index]:[index]] - 1) + COLUMN() - 11, 0, 1, 1)</f>
        <v>yjl314_KO_sgB_R2_cmv_30bpDown</v>
      </c>
      <c r="N37" t="str" cm="1">
        <f t="array" aca="1" ref="N37" ca="1">OFFSET(table_1[[file_out]:[file_out]], 4 * (table_2_1[[#This Row],[index]:[index]] - 1) + COLUMN() - 11, 0, 1, 1)</f>
        <v>yjl315_KO_sgB_R2_cmv_30bpDown</v>
      </c>
      <c r="O37" cm="1">
        <f t="array" aca="1" ref="O37" ca="1">OFFSET(table_1[[total_reads]:[total_reads]], 4 * (table_2_1[[#This Row],[index]:[index]] - 1) + COLUMN() - 15, 0, 1, 1)</f>
        <v>6718301</v>
      </c>
      <c r="P37" cm="1">
        <f t="array" aca="1" ref="P37" ca="1">OFFSET(table_1[[total_reads]:[total_reads]], 4 * (table_2_1[[#This Row],[index]:[index]] - 1) + COLUMN() - 15, 0, 1, 1)</f>
        <v>6435913</v>
      </c>
      <c r="Q37" cm="1">
        <f t="array" aca="1" ref="Q37" ca="1">OFFSET(table_1[[total_reads]:[total_reads]], 4 * (table_2_1[[#This Row],[index]:[index]] - 1) + COLUMN() - 15, 0, 1, 1)</f>
        <v>7285831</v>
      </c>
      <c r="R37" cm="1">
        <f t="array" aca="1" ref="R37" ca="1">OFFSET(table_1[[total_reads]:[total_reads]], 4 * (table_2_1[[#This Row],[index]:[index]] - 1) + COLUMN() - 15, 0, 1, 1)</f>
        <v>6372479</v>
      </c>
      <c r="S3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libraries_2/yjl312_KO_sgB_R2_cmv_30bpDown.tsv libraries_2/yjl313_KO_sgB_R2_cmv_30bpDown.tsv libraries_2/yjl314_KO_sgB_R2_cmv_30bpDown.tsv libraries_2/yjl315_KO_sgB_R2_cmv_30bpDown.tsv --total_reads 6718301 6435913 7285831 6372479 -o libraries_3/KO_sgB_R2_cmv_30bpDown.tsv --quiet </v>
      </c>
    </row>
    <row r="38" spans="1:19" x14ac:dyDescent="0.25">
      <c r="A38" s="1">
        <v>37</v>
      </c>
      <c r="B38" t="str">
        <f ca="1">OFFSET(table_1[ref], 4 * (table_2_1[[#This Row],[index]] - 1), 0, 1, 1)</f>
        <v>2DSBanti_R1_antisense.fa</v>
      </c>
      <c r="C38" t="str">
        <f ca="1">OFFSET(table_1[control], 4 * (table_2_1[[#This Row],[index]] - 1), 0, 1, 1)</f>
        <v>none</v>
      </c>
      <c r="D38" t="str">
        <f ca="1">OFFSET(table_1[dsb_type], 4 * (table_2_1[[#This Row],[index]] - 1), 0, 1, 1)</f>
        <v>2DSBanti</v>
      </c>
      <c r="E38">
        <f ca="1">OFFSET(table_1[dsb_pos], 4 * (table_2_1[[#This Row],[index]] - 1), 0, 1, 1)</f>
        <v>50</v>
      </c>
      <c r="F38" t="str">
        <f ca="1">OFFSET(table_1[cell], 4 * (table_2_1[[#This Row],[index]] - 1), 0, 1, 1)</f>
        <v>WT</v>
      </c>
      <c r="G38" t="str">
        <f ca="1">OFFSET(table_1[strand], 4 * (table_2_1[[#This Row],[index]] - 1), 0, 1, 1)</f>
        <v>R1</v>
      </c>
      <c r="H38" t="str">
        <f ca="1">OFFSET(table_1[treatment], 4 * (table_2_1[[#This Row],[index]] - 1), 0, 1, 1)</f>
        <v>antisense</v>
      </c>
      <c r="I38" t="str">
        <f ca="1">OFFSET(table_1[hguide], 4 * (table_2_1[[#This Row],[index]] - 1), 0, 1, 1)</f>
        <v>sgCD</v>
      </c>
      <c r="J3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WT_sgCD_R1_antisense</v>
      </c>
      <c r="K38" t="str" cm="1">
        <f t="array" aca="1" ref="K38" ca="1">OFFSET(table_1[[file_out]:[file_out]], 4 * (table_2_1[[#This Row],[index]:[index]] - 1) + COLUMN() - 11, 0, 1, 1)</f>
        <v>yjl89_WT_sgCD_R1_antisense</v>
      </c>
      <c r="L38" t="str" cm="1">
        <f t="array" aca="1" ref="L38" ca="1">OFFSET(table_1[[file_out]:[file_out]], 4 * (table_2_1[[#This Row],[index]:[index]] - 1) + COLUMN() - 11, 0, 1, 1)</f>
        <v>yjl90_WT_sgCD_R1_antisense</v>
      </c>
      <c r="M38" t="str" cm="1">
        <f t="array" aca="1" ref="M38" ca="1">OFFSET(table_1[[file_out]:[file_out]], 4 * (table_2_1[[#This Row],[index]:[index]] - 1) + COLUMN() - 11, 0, 1, 1)</f>
        <v>yjl91_WT_sgCD_R1_antisense</v>
      </c>
      <c r="N38" t="str" cm="1">
        <f t="array" aca="1" ref="N38" ca="1">OFFSET(table_1[[file_out]:[file_out]], 4 * (table_2_1[[#This Row],[index]:[index]] - 1) + COLUMN() - 11, 0, 1, 1)</f>
        <v>yjl92_WT_sgCD_R1_antisense</v>
      </c>
      <c r="O38" cm="1">
        <f t="array" aca="1" ref="O38" ca="1">OFFSET(table_1[[total_reads]:[total_reads]], 4 * (table_2_1[[#This Row],[index]:[index]] - 1) + COLUMN() - 15, 0, 1, 1)</f>
        <v>7813781</v>
      </c>
      <c r="P38" cm="1">
        <f t="array" aca="1" ref="P38" ca="1">OFFSET(table_1[[total_reads]:[total_reads]], 4 * (table_2_1[[#This Row],[index]:[index]] - 1) + COLUMN() - 15, 0, 1, 1)</f>
        <v>7486736</v>
      </c>
      <c r="Q38" cm="1">
        <f t="array" aca="1" ref="Q38" ca="1">OFFSET(table_1[[total_reads]:[total_reads]], 4 * (table_2_1[[#This Row],[index]:[index]] - 1) + COLUMN() - 15, 0, 1, 1)</f>
        <v>8114856</v>
      </c>
      <c r="R38" cm="1">
        <f t="array" aca="1" ref="R38" ca="1">OFFSET(table_1[[total_reads]:[total_reads]], 4 * (table_2_1[[#This Row],[index]:[index]] - 1) + COLUMN() - 15, 0, 1, 1)</f>
        <v>6586577</v>
      </c>
      <c r="S3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libraries_2/yjl89_WT_sgCD_R1_antisense.tsv libraries_2/yjl90_WT_sgCD_R1_antisense.tsv libraries_2/yjl91_WT_sgCD_R1_antisense.tsv libraries_2/yjl92_WT_sgCD_R1_antisense.tsv --total_reads 7813781 7486736 8114856 6586577 -o libraries_3/WT_sgCD_R1_antisense.tsv --quiet </v>
      </c>
    </row>
    <row r="39" spans="1:19" x14ac:dyDescent="0.25">
      <c r="A39" s="1">
        <v>38</v>
      </c>
      <c r="B39" t="str">
        <f ca="1">OFFSET(table_1[ref], 4 * (table_2_1[[#This Row],[index]] - 1), 0, 1, 1)</f>
        <v>2DSBanti_R1_splicing.fa</v>
      </c>
      <c r="C39" t="str">
        <f ca="1">OFFSET(table_1[control], 4 * (table_2_1[[#This Row],[index]] - 1), 0, 1, 1)</f>
        <v>none</v>
      </c>
      <c r="D39" t="str">
        <f ca="1">OFFSET(table_1[dsb_type], 4 * (table_2_1[[#This Row],[index]] - 1), 0, 1, 1)</f>
        <v>2DSBanti</v>
      </c>
      <c r="E39">
        <f ca="1">OFFSET(table_1[dsb_pos], 4 * (table_2_1[[#This Row],[index]] - 1), 0, 1, 1)</f>
        <v>50</v>
      </c>
      <c r="F39" t="str">
        <f ca="1">OFFSET(table_1[cell], 4 * (table_2_1[[#This Row],[index]] - 1), 0, 1, 1)</f>
        <v>WT</v>
      </c>
      <c r="G39" t="str">
        <f ca="1">OFFSET(table_1[strand], 4 * (table_2_1[[#This Row],[index]] - 1), 0, 1, 1)</f>
        <v>R1</v>
      </c>
      <c r="H39" t="str">
        <f ca="1">OFFSET(table_1[treatment], 4 * (table_2_1[[#This Row],[index]] - 1), 0, 1, 1)</f>
        <v>splicing</v>
      </c>
      <c r="I39" t="str">
        <f ca="1">OFFSET(table_1[hguide], 4 * (table_2_1[[#This Row],[index]] - 1), 0, 1, 1)</f>
        <v>sgCD</v>
      </c>
      <c r="J3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WT_sgCD_R1_splicing</v>
      </c>
      <c r="K39" t="str" cm="1">
        <f t="array" aca="1" ref="K39" ca="1">OFFSET(table_1[[file_out]:[file_out]], 4 * (table_2_1[[#This Row],[index]:[index]] - 1) + COLUMN() - 11, 0, 1, 1)</f>
        <v>yjl93_WT_sgCD_R1_splicing</v>
      </c>
      <c r="L39" t="str" cm="1">
        <f t="array" aca="1" ref="L39" ca="1">OFFSET(table_1[[file_out]:[file_out]], 4 * (table_2_1[[#This Row],[index]:[index]] - 1) + COLUMN() - 11, 0, 1, 1)</f>
        <v>yjl94_WT_sgCD_R1_splicing</v>
      </c>
      <c r="M39" t="str" cm="1">
        <f t="array" aca="1" ref="M39" ca="1">OFFSET(table_1[[file_out]:[file_out]], 4 * (table_2_1[[#This Row],[index]:[index]] - 1) + COLUMN() - 11, 0, 1, 1)</f>
        <v>yjl95_WT_sgCD_R1_splicing</v>
      </c>
      <c r="N39" t="str" cm="1">
        <f t="array" aca="1" ref="N39" ca="1">OFFSET(table_1[[file_out]:[file_out]], 4 * (table_2_1[[#This Row],[index]:[index]] - 1) + COLUMN() - 11, 0, 1, 1)</f>
        <v>yjl96_WT_sgCD_R1_splicing</v>
      </c>
      <c r="O39" cm="1">
        <f t="array" aca="1" ref="O39" ca="1">OFFSET(table_1[[total_reads]:[total_reads]], 4 * (table_2_1[[#This Row],[index]:[index]] - 1) + COLUMN() - 15, 0, 1, 1)</f>
        <v>9334492</v>
      </c>
      <c r="P39" cm="1">
        <f t="array" aca="1" ref="P39" ca="1">OFFSET(table_1[[total_reads]:[total_reads]], 4 * (table_2_1[[#This Row],[index]:[index]] - 1) + COLUMN() - 15, 0, 1, 1)</f>
        <v>9142001</v>
      </c>
      <c r="Q39" cm="1">
        <f t="array" aca="1" ref="Q39" ca="1">OFFSET(table_1[[total_reads]:[total_reads]], 4 * (table_2_1[[#This Row],[index]:[index]] - 1) + COLUMN() - 15, 0, 1, 1)</f>
        <v>8497185</v>
      </c>
      <c r="R39" cm="1">
        <f t="array" aca="1" ref="R39" ca="1">OFFSET(table_1[[total_reads]:[total_reads]], 4 * (table_2_1[[#This Row],[index]:[index]] - 1) + COLUMN() - 15, 0, 1, 1)</f>
        <v>8346242</v>
      </c>
      <c r="S3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libraries_2/yjl93_WT_sgCD_R1_splicing.tsv libraries_2/yjl94_WT_sgCD_R1_splicing.tsv libraries_2/yjl95_WT_sgCD_R1_splicing.tsv libraries_2/yjl96_WT_sgCD_R1_splicing.tsv --total_reads 9334492 9142001 8497185 8346242 -o libraries_3/WT_sgCD_R1_splicing.tsv --quiet </v>
      </c>
    </row>
    <row r="40" spans="1:19" x14ac:dyDescent="0.25">
      <c r="A40" s="1">
        <v>39</v>
      </c>
      <c r="B40" t="str">
        <f ca="1">OFFSET(table_1[ref], 4 * (table_2_1[[#This Row],[index]] - 1), 0, 1, 1)</f>
        <v>2DSBanti_R2_antisense.fa</v>
      </c>
      <c r="C40" t="str">
        <f ca="1">OFFSET(table_1[control], 4 * (table_2_1[[#This Row],[index]] - 1), 0, 1, 1)</f>
        <v>none</v>
      </c>
      <c r="D40" t="str">
        <f ca="1">OFFSET(table_1[dsb_type], 4 * (table_2_1[[#This Row],[index]] - 1), 0, 1, 1)</f>
        <v>2DSBanti</v>
      </c>
      <c r="E40">
        <f ca="1">OFFSET(table_1[dsb_pos], 4 * (table_2_1[[#This Row],[index]] - 1), 0, 1, 1)</f>
        <v>47</v>
      </c>
      <c r="F40" t="str">
        <f ca="1">OFFSET(table_1[cell], 4 * (table_2_1[[#This Row],[index]] - 1), 0, 1, 1)</f>
        <v>WT</v>
      </c>
      <c r="G40" t="str">
        <f ca="1">OFFSET(table_1[strand], 4 * (table_2_1[[#This Row],[index]] - 1), 0, 1, 1)</f>
        <v>R2</v>
      </c>
      <c r="H40" t="str">
        <f ca="1">OFFSET(table_1[treatment], 4 * (table_2_1[[#This Row],[index]] - 1), 0, 1, 1)</f>
        <v>antisense</v>
      </c>
      <c r="I40" t="str">
        <f ca="1">OFFSET(table_1[hguide], 4 * (table_2_1[[#This Row],[index]] - 1), 0, 1, 1)</f>
        <v>sgCD</v>
      </c>
      <c r="J4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WT_sgCD_R2_antisense</v>
      </c>
      <c r="K40" t="str" cm="1">
        <f t="array" aca="1" ref="K40" ca="1">OFFSET(table_1[[file_out]:[file_out]], 4 * (table_2_1[[#This Row],[index]:[index]] - 1) + COLUMN() - 11, 0, 1, 1)</f>
        <v>yjl89_WT_sgCD_R2_antisense</v>
      </c>
      <c r="L40" t="str" cm="1">
        <f t="array" aca="1" ref="L40" ca="1">OFFSET(table_1[[file_out]:[file_out]], 4 * (table_2_1[[#This Row],[index]:[index]] - 1) + COLUMN() - 11, 0, 1, 1)</f>
        <v>yjl90_WT_sgCD_R2_antisense</v>
      </c>
      <c r="M40" t="str" cm="1">
        <f t="array" aca="1" ref="M40" ca="1">OFFSET(table_1[[file_out]:[file_out]], 4 * (table_2_1[[#This Row],[index]:[index]] - 1) + COLUMN() - 11, 0, 1, 1)</f>
        <v>yjl91_WT_sgCD_R2_antisense</v>
      </c>
      <c r="N40" t="str" cm="1">
        <f t="array" aca="1" ref="N40" ca="1">OFFSET(table_1[[file_out]:[file_out]], 4 * (table_2_1[[#This Row],[index]:[index]] - 1) + COLUMN() - 11, 0, 1, 1)</f>
        <v>yjl92_WT_sgCD_R2_antisense</v>
      </c>
      <c r="O40" cm="1">
        <f t="array" aca="1" ref="O40" ca="1">OFFSET(table_1[[total_reads]:[total_reads]], 4 * (table_2_1[[#This Row],[index]:[index]] - 1) + COLUMN() - 15, 0, 1, 1)</f>
        <v>7813781</v>
      </c>
      <c r="P40" cm="1">
        <f t="array" aca="1" ref="P40" ca="1">OFFSET(table_1[[total_reads]:[total_reads]], 4 * (table_2_1[[#This Row],[index]:[index]] - 1) + COLUMN() - 15, 0, 1, 1)</f>
        <v>7486736</v>
      </c>
      <c r="Q40" cm="1">
        <f t="array" aca="1" ref="Q40" ca="1">OFFSET(table_1[[total_reads]:[total_reads]], 4 * (table_2_1[[#This Row],[index]:[index]] - 1) + COLUMN() - 15, 0, 1, 1)</f>
        <v>8114856</v>
      </c>
      <c r="R40" cm="1">
        <f t="array" aca="1" ref="R40" ca="1">OFFSET(table_1[[total_reads]:[total_reads]], 4 * (table_2_1[[#This Row],[index]:[index]] - 1) + COLUMN() - 15, 0, 1, 1)</f>
        <v>6586577</v>
      </c>
      <c r="S4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libraries_2/yjl89_WT_sgCD_R2_antisense.tsv libraries_2/yjl90_WT_sgCD_R2_antisense.tsv libraries_2/yjl91_WT_sgCD_R2_antisense.tsv libraries_2/yjl92_WT_sgCD_R2_antisense.tsv --total_reads 7813781 7486736 8114856 6586577 -o libraries_3/WT_sgCD_R2_antisense.tsv --quiet </v>
      </c>
    </row>
    <row r="41" spans="1:19" x14ac:dyDescent="0.25">
      <c r="A41" s="1">
        <v>40</v>
      </c>
      <c r="B41" t="str">
        <f ca="1">OFFSET(table_1[ref], 4 * (table_2_1[[#This Row],[index]] - 1), 0, 1, 1)</f>
        <v>2DSBanti_R2_splicing.fa</v>
      </c>
      <c r="C41" t="str">
        <f ca="1">OFFSET(table_1[control], 4 * (table_2_1[[#This Row],[index]] - 1), 0, 1, 1)</f>
        <v>none</v>
      </c>
      <c r="D41" t="str">
        <f ca="1">OFFSET(table_1[dsb_type], 4 * (table_2_1[[#This Row],[index]] - 1), 0, 1, 1)</f>
        <v>2DSBanti</v>
      </c>
      <c r="E41">
        <f ca="1">OFFSET(table_1[dsb_pos], 4 * (table_2_1[[#This Row],[index]] - 1), 0, 1, 1)</f>
        <v>47</v>
      </c>
      <c r="F41" t="str">
        <f ca="1">OFFSET(table_1[cell], 4 * (table_2_1[[#This Row],[index]] - 1), 0, 1, 1)</f>
        <v>WT</v>
      </c>
      <c r="G41" t="str">
        <f ca="1">OFFSET(table_1[strand], 4 * (table_2_1[[#This Row],[index]] - 1), 0, 1, 1)</f>
        <v>R2</v>
      </c>
      <c r="H41" t="str">
        <f ca="1">OFFSET(table_1[treatment], 4 * (table_2_1[[#This Row],[index]] - 1), 0, 1, 1)</f>
        <v>splicing</v>
      </c>
      <c r="I41" t="str">
        <f ca="1">OFFSET(table_1[hguide], 4 * (table_2_1[[#This Row],[index]] - 1), 0, 1, 1)</f>
        <v>sgCD</v>
      </c>
      <c r="J4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WT_sgCD_R2_splicing</v>
      </c>
      <c r="K41" t="str" cm="1">
        <f t="array" aca="1" ref="K41" ca="1">OFFSET(table_1[[file_out]:[file_out]], 4 * (table_2_1[[#This Row],[index]:[index]] - 1) + COLUMN() - 11, 0, 1, 1)</f>
        <v>yjl93_WT_sgCD_R2_splicing</v>
      </c>
      <c r="L41" t="str" cm="1">
        <f t="array" aca="1" ref="L41" ca="1">OFFSET(table_1[[file_out]:[file_out]], 4 * (table_2_1[[#This Row],[index]:[index]] - 1) + COLUMN() - 11, 0, 1, 1)</f>
        <v>yjl94_WT_sgCD_R2_splicing</v>
      </c>
      <c r="M41" t="str" cm="1">
        <f t="array" aca="1" ref="M41" ca="1">OFFSET(table_1[[file_out]:[file_out]], 4 * (table_2_1[[#This Row],[index]:[index]] - 1) + COLUMN() - 11, 0, 1, 1)</f>
        <v>yjl95_WT_sgCD_R2_splicing</v>
      </c>
      <c r="N41" t="str" cm="1">
        <f t="array" aca="1" ref="N41" ca="1">OFFSET(table_1[[file_out]:[file_out]], 4 * (table_2_1[[#This Row],[index]:[index]] - 1) + COLUMN() - 11, 0, 1, 1)</f>
        <v>yjl96_WT_sgCD_R2_splicing</v>
      </c>
      <c r="O41" cm="1">
        <f t="array" aca="1" ref="O41" ca="1">OFFSET(table_1[[total_reads]:[total_reads]], 4 * (table_2_1[[#This Row],[index]:[index]] - 1) + COLUMN() - 15, 0, 1, 1)</f>
        <v>9334492</v>
      </c>
      <c r="P41" cm="1">
        <f t="array" aca="1" ref="P41" ca="1">OFFSET(table_1[[total_reads]:[total_reads]], 4 * (table_2_1[[#This Row],[index]:[index]] - 1) + COLUMN() - 15, 0, 1, 1)</f>
        <v>9142001</v>
      </c>
      <c r="Q41" cm="1">
        <f t="array" aca="1" ref="Q41" ca="1">OFFSET(table_1[[total_reads]:[total_reads]], 4 * (table_2_1[[#This Row],[index]:[index]] - 1) + COLUMN() - 15, 0, 1, 1)</f>
        <v>8497185</v>
      </c>
      <c r="R41" cm="1">
        <f t="array" aca="1" ref="R41" ca="1">OFFSET(table_1[[total_reads]:[total_reads]], 4 * (table_2_1[[#This Row],[index]:[index]] - 1) + COLUMN() - 15, 0, 1, 1)</f>
        <v>8346242</v>
      </c>
      <c r="S4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libraries_2/yjl93_WT_sgCD_R2_splicing.tsv libraries_2/yjl94_WT_sgCD_R2_splicing.tsv libraries_2/yjl95_WT_sgCD_R2_splicing.tsv libraries_2/yjl96_WT_sgCD_R2_splicing.tsv --total_reads 9334492 9142001 8497185 8346242 -o libraries_3/WT_sgCD_R2_splicing.tsv --quiet </v>
      </c>
    </row>
    <row r="42" spans="1:19" x14ac:dyDescent="0.25">
      <c r="A42" s="1"/>
    </row>
    <row r="43" spans="1:19" x14ac:dyDescent="0.25">
      <c r="A43">
        <v>160</v>
      </c>
    </row>
    <row r="44" spans="1:19" x14ac:dyDescent="0.25">
      <c r="A44" t="s">
        <v>112</v>
      </c>
      <c r="B44" t="s">
        <v>86</v>
      </c>
      <c r="C44" t="s">
        <v>134</v>
      </c>
      <c r="D44" t="s">
        <v>102</v>
      </c>
      <c r="E44" t="s">
        <v>101</v>
      </c>
      <c r="F44" t="s">
        <v>104</v>
      </c>
      <c r="G44" t="s">
        <v>82</v>
      </c>
      <c r="H44" t="s">
        <v>81</v>
      </c>
      <c r="I44" t="s">
        <v>103</v>
      </c>
      <c r="J44" t="s">
        <v>139</v>
      </c>
      <c r="K44" t="s">
        <v>138</v>
      </c>
      <c r="L44" t="s">
        <v>92</v>
      </c>
      <c r="M44" t="s">
        <v>168</v>
      </c>
    </row>
    <row r="45" spans="1:19" x14ac:dyDescent="0.25">
      <c r="A45" s="1">
        <v>1</v>
      </c>
      <c r="B45" t="str">
        <f ca="1">OFFSET(table_1[ref], table_2_2[[#This Row],[index]] +  var_2_nodsb_offset - 1, 0, 1, 1)</f>
        <v>1DSB_R1_sense.fa</v>
      </c>
      <c r="C45" t="str">
        <f ca="1">OFFSET(table_1[control], table_2_2[[#This Row],[index]] +  var_2_nodsb_offset - 1, 0, 1, 1)</f>
        <v>noDSB</v>
      </c>
      <c r="D45" t="str">
        <f ca="1">OFFSET(table_1[dsb_type], table_2_2[[#This Row],[index]] +  var_2_nodsb_offset - 1, 0, 1, 1)</f>
        <v>1DSB</v>
      </c>
      <c r="E45">
        <f ca="1">OFFSET(table_1[dsb_pos], table_2_2[[#This Row],[index]] +  var_2_nodsb_offset - 1, 0, 1, 1)</f>
        <v>67</v>
      </c>
      <c r="F45" t="str">
        <f ca="1">OFFSET(table_1[cell], table_2_2[[#This Row],[index]] +  var_2_nodsb_offset - 1, 0, 1, 1)</f>
        <v>WT</v>
      </c>
      <c r="G45" t="str">
        <f ca="1">OFFSET(table_1[strand], table_2_2[[#This Row],[index]] +  var_2_nodsb_offset - 1, 0, 1, 1)</f>
        <v>R1</v>
      </c>
      <c r="H45" t="str">
        <f ca="1">OFFSET(table_1[treatment], table_2_2[[#This Row],[index]] +  var_2_nodsb_offset - 1, 0, 1, 1)</f>
        <v>sense</v>
      </c>
      <c r="I45" t="str">
        <f ca="1">OFFSET(table_1[hguide], table_2_2[[#This Row],[index]] +  var_2_nodsb_offset - 1, 0, 1, 1)</f>
        <v>sgA</v>
      </c>
      <c r="J45" t="str">
        <f ca="1">_xlfn.CONCAT(table_2_2[[#This Row],[cell]], "_", table_2_2[[#This Row],[hguide]], "_", table_2_2[[#This Row],[strand]], "_", table_2_2[[#This Row],[treatment]], "_nodsb")</f>
        <v>WT_sgA_R1_sense_nodsb</v>
      </c>
      <c r="K45" t="str">
        <f ca="1">OFFSET(table_1[file_out], table_2_2[[#This Row],[index]] +  var_2_nodsb_offset - 1, 0, 1, 1)</f>
        <v>yjl244_WT_sgA_R1_sense_noDSB</v>
      </c>
      <c r="L45">
        <f ca="1">OFFSET(table_1[total_reads], table_2_2[[#This Row],[index]] +  var_2_nodsb_offset - 1, 0, 1, 1)</f>
        <v>10005232</v>
      </c>
      <c r="M4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 ca="1">OFFSET(table_1[ref], table_2_2[[#This Row],[index]] +  var_2_nodsb_offset - 1, 0, 1, 1)</f>
        <v>1DSB_R1_branch.fa</v>
      </c>
      <c r="C46" t="str">
        <f ca="1">OFFSET(table_1[control], table_2_2[[#This Row],[index]] +  var_2_nodsb_offset - 1, 0, 1, 1)</f>
        <v>noDSB</v>
      </c>
      <c r="D46" t="str">
        <f ca="1">OFFSET(table_1[dsb_type], table_2_2[[#This Row],[index]] +  var_2_nodsb_offset - 1, 0, 1, 1)</f>
        <v>1DSB</v>
      </c>
      <c r="E46">
        <f ca="1">OFFSET(table_1[dsb_pos], table_2_2[[#This Row],[index]] +  var_2_nodsb_offset - 1, 0, 1, 1)</f>
        <v>67</v>
      </c>
      <c r="F46" t="str">
        <f ca="1">OFFSET(table_1[cell], table_2_2[[#This Row],[index]] +  var_2_nodsb_offset - 1, 0, 1, 1)</f>
        <v>WT</v>
      </c>
      <c r="G46" t="str">
        <f ca="1">OFFSET(table_1[strand], table_2_2[[#This Row],[index]] +  var_2_nodsb_offset - 1, 0, 1, 1)</f>
        <v>R1</v>
      </c>
      <c r="H46" t="str">
        <f ca="1">OFFSET(table_1[treatment], table_2_2[[#This Row],[index]] +  var_2_nodsb_offset - 1, 0, 1, 1)</f>
        <v>branch</v>
      </c>
      <c r="I46" t="str">
        <f ca="1">OFFSET(table_1[hguide], table_2_2[[#This Row],[index]] +  var_2_nodsb_offset - 1, 0, 1, 1)</f>
        <v>sgA</v>
      </c>
      <c r="J46" t="str">
        <f ca="1">_xlfn.CONCAT(table_2_2[[#This Row],[cell]], "_", table_2_2[[#This Row],[hguide]], "_", table_2_2[[#This Row],[strand]], "_", table_2_2[[#This Row],[treatment]], "_nodsb")</f>
        <v>WT_sgA_R1_branch_nodsb</v>
      </c>
      <c r="K46" t="str">
        <f ca="1">OFFSET(table_1[file_out], table_2_2[[#This Row],[index]] +  var_2_nodsb_offset - 1, 0, 1, 1)</f>
        <v>yjl245_WT_sgA_R1_branch_noDSB</v>
      </c>
      <c r="L46">
        <f ca="1">OFFSET(table_1[total_reads], table_2_2[[#This Row],[index]] +  var_2_nodsb_offset - 1, 0, 1, 1)</f>
        <v>12898941</v>
      </c>
      <c r="M4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 ca="1">OFFSET(table_1[ref], table_2_2[[#This Row],[index]] +  var_2_nodsb_offset - 1, 0, 1, 1)</f>
        <v>1DSB_R1_cmv.fa</v>
      </c>
      <c r="C47" t="str">
        <f ca="1">OFFSET(table_1[control], table_2_2[[#This Row],[index]] +  var_2_nodsb_offset - 1, 0, 1, 1)</f>
        <v>noDSB</v>
      </c>
      <c r="D47" t="str">
        <f ca="1">OFFSET(table_1[dsb_type], table_2_2[[#This Row],[index]] +  var_2_nodsb_offset - 1, 0, 1, 1)</f>
        <v>1DSB</v>
      </c>
      <c r="E47">
        <f ca="1">OFFSET(table_1[dsb_pos], table_2_2[[#This Row],[index]] +  var_2_nodsb_offset - 1, 0, 1, 1)</f>
        <v>67</v>
      </c>
      <c r="F47" t="str">
        <f ca="1">OFFSET(table_1[cell], table_2_2[[#This Row],[index]] +  var_2_nodsb_offset - 1, 0, 1, 1)</f>
        <v>WT</v>
      </c>
      <c r="G47" t="str">
        <f ca="1">OFFSET(table_1[strand], table_2_2[[#This Row],[index]] +  var_2_nodsb_offset - 1, 0, 1, 1)</f>
        <v>R1</v>
      </c>
      <c r="H47" t="str">
        <f ca="1">OFFSET(table_1[treatment], table_2_2[[#This Row],[index]] +  var_2_nodsb_offset - 1, 0, 1, 1)</f>
        <v>cmv</v>
      </c>
      <c r="I47" t="str">
        <f ca="1">OFFSET(table_1[hguide], table_2_2[[#This Row],[index]] +  var_2_nodsb_offset - 1, 0, 1, 1)</f>
        <v>sgA</v>
      </c>
      <c r="J47" t="str">
        <f ca="1">_xlfn.CONCAT(table_2_2[[#This Row],[cell]], "_", table_2_2[[#This Row],[hguide]], "_", table_2_2[[#This Row],[strand]], "_", table_2_2[[#This Row],[treatment]], "_nodsb")</f>
        <v>WT_sgA_R1_cmv_nodsb</v>
      </c>
      <c r="K47" t="str">
        <f ca="1">OFFSET(table_1[file_out], table_2_2[[#This Row],[index]] +  var_2_nodsb_offset - 1, 0, 1, 1)</f>
        <v>yjl246_WT_sgA_R1_cmv_noDSB</v>
      </c>
      <c r="L47">
        <f ca="1">OFFSET(table_1[total_reads], table_2_2[[#This Row],[index]] +  var_2_nodsb_offset - 1, 0, 1, 1)</f>
        <v>10217401</v>
      </c>
      <c r="M47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 ca="1">OFFSET(table_1[ref], table_2_2[[#This Row],[index]] +  var_2_nodsb_offset - 1, 0, 1, 1)</f>
        <v>1DSB_R1_sense.fa</v>
      </c>
      <c r="C48" t="str">
        <f ca="1">OFFSET(table_1[control], table_2_2[[#This Row],[index]] +  var_2_nodsb_offset - 1, 0, 1, 1)</f>
        <v>noDSB</v>
      </c>
      <c r="D48" t="str">
        <f ca="1">OFFSET(table_1[dsb_type], table_2_2[[#This Row],[index]] +  var_2_nodsb_offset - 1, 0, 1, 1)</f>
        <v>1DSB</v>
      </c>
      <c r="E48">
        <f ca="1">OFFSET(table_1[dsb_pos], table_2_2[[#This Row],[index]] +  var_2_nodsb_offset - 1, 0, 1, 1)</f>
        <v>67</v>
      </c>
      <c r="F48" t="str">
        <f ca="1">OFFSET(table_1[cell], table_2_2[[#This Row],[index]] +  var_2_nodsb_offset - 1, 0, 1, 1)</f>
        <v>KO</v>
      </c>
      <c r="G48" t="str">
        <f ca="1">OFFSET(table_1[strand], table_2_2[[#This Row],[index]] +  var_2_nodsb_offset - 1, 0, 1, 1)</f>
        <v>R1</v>
      </c>
      <c r="H48" t="str">
        <f ca="1">OFFSET(table_1[treatment], table_2_2[[#This Row],[index]] +  var_2_nodsb_offset - 1, 0, 1, 1)</f>
        <v>sense</v>
      </c>
      <c r="I48" t="str">
        <f ca="1">OFFSET(table_1[hguide], table_2_2[[#This Row],[index]] +  var_2_nodsb_offset - 1, 0, 1, 1)</f>
        <v>sgA</v>
      </c>
      <c r="J48" t="str">
        <f ca="1">_xlfn.CONCAT(table_2_2[[#This Row],[cell]], "_", table_2_2[[#This Row],[hguide]], "_", table_2_2[[#This Row],[strand]], "_", table_2_2[[#This Row],[treatment]], "_nodsb")</f>
        <v>KO_sgA_R1_sense_nodsb</v>
      </c>
      <c r="K48" t="str">
        <f ca="1">OFFSET(table_1[file_out], table_2_2[[#This Row],[index]] +  var_2_nodsb_offset - 1, 0, 1, 1)</f>
        <v>yjl281_KO_sgA_R1_sense_noDSB</v>
      </c>
      <c r="L48">
        <f ca="1">OFFSET(table_1[total_reads], table_2_2[[#This Row],[index]] +  var_2_nodsb_offset - 1, 0, 1, 1)</f>
        <v>7424148</v>
      </c>
      <c r="M48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 ca="1">OFFSET(table_1[ref], table_2_2[[#This Row],[index]] +  var_2_nodsb_offset - 1, 0, 1, 1)</f>
        <v>1DSB_R1_branch.fa</v>
      </c>
      <c r="C49" t="str">
        <f ca="1">OFFSET(table_1[control], table_2_2[[#This Row],[index]] +  var_2_nodsb_offset - 1, 0, 1, 1)</f>
        <v>noDSB</v>
      </c>
      <c r="D49" t="str">
        <f ca="1">OFFSET(table_1[dsb_type], table_2_2[[#This Row],[index]] +  var_2_nodsb_offset - 1, 0, 1, 1)</f>
        <v>1DSB</v>
      </c>
      <c r="E49">
        <f ca="1">OFFSET(table_1[dsb_pos], table_2_2[[#This Row],[index]] +  var_2_nodsb_offset - 1, 0, 1, 1)</f>
        <v>67</v>
      </c>
      <c r="F49" t="str">
        <f ca="1">OFFSET(table_1[cell], table_2_2[[#This Row],[index]] +  var_2_nodsb_offset - 1, 0, 1, 1)</f>
        <v>KO</v>
      </c>
      <c r="G49" t="str">
        <f ca="1">OFFSET(table_1[strand], table_2_2[[#This Row],[index]] +  var_2_nodsb_offset - 1, 0, 1, 1)</f>
        <v>R1</v>
      </c>
      <c r="H49" t="str">
        <f ca="1">OFFSET(table_1[treatment], table_2_2[[#This Row],[index]] +  var_2_nodsb_offset - 1, 0, 1, 1)</f>
        <v>branch</v>
      </c>
      <c r="I49" t="str">
        <f ca="1">OFFSET(table_1[hguide], table_2_2[[#This Row],[index]] +  var_2_nodsb_offset - 1, 0, 1, 1)</f>
        <v>sgA</v>
      </c>
      <c r="J49" t="str">
        <f ca="1">_xlfn.CONCAT(table_2_2[[#This Row],[cell]], "_", table_2_2[[#This Row],[hguide]], "_", table_2_2[[#This Row],[strand]], "_", table_2_2[[#This Row],[treatment]], "_nodsb")</f>
        <v>KO_sgA_R1_branch_nodsb</v>
      </c>
      <c r="K49" t="str">
        <f ca="1">OFFSET(table_1[file_out], table_2_2[[#This Row],[index]] +  var_2_nodsb_offset - 1, 0, 1, 1)</f>
        <v>yjl282_KO_sgA_R1_branch_noDSB</v>
      </c>
      <c r="L49">
        <f ca="1">OFFSET(table_1[total_reads], table_2_2[[#This Row],[index]] +  var_2_nodsb_offset - 1, 0, 1, 1)</f>
        <v>10190833</v>
      </c>
      <c r="M49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 ca="1">OFFSET(table_1[ref], table_2_2[[#This Row],[index]] +  var_2_nodsb_offset - 1, 0, 1, 1)</f>
        <v>1DSB_R1_cmv.fa</v>
      </c>
      <c r="C50" t="str">
        <f ca="1">OFFSET(table_1[control], table_2_2[[#This Row],[index]] +  var_2_nodsb_offset - 1, 0, 1, 1)</f>
        <v>noDSB</v>
      </c>
      <c r="D50" t="str">
        <f ca="1">OFFSET(table_1[dsb_type], table_2_2[[#This Row],[index]] +  var_2_nodsb_offset - 1, 0, 1, 1)</f>
        <v>1DSB</v>
      </c>
      <c r="E50">
        <f ca="1">OFFSET(table_1[dsb_pos], table_2_2[[#This Row],[index]] +  var_2_nodsb_offset - 1, 0, 1, 1)</f>
        <v>67</v>
      </c>
      <c r="F50" t="str">
        <f ca="1">OFFSET(table_1[cell], table_2_2[[#This Row],[index]] +  var_2_nodsb_offset - 1, 0, 1, 1)</f>
        <v>KO</v>
      </c>
      <c r="G50" t="str">
        <f ca="1">OFFSET(table_1[strand], table_2_2[[#This Row],[index]] +  var_2_nodsb_offset - 1, 0, 1, 1)</f>
        <v>R1</v>
      </c>
      <c r="H50" t="str">
        <f ca="1">OFFSET(table_1[treatment], table_2_2[[#This Row],[index]] +  var_2_nodsb_offset - 1, 0, 1, 1)</f>
        <v>cmv</v>
      </c>
      <c r="I50" t="str">
        <f ca="1">OFFSET(table_1[hguide], table_2_2[[#This Row],[index]] +  var_2_nodsb_offset - 1, 0, 1, 1)</f>
        <v>sgA</v>
      </c>
      <c r="J50" t="str">
        <f ca="1">_xlfn.CONCAT(table_2_2[[#This Row],[cell]], "_", table_2_2[[#This Row],[hguide]], "_", table_2_2[[#This Row],[strand]], "_", table_2_2[[#This Row],[treatment]], "_nodsb")</f>
        <v>KO_sgA_R1_cmv_nodsb</v>
      </c>
      <c r="K50" t="str">
        <f ca="1">OFFSET(table_1[file_out], table_2_2[[#This Row],[index]] +  var_2_nodsb_offset - 1, 0, 1, 1)</f>
        <v>yjl283_KO_sgA_R1_cmv_noDSB</v>
      </c>
      <c r="L50">
        <f ca="1">OFFSET(table_1[total_reads], table_2_2[[#This Row],[index]] +  var_2_nodsb_offset - 1, 0, 1, 1)</f>
        <v>7763439</v>
      </c>
      <c r="M50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 ca="1">OFFSET(table_1[ref], table_2_2[[#This Row],[index]] +  var_2_nodsb_offset - 1, 0, 1, 1)</f>
        <v>1DSB_R2_sense.fa</v>
      </c>
      <c r="C51" t="str">
        <f ca="1">OFFSET(table_1[control], table_2_2[[#This Row],[index]] +  var_2_nodsb_offset - 1, 0, 1, 1)</f>
        <v>noDSB</v>
      </c>
      <c r="D51" t="str">
        <f ca="1">OFFSET(table_1[dsb_type], table_2_2[[#This Row],[index]] +  var_2_nodsb_offset - 1, 0, 1, 1)</f>
        <v>1DSB</v>
      </c>
      <c r="E51">
        <f ca="1">OFFSET(table_1[dsb_pos], table_2_2[[#This Row],[index]] +  var_2_nodsb_offset - 1, 0, 1, 1)</f>
        <v>46</v>
      </c>
      <c r="F51" t="str">
        <f ca="1">OFFSET(table_1[cell], table_2_2[[#This Row],[index]] +  var_2_nodsb_offset - 1, 0, 1, 1)</f>
        <v>WT</v>
      </c>
      <c r="G51" t="str">
        <f ca="1">OFFSET(table_1[strand], table_2_2[[#This Row],[index]] +  var_2_nodsb_offset - 1, 0, 1, 1)</f>
        <v>R2</v>
      </c>
      <c r="H51" t="str">
        <f ca="1">OFFSET(table_1[treatment], table_2_2[[#This Row],[index]] +  var_2_nodsb_offset - 1, 0, 1, 1)</f>
        <v>sense</v>
      </c>
      <c r="I51" t="str">
        <f ca="1">OFFSET(table_1[hguide], table_2_2[[#This Row],[index]] +  var_2_nodsb_offset - 1, 0, 1, 1)</f>
        <v>sgB</v>
      </c>
      <c r="J51" t="str">
        <f ca="1">_xlfn.CONCAT(table_2_2[[#This Row],[cell]], "_", table_2_2[[#This Row],[hguide]], "_", table_2_2[[#This Row],[strand]], "_", table_2_2[[#This Row],[treatment]], "_nodsb")</f>
        <v>WT_sgB_R2_sense_nodsb</v>
      </c>
      <c r="K51" t="str">
        <f ca="1">OFFSET(table_1[file_out], table_2_2[[#This Row],[index]] +  var_2_nodsb_offset - 1, 0, 1, 1)</f>
        <v>yjl244_WT_sgB_R2_sense_noDSB</v>
      </c>
      <c r="L51">
        <f ca="1">OFFSET(table_1[total_reads], table_2_2[[#This Row],[index]] +  var_2_nodsb_offset - 1, 0, 1, 1)</f>
        <v>9354510</v>
      </c>
      <c r="M51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libraries_2/yjl244_WT_sgB_R2_sense_noDSB.tsv  --total_reads 9354510 -o libraries_3/WT_sgB_R2_sense_nodsb.tsv --quiet </v>
      </c>
    </row>
    <row r="52" spans="1:13" x14ac:dyDescent="0.25">
      <c r="A52" s="1">
        <v>8</v>
      </c>
      <c r="B52" t="str">
        <f ca="1">OFFSET(table_1[ref], table_2_2[[#This Row],[index]] +  var_2_nodsb_offset - 1, 0, 1, 1)</f>
        <v>1DSB_R2_branch.fa</v>
      </c>
      <c r="C52" t="str">
        <f ca="1">OFFSET(table_1[control], table_2_2[[#This Row],[index]] +  var_2_nodsb_offset - 1, 0, 1, 1)</f>
        <v>noDSB</v>
      </c>
      <c r="D52" t="str">
        <f ca="1">OFFSET(table_1[dsb_type], table_2_2[[#This Row],[index]] +  var_2_nodsb_offset - 1, 0, 1, 1)</f>
        <v>1DSB</v>
      </c>
      <c r="E52">
        <f ca="1">OFFSET(table_1[dsb_pos], table_2_2[[#This Row],[index]] +  var_2_nodsb_offset - 1, 0, 1, 1)</f>
        <v>46</v>
      </c>
      <c r="F52" t="str">
        <f ca="1">OFFSET(table_1[cell], table_2_2[[#This Row],[index]] +  var_2_nodsb_offset - 1, 0, 1, 1)</f>
        <v>WT</v>
      </c>
      <c r="G52" t="str">
        <f ca="1">OFFSET(table_1[strand], table_2_2[[#This Row],[index]] +  var_2_nodsb_offset - 1, 0, 1, 1)</f>
        <v>R2</v>
      </c>
      <c r="H52" t="str">
        <f ca="1">OFFSET(table_1[treatment], table_2_2[[#This Row],[index]] +  var_2_nodsb_offset - 1, 0, 1, 1)</f>
        <v>branch</v>
      </c>
      <c r="I52" t="str">
        <f ca="1">OFFSET(table_1[hguide], table_2_2[[#This Row],[index]] +  var_2_nodsb_offset - 1, 0, 1, 1)</f>
        <v>sgB</v>
      </c>
      <c r="J52" t="str">
        <f ca="1">_xlfn.CONCAT(table_2_2[[#This Row],[cell]], "_", table_2_2[[#This Row],[hguide]], "_", table_2_2[[#This Row],[strand]], "_", table_2_2[[#This Row],[treatment]], "_nodsb")</f>
        <v>WT_sgB_R2_branch_nodsb</v>
      </c>
      <c r="K52" t="str">
        <f ca="1">OFFSET(table_1[file_out], table_2_2[[#This Row],[index]] +  var_2_nodsb_offset - 1, 0, 1, 1)</f>
        <v>yjl245_WT_sgB_R2_branch_noDSB</v>
      </c>
      <c r="L52">
        <f ca="1">OFFSET(table_1[total_reads], table_2_2[[#This Row],[index]] +  var_2_nodsb_offset - 1, 0, 1, 1)</f>
        <v>12461219</v>
      </c>
      <c r="M52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libraries_2/yjl245_WT_sgB_R2_branch_noDSB.tsv  --total_reads 12461219 -o libraries_3/WT_sgB_R2_branch_nodsb.tsv --quiet </v>
      </c>
    </row>
    <row r="53" spans="1:13" x14ac:dyDescent="0.25">
      <c r="A53" s="1">
        <v>9</v>
      </c>
      <c r="B53" t="str">
        <f ca="1">OFFSET(table_1[ref], table_2_2[[#This Row],[index]] +  var_2_nodsb_offset - 1, 0, 1, 1)</f>
        <v>1DSB_R2_cmv.fa</v>
      </c>
      <c r="C53" t="str">
        <f ca="1">OFFSET(table_1[control], table_2_2[[#This Row],[index]] +  var_2_nodsb_offset - 1, 0, 1, 1)</f>
        <v>noDSB</v>
      </c>
      <c r="D53" t="str">
        <f ca="1">OFFSET(table_1[dsb_type], table_2_2[[#This Row],[index]] +  var_2_nodsb_offset - 1, 0, 1, 1)</f>
        <v>1DSB</v>
      </c>
      <c r="E53">
        <f ca="1">OFFSET(table_1[dsb_pos], table_2_2[[#This Row],[index]] +  var_2_nodsb_offset - 1, 0, 1, 1)</f>
        <v>46</v>
      </c>
      <c r="F53" t="str">
        <f ca="1">OFFSET(table_1[cell], table_2_2[[#This Row],[index]] +  var_2_nodsb_offset - 1, 0, 1, 1)</f>
        <v>WT</v>
      </c>
      <c r="G53" t="str">
        <f ca="1">OFFSET(table_1[strand], table_2_2[[#This Row],[index]] +  var_2_nodsb_offset - 1, 0, 1, 1)</f>
        <v>R2</v>
      </c>
      <c r="H53" t="str">
        <f ca="1">OFFSET(table_1[treatment], table_2_2[[#This Row],[index]] +  var_2_nodsb_offset - 1, 0, 1, 1)</f>
        <v>cmv</v>
      </c>
      <c r="I53" t="str">
        <f ca="1">OFFSET(table_1[hguide], table_2_2[[#This Row],[index]] +  var_2_nodsb_offset - 1, 0, 1, 1)</f>
        <v>sgB</v>
      </c>
      <c r="J53" t="str">
        <f ca="1">_xlfn.CONCAT(table_2_2[[#This Row],[cell]], "_", table_2_2[[#This Row],[hguide]], "_", table_2_2[[#This Row],[strand]], "_", table_2_2[[#This Row],[treatment]], "_nodsb")</f>
        <v>WT_sgB_R2_cmv_nodsb</v>
      </c>
      <c r="K53" t="str">
        <f ca="1">OFFSET(table_1[file_out], table_2_2[[#This Row],[index]] +  var_2_nodsb_offset - 1, 0, 1, 1)</f>
        <v>yjl246_WT_sgB_R2_cmv_noDSB</v>
      </c>
      <c r="L53">
        <f ca="1">OFFSET(table_1[total_reads], table_2_2[[#This Row],[index]] +  var_2_nodsb_offset - 1, 0, 1, 1)</f>
        <v>9853052</v>
      </c>
      <c r="M53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libraries_2/yjl246_WT_sgB_R2_cmv_noDSB.tsv  --total_reads 9853052 -o libraries_3/WT_sgB_R2_cmv_nodsb.tsv --quiet </v>
      </c>
    </row>
    <row r="54" spans="1:13" x14ac:dyDescent="0.25">
      <c r="A54" s="1">
        <v>10</v>
      </c>
      <c r="B54" t="str">
        <f ca="1">OFFSET(table_1[ref], table_2_2[[#This Row],[index]] +  var_2_nodsb_offset - 1, 0, 1, 1)</f>
        <v>1DSB_R2_sense.fa</v>
      </c>
      <c r="C54" t="str">
        <f ca="1">OFFSET(table_1[control], table_2_2[[#This Row],[index]] +  var_2_nodsb_offset - 1, 0, 1, 1)</f>
        <v>noDSB</v>
      </c>
      <c r="D54" t="str">
        <f ca="1">OFFSET(table_1[dsb_type], table_2_2[[#This Row],[index]] +  var_2_nodsb_offset - 1, 0, 1, 1)</f>
        <v>1DSB</v>
      </c>
      <c r="E54">
        <f ca="1">OFFSET(table_1[dsb_pos], table_2_2[[#This Row],[index]] +  var_2_nodsb_offset - 1, 0, 1, 1)</f>
        <v>46</v>
      </c>
      <c r="F54" t="str">
        <f ca="1">OFFSET(table_1[cell], table_2_2[[#This Row],[index]] +  var_2_nodsb_offset - 1, 0, 1, 1)</f>
        <v>KO</v>
      </c>
      <c r="G54" t="str">
        <f ca="1">OFFSET(table_1[strand], table_2_2[[#This Row],[index]] +  var_2_nodsb_offset - 1, 0, 1, 1)</f>
        <v>R2</v>
      </c>
      <c r="H54" t="str">
        <f ca="1">OFFSET(table_1[treatment], table_2_2[[#This Row],[index]] +  var_2_nodsb_offset - 1, 0, 1, 1)</f>
        <v>sense</v>
      </c>
      <c r="I54" t="str">
        <f ca="1">OFFSET(table_1[hguide], table_2_2[[#This Row],[index]] +  var_2_nodsb_offset - 1, 0, 1, 1)</f>
        <v>sgB</v>
      </c>
      <c r="J54" t="str">
        <f ca="1">_xlfn.CONCAT(table_2_2[[#This Row],[cell]], "_", table_2_2[[#This Row],[hguide]], "_", table_2_2[[#This Row],[strand]], "_", table_2_2[[#This Row],[treatment]], "_nodsb")</f>
        <v>KO_sgB_R2_sense_nodsb</v>
      </c>
      <c r="K54" t="str">
        <f ca="1">OFFSET(table_1[file_out], table_2_2[[#This Row],[index]] +  var_2_nodsb_offset - 1, 0, 1, 1)</f>
        <v>yjl281_KO_sgB_R2_sense_noDSB</v>
      </c>
      <c r="L54">
        <f ca="1">OFFSET(table_1[total_reads], table_2_2[[#This Row],[index]] +  var_2_nodsb_offset - 1, 0, 1, 1)</f>
        <v>7181166</v>
      </c>
      <c r="M54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libraries_2/yjl281_KO_sgB_R2_sense_noDSB.tsv  --total_reads 7181166 -o libraries_3/KO_sgB_R2_sense_nodsb.tsv --quiet </v>
      </c>
    </row>
    <row r="55" spans="1:13" x14ac:dyDescent="0.25">
      <c r="A55" s="1">
        <v>11</v>
      </c>
      <c r="B55" t="str">
        <f ca="1">OFFSET(table_1[ref], table_2_2[[#This Row],[index]] +  var_2_nodsb_offset - 1, 0, 1, 1)</f>
        <v>1DSB_R2_branch.fa</v>
      </c>
      <c r="C55" t="str">
        <f ca="1">OFFSET(table_1[control], table_2_2[[#This Row],[index]] +  var_2_nodsb_offset - 1, 0, 1, 1)</f>
        <v>noDSB</v>
      </c>
      <c r="D55" t="str">
        <f ca="1">OFFSET(table_1[dsb_type], table_2_2[[#This Row],[index]] +  var_2_nodsb_offset - 1, 0, 1, 1)</f>
        <v>1DSB</v>
      </c>
      <c r="E55">
        <f ca="1">OFFSET(table_1[dsb_pos], table_2_2[[#This Row],[index]] +  var_2_nodsb_offset - 1, 0, 1, 1)</f>
        <v>46</v>
      </c>
      <c r="F55" t="str">
        <f ca="1">OFFSET(table_1[cell], table_2_2[[#This Row],[index]] +  var_2_nodsb_offset - 1, 0, 1, 1)</f>
        <v>KO</v>
      </c>
      <c r="G55" t="str">
        <f ca="1">OFFSET(table_1[strand], table_2_2[[#This Row],[index]] +  var_2_nodsb_offset - 1, 0, 1, 1)</f>
        <v>R2</v>
      </c>
      <c r="H55" t="str">
        <f ca="1">OFFSET(table_1[treatment], table_2_2[[#This Row],[index]] +  var_2_nodsb_offset - 1, 0, 1, 1)</f>
        <v>branch</v>
      </c>
      <c r="I55" t="str">
        <f ca="1">OFFSET(table_1[hguide], table_2_2[[#This Row],[index]] +  var_2_nodsb_offset - 1, 0, 1, 1)</f>
        <v>sgB</v>
      </c>
      <c r="J55" t="str">
        <f ca="1">_xlfn.CONCAT(table_2_2[[#This Row],[cell]], "_", table_2_2[[#This Row],[hguide]], "_", table_2_2[[#This Row],[strand]], "_", table_2_2[[#This Row],[treatment]], "_nodsb")</f>
        <v>KO_sgB_R2_branch_nodsb</v>
      </c>
      <c r="K55" t="str">
        <f ca="1">OFFSET(table_1[file_out], table_2_2[[#This Row],[index]] +  var_2_nodsb_offset - 1, 0, 1, 1)</f>
        <v>yjl282_KO_sgB_R2_branch_noDSB</v>
      </c>
      <c r="L55">
        <f ca="1">OFFSET(table_1[total_reads], table_2_2[[#This Row],[index]] +  var_2_nodsb_offset - 1, 0, 1, 1)</f>
        <v>10027116</v>
      </c>
      <c r="M5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libraries_2/yjl282_KO_sgB_R2_branch_noDSB.tsv  --total_reads 10027116 -o libraries_3/KO_sgB_R2_branch_nodsb.tsv --quiet </v>
      </c>
    </row>
    <row r="56" spans="1:13" x14ac:dyDescent="0.25">
      <c r="A56" s="1">
        <v>12</v>
      </c>
      <c r="B56" t="str">
        <f ca="1">OFFSET(table_1[ref], table_2_2[[#This Row],[index]] +  var_2_nodsb_offset - 1, 0, 1, 1)</f>
        <v>1DSB_R2_cmv.fa</v>
      </c>
      <c r="C56" t="str">
        <f ca="1">OFFSET(table_1[control], table_2_2[[#This Row],[index]] +  var_2_nodsb_offset - 1, 0, 1, 1)</f>
        <v>noDSB</v>
      </c>
      <c r="D56" t="str">
        <f ca="1">OFFSET(table_1[dsb_type], table_2_2[[#This Row],[index]] +  var_2_nodsb_offset - 1, 0, 1, 1)</f>
        <v>1DSB</v>
      </c>
      <c r="E56">
        <f ca="1">OFFSET(table_1[dsb_pos], table_2_2[[#This Row],[index]] +  var_2_nodsb_offset - 1, 0, 1, 1)</f>
        <v>46</v>
      </c>
      <c r="F56" t="str">
        <f ca="1">OFFSET(table_1[cell], table_2_2[[#This Row],[index]] +  var_2_nodsb_offset - 1, 0, 1, 1)</f>
        <v>KO</v>
      </c>
      <c r="G56" t="str">
        <f ca="1">OFFSET(table_1[strand], table_2_2[[#This Row],[index]] +  var_2_nodsb_offset - 1, 0, 1, 1)</f>
        <v>R2</v>
      </c>
      <c r="H56" t="str">
        <f ca="1">OFFSET(table_1[treatment], table_2_2[[#This Row],[index]] +  var_2_nodsb_offset - 1, 0, 1, 1)</f>
        <v>cmv</v>
      </c>
      <c r="I56" t="str">
        <f ca="1">OFFSET(table_1[hguide], table_2_2[[#This Row],[index]] +  var_2_nodsb_offset - 1, 0, 1, 1)</f>
        <v>sgB</v>
      </c>
      <c r="J56" t="str">
        <f ca="1">_xlfn.CONCAT(table_2_2[[#This Row],[cell]], "_", table_2_2[[#This Row],[hguide]], "_", table_2_2[[#This Row],[strand]], "_", table_2_2[[#This Row],[treatment]], "_nodsb")</f>
        <v>KO_sgB_R2_cmv_nodsb</v>
      </c>
      <c r="K56" t="str">
        <f ca="1">OFFSET(table_1[file_out], table_2_2[[#This Row],[index]] +  var_2_nodsb_offset - 1, 0, 1, 1)</f>
        <v>yjl283_KO_sgB_R2_cmv_noDSB</v>
      </c>
      <c r="L56">
        <f ca="1">OFFSET(table_1[total_reads], table_2_2[[#This Row],[index]] +  var_2_nodsb_offset - 1, 0, 1, 1)</f>
        <v>7622513</v>
      </c>
      <c r="M5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libraries_2/yjl283_KO_sgB_R2_cmv_noDSB.tsv  --total_reads 7622513 -o libraries_3/KO_sgB_R2_cmv_nodsb.tsv --quiet </v>
      </c>
    </row>
    <row r="58" spans="1:13" x14ac:dyDescent="0.25">
      <c r="H58" s="1" t="s">
        <v>177</v>
      </c>
    </row>
    <row r="59" spans="1:13" x14ac:dyDescent="0.25">
      <c r="H59" t="str">
        <f ca="1">_xlfn.TEXTJOIN(CHAR(10), TRUE, S2:S41,M45:M56)</f>
        <v xml:space="preserve">python 1_process_nhej/combine_repeats.py -i libraries_2/yjl217_WT_sgAB_R1_sense.tsv libraries_2/yjl218_WT_sgAB_R1_sense.tsv libraries_2/yjl219_WT_sgAB_R1_sense.tsv libraries_2/yjl220_WT_sgAB_R1_sense.tsv --total_reads 6630053 7246619 8069391 7513691 -o libraries_3/WT_sgAB_R1_sense.tsv --quiet 
python 1_process_nhej/combine_repeats.py -i libraries_2/yjl221_WT_sgAB_R1_branch.tsv libraries_2/yjl222_WT_sgAB_R1_branch.tsv libraries_2/yjl223_WT_sgAB_R1_branch.tsv libraries_2/yjl224_WT_sgAB_R1_branch.tsv --total_reads 9021462 9430938 9051278 9192054 -o libraries_3/WT_sgAB_R1_branch.tsv --quiet 
python 1_process_nhej/combine_repeats.py -i libraries_2/yjl225_WT_sgAB_R1_cmv.tsv libraries_2/yjl226_WT_sgAB_R1_cmv.tsv libraries_2/yjl227_WT_sgAB_R1_cmv.tsv libraries_2/yjl228_WT_sgAB_R1_cmv.tsv --total_reads 7604379 8885716 8150455 7694818 -o libraries_3/WT_sgAB_R1_cmv.tsv --quiet 
python 1_process_nhej/combine_repeats.py -i libraries_2/yjl229_KO_sgAB_R1_sense.tsv libraries_2/yjl230_KO_sgAB_R1_sense.tsv libraries_2/yjl231_KO_sgAB_R1_sense.tsv libraries_2/yjl232_KO_sgAB_R1_sense.tsv --total_reads 11320509 12480734 12500966 12479012 -o libraries_3/KO_sgAB_R1_sense.tsv --quiet 
python 1_process_nhej/combine_repeats.py -i libraries_2/yjl233_KO_sgAB_R1_branch.tsv libraries_2/yjl234_KO_sgAB_R1_branch.tsv libraries_2/yjl235_KO_sgAB_R1_branch.tsv libraries_2/yjl236_KO_sgAB_R1_branch.tsv --total_reads 13912975 15839537 13872702 13493608 -o libraries_3/KO_sgAB_R1_branch.tsv --quiet 
python 1_process_nhej/combine_repeats.py -i libraries_2/yjl237_KO_sgAB_R1_cmv.tsv libraries_2/yjl238_KO_sgAB_R1_cmv.tsv libraries_2/yjl239_KO_sgAB_R1_cmv.tsv libraries_2/yjl240_KO_sgAB_R1_cmv.tsv --total_reads 11307677 11757615 10272339 9412394 -o libraries_3/KO_sgAB_R1_cmv.tsv --quiet 
python 1_process_nhej/combine_repeats.py -i libraries_2/yjl217_WT_sgAB_R2_sense.tsv libraries_2/yjl218_WT_sgAB_R2_sense.tsv libraries_2/yjl219_WT_sgAB_R2_sense.tsv libraries_2/yjl220_WT_sgAB_R2_sense.tsv --total_reads 6177083 6744517 7507107 7001340 -o libraries_3/WT_sgAB_R2_sense.tsv --quiet 
python 1_process_nhej/combine_repeats.py -i libraries_2/yjl221_WT_sgAB_R2_branch.tsv libraries_2/yjl222_WT_sgAB_R2_branch.tsv libraries_2/yjl223_WT_sgAB_R2_branch.tsv libraries_2/yjl224_WT_sgAB_R2_branch.tsv --total_reads 8525251 8875435 8522228 8656502 -o libraries_3/WT_sgAB_R2_branch.tsv --quiet 
python 1_process_nhej/combine_repeats.py -i libraries_2/yjl225_WT_sgAB_R2_cmv.tsv libraries_2/yjl226_WT_sgAB_R2_cmv.tsv libraries_2/yjl227_WT_sgAB_R2_cmv.tsv libraries_2/yjl228_WT_sgAB_R2_cmv.tsv --total_reads 6898791 7986453 7354088 6940576 -o libraries_3/WT_sgAB_R2_cmv.tsv --quiet 
python 1_process_nhej/combine_repeats.py -i libraries_2/yjl229_KO_sgAB_R2_sense.tsv libraries_2/yjl230_KO_sgAB_R2_sense.tsv libraries_2/yjl231_KO_sgAB_R2_sense.tsv libraries_2/yjl232_KO_sgAB_R2_sense.tsv --total_reads 10142826 11211467 11130391 11080481 -o libraries_3/KO_sgAB_R2_sense.tsv --quiet 
python 1_process_nhej/combine_repeats.py -i libraries_2/yjl233_KO_sgAB_R2_branch.tsv libraries_2/yjl234_KO_sgAB_R2_branch.tsv libraries_2/yjl235_KO_sgAB_R2_branch.tsv libraries_2/yjl236_KO_sgAB_R2_branch.tsv --total_reads 12987477 14745821 12946604 12582077 -o libraries_3/KO_sgAB_R2_branch.tsv --quiet 
python 1_process_nhej/combine_repeats.py -i libraries_2/yjl237_KO_sgAB_R2_cmv.tsv libraries_2/yjl238_KO_sgAB_R2_cmv.tsv libraries_2/yjl239_KO_sgAB_R2_cmv.tsv libraries_2/yjl240_KO_sgAB_R2_cmv.tsv --total_reads 10562895 10985096 9559721 8729797 -o libraries_3/KO_sgAB_R2_cmv.tsv --quiet 
python 1_process_nhej/combine_repeats.py -i libraries_2/yjl255_WT_sgA_R1_sense.tsv libraries_2/yjl256_WT_sgA_R1_sense.tsv libraries_2/yjl257_WT_sgA_R1_sense.tsv libraries_2/yjl258_WT_sgA_R1_sense.tsv --total_reads 7579965 7982725 7854740 7534924 -o libraries_3/WT_sgA_R1_sense.tsv --quiet 
python 1_process_nhej/combine_repeats.py -i libraries_2/yjl259_WT_sgA_R1_branch.tsv libraries_2/yjl260_WT_sgA_R1_branch.tsv libraries_2/yjl261_WT_sgA_R1_branch.tsv libraries_2/yjl262_WT_sgA_R1_branch.tsv --total_reads 8808358 9297647 9399483 8799841 -o libraries_3/WT_sgA_R1_branch.tsv --quiet 
python 1_process_nhej/combine_repeats.py -i libraries_2/yjl263_WT_sgA_R1_cmv.tsv libraries_2/yjl264_WT_sgA_R1_cmv.tsv libraries_2/yjl265_WT_sgA_R1_cmv.tsv libraries_2/yjl266_WT_sgA_R1_cmv.tsv --total_reads 8171224 8180897 8314116 8096639 -o libraries_3/WT_sgA_R1_cmv.tsv --quiet 
python 1_process_nhej/combine_repeats.py -i libraries_2/yjl292_KO_sgA_R1_sense.tsv libraries_2/yjl293_KO_sgA_R1_sense.tsv libraries_2/yjl294_KO_sgA_R1_sense.tsv libraries_2/yjl295_KO_sgA_R1_sense.tsv --total_reads 8597510 10116623 8703707 9021103 -o libraries_3/KO_sgA_R1_sense.tsv --quiet 
python 1_process_nhej/combine_repeats.py -i libraries_2/yjl296_KO_sgA_R1_branch.tsv libraries_2/yjl297_KO_sgA_R1_branch.tsv libraries_2/yjl298_KO_sgA_R1_branch.tsv libraries_2/yjl299_KO_sgA_R1_branch.tsv --total_reads 11021111 11280773 12426852 11659042 -o libraries_3/KO_sgA_R1_branch.tsv --quiet 
python 1_process_nhej/combine_repeats.py -i libraries_2/yjl300_KO_sgA_R1_cmv.tsv libraries_2/yjl301_KO_sgA_R1_cmv.tsv libraries_2/yjl302_KO_sgA_R1_cmv.tsv libraries_2/yjl303_KO_sgA_R1_cmv.tsv --total_reads 9933546 10351309 9388188 8668198 -o libraries_3/KO_sgA_R1_cmv.tsv --quiet 
python 1_process_nhej/combine_repeats.py -i libraries_2/yjl267_WT_sgB_R2_sense.tsv libraries_2/yjl268_WT_sgB_R2_sense.tsv libraries_2/yjl269_WT_sgB_R2_sense.tsv libraries_2/yjl270_WT_sgB_R2_sense.tsv --total_reads 7137355 6618133 8227882 7238408 -o libraries_3/WT_sgB_R2_sense.tsv --quiet 
python 1_process_nhej/combine_repeats.py -i libraries_2/yjl271_WT_sgB_R2_branch.tsv libraries_2/yjl272_WT_sgB_R2_branch.tsv libraries_2/yjl273_WT_sgB_R2_branch.tsv libraries_2/yjl274_WT_sgB_R2_branch.tsv --total_reads 9524548 10125834 10173904 9525100 -o libraries_3/WT_sgB_R2_branch.tsv --quiet 
python 1_process_nhej/combine_repeats.py -i libraries_2/yjl275_WT_sgB_R2_cmv.tsv libraries_2/yjl276_WT_sgB_R2_cmv.tsv libraries_2/yjl277_WT_sgB_R2_cmv.tsv libraries_2/yjl278_WT_sgB_R2_cmv.tsv --total_reads 7280860 6872217 6847531 7081713 -o libraries_3/WT_sgB_R2_cmv.tsv --quiet 
python 1_process_nhej/combine_repeats.py -i libraries_2/yjl304_KO_sgB_R2_sense.tsv libraries_2/yjl305_KO_sgB_R2_sense.tsv libraries_2/yjl306_KO_sgB_R2_sense.tsv libraries_2/yjl307_KO_sgB_R2_sense.tsv --total_reads 6494964 7011524 7131423 6545416 -o libraries_3/KO_sgB_R2_sense.tsv --quiet 
python 1_process_nhej/combine_repeats.py -i libraries_2/yjl308_KO_sgB_R2_branch.tsv libraries_2/yjl309_KO_sgB_R2_branch.tsv libraries_2/yjl310_KO_sgB_R2_branch.tsv libraries_2/yjl311_KO_sgB_R2_branch.tsv --total_reads 9730255 10430885 9770845 10249893 -o libraries_3/KO_sgB_R2_branch.tsv --quiet 
python 1_process_nhej/combine_repeats.py -i libraries_2/yjl312_KO_sgB_R2_cmv.tsv libraries_2/yjl313_KO_sgB_R2_cmv.tsv libraries_2/yjl314_KO_sgB_R2_cmv.tsv libraries_2/yjl315_KO_sgB_R2_cmv.tsv --total_reads 6718301 6435913 7285831 6372479 -o libraries_3/KO_sgB_R2_cmv.tsv --quiet 
python 1_process_nhej/combine_repeats.py -i libraries_2/yjl255_WT_sgA_R1_sense_30bpDown.tsv libraries_2/yjl256_WT_sgA_R1_sense_30bpDown.tsv libraries_2/yjl257_WT_sgA_R1_sense_30bpDown.tsv libraries_2/yjl258_WT_sgA_R1_sense_30bpDown.tsv --total_reads 7579965 7982725 7854740 7534924 -o libraries_3/WT_sgA_R1_sense_30bpDown.tsv --quiet 
python 1_process_nhej/combine_repeats.py -i libraries_2/yjl259_WT_sgA_R1_branch_30bpDown.tsv libraries_2/yjl260_WT_sgA_R1_branch_30bpDown.tsv libraries_2/yjl261_WT_sgA_R1_branch_30bpDown.tsv libraries_2/yjl262_WT_sgA_R1_branch_30bpDown.tsv --total_reads 8808358 9297647 9399483 8799841 -o libraries_3/WT_sgA_R1_branch_30bpDown.tsv --quiet 
python 1_process_nhej/combine_repeats.py -i libraries_2/yjl263_WT_sgA_R1_cmv_30bpDown.tsv libraries_2/yjl264_WT_sgA_R1_cmv_30bpDown.tsv libraries_2/yjl265_WT_sgA_R1_cmv_30bpDown.tsv libraries_2/yjl266_WT_sgA_R1_cmv_30bpDown.tsv --total_reads 8171224 8180897 8314116 8096639 -o libraries_3/WT_sgA_R1_cmv_30bpDown.tsv --quiet 
python 1_process_nhej/combine_repeats.py -i libraries_2/yjl292_KO_sgA_R1_sense_30bpDown.tsv libraries_2/yjl293_KO_sgA_R1_sense_30bpDown.tsv libraries_2/yjl294_KO_sgA_R1_sense_30bpDown.tsv libraries_2/yjl295_KO_sgA_R1_sense_30bpDown.tsv --total_reads 8597510 10116623 8703707 9021103 -o libraries_3/KO_sgA_R1_sense_30bpDown.tsv --quiet 
python 1_process_nhej/combine_repeats.py -i libraries_2/yjl296_KO_sgA_R1_branch_30bpDown.tsv libraries_2/yjl297_KO_sgA_R1_branch_30bpDown.tsv libraries_2/yjl298_KO_sgA_R1_branch_30bpDown.tsv libraries_2/yjl299_KO_sgA_R1_branch_30bpDown.tsv --total_reads 11021111 11280773 12426852 11659042 -o libraries_3/KO_sgA_R1_branch_30bpDown.tsv --quiet 
python 1_process_nhej/combine_repeats.py -i libraries_2/yjl300_KO_sgA_R1_cmv_30bpDown.tsv libraries_2/yjl301_KO_sgA_R1_cmv_30bpDown.tsv libraries_2/yjl302_KO_sgA_R1_cmv_30bpDown.tsv libraries_2/yjl303_KO_sgA_R1_cmv_30bpDown.tsv --total_reads 9933546 10351309 9388188 8668198 -o libraries_3/KO_sgA_R1_cmv_30bpDown.tsv --quiet 
python 1_process_nhej/combine_repeats.py -i libraries_2/yjl267_WT_sgB_R2_sense_30bpDown.tsv libraries_2/yjl268_WT_sgB_R2_sense_30bpDown.tsv libraries_2/yjl269_WT_sgB_R2_sense_30bpDown.tsv libraries_2/yjl270_WT_sgB_R2_sense_30bpDown.tsv --total_reads 7137355 6618133 8227882 7238408 -o libraries_3/WT_sgB_R2_sense_30bpDown.tsv --quiet 
python 1_process_nhej/combine_repeats.py -i libraries_2/yjl271_WT_sgB_R2_branch_30bpDown.tsv libraries_2/yjl272_WT_sgB_R2_branch_30bpDown.tsv libraries_2/yjl273_WT_sgB_R2_branch_30bpDown.tsv libraries_2/yjl274_WT_sgB_R2_branch_30bpDown.tsv --total_reads 9524548 10125834 10173904 9525100 -o libraries_3/WT_sgB_R2_branch_30bpDown.tsv --quiet 
python 1_process_nhej/combine_repeats.py -i libraries_2/yjl275_WT_sgB_R2_cmv_30bpDown.tsv libraries_2/yjl276_WT_sgB_R2_cmv_30bpDown.tsv libraries_2/yjl277_WT_sgB_R2_cmv_30bpDown.tsv libraries_2/yjl278_WT_sgB_R2_cmv_30bpDown.tsv --total_reads 7280860 6872217 6847531 7081713 -o libraries_3/WT_sgB_R2_cmv_30bpDown.tsv --quiet 
python 1_process_nhej/combine_repeats.py -i libraries_2/yjl304_KO_sgB_R2_sense_30bpDown.tsv libraries_2/yjl305_KO_sgB_R2_sense_30bpDown.tsv libraries_2/yjl306_KO_sgB_R2_sense_30bpDown.tsv libraries_2/yjl307_KO_sgB_R2_sense_30bpDown.tsv --total_reads 6494964 7011524 7131423 6545416 -o libraries_3/KO_sgB_R2_sense_30bpDown.tsv --quiet 
python 1_process_nhej/combine_repeats.py -i libraries_2/yjl308_KO_sgB_R2_branch_30bpDown.tsv libraries_2/yjl309_KO_sgB_R2_branch_30bpDown.tsv libraries_2/yjl310_KO_sgB_R2_branch_30bpDown.tsv libraries_2/yjl311_KO_sgB_R2_branch_30bpDown.tsv --total_reads 9730255 10430885 9770845 10249893 -o libraries_3/KO_sgB_R2_branch_30bpDown.tsv --quiet 
python 1_process_nhej/combine_repeats.py -i libraries_2/yjl312_KO_sgB_R2_cmv_30bpDown.tsv libraries_2/yjl313_KO_sgB_R2_cmv_30bpDown.tsv libraries_2/yjl314_KO_sgB_R2_cmv_30bpDown.tsv libraries_2/yjl315_KO_sgB_R2_cmv_30bpDown.tsv --total_reads 6718301 6435913 7285831 6372479 -o libraries_3/KO_sgB_R2_cmv_30bpDown.tsv --quiet 
python 1_process_nhej/combine_repeats.py -i libraries_2/yjl89_WT_sgCD_R1_antisense.tsv libraries_2/yjl90_WT_sgCD_R1_antisense.tsv libraries_2/yjl91_WT_sgCD_R1_antisense.tsv libraries_2/yjl92_WT_sgCD_R1_antisense.tsv --total_reads 7813781 7486736 8114856 6586577 -o libraries_3/WT_sgCD_R1_antisense.tsv --quiet 
python 1_process_nhej/combine_repeats.py -i libraries_2/yjl93_WT_sgCD_R1_splicing.tsv libraries_2/yjl94_WT_sgCD_R1_splicing.tsv libraries_2/yjl95_WT_sgCD_R1_splicing.tsv libraries_2/yjl96_WT_sgCD_R1_splicing.tsv --total_reads 9334492 9142001 8497185 8346242 -o libraries_3/WT_sgCD_R1_splicing.tsv --quiet 
python 1_process_nhej/combine_repeats.py -i libraries_2/yjl89_WT_sgCD_R2_antisense.tsv libraries_2/yjl90_WT_sgCD_R2_antisense.tsv libraries_2/yjl91_WT_sgCD_R2_antisense.tsv libraries_2/yjl92_WT_sgCD_R2_antisense.tsv --total_reads 7813781 7486736 8114856 6586577 -o libraries_3/WT_sgCD_R2_antisense.tsv --quiet 
python 1_process_nhej/combine_repeats.py -i libraries_2/yjl93_WT_sgCD_R2_splicing.tsv libraries_2/yjl94_WT_sgCD_R2_splicing.tsv libraries_2/yjl95_WT_sgCD_R2_splicing.tsv libraries_2/yjl96_WT_sgCD_R2_splicing.tsv --total_reads 9334492 9142001 8497185 8346242 -o libraries_3/WT_sgCD_R2_splicing.tsv --quiet 
python 1_process_nhej/combine_repeats.py -i libraries_2/yjl244_WT_sgA_R1_sense_noDSB.tsv  --total_reads 10005232 -o libraries_3/WT_sgA_R1_sense_nodsb.tsv --quiet 
python 1_process_nhej/combine_repeats.py -i libraries_2/yjl245_WT_sgA_R1_branch_noDSB.tsv  --total_reads 12898941 -o libraries_3/WT_sgA_R1_branch_nodsb.tsv --quiet 
python 1_process_nhej/combine_repeats.py -i libraries_2/yjl246_WT_sgA_R1_cmv_noDSB.tsv  --total_reads 10217401 -o libraries_3/WT_sgA_R1_cmv_nodsb.tsv --quiet 
python 1_process_nhej/combine_repeats.py -i libraries_2/yjl281_KO_sgA_R1_sense_noDSB.tsv  --total_reads 7424148 -o libraries_3/KO_sgA_R1_sense_nodsb.tsv --quiet 
python 1_process_nhej/combine_repeats.py -i libraries_2/yjl282_KO_sgA_R1_branch_noDSB.tsv  --total_reads 10190833 -o libraries_3/KO_sgA_R1_branch_nodsb.tsv --quiet 
python 1_process_nhej/combine_repeats.py -i libraries_2/yjl283_KO_sgA_R1_cmv_noDSB.tsv  --total_reads 7763439 -o libraries_3/KO_sgA_R1_cmv_nodsb.tsv --quiet 
python 1_process_nhej/combine_repeats.py -i libraries_2/yjl244_WT_sgB_R2_sense_noDSB.tsv  --total_reads 9354510 -o libraries_3/WT_sgB_R2_sense_nodsb.tsv --quiet 
python 1_process_nhej/combine_repeats.py -i libraries_2/yjl245_WT_sgB_R2_branch_noDSB.tsv  --total_reads 12461219 -o libraries_3/WT_sgB_R2_branch_nodsb.tsv --quiet 
python 1_process_nhej/combine_repeats.py -i libraries_2/yjl246_WT_sgB_R2_cmv_noDSB.tsv  --total_reads 9853052 -o libraries_3/WT_sgB_R2_cmv_nodsb.tsv --quiet 
python 1_process_nhej/combine_repeats.py -i libraries_2/yjl281_KO_sgB_R2_sense_noDSB.tsv  --total_reads 7181166 -o libraries_3/KO_sgB_R2_sense_nodsb.tsv --quiet 
python 1_process_nhej/combine_repeats.py -i libraries_2/yjl282_KO_sgB_R2_branch_noDSB.tsv  --total_reads 10027116 -o libraries_3/KO_sgB_R2_branch_nodsb.tsv --quiet 
python 1_process_nhej/combine_repeats.py -i libraries_2/yjl283_KO_sgB_R2_cmv_noDSB.tsv  --total_reads 7622513 -o libraries_3/KO_sgB_R2_cmv_nodsb.tsv --quiet 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61"/>
  <sheetViews>
    <sheetView topLeftCell="A40" workbookViewId="0">
      <selection activeCell="C44" sqref="C44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142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107</v>
      </c>
      <c r="N1" s="1" t="s">
        <v>108</v>
      </c>
    </row>
    <row r="2" spans="1:14" x14ac:dyDescent="0.25">
      <c r="A2" s="3">
        <v>1</v>
      </c>
      <c r="B2" t="str">
        <f ca="1">OFFSET(table_2_1[output_dir], table_3_1[[#This Row],[index]] - 1, 0, 1, 1)</f>
        <v>WT_sgAB_R1_sense</v>
      </c>
      <c r="C2" t="str">
        <f ca="1">OFFSET(table_2_1[control], table_3_1[[#This Row],[index]] - 1, 0, 1, 1)</f>
        <v>none</v>
      </c>
      <c r="D2" t="str">
        <f ca="1">OFFSET(table_2_1[ref], table_3_1[[#This Row],[index]] - 1, 0, 1, 1)</f>
        <v>2DSB_R1_sense.fa</v>
      </c>
      <c r="E2">
        <f ca="1">OFFSET(table_2_1[dsb_pos], table_3_1[[#This Row],[index]] - 1, 0, 1, 1)</f>
        <v>67</v>
      </c>
      <c r="F2" t="str">
        <f ca="1">OFFSET(table_2_1[dsb_type], table_3_1[[#This Row],[index]] - 1, 0, 1, 1)</f>
        <v>2DSB</v>
      </c>
      <c r="G2" t="str" cm="1">
        <f t="array" aca="1" ref="G2" ca="1">IF(table_3_1[[#This Row],[dsb_type]]="2DSB", "2", IF(table_3_1[[#This Row],[dsb_type]]="2DSBanti", "2a", IF(table_3_1[[#This Row],[dsb_type]]="1DSB", "1", NA)))</f>
        <v>2</v>
      </c>
      <c r="H2" t="str">
        <f ca="1">OFFSET(table_2_1[strand], table_3_1[[#This Row],[index]] - 1, 0, 1, 1)</f>
        <v>R1</v>
      </c>
      <c r="I2" t="str">
        <f ca="1">MID(OFFSET(table_2_1[hguide], table_3_1[[#This Row],[index]] - 1, 0, 1, 1), 3, 100)</f>
        <v>AB</v>
      </c>
      <c r="J2" t="str">
        <f ca="1">OFFSET(table_2_1[cell], table_3_1[[#This Row],[index]] - 1, 0, 1, 1)</f>
        <v>WT</v>
      </c>
      <c r="K2" t="str">
        <f ca="1">OFFSET(table_2_1[treatment], table_3_1[[#This Row],[index]] - 1, 0, 1, 1)</f>
        <v>sense</v>
      </c>
      <c r="L2" t="str">
        <f t="shared" ref="L2:L41" si="0">subst_type</f>
        <v>without</v>
      </c>
      <c r="M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OFFSET(table_2_1[output_dir], table_3_1[[#This Row],[index]] - 1, 0, 1, 1)</f>
        <v>WT_sgAB_R1_branch</v>
      </c>
      <c r="C3" t="str">
        <f ca="1">OFFSET(table_2_1[control], table_3_1[[#This Row],[index]] - 1, 0, 1, 1)</f>
        <v>none</v>
      </c>
      <c r="D3" t="str">
        <f ca="1">OFFSET(table_2_1[ref], table_3_1[[#This Row],[index]] - 1, 0, 1, 1)</f>
        <v>2DSB_R1_branch.fa</v>
      </c>
      <c r="E3">
        <f ca="1">OFFSET(table_2_1[dsb_pos], table_3_1[[#This Row],[index]] - 1, 0, 1, 1)</f>
        <v>67</v>
      </c>
      <c r="F3" t="str">
        <f ca="1">OFFSET(table_2_1[dsb_type], table_3_1[[#This Row],[index]] - 1, 0, 1, 1)</f>
        <v>2DSB</v>
      </c>
      <c r="G3" t="str" cm="1">
        <f t="array" aca="1" ref="G3" ca="1">IF(table_3_1[[#This Row],[dsb_type]]="2DSB", "2", IF(table_3_1[[#This Row],[dsb_type]]="2DSBanti", "2a", IF(table_3_1[[#This Row],[dsb_type]]="1DSB", "1", NA)))</f>
        <v>2</v>
      </c>
      <c r="H3" t="str">
        <f ca="1">OFFSET(table_2_1[strand], table_3_1[[#This Row],[index]] - 1, 0, 1, 1)</f>
        <v>R1</v>
      </c>
      <c r="I3" t="str">
        <f ca="1">MID(OFFSET(table_2_1[hguide], table_3_1[[#This Row],[index]] - 1, 0, 1, 1), 3, 100)</f>
        <v>AB</v>
      </c>
      <c r="J3" t="str">
        <f ca="1">OFFSET(table_2_1[cell], table_3_1[[#This Row],[index]] - 1, 0, 1, 1)</f>
        <v>WT</v>
      </c>
      <c r="K3" t="str">
        <f ca="1">OFFSET(table_2_1[treatment], table_3_1[[#This Row],[index]] - 1, 0, 1, 1)</f>
        <v>branch</v>
      </c>
      <c r="L3" t="str">
        <f t="shared" si="0"/>
        <v>without</v>
      </c>
      <c r="M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OFFSET(table_2_1[output_dir], table_3_1[[#This Row],[index]] - 1, 0, 1, 1)</f>
        <v>WT_sgAB_R1_cmv</v>
      </c>
      <c r="C4" t="str">
        <f ca="1">OFFSET(table_2_1[control], table_3_1[[#This Row],[index]] - 1, 0, 1, 1)</f>
        <v>none</v>
      </c>
      <c r="D4" t="str">
        <f ca="1">OFFSET(table_2_1[ref], table_3_1[[#This Row],[index]] - 1, 0, 1, 1)</f>
        <v>2DSB_R1_cmv.fa</v>
      </c>
      <c r="E4">
        <f ca="1">OFFSET(table_2_1[dsb_pos], table_3_1[[#This Row],[index]] - 1, 0, 1, 1)</f>
        <v>67</v>
      </c>
      <c r="F4" t="str">
        <f ca="1">OFFSET(table_2_1[dsb_type], table_3_1[[#This Row],[index]] - 1, 0, 1, 1)</f>
        <v>2DSB</v>
      </c>
      <c r="G4" t="str" cm="1">
        <f t="array" aca="1" ref="G4" ca="1">IF(table_3_1[[#This Row],[dsb_type]]="2DSB", "2", IF(table_3_1[[#This Row],[dsb_type]]="2DSBanti", "2a", IF(table_3_1[[#This Row],[dsb_type]]="1DSB", "1", NA)))</f>
        <v>2</v>
      </c>
      <c r="H4" t="str">
        <f ca="1">OFFSET(table_2_1[strand], table_3_1[[#This Row],[index]] - 1, 0, 1, 1)</f>
        <v>R1</v>
      </c>
      <c r="I4" t="str">
        <f ca="1">MID(OFFSET(table_2_1[hguide], table_3_1[[#This Row],[index]] - 1, 0, 1, 1), 3, 100)</f>
        <v>AB</v>
      </c>
      <c r="J4" t="str">
        <f ca="1">OFFSET(table_2_1[cell], table_3_1[[#This Row],[index]] - 1, 0, 1, 1)</f>
        <v>WT</v>
      </c>
      <c r="K4" t="str">
        <f ca="1">OFFSET(table_2_1[treatment], table_3_1[[#This Row],[index]] - 1, 0, 1, 1)</f>
        <v>cmv</v>
      </c>
      <c r="L4" t="str">
        <f t="shared" si="0"/>
        <v>without</v>
      </c>
      <c r="M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OFFSET(table_2_1[output_dir], table_3_1[[#This Row],[index]] - 1, 0, 1, 1)</f>
        <v>KO_sgAB_R1_sense</v>
      </c>
      <c r="C5" t="str">
        <f ca="1">OFFSET(table_2_1[control], table_3_1[[#This Row],[index]] - 1, 0, 1, 1)</f>
        <v>none</v>
      </c>
      <c r="D5" t="str">
        <f ca="1">OFFSET(table_2_1[ref], table_3_1[[#This Row],[index]] - 1, 0, 1, 1)</f>
        <v>2DSB_R1_sense.fa</v>
      </c>
      <c r="E5">
        <f ca="1">OFFSET(table_2_1[dsb_pos], table_3_1[[#This Row],[index]] - 1, 0, 1, 1)</f>
        <v>67</v>
      </c>
      <c r="F5" t="str">
        <f ca="1">OFFSET(table_2_1[dsb_type], table_3_1[[#This Row],[index]] - 1, 0, 1, 1)</f>
        <v>2DSB</v>
      </c>
      <c r="G5" t="str" cm="1">
        <f t="array" aca="1" ref="G5" ca="1">IF(table_3_1[[#This Row],[dsb_type]]="2DSB", "2", IF(table_3_1[[#This Row],[dsb_type]]="2DSBanti", "2a", IF(table_3_1[[#This Row],[dsb_type]]="1DSB", "1", NA)))</f>
        <v>2</v>
      </c>
      <c r="H5" t="str">
        <f ca="1">OFFSET(table_2_1[strand], table_3_1[[#This Row],[index]] - 1, 0, 1, 1)</f>
        <v>R1</v>
      </c>
      <c r="I5" t="str">
        <f ca="1">MID(OFFSET(table_2_1[hguide], table_3_1[[#This Row],[index]] - 1, 0, 1, 1), 3, 100)</f>
        <v>AB</v>
      </c>
      <c r="J5" t="str">
        <f ca="1">OFFSET(table_2_1[cell], table_3_1[[#This Row],[index]] - 1, 0, 1, 1)</f>
        <v>KO</v>
      </c>
      <c r="K5" t="str">
        <f ca="1">OFFSET(table_2_1[treatment], table_3_1[[#This Row],[index]] - 1, 0, 1, 1)</f>
        <v>sense</v>
      </c>
      <c r="L5" t="str">
        <f t="shared" si="0"/>
        <v>without</v>
      </c>
      <c r="M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OFFSET(table_2_1[output_dir], table_3_1[[#This Row],[index]] - 1, 0, 1, 1)</f>
        <v>KO_sgAB_R1_branch</v>
      </c>
      <c r="C6" t="str">
        <f ca="1">OFFSET(table_2_1[control], table_3_1[[#This Row],[index]] - 1, 0, 1, 1)</f>
        <v>none</v>
      </c>
      <c r="D6" t="str">
        <f ca="1">OFFSET(table_2_1[ref], table_3_1[[#This Row],[index]] - 1, 0, 1, 1)</f>
        <v>2DSB_R1_branch.fa</v>
      </c>
      <c r="E6">
        <f ca="1">OFFSET(table_2_1[dsb_pos], table_3_1[[#This Row],[index]] - 1, 0, 1, 1)</f>
        <v>67</v>
      </c>
      <c r="F6" t="str">
        <f ca="1">OFFSET(table_2_1[dsb_type], table_3_1[[#This Row],[index]] - 1, 0, 1, 1)</f>
        <v>2DSB</v>
      </c>
      <c r="G6" t="str" cm="1">
        <f t="array" aca="1" ref="G6" ca="1">IF(table_3_1[[#This Row],[dsb_type]]="2DSB", "2", IF(table_3_1[[#This Row],[dsb_type]]="2DSBanti", "2a", IF(table_3_1[[#This Row],[dsb_type]]="1DSB", "1", NA)))</f>
        <v>2</v>
      </c>
      <c r="H6" t="str">
        <f ca="1">OFFSET(table_2_1[strand], table_3_1[[#This Row],[index]] - 1, 0, 1, 1)</f>
        <v>R1</v>
      </c>
      <c r="I6" t="str">
        <f ca="1">MID(OFFSET(table_2_1[hguide], table_3_1[[#This Row],[index]] - 1, 0, 1, 1), 3, 100)</f>
        <v>AB</v>
      </c>
      <c r="J6" t="str">
        <f ca="1">OFFSET(table_2_1[cell], table_3_1[[#This Row],[index]] - 1, 0, 1, 1)</f>
        <v>KO</v>
      </c>
      <c r="K6" t="str">
        <f ca="1">OFFSET(table_2_1[treatment], table_3_1[[#This Row],[index]] - 1, 0, 1, 1)</f>
        <v>branch</v>
      </c>
      <c r="L6" t="str">
        <f t="shared" si="0"/>
        <v>without</v>
      </c>
      <c r="M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OFFSET(table_2_1[output_dir], table_3_1[[#This Row],[index]] - 1, 0, 1, 1)</f>
        <v>KO_sgAB_R1_cmv</v>
      </c>
      <c r="C7" t="str">
        <f ca="1">OFFSET(table_2_1[control], table_3_1[[#This Row],[index]] - 1, 0, 1, 1)</f>
        <v>none</v>
      </c>
      <c r="D7" t="str">
        <f ca="1">OFFSET(table_2_1[ref], table_3_1[[#This Row],[index]] - 1, 0, 1, 1)</f>
        <v>2DSB_R1_cmv.fa</v>
      </c>
      <c r="E7">
        <f ca="1">OFFSET(table_2_1[dsb_pos], table_3_1[[#This Row],[index]] - 1, 0, 1, 1)</f>
        <v>67</v>
      </c>
      <c r="F7" t="str">
        <f ca="1">OFFSET(table_2_1[dsb_type], table_3_1[[#This Row],[index]] - 1, 0, 1, 1)</f>
        <v>2DSB</v>
      </c>
      <c r="G7" t="str" cm="1">
        <f t="array" aca="1" ref="G7" ca="1">IF(table_3_1[[#This Row],[dsb_type]]="2DSB", "2", IF(table_3_1[[#This Row],[dsb_type]]="2DSBanti", "2a", IF(table_3_1[[#This Row],[dsb_type]]="1DSB", "1", NA)))</f>
        <v>2</v>
      </c>
      <c r="H7" t="str">
        <f ca="1">OFFSET(table_2_1[strand], table_3_1[[#This Row],[index]] - 1, 0, 1, 1)</f>
        <v>R1</v>
      </c>
      <c r="I7" t="str">
        <f ca="1">MID(OFFSET(table_2_1[hguide], table_3_1[[#This Row],[index]] - 1, 0, 1, 1), 3, 100)</f>
        <v>AB</v>
      </c>
      <c r="J7" t="str">
        <f ca="1">OFFSET(table_2_1[cell], table_3_1[[#This Row],[index]] - 1, 0, 1, 1)</f>
        <v>KO</v>
      </c>
      <c r="K7" t="str">
        <f ca="1">OFFSET(table_2_1[treatment], table_3_1[[#This Row],[index]] - 1, 0, 1, 1)</f>
        <v>cmv</v>
      </c>
      <c r="L7" t="str">
        <f t="shared" si="0"/>
        <v>without</v>
      </c>
      <c r="M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OFFSET(table_2_1[output_dir], table_3_1[[#This Row],[index]] - 1, 0, 1, 1)</f>
        <v>WT_sgAB_R2_sense</v>
      </c>
      <c r="C8" t="str">
        <f ca="1">OFFSET(table_2_1[control], table_3_1[[#This Row],[index]] - 1, 0, 1, 1)</f>
        <v>none</v>
      </c>
      <c r="D8" t="str">
        <f ca="1">OFFSET(table_2_1[ref], table_3_1[[#This Row],[index]] - 1, 0, 1, 1)</f>
        <v>2DSB_R2_sense.fa</v>
      </c>
      <c r="E8">
        <f ca="1">OFFSET(table_2_1[dsb_pos], table_3_1[[#This Row],[index]] - 1, 0, 1, 1)</f>
        <v>46</v>
      </c>
      <c r="F8" t="str">
        <f ca="1">OFFSET(table_2_1[dsb_type], table_3_1[[#This Row],[index]] - 1, 0, 1, 1)</f>
        <v>2DSB</v>
      </c>
      <c r="G8" t="str" cm="1">
        <f t="array" aca="1" ref="G8" ca="1">IF(table_3_1[[#This Row],[dsb_type]]="2DSB", "2", IF(table_3_1[[#This Row],[dsb_type]]="2DSBanti", "2a", IF(table_3_1[[#This Row],[dsb_type]]="1DSB", "1", NA)))</f>
        <v>2</v>
      </c>
      <c r="H8" t="str">
        <f ca="1">OFFSET(table_2_1[strand], table_3_1[[#This Row],[index]] - 1, 0, 1, 1)</f>
        <v>R2</v>
      </c>
      <c r="I8" t="str">
        <f ca="1">MID(OFFSET(table_2_1[hguide], table_3_1[[#This Row],[index]] - 1, 0, 1, 1), 3, 100)</f>
        <v>AB</v>
      </c>
      <c r="J8" t="str">
        <f ca="1">OFFSET(table_2_1[cell], table_3_1[[#This Row],[index]] - 1, 0, 1, 1)</f>
        <v>WT</v>
      </c>
      <c r="K8" t="str">
        <f ca="1">OFFSET(table_2_1[treatment], table_3_1[[#This Row],[index]] - 1, 0, 1, 1)</f>
        <v>sense</v>
      </c>
      <c r="L8" t="str">
        <f t="shared" si="0"/>
        <v>without</v>
      </c>
      <c r="M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OFFSET(table_2_1[output_dir], table_3_1[[#This Row],[index]] - 1, 0, 1, 1)</f>
        <v>WT_sgAB_R2_branch</v>
      </c>
      <c r="C9" t="str">
        <f ca="1">OFFSET(table_2_1[control], table_3_1[[#This Row],[index]] - 1, 0, 1, 1)</f>
        <v>none</v>
      </c>
      <c r="D9" t="str">
        <f ca="1">OFFSET(table_2_1[ref], table_3_1[[#This Row],[index]] - 1, 0, 1, 1)</f>
        <v>2DSB_R2_branch.fa</v>
      </c>
      <c r="E9">
        <f ca="1">OFFSET(table_2_1[dsb_pos], table_3_1[[#This Row],[index]] - 1, 0, 1, 1)</f>
        <v>46</v>
      </c>
      <c r="F9" t="str">
        <f ca="1">OFFSET(table_2_1[dsb_type], table_3_1[[#This Row],[index]] - 1, 0, 1, 1)</f>
        <v>2DSB</v>
      </c>
      <c r="G9" t="str" cm="1">
        <f t="array" aca="1" ref="G9" ca="1">IF(table_3_1[[#This Row],[dsb_type]]="2DSB", "2", IF(table_3_1[[#This Row],[dsb_type]]="2DSBanti", "2a", IF(table_3_1[[#This Row],[dsb_type]]="1DSB", "1", NA)))</f>
        <v>2</v>
      </c>
      <c r="H9" t="str">
        <f ca="1">OFFSET(table_2_1[strand], table_3_1[[#This Row],[index]] - 1, 0, 1, 1)</f>
        <v>R2</v>
      </c>
      <c r="I9" t="str">
        <f ca="1">MID(OFFSET(table_2_1[hguide], table_3_1[[#This Row],[index]] - 1, 0, 1, 1), 3, 100)</f>
        <v>AB</v>
      </c>
      <c r="J9" t="str">
        <f ca="1">OFFSET(table_2_1[cell], table_3_1[[#This Row],[index]] - 1, 0, 1, 1)</f>
        <v>WT</v>
      </c>
      <c r="K9" t="str">
        <f ca="1">OFFSET(table_2_1[treatment], table_3_1[[#This Row],[index]] - 1, 0, 1, 1)</f>
        <v>branch</v>
      </c>
      <c r="L9" t="str">
        <f t="shared" si="0"/>
        <v>without</v>
      </c>
      <c r="M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OFFSET(table_2_1[output_dir], table_3_1[[#This Row],[index]] - 1, 0, 1, 1)</f>
        <v>WT_sgAB_R2_cmv</v>
      </c>
      <c r="C10" t="str">
        <f ca="1">OFFSET(table_2_1[control], table_3_1[[#This Row],[index]] - 1, 0, 1, 1)</f>
        <v>none</v>
      </c>
      <c r="D10" t="str">
        <f ca="1">OFFSET(table_2_1[ref], table_3_1[[#This Row],[index]] - 1, 0, 1, 1)</f>
        <v>2DSB_R2_cmv.fa</v>
      </c>
      <c r="E10">
        <f ca="1">OFFSET(table_2_1[dsb_pos], table_3_1[[#This Row],[index]] - 1, 0, 1, 1)</f>
        <v>46</v>
      </c>
      <c r="F10" t="str">
        <f ca="1">OFFSET(table_2_1[dsb_type], table_3_1[[#This Row],[index]] - 1, 0, 1, 1)</f>
        <v>2DSB</v>
      </c>
      <c r="G10" t="str" cm="1">
        <f t="array" aca="1" ref="G10" ca="1">IF(table_3_1[[#This Row],[dsb_type]]="2DSB", "2", IF(table_3_1[[#This Row],[dsb_type]]="2DSBanti", "2a", IF(table_3_1[[#This Row],[dsb_type]]="1DSB", "1", NA)))</f>
        <v>2</v>
      </c>
      <c r="H10" t="str">
        <f ca="1">OFFSET(table_2_1[strand], table_3_1[[#This Row],[index]] - 1, 0, 1, 1)</f>
        <v>R2</v>
      </c>
      <c r="I10" t="str">
        <f ca="1">MID(OFFSET(table_2_1[hguide], table_3_1[[#This Row],[index]] - 1, 0, 1, 1), 3, 100)</f>
        <v>AB</v>
      </c>
      <c r="J10" t="str">
        <f ca="1">OFFSET(table_2_1[cell], table_3_1[[#This Row],[index]] - 1, 0, 1, 1)</f>
        <v>WT</v>
      </c>
      <c r="K10" t="str">
        <f ca="1">OFFSET(table_2_1[treatment], table_3_1[[#This Row],[index]] - 1, 0, 1, 1)</f>
        <v>cmv</v>
      </c>
      <c r="L10" t="str">
        <f t="shared" si="0"/>
        <v>without</v>
      </c>
      <c r="M1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OFFSET(table_2_1[output_dir], table_3_1[[#This Row],[index]] - 1, 0, 1, 1)</f>
        <v>KO_sgAB_R2_sense</v>
      </c>
      <c r="C11" t="str">
        <f ca="1">OFFSET(table_2_1[control], table_3_1[[#This Row],[index]] - 1, 0, 1, 1)</f>
        <v>none</v>
      </c>
      <c r="D11" t="str">
        <f ca="1">OFFSET(table_2_1[ref], table_3_1[[#This Row],[index]] - 1, 0, 1, 1)</f>
        <v>2DSB_R2_sense.fa</v>
      </c>
      <c r="E11">
        <f ca="1">OFFSET(table_2_1[dsb_pos], table_3_1[[#This Row],[index]] - 1, 0, 1, 1)</f>
        <v>46</v>
      </c>
      <c r="F11" t="str">
        <f ca="1">OFFSET(table_2_1[dsb_type], table_3_1[[#This Row],[index]] - 1, 0, 1, 1)</f>
        <v>2DSB</v>
      </c>
      <c r="G11" t="str" cm="1">
        <f t="array" aca="1" ref="G11" ca="1">IF(table_3_1[[#This Row],[dsb_type]]="2DSB", "2", IF(table_3_1[[#This Row],[dsb_type]]="2DSBanti", "2a", IF(table_3_1[[#This Row],[dsb_type]]="1DSB", "1", NA)))</f>
        <v>2</v>
      </c>
      <c r="H11" t="str">
        <f ca="1">OFFSET(table_2_1[strand], table_3_1[[#This Row],[index]] - 1, 0, 1, 1)</f>
        <v>R2</v>
      </c>
      <c r="I11" t="str">
        <f ca="1">MID(OFFSET(table_2_1[hguide], table_3_1[[#This Row],[index]] - 1, 0, 1, 1), 3, 100)</f>
        <v>AB</v>
      </c>
      <c r="J11" t="str">
        <f ca="1">OFFSET(table_2_1[cell], table_3_1[[#This Row],[index]] - 1, 0, 1, 1)</f>
        <v>KO</v>
      </c>
      <c r="K11" t="str">
        <f ca="1">OFFSET(table_2_1[treatment], table_3_1[[#This Row],[index]] - 1, 0, 1, 1)</f>
        <v>sense</v>
      </c>
      <c r="L11" t="str">
        <f t="shared" si="0"/>
        <v>without</v>
      </c>
      <c r="M1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OFFSET(table_2_1[output_dir], table_3_1[[#This Row],[index]] - 1, 0, 1, 1)</f>
        <v>KO_sgAB_R2_branch</v>
      </c>
      <c r="C12" t="str">
        <f ca="1">OFFSET(table_2_1[control], table_3_1[[#This Row],[index]] - 1, 0, 1, 1)</f>
        <v>none</v>
      </c>
      <c r="D12" t="str">
        <f ca="1">OFFSET(table_2_1[ref], table_3_1[[#This Row],[index]] - 1, 0, 1, 1)</f>
        <v>2DSB_R2_branch.fa</v>
      </c>
      <c r="E12">
        <f ca="1">OFFSET(table_2_1[dsb_pos], table_3_1[[#This Row],[index]] - 1, 0, 1, 1)</f>
        <v>46</v>
      </c>
      <c r="F12" t="str">
        <f ca="1">OFFSET(table_2_1[dsb_type], table_3_1[[#This Row],[index]] - 1, 0, 1, 1)</f>
        <v>2DSB</v>
      </c>
      <c r="G12" t="str" cm="1">
        <f t="array" aca="1" ref="G12" ca="1">IF(table_3_1[[#This Row],[dsb_type]]="2DSB", "2", IF(table_3_1[[#This Row],[dsb_type]]="2DSBanti", "2a", IF(table_3_1[[#This Row],[dsb_type]]="1DSB", "1", NA)))</f>
        <v>2</v>
      </c>
      <c r="H12" t="str">
        <f ca="1">OFFSET(table_2_1[strand], table_3_1[[#This Row],[index]] - 1, 0, 1, 1)</f>
        <v>R2</v>
      </c>
      <c r="I12" t="str">
        <f ca="1">MID(OFFSET(table_2_1[hguide], table_3_1[[#This Row],[index]] - 1, 0, 1, 1), 3, 100)</f>
        <v>AB</v>
      </c>
      <c r="J12" t="str">
        <f ca="1">OFFSET(table_2_1[cell], table_3_1[[#This Row],[index]] - 1, 0, 1, 1)</f>
        <v>KO</v>
      </c>
      <c r="K12" t="str">
        <f ca="1">OFFSET(table_2_1[treatment], table_3_1[[#This Row],[index]] - 1, 0, 1, 1)</f>
        <v>branch</v>
      </c>
      <c r="L12" t="str">
        <f t="shared" si="0"/>
        <v>without</v>
      </c>
      <c r="M1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OFFSET(table_2_1[output_dir], table_3_1[[#This Row],[index]] - 1, 0, 1, 1)</f>
        <v>KO_sgAB_R2_cmv</v>
      </c>
      <c r="C13" t="str">
        <f ca="1">OFFSET(table_2_1[control], table_3_1[[#This Row],[index]] - 1, 0, 1, 1)</f>
        <v>none</v>
      </c>
      <c r="D13" t="str">
        <f ca="1">OFFSET(table_2_1[ref], table_3_1[[#This Row],[index]] - 1, 0, 1, 1)</f>
        <v>2DSB_R2_cmv.fa</v>
      </c>
      <c r="E13">
        <f ca="1">OFFSET(table_2_1[dsb_pos], table_3_1[[#This Row],[index]] - 1, 0, 1, 1)</f>
        <v>46</v>
      </c>
      <c r="F13" t="str">
        <f ca="1">OFFSET(table_2_1[dsb_type], table_3_1[[#This Row],[index]] - 1, 0, 1, 1)</f>
        <v>2DSB</v>
      </c>
      <c r="G13" t="str" cm="1">
        <f t="array" aca="1" ref="G13" ca="1">IF(table_3_1[[#This Row],[dsb_type]]="2DSB", "2", IF(table_3_1[[#This Row],[dsb_type]]="2DSBanti", "2a", IF(table_3_1[[#This Row],[dsb_type]]="1DSB", "1", NA)))</f>
        <v>2</v>
      </c>
      <c r="H13" t="str">
        <f ca="1">OFFSET(table_2_1[strand], table_3_1[[#This Row],[index]] - 1, 0, 1, 1)</f>
        <v>R2</v>
      </c>
      <c r="I13" t="str">
        <f ca="1">MID(OFFSET(table_2_1[hguide], table_3_1[[#This Row],[index]] - 1, 0, 1, 1), 3, 100)</f>
        <v>AB</v>
      </c>
      <c r="J13" t="str">
        <f ca="1">OFFSET(table_2_1[cell], table_3_1[[#This Row],[index]] - 1, 0, 1, 1)</f>
        <v>KO</v>
      </c>
      <c r="K13" t="str">
        <f ca="1">OFFSET(table_2_1[treatment], table_3_1[[#This Row],[index]] - 1, 0, 1, 1)</f>
        <v>cmv</v>
      </c>
      <c r="L13" t="str">
        <f t="shared" si="0"/>
        <v>without</v>
      </c>
      <c r="M1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OFFSET(table_2_1[output_dir], table_3_1[[#This Row],[index]] - 1, 0, 1, 1)</f>
        <v>WT_sgA_R1_sense</v>
      </c>
      <c r="C14" t="str">
        <f ca="1">OFFSET(table_2_1[control], table_3_1[[#This Row],[index]] - 1, 0, 1, 1)</f>
        <v>none</v>
      </c>
      <c r="D14" t="str">
        <f ca="1">OFFSET(table_2_1[ref], table_3_1[[#This Row],[index]] - 1, 0, 1, 1)</f>
        <v>1DSB_R1_sense.fa</v>
      </c>
      <c r="E14">
        <f ca="1">OFFSET(table_2_1[dsb_pos], table_3_1[[#This Row],[index]] - 1, 0, 1, 1)</f>
        <v>67</v>
      </c>
      <c r="F14" t="str">
        <f ca="1">OFFSET(table_2_1[dsb_type], table_3_1[[#This Row],[index]] - 1, 0, 1, 1)</f>
        <v>1DSB</v>
      </c>
      <c r="G14" t="str" cm="1">
        <f t="array" aca="1" ref="G14" ca="1">IF(table_3_1[[#This Row],[dsb_type]]="2DSB", "2", IF(table_3_1[[#This Row],[dsb_type]]="2DSBanti", "2a", IF(table_3_1[[#This Row],[dsb_type]]="1DSB", "1", NA)))</f>
        <v>1</v>
      </c>
      <c r="H14" t="str">
        <f ca="1">OFFSET(table_2_1[strand], table_3_1[[#This Row],[index]] - 1, 0, 1, 1)</f>
        <v>R1</v>
      </c>
      <c r="I14" t="str">
        <f ca="1">MID(OFFSET(table_2_1[hguide], table_3_1[[#This Row],[index]] - 1, 0, 1, 1), 3, 100)</f>
        <v>A</v>
      </c>
      <c r="J14" t="str">
        <f ca="1">OFFSET(table_2_1[cell], table_3_1[[#This Row],[index]] - 1, 0, 1, 1)</f>
        <v>WT</v>
      </c>
      <c r="K14" t="str">
        <f ca="1">OFFSET(table_2_1[treatment], table_3_1[[#This Row],[index]] - 1, 0, 1, 1)</f>
        <v>sense</v>
      </c>
      <c r="L14" t="str">
        <f t="shared" si="0"/>
        <v>without</v>
      </c>
      <c r="M1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OFFSET(table_2_1[output_dir], table_3_1[[#This Row],[index]] - 1, 0, 1, 1)</f>
        <v>WT_sgA_R1_branch</v>
      </c>
      <c r="C15" t="str">
        <f ca="1">OFFSET(table_2_1[control], table_3_1[[#This Row],[index]] - 1, 0, 1, 1)</f>
        <v>none</v>
      </c>
      <c r="D15" t="str">
        <f ca="1">OFFSET(table_2_1[ref], table_3_1[[#This Row],[index]] - 1, 0, 1, 1)</f>
        <v>1DSB_R1_branch.fa</v>
      </c>
      <c r="E15">
        <f ca="1">OFFSET(table_2_1[dsb_pos], table_3_1[[#This Row],[index]] - 1, 0, 1, 1)</f>
        <v>67</v>
      </c>
      <c r="F15" t="str">
        <f ca="1">OFFSET(table_2_1[dsb_type], table_3_1[[#This Row],[index]] - 1, 0, 1, 1)</f>
        <v>1DSB</v>
      </c>
      <c r="G15" t="str" cm="1">
        <f t="array" aca="1" ref="G15" ca="1">IF(table_3_1[[#This Row],[dsb_type]]="2DSB", "2", IF(table_3_1[[#This Row],[dsb_type]]="2DSBanti", "2a", IF(table_3_1[[#This Row],[dsb_type]]="1DSB", "1", NA)))</f>
        <v>1</v>
      </c>
      <c r="H15" t="str">
        <f ca="1">OFFSET(table_2_1[strand], table_3_1[[#This Row],[index]] - 1, 0, 1, 1)</f>
        <v>R1</v>
      </c>
      <c r="I15" t="str">
        <f ca="1">MID(OFFSET(table_2_1[hguide], table_3_1[[#This Row],[index]] - 1, 0, 1, 1), 3, 100)</f>
        <v>A</v>
      </c>
      <c r="J15" t="str">
        <f ca="1">OFFSET(table_2_1[cell], table_3_1[[#This Row],[index]] - 1, 0, 1, 1)</f>
        <v>WT</v>
      </c>
      <c r="K15" t="str">
        <f ca="1">OFFSET(table_2_1[treatment], table_3_1[[#This Row],[index]] - 1, 0, 1, 1)</f>
        <v>branch</v>
      </c>
      <c r="L15" t="str">
        <f t="shared" si="0"/>
        <v>without</v>
      </c>
      <c r="M1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OFFSET(table_2_1[output_dir], table_3_1[[#This Row],[index]] - 1, 0, 1, 1)</f>
        <v>WT_sgA_R1_cmv</v>
      </c>
      <c r="C16" t="str">
        <f ca="1">OFFSET(table_2_1[control], table_3_1[[#This Row],[index]] - 1, 0, 1, 1)</f>
        <v>none</v>
      </c>
      <c r="D16" t="str">
        <f ca="1">OFFSET(table_2_1[ref], table_3_1[[#This Row],[index]] - 1, 0, 1, 1)</f>
        <v>1DSB_R1_cmv.fa</v>
      </c>
      <c r="E16">
        <f ca="1">OFFSET(table_2_1[dsb_pos], table_3_1[[#This Row],[index]] - 1, 0, 1, 1)</f>
        <v>67</v>
      </c>
      <c r="F16" t="str">
        <f ca="1">OFFSET(table_2_1[dsb_type], table_3_1[[#This Row],[index]] - 1, 0, 1, 1)</f>
        <v>1DSB</v>
      </c>
      <c r="G16" t="str" cm="1">
        <f t="array" aca="1" ref="G16" ca="1">IF(table_3_1[[#This Row],[dsb_type]]="2DSB", "2", IF(table_3_1[[#This Row],[dsb_type]]="2DSBanti", "2a", IF(table_3_1[[#This Row],[dsb_type]]="1DSB", "1", NA)))</f>
        <v>1</v>
      </c>
      <c r="H16" t="str">
        <f ca="1">OFFSET(table_2_1[strand], table_3_1[[#This Row],[index]] - 1, 0, 1, 1)</f>
        <v>R1</v>
      </c>
      <c r="I16" t="str">
        <f ca="1">MID(OFFSET(table_2_1[hguide], table_3_1[[#This Row],[index]] - 1, 0, 1, 1), 3, 100)</f>
        <v>A</v>
      </c>
      <c r="J16" t="str">
        <f ca="1">OFFSET(table_2_1[cell], table_3_1[[#This Row],[index]] - 1, 0, 1, 1)</f>
        <v>WT</v>
      </c>
      <c r="K16" t="str">
        <f ca="1">OFFSET(table_2_1[treatment], table_3_1[[#This Row],[index]] - 1, 0, 1, 1)</f>
        <v>cmv</v>
      </c>
      <c r="L16" t="str">
        <f t="shared" si="0"/>
        <v>without</v>
      </c>
      <c r="M1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OFFSET(table_2_1[output_dir], table_3_1[[#This Row],[index]] - 1, 0, 1, 1)</f>
        <v>KO_sgA_R1_sense</v>
      </c>
      <c r="C17" t="str">
        <f ca="1">OFFSET(table_2_1[control], table_3_1[[#This Row],[index]] - 1, 0, 1, 1)</f>
        <v>none</v>
      </c>
      <c r="D17" t="str">
        <f ca="1">OFFSET(table_2_1[ref], table_3_1[[#This Row],[index]] - 1, 0, 1, 1)</f>
        <v>1DSB_R1_sense.fa</v>
      </c>
      <c r="E17">
        <f ca="1">OFFSET(table_2_1[dsb_pos], table_3_1[[#This Row],[index]] - 1, 0, 1, 1)</f>
        <v>67</v>
      </c>
      <c r="F17" t="str">
        <f ca="1">OFFSET(table_2_1[dsb_type], table_3_1[[#This Row],[index]] - 1, 0, 1, 1)</f>
        <v>1DSB</v>
      </c>
      <c r="G17" t="str" cm="1">
        <f t="array" aca="1" ref="G17" ca="1">IF(table_3_1[[#This Row],[dsb_type]]="2DSB", "2", IF(table_3_1[[#This Row],[dsb_type]]="2DSBanti", "2a", IF(table_3_1[[#This Row],[dsb_type]]="1DSB", "1", NA)))</f>
        <v>1</v>
      </c>
      <c r="H17" t="str">
        <f ca="1">OFFSET(table_2_1[strand], table_3_1[[#This Row],[index]] - 1, 0, 1, 1)</f>
        <v>R1</v>
      </c>
      <c r="I17" t="str">
        <f ca="1">MID(OFFSET(table_2_1[hguide], table_3_1[[#This Row],[index]] - 1, 0, 1, 1), 3, 100)</f>
        <v>A</v>
      </c>
      <c r="J17" t="str">
        <f ca="1">OFFSET(table_2_1[cell], table_3_1[[#This Row],[index]] - 1, 0, 1, 1)</f>
        <v>KO</v>
      </c>
      <c r="K17" t="str">
        <f ca="1">OFFSET(table_2_1[treatment], table_3_1[[#This Row],[index]] - 1, 0, 1, 1)</f>
        <v>sense</v>
      </c>
      <c r="L17" t="str">
        <f t="shared" si="0"/>
        <v>without</v>
      </c>
      <c r="M1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1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</v>
      </c>
    </row>
    <row r="18" spans="1:14" x14ac:dyDescent="0.25">
      <c r="A18" s="3">
        <v>17</v>
      </c>
      <c r="B18" t="str">
        <f ca="1">OFFSET(table_2_1[output_dir], table_3_1[[#This Row],[index]] - 1, 0, 1, 1)</f>
        <v>KO_sgA_R1_branch</v>
      </c>
      <c r="C18" t="str">
        <f ca="1">OFFSET(table_2_1[control], table_3_1[[#This Row],[index]] - 1, 0, 1, 1)</f>
        <v>none</v>
      </c>
      <c r="D18" t="str">
        <f ca="1">OFFSET(table_2_1[ref], table_3_1[[#This Row],[index]] - 1, 0, 1, 1)</f>
        <v>1DSB_R1_branch.fa</v>
      </c>
      <c r="E18">
        <f ca="1">OFFSET(table_2_1[dsb_pos], table_3_1[[#This Row],[index]] - 1, 0, 1, 1)</f>
        <v>67</v>
      </c>
      <c r="F18" t="str">
        <f ca="1">OFFSET(table_2_1[dsb_type], table_3_1[[#This Row],[index]] - 1, 0, 1, 1)</f>
        <v>1DSB</v>
      </c>
      <c r="G18" t="str" cm="1">
        <f t="array" aca="1" ref="G18" ca="1">IF(table_3_1[[#This Row],[dsb_type]]="2DSB", "2", IF(table_3_1[[#This Row],[dsb_type]]="2DSBanti", "2a", IF(table_3_1[[#This Row],[dsb_type]]="1DSB", "1", NA)))</f>
        <v>1</v>
      </c>
      <c r="H18" t="str">
        <f ca="1">OFFSET(table_2_1[strand], table_3_1[[#This Row],[index]] - 1, 0, 1, 1)</f>
        <v>R1</v>
      </c>
      <c r="I18" t="str">
        <f ca="1">MID(OFFSET(table_2_1[hguide], table_3_1[[#This Row],[index]] - 1, 0, 1, 1), 3, 100)</f>
        <v>A</v>
      </c>
      <c r="J18" t="str">
        <f ca="1">OFFSET(table_2_1[cell], table_3_1[[#This Row],[index]] - 1, 0, 1, 1)</f>
        <v>KO</v>
      </c>
      <c r="K18" t="str">
        <f ca="1">OFFSET(table_2_1[treatment], table_3_1[[#This Row],[index]] - 1, 0, 1, 1)</f>
        <v>branch</v>
      </c>
      <c r="L18" t="str">
        <f t="shared" si="0"/>
        <v>without</v>
      </c>
      <c r="M1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1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</v>
      </c>
    </row>
    <row r="19" spans="1:14" x14ac:dyDescent="0.25">
      <c r="A19" s="3">
        <v>18</v>
      </c>
      <c r="B19" t="str">
        <f ca="1">OFFSET(table_2_1[output_dir], table_3_1[[#This Row],[index]] - 1, 0, 1, 1)</f>
        <v>KO_sgA_R1_cmv</v>
      </c>
      <c r="C19" t="str">
        <f ca="1">OFFSET(table_2_1[control], table_3_1[[#This Row],[index]] - 1, 0, 1, 1)</f>
        <v>none</v>
      </c>
      <c r="D19" t="str">
        <f ca="1">OFFSET(table_2_1[ref], table_3_1[[#This Row],[index]] - 1, 0, 1, 1)</f>
        <v>1DSB_R1_cmv.fa</v>
      </c>
      <c r="E19">
        <f ca="1">OFFSET(table_2_1[dsb_pos], table_3_1[[#This Row],[index]] - 1, 0, 1, 1)</f>
        <v>67</v>
      </c>
      <c r="F19" t="str">
        <f ca="1">OFFSET(table_2_1[dsb_type], table_3_1[[#This Row],[index]] - 1, 0, 1, 1)</f>
        <v>1DSB</v>
      </c>
      <c r="G19" t="str" cm="1">
        <f t="array" aca="1" ref="G19" ca="1">IF(table_3_1[[#This Row],[dsb_type]]="2DSB", "2", IF(table_3_1[[#This Row],[dsb_type]]="2DSBanti", "2a", IF(table_3_1[[#This Row],[dsb_type]]="1DSB", "1", NA)))</f>
        <v>1</v>
      </c>
      <c r="H19" t="str">
        <f ca="1">OFFSET(table_2_1[strand], table_3_1[[#This Row],[index]] - 1, 0, 1, 1)</f>
        <v>R1</v>
      </c>
      <c r="I19" t="str">
        <f ca="1">MID(OFFSET(table_2_1[hguide], table_3_1[[#This Row],[index]] - 1, 0, 1, 1), 3, 100)</f>
        <v>A</v>
      </c>
      <c r="J19" t="str">
        <f ca="1">OFFSET(table_2_1[cell], table_3_1[[#This Row],[index]] - 1, 0, 1, 1)</f>
        <v>KO</v>
      </c>
      <c r="K19" t="str">
        <f ca="1">OFFSET(table_2_1[treatment], table_3_1[[#This Row],[index]] - 1, 0, 1, 1)</f>
        <v>cmv</v>
      </c>
      <c r="L19" t="str">
        <f t="shared" si="0"/>
        <v>without</v>
      </c>
      <c r="M1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1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</v>
      </c>
    </row>
    <row r="20" spans="1:14" x14ac:dyDescent="0.25">
      <c r="A20" s="3">
        <v>19</v>
      </c>
      <c r="B20" t="str">
        <f ca="1">OFFSET(table_2_1[output_dir], table_3_1[[#This Row],[index]] - 1, 0, 1, 1)</f>
        <v>WT_sgB_R2_sense</v>
      </c>
      <c r="C20" t="str">
        <f ca="1">OFFSET(table_2_1[control], table_3_1[[#This Row],[index]] - 1, 0, 1, 1)</f>
        <v>none</v>
      </c>
      <c r="D20" t="str">
        <f ca="1">OFFSET(table_2_1[ref], table_3_1[[#This Row],[index]] - 1, 0, 1, 1)</f>
        <v>1DSB_R2_sense.fa</v>
      </c>
      <c r="E20">
        <f ca="1">OFFSET(table_2_1[dsb_pos], table_3_1[[#This Row],[index]] - 1, 0, 1, 1)</f>
        <v>46</v>
      </c>
      <c r="F20" t="str">
        <f ca="1">OFFSET(table_2_1[dsb_type], table_3_1[[#This Row],[index]] - 1, 0, 1, 1)</f>
        <v>1DSB</v>
      </c>
      <c r="G20" t="str" cm="1">
        <f t="array" aca="1" ref="G20" ca="1">IF(table_3_1[[#This Row],[dsb_type]]="2DSB", "2", IF(table_3_1[[#This Row],[dsb_type]]="2DSBanti", "2a", IF(table_3_1[[#This Row],[dsb_type]]="1DSB", "1", NA)))</f>
        <v>1</v>
      </c>
      <c r="H20" t="str">
        <f ca="1">OFFSET(table_2_1[strand], table_3_1[[#This Row],[index]] - 1, 0, 1, 1)</f>
        <v>R2</v>
      </c>
      <c r="I20" t="str">
        <f ca="1">MID(OFFSET(table_2_1[hguide], table_3_1[[#This Row],[index]] - 1, 0, 1, 1), 3, 100)</f>
        <v>B</v>
      </c>
      <c r="J20" t="str">
        <f ca="1">OFFSET(table_2_1[cell], table_3_1[[#This Row],[index]] - 1, 0, 1, 1)</f>
        <v>WT</v>
      </c>
      <c r="K20" t="str">
        <f ca="1">OFFSET(table_2_1[treatment], table_3_1[[#This Row],[index]] - 1, 0, 1, 1)</f>
        <v>sense</v>
      </c>
      <c r="L20" t="str">
        <f t="shared" si="0"/>
        <v>without</v>
      </c>
      <c r="M2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2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</v>
      </c>
    </row>
    <row r="21" spans="1:14" x14ac:dyDescent="0.25">
      <c r="A21" s="3">
        <v>20</v>
      </c>
      <c r="B21" t="str">
        <f ca="1">OFFSET(table_2_1[output_dir], table_3_1[[#This Row],[index]] - 1, 0, 1, 1)</f>
        <v>WT_sgB_R2_branch</v>
      </c>
      <c r="C21" t="str">
        <f ca="1">OFFSET(table_2_1[control], table_3_1[[#This Row],[index]] - 1, 0, 1, 1)</f>
        <v>none</v>
      </c>
      <c r="D21" t="str">
        <f ca="1">OFFSET(table_2_1[ref], table_3_1[[#This Row],[index]] - 1, 0, 1, 1)</f>
        <v>1DSB_R2_branch.fa</v>
      </c>
      <c r="E21">
        <f ca="1">OFFSET(table_2_1[dsb_pos], table_3_1[[#This Row],[index]] - 1, 0, 1, 1)</f>
        <v>46</v>
      </c>
      <c r="F21" t="str">
        <f ca="1">OFFSET(table_2_1[dsb_type], table_3_1[[#This Row],[index]] - 1, 0, 1, 1)</f>
        <v>1DSB</v>
      </c>
      <c r="G21" t="str" cm="1">
        <f t="array" aca="1" ref="G21" ca="1">IF(table_3_1[[#This Row],[dsb_type]]="2DSB", "2", IF(table_3_1[[#This Row],[dsb_type]]="2DSBanti", "2a", IF(table_3_1[[#This Row],[dsb_type]]="1DSB", "1", NA)))</f>
        <v>1</v>
      </c>
      <c r="H21" t="str">
        <f ca="1">OFFSET(table_2_1[strand], table_3_1[[#This Row],[index]] - 1, 0, 1, 1)</f>
        <v>R2</v>
      </c>
      <c r="I21" t="str">
        <f ca="1">MID(OFFSET(table_2_1[hguide], table_3_1[[#This Row],[index]] - 1, 0, 1, 1), 3, 100)</f>
        <v>B</v>
      </c>
      <c r="J21" t="str">
        <f ca="1">OFFSET(table_2_1[cell], table_3_1[[#This Row],[index]] - 1, 0, 1, 1)</f>
        <v>WT</v>
      </c>
      <c r="K21" t="str">
        <f ca="1">OFFSET(table_2_1[treatment], table_3_1[[#This Row],[index]] - 1, 0, 1, 1)</f>
        <v>branch</v>
      </c>
      <c r="L21" t="str">
        <f t="shared" si="0"/>
        <v>without</v>
      </c>
      <c r="M2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2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</v>
      </c>
    </row>
    <row r="22" spans="1:14" x14ac:dyDescent="0.25">
      <c r="A22" s="3">
        <v>21</v>
      </c>
      <c r="B22" t="str">
        <f ca="1">OFFSET(table_2_1[output_dir], table_3_1[[#This Row],[index]] - 1, 0, 1, 1)</f>
        <v>WT_sgB_R2_cmv</v>
      </c>
      <c r="C22" t="str">
        <f ca="1">OFFSET(table_2_1[control], table_3_1[[#This Row],[index]] - 1, 0, 1, 1)</f>
        <v>none</v>
      </c>
      <c r="D22" t="str">
        <f ca="1">OFFSET(table_2_1[ref], table_3_1[[#This Row],[index]] - 1, 0, 1, 1)</f>
        <v>1DSB_R2_cmv.fa</v>
      </c>
      <c r="E22">
        <f ca="1">OFFSET(table_2_1[dsb_pos], table_3_1[[#This Row],[index]] - 1, 0, 1, 1)</f>
        <v>46</v>
      </c>
      <c r="F22" t="str">
        <f ca="1">OFFSET(table_2_1[dsb_type], table_3_1[[#This Row],[index]] - 1, 0, 1, 1)</f>
        <v>1DSB</v>
      </c>
      <c r="G22" t="str" cm="1">
        <f t="array" aca="1" ref="G22" ca="1">IF(table_3_1[[#This Row],[dsb_type]]="2DSB", "2", IF(table_3_1[[#This Row],[dsb_type]]="2DSBanti", "2a", IF(table_3_1[[#This Row],[dsb_type]]="1DSB", "1", NA)))</f>
        <v>1</v>
      </c>
      <c r="H22" t="str">
        <f ca="1">OFFSET(table_2_1[strand], table_3_1[[#This Row],[index]] - 1, 0, 1, 1)</f>
        <v>R2</v>
      </c>
      <c r="I22" t="str">
        <f ca="1">MID(OFFSET(table_2_1[hguide], table_3_1[[#This Row],[index]] - 1, 0, 1, 1), 3, 100)</f>
        <v>B</v>
      </c>
      <c r="J22" t="str">
        <f ca="1">OFFSET(table_2_1[cell], table_3_1[[#This Row],[index]] - 1, 0, 1, 1)</f>
        <v>WT</v>
      </c>
      <c r="K22" t="str">
        <f ca="1">OFFSET(table_2_1[treatment], table_3_1[[#This Row],[index]] - 1, 0, 1, 1)</f>
        <v>cmv</v>
      </c>
      <c r="L22" t="str">
        <f t="shared" si="0"/>
        <v>without</v>
      </c>
      <c r="M2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2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</v>
      </c>
    </row>
    <row r="23" spans="1:14" x14ac:dyDescent="0.25">
      <c r="A23" s="3">
        <v>22</v>
      </c>
      <c r="B23" t="str">
        <f ca="1">OFFSET(table_2_1[output_dir], table_3_1[[#This Row],[index]] - 1, 0, 1, 1)</f>
        <v>KO_sgB_R2_sense</v>
      </c>
      <c r="C23" t="str">
        <f ca="1">OFFSET(table_2_1[control], table_3_1[[#This Row],[index]] - 1, 0, 1, 1)</f>
        <v>none</v>
      </c>
      <c r="D23" t="str">
        <f ca="1">OFFSET(table_2_1[ref], table_3_1[[#This Row],[index]] - 1, 0, 1, 1)</f>
        <v>1DSB_R2_sense.fa</v>
      </c>
      <c r="E23">
        <f ca="1">OFFSET(table_2_1[dsb_pos], table_3_1[[#This Row],[index]] - 1, 0, 1, 1)</f>
        <v>46</v>
      </c>
      <c r="F23" t="str">
        <f ca="1">OFFSET(table_2_1[dsb_type], table_3_1[[#This Row],[index]] - 1, 0, 1, 1)</f>
        <v>1DSB</v>
      </c>
      <c r="G23" t="str" cm="1">
        <f t="array" aca="1" ref="G23" ca="1">IF(table_3_1[[#This Row],[dsb_type]]="2DSB", "2", IF(table_3_1[[#This Row],[dsb_type]]="2DSBanti", "2a", IF(table_3_1[[#This Row],[dsb_type]]="1DSB", "1", NA)))</f>
        <v>1</v>
      </c>
      <c r="H23" t="str">
        <f ca="1">OFFSET(table_2_1[strand], table_3_1[[#This Row],[index]] - 1, 0, 1, 1)</f>
        <v>R2</v>
      </c>
      <c r="I23" t="str">
        <f ca="1">MID(OFFSET(table_2_1[hguide], table_3_1[[#This Row],[index]] - 1, 0, 1, 1), 3, 100)</f>
        <v>B</v>
      </c>
      <c r="J23" t="str">
        <f ca="1">OFFSET(table_2_1[cell], table_3_1[[#This Row],[index]] - 1, 0, 1, 1)</f>
        <v>KO</v>
      </c>
      <c r="K23" t="str">
        <f ca="1">OFFSET(table_2_1[treatment], table_3_1[[#This Row],[index]] - 1, 0, 1, 1)</f>
        <v>sense</v>
      </c>
      <c r="L23" t="str">
        <f t="shared" si="0"/>
        <v>without</v>
      </c>
      <c r="M2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OFFSET(table_2_1[output_dir], table_3_1[[#This Row],[index]] - 1, 0, 1, 1)</f>
        <v>KO_sgB_R2_branch</v>
      </c>
      <c r="C24" t="str">
        <f ca="1">OFFSET(table_2_1[control], table_3_1[[#This Row],[index]] - 1, 0, 1, 1)</f>
        <v>none</v>
      </c>
      <c r="D24" t="str">
        <f ca="1">OFFSET(table_2_1[ref], table_3_1[[#This Row],[index]] - 1, 0, 1, 1)</f>
        <v>1DSB_R2_branch.fa</v>
      </c>
      <c r="E24">
        <f ca="1">OFFSET(table_2_1[dsb_pos], table_3_1[[#This Row],[index]] - 1, 0, 1, 1)</f>
        <v>46</v>
      </c>
      <c r="F24" t="str">
        <f ca="1">OFFSET(table_2_1[dsb_type], table_3_1[[#This Row],[index]] - 1, 0, 1, 1)</f>
        <v>1DSB</v>
      </c>
      <c r="G24" t="str" cm="1">
        <f t="array" aca="1" ref="G24" ca="1">IF(table_3_1[[#This Row],[dsb_type]]="2DSB", "2", IF(table_3_1[[#This Row],[dsb_type]]="2DSBanti", "2a", IF(table_3_1[[#This Row],[dsb_type]]="1DSB", "1", NA)))</f>
        <v>1</v>
      </c>
      <c r="H24" t="str">
        <f ca="1">OFFSET(table_2_1[strand], table_3_1[[#This Row],[index]] - 1, 0, 1, 1)</f>
        <v>R2</v>
      </c>
      <c r="I24" t="str">
        <f ca="1">MID(OFFSET(table_2_1[hguide], table_3_1[[#This Row],[index]] - 1, 0, 1, 1), 3, 100)</f>
        <v>B</v>
      </c>
      <c r="J24" t="str">
        <f ca="1">OFFSET(table_2_1[cell], table_3_1[[#This Row],[index]] - 1, 0, 1, 1)</f>
        <v>KO</v>
      </c>
      <c r="K24" t="str">
        <f ca="1">OFFSET(table_2_1[treatment], table_3_1[[#This Row],[index]] - 1, 0, 1, 1)</f>
        <v>branch</v>
      </c>
      <c r="L24" t="str">
        <f t="shared" si="0"/>
        <v>without</v>
      </c>
      <c r="M2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OFFSET(table_2_1[output_dir], table_3_1[[#This Row],[index]] - 1, 0, 1, 1)</f>
        <v>KO_sgB_R2_cmv</v>
      </c>
      <c r="C25" t="str">
        <f ca="1">OFFSET(table_2_1[control], table_3_1[[#This Row],[index]] - 1, 0, 1, 1)</f>
        <v>none</v>
      </c>
      <c r="D25" t="str">
        <f ca="1">OFFSET(table_2_1[ref], table_3_1[[#This Row],[index]] - 1, 0, 1, 1)</f>
        <v>1DSB_R2_cmv.fa</v>
      </c>
      <c r="E25">
        <f ca="1">OFFSET(table_2_1[dsb_pos], table_3_1[[#This Row],[index]] - 1, 0, 1, 1)</f>
        <v>46</v>
      </c>
      <c r="F25" t="str">
        <f ca="1">OFFSET(table_2_1[dsb_type], table_3_1[[#This Row],[index]] - 1, 0, 1, 1)</f>
        <v>1DSB</v>
      </c>
      <c r="G25" t="str" cm="1">
        <f t="array" aca="1" ref="G25" ca="1">IF(table_3_1[[#This Row],[dsb_type]]="2DSB", "2", IF(table_3_1[[#This Row],[dsb_type]]="2DSBanti", "2a", IF(table_3_1[[#This Row],[dsb_type]]="1DSB", "1", NA)))</f>
        <v>1</v>
      </c>
      <c r="H25" t="str">
        <f ca="1">OFFSET(table_2_1[strand], table_3_1[[#This Row],[index]] - 1, 0, 1, 1)</f>
        <v>R2</v>
      </c>
      <c r="I25" t="str">
        <f ca="1">MID(OFFSET(table_2_1[hguide], table_3_1[[#This Row],[index]] - 1, 0, 1, 1), 3, 100)</f>
        <v>B</v>
      </c>
      <c r="J25" t="str">
        <f ca="1">OFFSET(table_2_1[cell], table_3_1[[#This Row],[index]] - 1, 0, 1, 1)</f>
        <v>KO</v>
      </c>
      <c r="K25" t="str">
        <f ca="1">OFFSET(table_2_1[treatment], table_3_1[[#This Row],[index]] - 1, 0, 1, 1)</f>
        <v>cmv</v>
      </c>
      <c r="L25" t="str">
        <f t="shared" si="0"/>
        <v>without</v>
      </c>
      <c r="M2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OFFSET(table_2_1[output_dir], table_3_1[[#This Row],[index]] - 1, 0, 1, 1)</f>
        <v>WT_sgA_R1_sense_30bpDown</v>
      </c>
      <c r="C26" t="str">
        <f ca="1">OFFSET(table_2_1[control], table_3_1[[#This Row],[index]] - 1, 0, 1, 1)</f>
        <v>30bpDown</v>
      </c>
      <c r="D26" t="str">
        <f ca="1">OFFSET(table_2_1[ref], table_3_1[[#This Row],[index]] - 1, 0, 1, 1)</f>
        <v>1DSB_R1_sense.fa</v>
      </c>
      <c r="E26">
        <f ca="1">OFFSET(table_2_1[dsb_pos], table_3_1[[#This Row],[index]] - 1, 0, 1, 1)</f>
        <v>97</v>
      </c>
      <c r="F26" t="str">
        <f ca="1">OFFSET(table_2_1[dsb_type], table_3_1[[#This Row],[index]] - 1, 0, 1, 1)</f>
        <v>1DSB</v>
      </c>
      <c r="G26" t="str" cm="1">
        <f t="array" aca="1" ref="G26" ca="1">IF(table_3_1[[#This Row],[dsb_type]]="2DSB", "2", IF(table_3_1[[#This Row],[dsb_type]]="2DSBanti", "2a", IF(table_3_1[[#This Row],[dsb_type]]="1DSB", "1", NA)))</f>
        <v>1</v>
      </c>
      <c r="H26" t="str">
        <f ca="1">OFFSET(table_2_1[strand], table_3_1[[#This Row],[index]] - 1, 0, 1, 1)</f>
        <v>R1</v>
      </c>
      <c r="I26" t="str">
        <f ca="1">MID(OFFSET(table_2_1[hguide], table_3_1[[#This Row],[index]] - 1, 0, 1, 1), 3, 100)</f>
        <v>A</v>
      </c>
      <c r="J26" t="str">
        <f ca="1">OFFSET(table_2_1[cell], table_3_1[[#This Row],[index]] - 1, 0, 1, 1)</f>
        <v>WT</v>
      </c>
      <c r="K26" t="str">
        <f ca="1">OFFSET(table_2_1[treatment], table_3_1[[#This Row],[index]] - 1, 0, 1, 1)</f>
        <v>sense</v>
      </c>
      <c r="L26" t="str">
        <f t="shared" si="0"/>
        <v>without</v>
      </c>
      <c r="M2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2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libraries_4/WT_sgA_R1_sense_30bpDown</v>
      </c>
    </row>
    <row r="27" spans="1:14" x14ac:dyDescent="0.25">
      <c r="A27" s="3">
        <v>26</v>
      </c>
      <c r="B27" t="str">
        <f ca="1">OFFSET(table_2_1[output_dir], table_3_1[[#This Row],[index]] - 1, 0, 1, 1)</f>
        <v>WT_sgA_R1_branch_30bpDown</v>
      </c>
      <c r="C27" t="str">
        <f ca="1">OFFSET(table_2_1[control], table_3_1[[#This Row],[index]] - 1, 0, 1, 1)</f>
        <v>30bpDown</v>
      </c>
      <c r="D27" t="str">
        <f ca="1">OFFSET(table_2_1[ref], table_3_1[[#This Row],[index]] - 1, 0, 1, 1)</f>
        <v>1DSB_R1_branch.fa</v>
      </c>
      <c r="E27">
        <f ca="1">OFFSET(table_2_1[dsb_pos], table_3_1[[#This Row],[index]] - 1, 0, 1, 1)</f>
        <v>97</v>
      </c>
      <c r="F27" t="str">
        <f ca="1">OFFSET(table_2_1[dsb_type], table_3_1[[#This Row],[index]] - 1, 0, 1, 1)</f>
        <v>1DSB</v>
      </c>
      <c r="G27" t="str" cm="1">
        <f t="array" aca="1" ref="G27" ca="1">IF(table_3_1[[#This Row],[dsb_type]]="2DSB", "2", IF(table_3_1[[#This Row],[dsb_type]]="2DSBanti", "2a", IF(table_3_1[[#This Row],[dsb_type]]="1DSB", "1", NA)))</f>
        <v>1</v>
      </c>
      <c r="H27" t="str">
        <f ca="1">OFFSET(table_2_1[strand], table_3_1[[#This Row],[index]] - 1, 0, 1, 1)</f>
        <v>R1</v>
      </c>
      <c r="I27" t="str">
        <f ca="1">MID(OFFSET(table_2_1[hguide], table_3_1[[#This Row],[index]] - 1, 0, 1, 1), 3, 100)</f>
        <v>A</v>
      </c>
      <c r="J27" t="str">
        <f ca="1">OFFSET(table_2_1[cell], table_3_1[[#This Row],[index]] - 1, 0, 1, 1)</f>
        <v>WT</v>
      </c>
      <c r="K27" t="str">
        <f ca="1">OFFSET(table_2_1[treatment], table_3_1[[#This Row],[index]] - 1, 0, 1, 1)</f>
        <v>branch</v>
      </c>
      <c r="L27" t="str">
        <f t="shared" si="0"/>
        <v>without</v>
      </c>
      <c r="M2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2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libraries_4/WT_sgA_R1_branch_30bpDown</v>
      </c>
    </row>
    <row r="28" spans="1:14" x14ac:dyDescent="0.25">
      <c r="A28" s="3">
        <v>27</v>
      </c>
      <c r="B28" t="str">
        <f ca="1">OFFSET(table_2_1[output_dir], table_3_1[[#This Row],[index]] - 1, 0, 1, 1)</f>
        <v>WT_sgA_R1_cmv_30bpDown</v>
      </c>
      <c r="C28" t="str">
        <f ca="1">OFFSET(table_2_1[control], table_3_1[[#This Row],[index]] - 1, 0, 1, 1)</f>
        <v>30bpDown</v>
      </c>
      <c r="D28" t="str">
        <f ca="1">OFFSET(table_2_1[ref], table_3_1[[#This Row],[index]] - 1, 0, 1, 1)</f>
        <v>1DSB_R1_cmv.fa</v>
      </c>
      <c r="E28">
        <f ca="1">OFFSET(table_2_1[dsb_pos], table_3_1[[#This Row],[index]] - 1, 0, 1, 1)</f>
        <v>97</v>
      </c>
      <c r="F28" t="str">
        <f ca="1">OFFSET(table_2_1[dsb_type], table_3_1[[#This Row],[index]] - 1, 0, 1, 1)</f>
        <v>1DSB</v>
      </c>
      <c r="G28" t="str" cm="1">
        <f t="array" aca="1" ref="G28" ca="1">IF(table_3_1[[#This Row],[dsb_type]]="2DSB", "2", IF(table_3_1[[#This Row],[dsb_type]]="2DSBanti", "2a", IF(table_3_1[[#This Row],[dsb_type]]="1DSB", "1", NA)))</f>
        <v>1</v>
      </c>
      <c r="H28" t="str">
        <f ca="1">OFFSET(table_2_1[strand], table_3_1[[#This Row],[index]] - 1, 0, 1, 1)</f>
        <v>R1</v>
      </c>
      <c r="I28" t="str">
        <f ca="1">MID(OFFSET(table_2_1[hguide], table_3_1[[#This Row],[index]] - 1, 0, 1, 1), 3, 100)</f>
        <v>A</v>
      </c>
      <c r="J28" t="str">
        <f ca="1">OFFSET(table_2_1[cell], table_3_1[[#This Row],[index]] - 1, 0, 1, 1)</f>
        <v>WT</v>
      </c>
      <c r="K28" t="str">
        <f ca="1">OFFSET(table_2_1[treatment], table_3_1[[#This Row],[index]] - 1, 0, 1, 1)</f>
        <v>cmv</v>
      </c>
      <c r="L28" t="str">
        <f t="shared" si="0"/>
        <v>without</v>
      </c>
      <c r="M2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2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libraries_4/WT_sgA_R1_cmv_30bpDown</v>
      </c>
    </row>
    <row r="29" spans="1:14" x14ac:dyDescent="0.25">
      <c r="A29" s="3">
        <v>28</v>
      </c>
      <c r="B29" t="str">
        <f ca="1">OFFSET(table_2_1[output_dir], table_3_1[[#This Row],[index]] - 1, 0, 1, 1)</f>
        <v>KO_sgA_R1_sense_30bpDown</v>
      </c>
      <c r="C29" t="str">
        <f ca="1">OFFSET(table_2_1[control], table_3_1[[#This Row],[index]] - 1, 0, 1, 1)</f>
        <v>30bpDown</v>
      </c>
      <c r="D29" t="str">
        <f ca="1">OFFSET(table_2_1[ref], table_3_1[[#This Row],[index]] - 1, 0, 1, 1)</f>
        <v>1DSB_R1_sense.fa</v>
      </c>
      <c r="E29">
        <f ca="1">OFFSET(table_2_1[dsb_pos], table_3_1[[#This Row],[index]] - 1, 0, 1, 1)</f>
        <v>97</v>
      </c>
      <c r="F29" t="str">
        <f ca="1">OFFSET(table_2_1[dsb_type], table_3_1[[#This Row],[index]] - 1, 0, 1, 1)</f>
        <v>1DSB</v>
      </c>
      <c r="G29" t="str" cm="1">
        <f t="array" aca="1" ref="G29" ca="1">IF(table_3_1[[#This Row],[dsb_type]]="2DSB", "2", IF(table_3_1[[#This Row],[dsb_type]]="2DSBanti", "2a", IF(table_3_1[[#This Row],[dsb_type]]="1DSB", "1", NA)))</f>
        <v>1</v>
      </c>
      <c r="H29" t="str">
        <f ca="1">OFFSET(table_2_1[strand], table_3_1[[#This Row],[index]] - 1, 0, 1, 1)</f>
        <v>R1</v>
      </c>
      <c r="I29" t="str">
        <f ca="1">MID(OFFSET(table_2_1[hguide], table_3_1[[#This Row],[index]] - 1, 0, 1, 1), 3, 100)</f>
        <v>A</v>
      </c>
      <c r="J29" t="str">
        <f ca="1">OFFSET(table_2_1[cell], table_3_1[[#This Row],[index]] - 1, 0, 1, 1)</f>
        <v>KO</v>
      </c>
      <c r="K29" t="str">
        <f ca="1">OFFSET(table_2_1[treatment], table_3_1[[#This Row],[index]] - 1, 0, 1, 1)</f>
        <v>sense</v>
      </c>
      <c r="L29" t="str">
        <f t="shared" si="0"/>
        <v>without</v>
      </c>
      <c r="M2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2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libraries_4/KO_sgA_R1_sense_30bpDown</v>
      </c>
    </row>
    <row r="30" spans="1:14" x14ac:dyDescent="0.25">
      <c r="A30" s="3">
        <v>29</v>
      </c>
      <c r="B30" t="str">
        <f ca="1">OFFSET(table_2_1[output_dir], table_3_1[[#This Row],[index]] - 1, 0, 1, 1)</f>
        <v>KO_sgA_R1_branch_30bpDown</v>
      </c>
      <c r="C30" t="str">
        <f ca="1">OFFSET(table_2_1[control], table_3_1[[#This Row],[index]] - 1, 0, 1, 1)</f>
        <v>30bpDown</v>
      </c>
      <c r="D30" t="str">
        <f ca="1">OFFSET(table_2_1[ref], table_3_1[[#This Row],[index]] - 1, 0, 1, 1)</f>
        <v>1DSB_R1_branch.fa</v>
      </c>
      <c r="E30">
        <f ca="1">OFFSET(table_2_1[dsb_pos], table_3_1[[#This Row],[index]] - 1, 0, 1, 1)</f>
        <v>97</v>
      </c>
      <c r="F30" t="str">
        <f ca="1">OFFSET(table_2_1[dsb_type], table_3_1[[#This Row],[index]] - 1, 0, 1, 1)</f>
        <v>1DSB</v>
      </c>
      <c r="G30" t="str" cm="1">
        <f t="array" aca="1" ref="G30" ca="1">IF(table_3_1[[#This Row],[dsb_type]]="2DSB", "2", IF(table_3_1[[#This Row],[dsb_type]]="2DSBanti", "2a", IF(table_3_1[[#This Row],[dsb_type]]="1DSB", "1", NA)))</f>
        <v>1</v>
      </c>
      <c r="H30" t="str">
        <f ca="1">OFFSET(table_2_1[strand], table_3_1[[#This Row],[index]] - 1, 0, 1, 1)</f>
        <v>R1</v>
      </c>
      <c r="I30" t="str">
        <f ca="1">MID(OFFSET(table_2_1[hguide], table_3_1[[#This Row],[index]] - 1, 0, 1, 1), 3, 100)</f>
        <v>A</v>
      </c>
      <c r="J30" t="str">
        <f ca="1">OFFSET(table_2_1[cell], table_3_1[[#This Row],[index]] - 1, 0, 1, 1)</f>
        <v>KO</v>
      </c>
      <c r="K30" t="str">
        <f ca="1">OFFSET(table_2_1[treatment], table_3_1[[#This Row],[index]] - 1, 0, 1, 1)</f>
        <v>branch</v>
      </c>
      <c r="L30" t="str">
        <f t="shared" si="0"/>
        <v>without</v>
      </c>
      <c r="M3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libraries_4/KO_sgA_R1_branch_30bpDown</v>
      </c>
    </row>
    <row r="31" spans="1:14" x14ac:dyDescent="0.25">
      <c r="A31" s="3">
        <v>30</v>
      </c>
      <c r="B31" t="str">
        <f ca="1">OFFSET(table_2_1[output_dir], table_3_1[[#This Row],[index]] - 1, 0, 1, 1)</f>
        <v>KO_sgA_R1_cmv_30bpDown</v>
      </c>
      <c r="C31" t="str">
        <f ca="1">OFFSET(table_2_1[control], table_3_1[[#This Row],[index]] - 1, 0, 1, 1)</f>
        <v>30bpDown</v>
      </c>
      <c r="D31" t="str">
        <f ca="1">OFFSET(table_2_1[ref], table_3_1[[#This Row],[index]] - 1, 0, 1, 1)</f>
        <v>1DSB_R1_cmv.fa</v>
      </c>
      <c r="E31">
        <f ca="1">OFFSET(table_2_1[dsb_pos], table_3_1[[#This Row],[index]] - 1, 0, 1, 1)</f>
        <v>97</v>
      </c>
      <c r="F31" t="str">
        <f ca="1">OFFSET(table_2_1[dsb_type], table_3_1[[#This Row],[index]] - 1, 0, 1, 1)</f>
        <v>1DSB</v>
      </c>
      <c r="G31" t="str" cm="1">
        <f t="array" aca="1" ref="G31" ca="1">IF(table_3_1[[#This Row],[dsb_type]]="2DSB", "2", IF(table_3_1[[#This Row],[dsb_type]]="2DSBanti", "2a", IF(table_3_1[[#This Row],[dsb_type]]="1DSB", "1", NA)))</f>
        <v>1</v>
      </c>
      <c r="H31" t="str">
        <f ca="1">OFFSET(table_2_1[strand], table_3_1[[#This Row],[index]] - 1, 0, 1, 1)</f>
        <v>R1</v>
      </c>
      <c r="I31" t="str">
        <f ca="1">MID(OFFSET(table_2_1[hguide], table_3_1[[#This Row],[index]] - 1, 0, 1, 1), 3, 100)</f>
        <v>A</v>
      </c>
      <c r="J31" t="str">
        <f ca="1">OFFSET(table_2_1[cell], table_3_1[[#This Row],[index]] - 1, 0, 1, 1)</f>
        <v>KO</v>
      </c>
      <c r="K31" t="str">
        <f ca="1">OFFSET(table_2_1[treatment], table_3_1[[#This Row],[index]] - 1, 0, 1, 1)</f>
        <v>cmv</v>
      </c>
      <c r="L31" t="str">
        <f t="shared" si="0"/>
        <v>without</v>
      </c>
      <c r="M3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libraries_4/KO_sgA_R1_cmv_30bpDown</v>
      </c>
    </row>
    <row r="32" spans="1:14" x14ac:dyDescent="0.25">
      <c r="A32" s="3">
        <v>31</v>
      </c>
      <c r="B32" t="str">
        <f ca="1">OFFSET(table_2_1[output_dir], table_3_1[[#This Row],[index]] - 1, 0, 1, 1)</f>
        <v>WT_sgB_R2_sense_30bpDown</v>
      </c>
      <c r="C32" t="str">
        <f ca="1">OFFSET(table_2_1[control], table_3_1[[#This Row],[index]] - 1, 0, 1, 1)</f>
        <v>30bpDown</v>
      </c>
      <c r="D32" t="str">
        <f ca="1">OFFSET(table_2_1[ref], table_3_1[[#This Row],[index]] - 1, 0, 1, 1)</f>
        <v>1DSB_R2_sense.fa</v>
      </c>
      <c r="E32">
        <f ca="1">OFFSET(table_2_1[dsb_pos], table_3_1[[#This Row],[index]] - 1, 0, 1, 1)</f>
        <v>76</v>
      </c>
      <c r="F32" t="str">
        <f ca="1">OFFSET(table_2_1[dsb_type], table_3_1[[#This Row],[index]] - 1, 0, 1, 1)</f>
        <v>1DSB</v>
      </c>
      <c r="G32" t="str" cm="1">
        <f t="array" aca="1" ref="G32" ca="1">IF(table_3_1[[#This Row],[dsb_type]]="2DSB", "2", IF(table_3_1[[#This Row],[dsb_type]]="2DSBanti", "2a", IF(table_3_1[[#This Row],[dsb_type]]="1DSB", "1", NA)))</f>
        <v>1</v>
      </c>
      <c r="H32" t="str">
        <f ca="1">OFFSET(table_2_1[strand], table_3_1[[#This Row],[index]] - 1, 0, 1, 1)</f>
        <v>R2</v>
      </c>
      <c r="I32" t="str">
        <f ca="1">MID(OFFSET(table_2_1[hguide], table_3_1[[#This Row],[index]] - 1, 0, 1, 1), 3, 100)</f>
        <v>B</v>
      </c>
      <c r="J32" t="str">
        <f ca="1">OFFSET(table_2_1[cell], table_3_1[[#This Row],[index]] - 1, 0, 1, 1)</f>
        <v>WT</v>
      </c>
      <c r="K32" t="str">
        <f ca="1">OFFSET(table_2_1[treatment], table_3_1[[#This Row],[index]] - 1, 0, 1, 1)</f>
        <v>sense</v>
      </c>
      <c r="L32" t="str">
        <f t="shared" si="0"/>
        <v>without</v>
      </c>
      <c r="M3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libraries_4/WT_sgB_R2_sense_30bpDown</v>
      </c>
    </row>
    <row r="33" spans="1:14" x14ac:dyDescent="0.25">
      <c r="A33" s="3">
        <v>32</v>
      </c>
      <c r="B33" t="str">
        <f ca="1">OFFSET(table_2_1[output_dir], table_3_1[[#This Row],[index]] - 1, 0, 1, 1)</f>
        <v>WT_sgB_R2_branch_30bpDown</v>
      </c>
      <c r="C33" t="str">
        <f ca="1">OFFSET(table_2_1[control], table_3_1[[#This Row],[index]] - 1, 0, 1, 1)</f>
        <v>30bpDown</v>
      </c>
      <c r="D33" t="str">
        <f ca="1">OFFSET(table_2_1[ref], table_3_1[[#This Row],[index]] - 1, 0, 1, 1)</f>
        <v>1DSB_R2_branch.fa</v>
      </c>
      <c r="E33">
        <f ca="1">OFFSET(table_2_1[dsb_pos], table_3_1[[#This Row],[index]] - 1, 0, 1, 1)</f>
        <v>76</v>
      </c>
      <c r="F33" t="str">
        <f ca="1">OFFSET(table_2_1[dsb_type], table_3_1[[#This Row],[index]] - 1, 0, 1, 1)</f>
        <v>1DSB</v>
      </c>
      <c r="G33" t="str" cm="1">
        <f t="array" aca="1" ref="G33" ca="1">IF(table_3_1[[#This Row],[dsb_type]]="2DSB", "2", IF(table_3_1[[#This Row],[dsb_type]]="2DSBanti", "2a", IF(table_3_1[[#This Row],[dsb_type]]="1DSB", "1", NA)))</f>
        <v>1</v>
      </c>
      <c r="H33" t="str">
        <f ca="1">OFFSET(table_2_1[strand], table_3_1[[#This Row],[index]] - 1, 0, 1, 1)</f>
        <v>R2</v>
      </c>
      <c r="I33" t="str">
        <f ca="1">MID(OFFSET(table_2_1[hguide], table_3_1[[#This Row],[index]] - 1, 0, 1, 1), 3, 100)</f>
        <v>B</v>
      </c>
      <c r="J33" t="str">
        <f ca="1">OFFSET(table_2_1[cell], table_3_1[[#This Row],[index]] - 1, 0, 1, 1)</f>
        <v>WT</v>
      </c>
      <c r="K33" t="str">
        <f ca="1">OFFSET(table_2_1[treatment], table_3_1[[#This Row],[index]] - 1, 0, 1, 1)</f>
        <v>branch</v>
      </c>
      <c r="L33" t="str">
        <f t="shared" si="0"/>
        <v>without</v>
      </c>
      <c r="M3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libraries_4/WT_sgB_R2_branch_30bpDown</v>
      </c>
    </row>
    <row r="34" spans="1:14" x14ac:dyDescent="0.25">
      <c r="A34" s="3">
        <v>33</v>
      </c>
      <c r="B34" t="str">
        <f ca="1">OFFSET(table_2_1[output_dir], table_3_1[[#This Row],[index]] - 1, 0, 1, 1)</f>
        <v>WT_sgB_R2_cmv_30bpDown</v>
      </c>
      <c r="C34" t="str">
        <f ca="1">OFFSET(table_2_1[control], table_3_1[[#This Row],[index]] - 1, 0, 1, 1)</f>
        <v>30bpDown</v>
      </c>
      <c r="D34" t="str">
        <f ca="1">OFFSET(table_2_1[ref], table_3_1[[#This Row],[index]] - 1, 0, 1, 1)</f>
        <v>1DSB_R2_cmv.fa</v>
      </c>
      <c r="E34">
        <f ca="1">OFFSET(table_2_1[dsb_pos], table_3_1[[#This Row],[index]] - 1, 0, 1, 1)</f>
        <v>76</v>
      </c>
      <c r="F34" t="str">
        <f ca="1">OFFSET(table_2_1[dsb_type], table_3_1[[#This Row],[index]] - 1, 0, 1, 1)</f>
        <v>1DSB</v>
      </c>
      <c r="G34" t="str" cm="1">
        <f t="array" aca="1" ref="G34" ca="1">IF(table_3_1[[#This Row],[dsb_type]]="2DSB", "2", IF(table_3_1[[#This Row],[dsb_type]]="2DSBanti", "2a", IF(table_3_1[[#This Row],[dsb_type]]="1DSB", "1", NA)))</f>
        <v>1</v>
      </c>
      <c r="H34" t="str">
        <f ca="1">OFFSET(table_2_1[strand], table_3_1[[#This Row],[index]] - 1, 0, 1, 1)</f>
        <v>R2</v>
      </c>
      <c r="I34" t="str">
        <f ca="1">MID(OFFSET(table_2_1[hguide], table_3_1[[#This Row],[index]] - 1, 0, 1, 1), 3, 100)</f>
        <v>B</v>
      </c>
      <c r="J34" t="str">
        <f ca="1">OFFSET(table_2_1[cell], table_3_1[[#This Row],[index]] - 1, 0, 1, 1)</f>
        <v>WT</v>
      </c>
      <c r="K34" t="str">
        <f ca="1">OFFSET(table_2_1[treatment], table_3_1[[#This Row],[index]] - 1, 0, 1, 1)</f>
        <v>cmv</v>
      </c>
      <c r="L34" t="str">
        <f t="shared" si="0"/>
        <v>without</v>
      </c>
      <c r="M3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libraries_4/WT_sgB_R2_cmv_30bpDown</v>
      </c>
    </row>
    <row r="35" spans="1:14" x14ac:dyDescent="0.25">
      <c r="A35" s="3">
        <v>34</v>
      </c>
      <c r="B35" t="str">
        <f ca="1">OFFSET(table_2_1[output_dir], table_3_1[[#This Row],[index]] - 1, 0, 1, 1)</f>
        <v>KO_sgB_R2_sense_30bpDown</v>
      </c>
      <c r="C35" t="str">
        <f ca="1">OFFSET(table_2_1[control], table_3_1[[#This Row],[index]] - 1, 0, 1, 1)</f>
        <v>30bpDown</v>
      </c>
      <c r="D35" t="str">
        <f ca="1">OFFSET(table_2_1[ref], table_3_1[[#This Row],[index]] - 1, 0, 1, 1)</f>
        <v>1DSB_R2_sense.fa</v>
      </c>
      <c r="E35">
        <f ca="1">OFFSET(table_2_1[dsb_pos], table_3_1[[#This Row],[index]] - 1, 0, 1, 1)</f>
        <v>76</v>
      </c>
      <c r="F35" t="str">
        <f ca="1">OFFSET(table_2_1[dsb_type], table_3_1[[#This Row],[index]] - 1, 0, 1, 1)</f>
        <v>1DSB</v>
      </c>
      <c r="G35" t="str" cm="1">
        <f t="array" aca="1" ref="G35" ca="1">IF(table_3_1[[#This Row],[dsb_type]]="2DSB", "2", IF(table_3_1[[#This Row],[dsb_type]]="2DSBanti", "2a", IF(table_3_1[[#This Row],[dsb_type]]="1DSB", "1", NA)))</f>
        <v>1</v>
      </c>
      <c r="H35" t="str">
        <f ca="1">OFFSET(table_2_1[strand], table_3_1[[#This Row],[index]] - 1, 0, 1, 1)</f>
        <v>R2</v>
      </c>
      <c r="I35" t="str">
        <f ca="1">MID(OFFSET(table_2_1[hguide], table_3_1[[#This Row],[index]] - 1, 0, 1, 1), 3, 100)</f>
        <v>B</v>
      </c>
      <c r="J35" t="str">
        <f ca="1">OFFSET(table_2_1[cell], table_3_1[[#This Row],[index]] - 1, 0, 1, 1)</f>
        <v>KO</v>
      </c>
      <c r="K35" t="str">
        <f ca="1">OFFSET(table_2_1[treatment], table_3_1[[#This Row],[index]] - 1, 0, 1, 1)</f>
        <v>sense</v>
      </c>
      <c r="L35" t="str">
        <f t="shared" si="0"/>
        <v>without</v>
      </c>
      <c r="M3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libraries_4/KO_sgB_R2_sense_30bpDown</v>
      </c>
    </row>
    <row r="36" spans="1:14" x14ac:dyDescent="0.25">
      <c r="A36" s="3">
        <v>35</v>
      </c>
      <c r="B36" t="str">
        <f ca="1">OFFSET(table_2_1[output_dir], table_3_1[[#This Row],[index]] - 1, 0, 1, 1)</f>
        <v>KO_sgB_R2_branch_30bpDown</v>
      </c>
      <c r="C36" t="str">
        <f ca="1">OFFSET(table_2_1[control], table_3_1[[#This Row],[index]] - 1, 0, 1, 1)</f>
        <v>30bpDown</v>
      </c>
      <c r="D36" t="str">
        <f ca="1">OFFSET(table_2_1[ref], table_3_1[[#This Row],[index]] - 1, 0, 1, 1)</f>
        <v>1DSB_R2_branch.fa</v>
      </c>
      <c r="E36">
        <f ca="1">OFFSET(table_2_1[dsb_pos], table_3_1[[#This Row],[index]] - 1, 0, 1, 1)</f>
        <v>76</v>
      </c>
      <c r="F36" t="str">
        <f ca="1">OFFSET(table_2_1[dsb_type], table_3_1[[#This Row],[index]] - 1, 0, 1, 1)</f>
        <v>1DSB</v>
      </c>
      <c r="G36" t="str" cm="1">
        <f t="array" aca="1" ref="G36" ca="1">IF(table_3_1[[#This Row],[dsb_type]]="2DSB", "2", IF(table_3_1[[#This Row],[dsb_type]]="2DSBanti", "2a", IF(table_3_1[[#This Row],[dsb_type]]="1DSB", "1", NA)))</f>
        <v>1</v>
      </c>
      <c r="H36" t="str">
        <f ca="1">OFFSET(table_2_1[strand], table_3_1[[#This Row],[index]] - 1, 0, 1, 1)</f>
        <v>R2</v>
      </c>
      <c r="I36" t="str">
        <f ca="1">MID(OFFSET(table_2_1[hguide], table_3_1[[#This Row],[index]] - 1, 0, 1, 1), 3, 100)</f>
        <v>B</v>
      </c>
      <c r="J36" t="str">
        <f ca="1">OFFSET(table_2_1[cell], table_3_1[[#This Row],[index]] - 1, 0, 1, 1)</f>
        <v>KO</v>
      </c>
      <c r="K36" t="str">
        <f ca="1">OFFSET(table_2_1[treatment], table_3_1[[#This Row],[index]] - 1, 0, 1, 1)</f>
        <v>branch</v>
      </c>
      <c r="L36" t="str">
        <f t="shared" si="0"/>
        <v>without</v>
      </c>
      <c r="M3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3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libraries_4/KO_sgB_R2_branch_30bpDown</v>
      </c>
    </row>
    <row r="37" spans="1:14" x14ac:dyDescent="0.25">
      <c r="A37" s="3">
        <v>36</v>
      </c>
      <c r="B37" t="str">
        <f ca="1">OFFSET(table_2_1[output_dir], table_3_1[[#This Row],[index]] - 1, 0, 1, 1)</f>
        <v>KO_sgB_R2_cmv_30bpDown</v>
      </c>
      <c r="C37" t="str">
        <f ca="1">OFFSET(table_2_1[control], table_3_1[[#This Row],[index]] - 1, 0, 1, 1)</f>
        <v>30bpDown</v>
      </c>
      <c r="D37" t="str">
        <f ca="1">OFFSET(table_2_1[ref], table_3_1[[#This Row],[index]] - 1, 0, 1, 1)</f>
        <v>1DSB_R2_cmv.fa</v>
      </c>
      <c r="E37">
        <f ca="1">OFFSET(table_2_1[dsb_pos], table_3_1[[#This Row],[index]] - 1, 0, 1, 1)</f>
        <v>76</v>
      </c>
      <c r="F37" t="str">
        <f ca="1">OFFSET(table_2_1[dsb_type], table_3_1[[#This Row],[index]] - 1, 0, 1, 1)</f>
        <v>1DSB</v>
      </c>
      <c r="G37" t="str" cm="1">
        <f t="array" aca="1" ref="G37" ca="1">IF(table_3_1[[#This Row],[dsb_type]]="2DSB", "2", IF(table_3_1[[#This Row],[dsb_type]]="2DSBanti", "2a", IF(table_3_1[[#This Row],[dsb_type]]="1DSB", "1", NA)))</f>
        <v>1</v>
      </c>
      <c r="H37" t="str">
        <f ca="1">OFFSET(table_2_1[strand], table_3_1[[#This Row],[index]] - 1, 0, 1, 1)</f>
        <v>R2</v>
      </c>
      <c r="I37" t="str">
        <f ca="1">MID(OFFSET(table_2_1[hguide], table_3_1[[#This Row],[index]] - 1, 0, 1, 1), 3, 100)</f>
        <v>B</v>
      </c>
      <c r="J37" t="str">
        <f ca="1">OFFSET(table_2_1[cell], table_3_1[[#This Row],[index]] - 1, 0, 1, 1)</f>
        <v>KO</v>
      </c>
      <c r="K37" t="str">
        <f ca="1">OFFSET(table_2_1[treatment], table_3_1[[#This Row],[index]] - 1, 0, 1, 1)</f>
        <v>cmv</v>
      </c>
      <c r="L37" t="str">
        <f t="shared" si="0"/>
        <v>without</v>
      </c>
      <c r="M3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3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libraries_4/KO_sgB_R2_cmv_30bpDown</v>
      </c>
    </row>
    <row r="38" spans="1:14" x14ac:dyDescent="0.25">
      <c r="A38" s="3">
        <v>37</v>
      </c>
      <c r="B38" t="str">
        <f ca="1">OFFSET(table_2_1[output_dir], table_3_1[[#This Row],[index]] - 1, 0, 1, 1)</f>
        <v>WT_sgCD_R1_antisense</v>
      </c>
      <c r="C38" t="str">
        <f ca="1">OFFSET(table_2_1[control], table_3_1[[#This Row],[index]] - 1, 0, 1, 1)</f>
        <v>none</v>
      </c>
      <c r="D38" t="str">
        <f ca="1">OFFSET(table_2_1[ref], table_3_1[[#This Row],[index]] - 1, 0, 1, 1)</f>
        <v>2DSBanti_R1_antisense.fa</v>
      </c>
      <c r="E38">
        <f ca="1">OFFSET(table_2_1[dsb_pos], table_3_1[[#This Row],[index]] - 1, 0, 1, 1)</f>
        <v>50</v>
      </c>
      <c r="F38" t="str">
        <f ca="1">OFFSET(table_2_1[dsb_type], table_3_1[[#This Row],[index]] - 1, 0, 1, 1)</f>
        <v>2DSBanti</v>
      </c>
      <c r="G38" t="str" cm="1">
        <f t="array" aca="1" ref="G38" ca="1">IF(table_3_1[[#This Row],[dsb_type]]="2DSB", "2", IF(table_3_1[[#This Row],[dsb_type]]="2DSBanti", "2a", IF(table_3_1[[#This Row],[dsb_type]]="1DSB", "1", NA)))</f>
        <v>2a</v>
      </c>
      <c r="H38" t="str">
        <f ca="1">OFFSET(table_2_1[strand], table_3_1[[#This Row],[index]] - 1, 0, 1, 1)</f>
        <v>R1</v>
      </c>
      <c r="I38" t="str">
        <f ca="1">MID(OFFSET(table_2_1[hguide], table_3_1[[#This Row],[index]] - 1, 0, 1, 1), 3, 100)</f>
        <v>CD</v>
      </c>
      <c r="J38" t="str">
        <f ca="1">OFFSET(table_2_1[cell], table_3_1[[#This Row],[index]] - 1, 0, 1, 1)</f>
        <v>WT</v>
      </c>
      <c r="K38" t="str">
        <f ca="1">OFFSET(table_2_1[treatment], table_3_1[[#This Row],[index]] - 1, 0, 1, 1)</f>
        <v>antisense</v>
      </c>
      <c r="L38" t="str">
        <f t="shared" si="0"/>
        <v>without</v>
      </c>
      <c r="M3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libraries_3/WT_sgCD_R1_antisense.tsv -o libraries_4/WT_sgCD_R1_antisense -ref ref_seq/2DSBanti_R1_antisense.fa -dsb 50 --dsb_type 2a --strand R1 --hguide CD --cell WT --treatment antisense --subst_type without --control none</v>
      </c>
      <c r="N3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libraries_4/WT_sgCD_R1_antisense</v>
      </c>
    </row>
    <row r="39" spans="1:14" x14ac:dyDescent="0.25">
      <c r="A39" s="3">
        <v>38</v>
      </c>
      <c r="B39" t="str">
        <f ca="1">OFFSET(table_2_1[output_dir], table_3_1[[#This Row],[index]] - 1, 0, 1, 1)</f>
        <v>WT_sgCD_R1_splicing</v>
      </c>
      <c r="C39" t="str">
        <f ca="1">OFFSET(table_2_1[control], table_3_1[[#This Row],[index]] - 1, 0, 1, 1)</f>
        <v>none</v>
      </c>
      <c r="D39" t="str">
        <f ca="1">OFFSET(table_2_1[ref], table_3_1[[#This Row],[index]] - 1, 0, 1, 1)</f>
        <v>2DSBanti_R1_splicing.fa</v>
      </c>
      <c r="E39">
        <f ca="1">OFFSET(table_2_1[dsb_pos], table_3_1[[#This Row],[index]] - 1, 0, 1, 1)</f>
        <v>50</v>
      </c>
      <c r="F39" t="str">
        <f ca="1">OFFSET(table_2_1[dsb_type], table_3_1[[#This Row],[index]] - 1, 0, 1, 1)</f>
        <v>2DSBanti</v>
      </c>
      <c r="G39" t="str" cm="1">
        <f t="array" aca="1" ref="G39" ca="1">IF(table_3_1[[#This Row],[dsb_type]]="2DSB", "2", IF(table_3_1[[#This Row],[dsb_type]]="2DSBanti", "2a", IF(table_3_1[[#This Row],[dsb_type]]="1DSB", "1", NA)))</f>
        <v>2a</v>
      </c>
      <c r="H39" t="str">
        <f ca="1">OFFSET(table_2_1[strand], table_3_1[[#This Row],[index]] - 1, 0, 1, 1)</f>
        <v>R1</v>
      </c>
      <c r="I39" t="str">
        <f ca="1">MID(OFFSET(table_2_1[hguide], table_3_1[[#This Row],[index]] - 1, 0, 1, 1), 3, 100)</f>
        <v>CD</v>
      </c>
      <c r="J39" t="str">
        <f ca="1">OFFSET(table_2_1[cell], table_3_1[[#This Row],[index]] - 1, 0, 1, 1)</f>
        <v>WT</v>
      </c>
      <c r="K39" t="str">
        <f ca="1">OFFSET(table_2_1[treatment], table_3_1[[#This Row],[index]] - 1, 0, 1, 1)</f>
        <v>splicing</v>
      </c>
      <c r="L39" t="str">
        <f t="shared" si="0"/>
        <v>without</v>
      </c>
      <c r="M3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libraries_3/WT_sgCD_R1_splicing.tsv -o libraries_4/WT_sgCD_R1_splicing -ref ref_seq/2DSBanti_R1_splicing.fa -dsb 50 --dsb_type 2a --strand R1 --hguide CD --cell WT --treatment splicing --subst_type without --control none</v>
      </c>
      <c r="N3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libraries_4/WT_sgCD_R1_splicing</v>
      </c>
    </row>
    <row r="40" spans="1:14" x14ac:dyDescent="0.25">
      <c r="A40" s="3">
        <v>39</v>
      </c>
      <c r="B40" t="str">
        <f ca="1">OFFSET(table_2_1[output_dir], table_3_1[[#This Row],[index]] - 1, 0, 1, 1)</f>
        <v>WT_sgCD_R2_antisense</v>
      </c>
      <c r="C40" t="str">
        <f ca="1">OFFSET(table_2_1[control], table_3_1[[#This Row],[index]] - 1, 0, 1, 1)</f>
        <v>none</v>
      </c>
      <c r="D40" t="str">
        <f ca="1">OFFSET(table_2_1[ref], table_3_1[[#This Row],[index]] - 1, 0, 1, 1)</f>
        <v>2DSBanti_R2_antisense.fa</v>
      </c>
      <c r="E40">
        <f ca="1">OFFSET(table_2_1[dsb_pos], table_3_1[[#This Row],[index]] - 1, 0, 1, 1)</f>
        <v>47</v>
      </c>
      <c r="F40" t="str">
        <f ca="1">OFFSET(table_2_1[dsb_type], table_3_1[[#This Row],[index]] - 1, 0, 1, 1)</f>
        <v>2DSBanti</v>
      </c>
      <c r="G40" t="str" cm="1">
        <f t="array" aca="1" ref="G40" ca="1">IF(table_3_1[[#This Row],[dsb_type]]="2DSB", "2", IF(table_3_1[[#This Row],[dsb_type]]="2DSBanti", "2a", IF(table_3_1[[#This Row],[dsb_type]]="1DSB", "1", NA)))</f>
        <v>2a</v>
      </c>
      <c r="H40" t="str">
        <f ca="1">OFFSET(table_2_1[strand], table_3_1[[#This Row],[index]] - 1, 0, 1, 1)</f>
        <v>R2</v>
      </c>
      <c r="I40" t="str">
        <f ca="1">MID(OFFSET(table_2_1[hguide], table_3_1[[#This Row],[index]] - 1, 0, 1, 1), 3, 100)</f>
        <v>CD</v>
      </c>
      <c r="J40" t="str">
        <f ca="1">OFFSET(table_2_1[cell], table_3_1[[#This Row],[index]] - 1, 0, 1, 1)</f>
        <v>WT</v>
      </c>
      <c r="K40" t="str">
        <f ca="1">OFFSET(table_2_1[treatment], table_3_1[[#This Row],[index]] - 1, 0, 1, 1)</f>
        <v>antisense</v>
      </c>
      <c r="L40" t="str">
        <f t="shared" si="0"/>
        <v>without</v>
      </c>
      <c r="M4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4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libraries_4/WT_sgCD_R2_antisense</v>
      </c>
    </row>
    <row r="41" spans="1:14" x14ac:dyDescent="0.25">
      <c r="A41" s="3">
        <v>40</v>
      </c>
      <c r="B41" t="str">
        <f ca="1">OFFSET(table_2_1[output_dir], table_3_1[[#This Row],[index]] - 1, 0, 1, 1)</f>
        <v>WT_sgCD_R2_splicing</v>
      </c>
      <c r="C41" t="str">
        <f ca="1">OFFSET(table_2_1[control], table_3_1[[#This Row],[index]] - 1, 0, 1, 1)</f>
        <v>none</v>
      </c>
      <c r="D41" t="str">
        <f ca="1">OFFSET(table_2_1[ref], table_3_1[[#This Row],[index]] - 1, 0, 1, 1)</f>
        <v>2DSBanti_R2_splicing.fa</v>
      </c>
      <c r="E41">
        <f ca="1">OFFSET(table_2_1[dsb_pos], table_3_1[[#This Row],[index]] - 1, 0, 1, 1)</f>
        <v>47</v>
      </c>
      <c r="F41" t="str">
        <f ca="1">OFFSET(table_2_1[dsb_type], table_3_1[[#This Row],[index]] - 1, 0, 1, 1)</f>
        <v>2DSBanti</v>
      </c>
      <c r="G41" t="str" cm="1">
        <f t="array" aca="1" ref="G41" ca="1">IF(table_3_1[[#This Row],[dsb_type]]="2DSB", "2", IF(table_3_1[[#This Row],[dsb_type]]="2DSBanti", "2a", IF(table_3_1[[#This Row],[dsb_type]]="1DSB", "1", NA)))</f>
        <v>2a</v>
      </c>
      <c r="H41" t="str">
        <f ca="1">OFFSET(table_2_1[strand], table_3_1[[#This Row],[index]] - 1, 0, 1, 1)</f>
        <v>R2</v>
      </c>
      <c r="I41" t="str">
        <f ca="1">MID(OFFSET(table_2_1[hguide], table_3_1[[#This Row],[index]] - 1, 0, 1, 1), 3, 100)</f>
        <v>CD</v>
      </c>
      <c r="J41" t="str">
        <f ca="1">OFFSET(table_2_1[cell], table_3_1[[#This Row],[index]] - 1, 0, 1, 1)</f>
        <v>WT</v>
      </c>
      <c r="K41" t="str">
        <f ca="1">OFFSET(table_2_1[treatment], table_3_1[[#This Row],[index]] - 1, 0, 1, 1)</f>
        <v>splicing</v>
      </c>
      <c r="L41" t="str">
        <f t="shared" si="0"/>
        <v>without</v>
      </c>
      <c r="M4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4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libraries_4/WT_sgCD_R2_splicing</v>
      </c>
    </row>
    <row r="43" spans="1:14" x14ac:dyDescent="0.25">
      <c r="A43" s="1" t="s">
        <v>112</v>
      </c>
      <c r="B43" s="1" t="s">
        <v>87</v>
      </c>
      <c r="C43" s="1" t="s">
        <v>134</v>
      </c>
      <c r="D43" s="1" t="s">
        <v>86</v>
      </c>
      <c r="E43" s="1" t="s">
        <v>101</v>
      </c>
      <c r="F43" s="1" t="s">
        <v>102</v>
      </c>
      <c r="G43" s="1" t="s">
        <v>142</v>
      </c>
      <c r="H43" s="1" t="s">
        <v>82</v>
      </c>
      <c r="I43" s="1" t="s">
        <v>103</v>
      </c>
      <c r="J43" s="1" t="s">
        <v>104</v>
      </c>
      <c r="K43" s="1" t="s">
        <v>81</v>
      </c>
      <c r="L43" s="1" t="s">
        <v>105</v>
      </c>
      <c r="M43" s="1" t="s">
        <v>107</v>
      </c>
      <c r="N43" s="1" t="s">
        <v>108</v>
      </c>
    </row>
    <row r="44" spans="1:14" x14ac:dyDescent="0.25">
      <c r="A44" s="3">
        <v>1</v>
      </c>
      <c r="B44" t="str">
        <f ca="1">OFFSET(table_2_2[output_dir], table_3_2[[#This Row],[index]] - 1, 0, 1, 1)</f>
        <v>WT_sgA_R1_sense_nodsb</v>
      </c>
      <c r="C44" t="str">
        <f ca="1">OFFSET(table_2_2[control], table_3_2[[#This Row],[index]] - 1, 0, 1, 1)</f>
        <v>noDSB</v>
      </c>
      <c r="D44" t="str">
        <f ca="1">OFFSET(table_2_2[ref], table_3_2[[#This Row],[index]] - 1, 0, 1, 1)</f>
        <v>1DSB_R1_sense.fa</v>
      </c>
      <c r="E44">
        <f ca="1">OFFSET(table_2_2[dsb_pos], table_3_2[[#This Row],[index]] - 1, 0, 1, 1)</f>
        <v>67</v>
      </c>
      <c r="F44" t="str">
        <f ca="1">OFFSET(table_2_2[dsb_type], table_3_2[[#This Row],[index]] - 1, 0, 1, 1)</f>
        <v>1DSB</v>
      </c>
      <c r="G44" t="str" cm="1">
        <f t="array" aca="1" ref="G44" ca="1">IF(table_3_2[[#This Row],[dsb_type]]="2DSB", "2", IF(table_3_2[[#This Row],[dsb_type]]="2DSBanti", "2a", IF(table_3_2[[#This Row],[dsb_type]]="1DSB", "1", NA)))</f>
        <v>1</v>
      </c>
      <c r="H44" t="str">
        <f ca="1">OFFSET(table_2_2[strand], table_3_2[[#This Row],[index]] - 1, 0, 1, 1)</f>
        <v>R1</v>
      </c>
      <c r="I44" t="str">
        <f ca="1">MID(OFFSET(table_2_2[hguide], table_3_2[[#This Row],[index]] - 1, 0, 1, 1), 3, 100)</f>
        <v>A</v>
      </c>
      <c r="J44" t="str">
        <f ca="1">OFFSET(table_2_2[cell], table_3_2[[#This Row],[index]] - 1, 0, 1, 1)</f>
        <v>WT</v>
      </c>
      <c r="K44" t="str">
        <f ca="1">OFFSET(table_2_2[treatment], table_3_2[[#This Row],[index]] - 1, 0, 1, 1)</f>
        <v>sense</v>
      </c>
      <c r="L44" t="str">
        <f t="shared" ref="L44:L55" si="1">subst_type</f>
        <v>without</v>
      </c>
      <c r="M4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libraries_4/WT_sgA_R1_sense_nodsb</v>
      </c>
    </row>
    <row r="45" spans="1:14" x14ac:dyDescent="0.25">
      <c r="A45" s="3">
        <v>2</v>
      </c>
      <c r="B45" t="str">
        <f ca="1">OFFSET(table_2_2[output_dir], table_3_2[[#This Row],[index]] - 1, 0, 1, 1)</f>
        <v>WT_sgA_R1_branch_nodsb</v>
      </c>
      <c r="C45" t="str">
        <f ca="1">OFFSET(table_2_2[control], table_3_2[[#This Row],[index]] - 1, 0, 1, 1)</f>
        <v>noDSB</v>
      </c>
      <c r="D45" t="str">
        <f ca="1">OFFSET(table_2_2[ref], table_3_2[[#This Row],[index]] - 1, 0, 1, 1)</f>
        <v>1DSB_R1_branch.fa</v>
      </c>
      <c r="E45">
        <f ca="1">OFFSET(table_2_2[dsb_pos], table_3_2[[#This Row],[index]] - 1, 0, 1, 1)</f>
        <v>67</v>
      </c>
      <c r="F45" t="str">
        <f ca="1">OFFSET(table_2_2[dsb_type], table_3_2[[#This Row],[index]] - 1, 0, 1, 1)</f>
        <v>1DSB</v>
      </c>
      <c r="G45" t="str" cm="1">
        <f t="array" aca="1" ref="G45" ca="1">IF(table_3_2[[#This Row],[dsb_type]]="2DSB", "2", IF(table_3_2[[#This Row],[dsb_type]]="2DSBanti", "2a", IF(table_3_2[[#This Row],[dsb_type]]="1DSB", "1", NA)))</f>
        <v>1</v>
      </c>
      <c r="H45" t="str">
        <f ca="1">OFFSET(table_2_2[strand], table_3_2[[#This Row],[index]] - 1, 0, 1, 1)</f>
        <v>R1</v>
      </c>
      <c r="I45" t="str">
        <f ca="1">MID(OFFSET(table_2_2[hguide], table_3_2[[#This Row],[index]] - 1, 0, 1, 1), 3, 100)</f>
        <v>A</v>
      </c>
      <c r="J45" t="str">
        <f ca="1">OFFSET(table_2_2[cell], table_3_2[[#This Row],[index]] - 1, 0, 1, 1)</f>
        <v>WT</v>
      </c>
      <c r="K45" t="str">
        <f ca="1">OFFSET(table_2_2[treatment], table_3_2[[#This Row],[index]] - 1, 0, 1, 1)</f>
        <v>branch</v>
      </c>
      <c r="L45" t="str">
        <f t="shared" si="1"/>
        <v>without</v>
      </c>
      <c r="M4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libraries_4/WT_sgA_R1_branch_nodsb</v>
      </c>
    </row>
    <row r="46" spans="1:14" x14ac:dyDescent="0.25">
      <c r="A46" s="3">
        <v>3</v>
      </c>
      <c r="B46" t="str">
        <f ca="1">OFFSET(table_2_2[output_dir], table_3_2[[#This Row],[index]] - 1, 0, 1, 1)</f>
        <v>WT_sgA_R1_cmv_nodsb</v>
      </c>
      <c r="C46" t="str">
        <f ca="1">OFFSET(table_2_2[control], table_3_2[[#This Row],[index]] - 1, 0, 1, 1)</f>
        <v>noDSB</v>
      </c>
      <c r="D46" t="str">
        <f ca="1">OFFSET(table_2_2[ref], table_3_2[[#This Row],[index]] - 1, 0, 1, 1)</f>
        <v>1DSB_R1_cmv.fa</v>
      </c>
      <c r="E46">
        <f ca="1">OFFSET(table_2_2[dsb_pos], table_3_2[[#This Row],[index]] - 1, 0, 1, 1)</f>
        <v>67</v>
      </c>
      <c r="F46" t="str">
        <f ca="1">OFFSET(table_2_2[dsb_type], table_3_2[[#This Row],[index]] - 1, 0, 1, 1)</f>
        <v>1DSB</v>
      </c>
      <c r="G46" t="str" cm="1">
        <f t="array" aca="1" ref="G46" ca="1">IF(table_3_2[[#This Row],[dsb_type]]="2DSB", "2", IF(table_3_2[[#This Row],[dsb_type]]="2DSBanti", "2a", IF(table_3_2[[#This Row],[dsb_type]]="1DSB", "1", NA)))</f>
        <v>1</v>
      </c>
      <c r="H46" t="str">
        <f ca="1">OFFSET(table_2_2[strand], table_3_2[[#This Row],[index]] - 1, 0, 1, 1)</f>
        <v>R1</v>
      </c>
      <c r="I46" t="str">
        <f ca="1">MID(OFFSET(table_2_2[hguide], table_3_2[[#This Row],[index]] - 1, 0, 1, 1), 3, 100)</f>
        <v>A</v>
      </c>
      <c r="J46" t="str">
        <f ca="1">OFFSET(table_2_2[cell], table_3_2[[#This Row],[index]] - 1, 0, 1, 1)</f>
        <v>WT</v>
      </c>
      <c r="K46" t="str">
        <f ca="1">OFFSET(table_2_2[treatment], table_3_2[[#This Row],[index]] - 1, 0, 1, 1)</f>
        <v>cmv</v>
      </c>
      <c r="L46" t="str">
        <f t="shared" si="1"/>
        <v>without</v>
      </c>
      <c r="M46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libraries_4/WT_sgA_R1_cmv_nodsb</v>
      </c>
    </row>
    <row r="47" spans="1:14" x14ac:dyDescent="0.25">
      <c r="A47" s="3">
        <v>4</v>
      </c>
      <c r="B47" t="str">
        <f ca="1">OFFSET(table_2_2[output_dir], table_3_2[[#This Row],[index]] - 1, 0, 1, 1)</f>
        <v>KO_sgA_R1_sense_nodsb</v>
      </c>
      <c r="C47" t="str">
        <f ca="1">OFFSET(table_2_2[control], table_3_2[[#This Row],[index]] - 1, 0, 1, 1)</f>
        <v>noDSB</v>
      </c>
      <c r="D47" t="str">
        <f ca="1">OFFSET(table_2_2[ref], table_3_2[[#This Row],[index]] - 1, 0, 1, 1)</f>
        <v>1DSB_R1_sense.fa</v>
      </c>
      <c r="E47">
        <f ca="1">OFFSET(table_2_2[dsb_pos], table_3_2[[#This Row],[index]] - 1, 0, 1, 1)</f>
        <v>67</v>
      </c>
      <c r="F47" t="str">
        <f ca="1">OFFSET(table_2_2[dsb_type], table_3_2[[#This Row],[index]] - 1, 0, 1, 1)</f>
        <v>1DSB</v>
      </c>
      <c r="G47" t="str" cm="1">
        <f t="array" aca="1" ref="G47" ca="1">IF(table_3_2[[#This Row],[dsb_type]]="2DSB", "2", IF(table_3_2[[#This Row],[dsb_type]]="2DSBanti", "2a", IF(table_3_2[[#This Row],[dsb_type]]="1DSB", "1", NA)))</f>
        <v>1</v>
      </c>
      <c r="H47" t="str">
        <f ca="1">OFFSET(table_2_2[strand], table_3_2[[#This Row],[index]] - 1, 0, 1, 1)</f>
        <v>R1</v>
      </c>
      <c r="I47" t="str">
        <f ca="1">MID(OFFSET(table_2_2[hguide], table_3_2[[#This Row],[index]] - 1, 0, 1, 1), 3, 100)</f>
        <v>A</v>
      </c>
      <c r="J47" t="str">
        <f ca="1">OFFSET(table_2_2[cell], table_3_2[[#This Row],[index]] - 1, 0, 1, 1)</f>
        <v>KO</v>
      </c>
      <c r="K47" t="str">
        <f ca="1">OFFSET(table_2_2[treatment], table_3_2[[#This Row],[index]] - 1, 0, 1, 1)</f>
        <v>sense</v>
      </c>
      <c r="L47" t="str">
        <f t="shared" si="1"/>
        <v>without</v>
      </c>
      <c r="M47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libraries_4/KO_sgA_R1_sense_nodsb</v>
      </c>
    </row>
    <row r="48" spans="1:14" x14ac:dyDescent="0.25">
      <c r="A48" s="3">
        <v>5</v>
      </c>
      <c r="B48" t="str">
        <f ca="1">OFFSET(table_2_2[output_dir], table_3_2[[#This Row],[index]] - 1, 0, 1, 1)</f>
        <v>KO_sgA_R1_branch_nodsb</v>
      </c>
      <c r="C48" t="str">
        <f ca="1">OFFSET(table_2_2[control], table_3_2[[#This Row],[index]] - 1, 0, 1, 1)</f>
        <v>noDSB</v>
      </c>
      <c r="D48" t="str">
        <f ca="1">OFFSET(table_2_2[ref], table_3_2[[#This Row],[index]] - 1, 0, 1, 1)</f>
        <v>1DSB_R1_branch.fa</v>
      </c>
      <c r="E48">
        <f ca="1">OFFSET(table_2_2[dsb_pos], table_3_2[[#This Row],[index]] - 1, 0, 1, 1)</f>
        <v>67</v>
      </c>
      <c r="F48" t="str">
        <f ca="1">OFFSET(table_2_2[dsb_type], table_3_2[[#This Row],[index]] - 1, 0, 1, 1)</f>
        <v>1DSB</v>
      </c>
      <c r="G48" t="str" cm="1">
        <f t="array" aca="1" ref="G48" ca="1">IF(table_3_2[[#This Row],[dsb_type]]="2DSB", "2", IF(table_3_2[[#This Row],[dsb_type]]="2DSBanti", "2a", IF(table_3_2[[#This Row],[dsb_type]]="1DSB", "1", NA)))</f>
        <v>1</v>
      </c>
      <c r="H48" t="str">
        <f ca="1">OFFSET(table_2_2[strand], table_3_2[[#This Row],[index]] - 1, 0, 1, 1)</f>
        <v>R1</v>
      </c>
      <c r="I48" t="str">
        <f ca="1">MID(OFFSET(table_2_2[hguide], table_3_2[[#This Row],[index]] - 1, 0, 1, 1), 3, 100)</f>
        <v>A</v>
      </c>
      <c r="J48" t="str">
        <f ca="1">OFFSET(table_2_2[cell], table_3_2[[#This Row],[index]] - 1, 0, 1, 1)</f>
        <v>KO</v>
      </c>
      <c r="K48" t="str">
        <f ca="1">OFFSET(table_2_2[treatment], table_3_2[[#This Row],[index]] - 1, 0, 1, 1)</f>
        <v>branch</v>
      </c>
      <c r="L48" t="str">
        <f t="shared" si="1"/>
        <v>without</v>
      </c>
      <c r="M48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libraries_4/KO_sgA_R1_branch_nodsb</v>
      </c>
    </row>
    <row r="49" spans="1:14" x14ac:dyDescent="0.25">
      <c r="A49" s="3">
        <v>6</v>
      </c>
      <c r="B49" t="str">
        <f ca="1">OFFSET(table_2_2[output_dir], table_3_2[[#This Row],[index]] - 1, 0, 1, 1)</f>
        <v>KO_sgA_R1_cmv_nodsb</v>
      </c>
      <c r="C49" t="str">
        <f ca="1">OFFSET(table_2_2[control], table_3_2[[#This Row],[index]] - 1, 0, 1, 1)</f>
        <v>noDSB</v>
      </c>
      <c r="D49" t="str">
        <f ca="1">OFFSET(table_2_2[ref], table_3_2[[#This Row],[index]] - 1, 0, 1, 1)</f>
        <v>1DSB_R1_cmv.fa</v>
      </c>
      <c r="E49">
        <f ca="1">OFFSET(table_2_2[dsb_pos], table_3_2[[#This Row],[index]] - 1, 0, 1, 1)</f>
        <v>67</v>
      </c>
      <c r="F49" t="str">
        <f ca="1">OFFSET(table_2_2[dsb_type], table_3_2[[#This Row],[index]] - 1, 0, 1, 1)</f>
        <v>1DSB</v>
      </c>
      <c r="G49" t="str" cm="1">
        <f t="array" aca="1" ref="G49" ca="1">IF(table_3_2[[#This Row],[dsb_type]]="2DSB", "2", IF(table_3_2[[#This Row],[dsb_type]]="2DSBanti", "2a", IF(table_3_2[[#This Row],[dsb_type]]="1DSB", "1", NA)))</f>
        <v>1</v>
      </c>
      <c r="H49" t="str">
        <f ca="1">OFFSET(table_2_2[strand], table_3_2[[#This Row],[index]] - 1, 0, 1, 1)</f>
        <v>R1</v>
      </c>
      <c r="I49" t="str">
        <f ca="1">MID(OFFSET(table_2_2[hguide], table_3_2[[#This Row],[index]] - 1, 0, 1, 1), 3, 100)</f>
        <v>A</v>
      </c>
      <c r="J49" t="str">
        <f ca="1">OFFSET(table_2_2[cell], table_3_2[[#This Row],[index]] - 1, 0, 1, 1)</f>
        <v>KO</v>
      </c>
      <c r="K49" t="str">
        <f ca="1">OFFSET(table_2_2[treatment], table_3_2[[#This Row],[index]] - 1, 0, 1, 1)</f>
        <v>cmv</v>
      </c>
      <c r="L49" t="str">
        <f t="shared" si="1"/>
        <v>without</v>
      </c>
      <c r="M49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libraries_4/KO_sgA_R1_cmv_nodsb</v>
      </c>
    </row>
    <row r="50" spans="1:14" x14ac:dyDescent="0.25">
      <c r="A50" s="3">
        <v>7</v>
      </c>
      <c r="B50" t="str">
        <f ca="1">OFFSET(table_2_2[output_dir], table_3_2[[#This Row],[index]] - 1, 0, 1, 1)</f>
        <v>WT_sgB_R2_sense_nodsb</v>
      </c>
      <c r="C50" t="str">
        <f ca="1">OFFSET(table_2_2[control], table_3_2[[#This Row],[index]] - 1, 0, 1, 1)</f>
        <v>noDSB</v>
      </c>
      <c r="D50" t="str">
        <f ca="1">OFFSET(table_2_2[ref], table_3_2[[#This Row],[index]] - 1, 0, 1, 1)</f>
        <v>1DSB_R2_sense.fa</v>
      </c>
      <c r="E50">
        <f ca="1">OFFSET(table_2_2[dsb_pos], table_3_2[[#This Row],[index]] - 1, 0, 1, 1)</f>
        <v>46</v>
      </c>
      <c r="F50" t="str">
        <f ca="1">OFFSET(table_2_2[dsb_type], table_3_2[[#This Row],[index]] - 1, 0, 1, 1)</f>
        <v>1DSB</v>
      </c>
      <c r="G50" t="str" cm="1">
        <f t="array" aca="1" ref="G50" ca="1">IF(table_3_2[[#This Row],[dsb_type]]="2DSB", "2", IF(table_3_2[[#This Row],[dsb_type]]="2DSBanti", "2a", IF(table_3_2[[#This Row],[dsb_type]]="1DSB", "1", NA)))</f>
        <v>1</v>
      </c>
      <c r="H50" t="str">
        <f ca="1">OFFSET(table_2_2[strand], table_3_2[[#This Row],[index]] - 1, 0, 1, 1)</f>
        <v>R2</v>
      </c>
      <c r="I50" t="str">
        <f ca="1">MID(OFFSET(table_2_2[hguide], table_3_2[[#This Row],[index]] - 1, 0, 1, 1), 3, 100)</f>
        <v>B</v>
      </c>
      <c r="J50" t="str">
        <f ca="1">OFFSET(table_2_2[cell], table_3_2[[#This Row],[index]] - 1, 0, 1, 1)</f>
        <v>WT</v>
      </c>
      <c r="K50" t="str">
        <f ca="1">OFFSET(table_2_2[treatment], table_3_2[[#This Row],[index]] - 1, 0, 1, 1)</f>
        <v>sense</v>
      </c>
      <c r="L50" t="str">
        <f t="shared" si="1"/>
        <v>without</v>
      </c>
      <c r="M50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libraries_4/WT_sgB_R2_sense_nodsb</v>
      </c>
    </row>
    <row r="51" spans="1:14" x14ac:dyDescent="0.25">
      <c r="A51" s="3">
        <v>8</v>
      </c>
      <c r="B51" t="str">
        <f ca="1">OFFSET(table_2_2[output_dir], table_3_2[[#This Row],[index]] - 1, 0, 1, 1)</f>
        <v>WT_sgB_R2_branch_nodsb</v>
      </c>
      <c r="C51" t="str">
        <f ca="1">OFFSET(table_2_2[control], table_3_2[[#This Row],[index]] - 1, 0, 1, 1)</f>
        <v>noDSB</v>
      </c>
      <c r="D51" t="str">
        <f ca="1">OFFSET(table_2_2[ref], table_3_2[[#This Row],[index]] - 1, 0, 1, 1)</f>
        <v>1DSB_R2_branch.fa</v>
      </c>
      <c r="E51">
        <f ca="1">OFFSET(table_2_2[dsb_pos], table_3_2[[#This Row],[index]] - 1, 0, 1, 1)</f>
        <v>46</v>
      </c>
      <c r="F51" t="str">
        <f ca="1">OFFSET(table_2_2[dsb_type], table_3_2[[#This Row],[index]] - 1, 0, 1, 1)</f>
        <v>1DSB</v>
      </c>
      <c r="G51" t="str" cm="1">
        <f t="array" aca="1" ref="G51" ca="1">IF(table_3_2[[#This Row],[dsb_type]]="2DSB", "2", IF(table_3_2[[#This Row],[dsb_type]]="2DSBanti", "2a", IF(table_3_2[[#This Row],[dsb_type]]="1DSB", "1", NA)))</f>
        <v>1</v>
      </c>
      <c r="H51" t="str">
        <f ca="1">OFFSET(table_2_2[strand], table_3_2[[#This Row],[index]] - 1, 0, 1, 1)</f>
        <v>R2</v>
      </c>
      <c r="I51" t="str">
        <f ca="1">MID(OFFSET(table_2_2[hguide], table_3_2[[#This Row],[index]] - 1, 0, 1, 1), 3, 100)</f>
        <v>B</v>
      </c>
      <c r="J51" t="str">
        <f ca="1">OFFSET(table_2_2[cell], table_3_2[[#This Row],[index]] - 1, 0, 1, 1)</f>
        <v>WT</v>
      </c>
      <c r="K51" t="str">
        <f ca="1">OFFSET(table_2_2[treatment], table_3_2[[#This Row],[index]] - 1, 0, 1, 1)</f>
        <v>branch</v>
      </c>
      <c r="L51" t="str">
        <f t="shared" si="1"/>
        <v>without</v>
      </c>
      <c r="M51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libraries_4/WT_sgB_R2_branch_nodsb</v>
      </c>
    </row>
    <row r="52" spans="1:14" x14ac:dyDescent="0.25">
      <c r="A52" s="3">
        <v>9</v>
      </c>
      <c r="B52" t="str">
        <f ca="1">OFFSET(table_2_2[output_dir], table_3_2[[#This Row],[index]] - 1, 0, 1, 1)</f>
        <v>WT_sgB_R2_cmv_nodsb</v>
      </c>
      <c r="C52" t="str">
        <f ca="1">OFFSET(table_2_2[control], table_3_2[[#This Row],[index]] - 1, 0, 1, 1)</f>
        <v>noDSB</v>
      </c>
      <c r="D52" t="str">
        <f ca="1">OFFSET(table_2_2[ref], table_3_2[[#This Row],[index]] - 1, 0, 1, 1)</f>
        <v>1DSB_R2_cmv.fa</v>
      </c>
      <c r="E52">
        <f ca="1">OFFSET(table_2_2[dsb_pos], table_3_2[[#This Row],[index]] - 1, 0, 1, 1)</f>
        <v>46</v>
      </c>
      <c r="F52" t="str">
        <f ca="1">OFFSET(table_2_2[dsb_type], table_3_2[[#This Row],[index]] - 1, 0, 1, 1)</f>
        <v>1DSB</v>
      </c>
      <c r="G52" t="str" cm="1">
        <f t="array" aca="1" ref="G52" ca="1">IF(table_3_2[[#This Row],[dsb_type]]="2DSB", "2", IF(table_3_2[[#This Row],[dsb_type]]="2DSBanti", "2a", IF(table_3_2[[#This Row],[dsb_type]]="1DSB", "1", NA)))</f>
        <v>1</v>
      </c>
      <c r="H52" t="str">
        <f ca="1">OFFSET(table_2_2[strand], table_3_2[[#This Row],[index]] - 1, 0, 1, 1)</f>
        <v>R2</v>
      </c>
      <c r="I52" t="str">
        <f ca="1">MID(OFFSET(table_2_2[hguide], table_3_2[[#This Row],[index]] - 1, 0, 1, 1), 3, 100)</f>
        <v>B</v>
      </c>
      <c r="J52" t="str">
        <f ca="1">OFFSET(table_2_2[cell], table_3_2[[#This Row],[index]] - 1, 0, 1, 1)</f>
        <v>WT</v>
      </c>
      <c r="K52" t="str">
        <f ca="1">OFFSET(table_2_2[treatment], table_3_2[[#This Row],[index]] - 1, 0, 1, 1)</f>
        <v>cmv</v>
      </c>
      <c r="L52" t="str">
        <f t="shared" si="1"/>
        <v>without</v>
      </c>
      <c r="M52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libraries_4/WT_sgB_R2_cmv_nodsb</v>
      </c>
    </row>
    <row r="53" spans="1:14" x14ac:dyDescent="0.25">
      <c r="A53" s="3">
        <v>10</v>
      </c>
      <c r="B53" t="str">
        <f ca="1">OFFSET(table_2_2[output_dir], table_3_2[[#This Row],[index]] - 1, 0, 1, 1)</f>
        <v>KO_sgB_R2_sense_nodsb</v>
      </c>
      <c r="C53" t="str">
        <f ca="1">OFFSET(table_2_2[control], table_3_2[[#This Row],[index]] - 1, 0, 1, 1)</f>
        <v>noDSB</v>
      </c>
      <c r="D53" t="str">
        <f ca="1">OFFSET(table_2_2[ref], table_3_2[[#This Row],[index]] - 1, 0, 1, 1)</f>
        <v>1DSB_R2_sense.fa</v>
      </c>
      <c r="E53">
        <f ca="1">OFFSET(table_2_2[dsb_pos], table_3_2[[#This Row],[index]] - 1, 0, 1, 1)</f>
        <v>46</v>
      </c>
      <c r="F53" t="str">
        <f ca="1">OFFSET(table_2_2[dsb_type], table_3_2[[#This Row],[index]] - 1, 0, 1, 1)</f>
        <v>1DSB</v>
      </c>
      <c r="G53" t="str" cm="1">
        <f t="array" aca="1" ref="G53" ca="1">IF(table_3_2[[#This Row],[dsb_type]]="2DSB", "2", IF(table_3_2[[#This Row],[dsb_type]]="2DSBanti", "2a", IF(table_3_2[[#This Row],[dsb_type]]="1DSB", "1", NA)))</f>
        <v>1</v>
      </c>
      <c r="H53" t="str">
        <f ca="1">OFFSET(table_2_2[strand], table_3_2[[#This Row],[index]] - 1, 0, 1, 1)</f>
        <v>R2</v>
      </c>
      <c r="I53" t="str">
        <f ca="1">MID(OFFSET(table_2_2[hguide], table_3_2[[#This Row],[index]] - 1, 0, 1, 1), 3, 100)</f>
        <v>B</v>
      </c>
      <c r="J53" t="str">
        <f ca="1">OFFSET(table_2_2[cell], table_3_2[[#This Row],[index]] - 1, 0, 1, 1)</f>
        <v>KO</v>
      </c>
      <c r="K53" t="str">
        <f ca="1">OFFSET(table_2_2[treatment], table_3_2[[#This Row],[index]] - 1, 0, 1, 1)</f>
        <v>sense</v>
      </c>
      <c r="L53" t="str">
        <f t="shared" si="1"/>
        <v>without</v>
      </c>
      <c r="M53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libraries_4/KO_sgB_R2_sense_nodsb</v>
      </c>
    </row>
    <row r="54" spans="1:14" x14ac:dyDescent="0.25">
      <c r="A54" s="3">
        <v>11</v>
      </c>
      <c r="B54" t="str">
        <f ca="1">OFFSET(table_2_2[output_dir], table_3_2[[#This Row],[index]] - 1, 0, 1, 1)</f>
        <v>KO_sgB_R2_branch_nodsb</v>
      </c>
      <c r="C54" t="str">
        <f ca="1">OFFSET(table_2_2[control], table_3_2[[#This Row],[index]] - 1, 0, 1, 1)</f>
        <v>noDSB</v>
      </c>
      <c r="D54" t="str">
        <f ca="1">OFFSET(table_2_2[ref], table_3_2[[#This Row],[index]] - 1, 0, 1, 1)</f>
        <v>1DSB_R2_branch.fa</v>
      </c>
      <c r="E54">
        <f ca="1">OFFSET(table_2_2[dsb_pos], table_3_2[[#This Row],[index]] - 1, 0, 1, 1)</f>
        <v>46</v>
      </c>
      <c r="F54" t="str">
        <f ca="1">OFFSET(table_2_2[dsb_type], table_3_2[[#This Row],[index]] - 1, 0, 1, 1)</f>
        <v>1DSB</v>
      </c>
      <c r="G54" t="str" cm="1">
        <f t="array" aca="1" ref="G54" ca="1">IF(table_3_2[[#This Row],[dsb_type]]="2DSB", "2", IF(table_3_2[[#This Row],[dsb_type]]="2DSBanti", "2a", IF(table_3_2[[#This Row],[dsb_type]]="1DSB", "1", NA)))</f>
        <v>1</v>
      </c>
      <c r="H54" t="str">
        <f ca="1">OFFSET(table_2_2[strand], table_3_2[[#This Row],[index]] - 1, 0, 1, 1)</f>
        <v>R2</v>
      </c>
      <c r="I54" t="str">
        <f ca="1">MID(OFFSET(table_2_2[hguide], table_3_2[[#This Row],[index]] - 1, 0, 1, 1), 3, 100)</f>
        <v>B</v>
      </c>
      <c r="J54" t="str">
        <f ca="1">OFFSET(table_2_2[cell], table_3_2[[#This Row],[index]] - 1, 0, 1, 1)</f>
        <v>KO</v>
      </c>
      <c r="K54" t="str">
        <f ca="1">OFFSET(table_2_2[treatment], table_3_2[[#This Row],[index]] - 1, 0, 1, 1)</f>
        <v>branch</v>
      </c>
      <c r="L54" t="str">
        <f t="shared" si="1"/>
        <v>without</v>
      </c>
      <c r="M5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libraries_4/KO_sgB_R2_branch_nodsb</v>
      </c>
    </row>
    <row r="55" spans="1:14" x14ac:dyDescent="0.25">
      <c r="A55" s="3">
        <v>12</v>
      </c>
      <c r="B55" t="str">
        <f ca="1">OFFSET(table_2_2[output_dir], table_3_2[[#This Row],[index]] - 1, 0, 1, 1)</f>
        <v>KO_sgB_R2_cmv_nodsb</v>
      </c>
      <c r="C55" t="str">
        <f ca="1">OFFSET(table_2_2[control], table_3_2[[#This Row],[index]] - 1, 0, 1, 1)</f>
        <v>noDSB</v>
      </c>
      <c r="D55" t="str">
        <f ca="1">OFFSET(table_2_2[ref], table_3_2[[#This Row],[index]] - 1, 0, 1, 1)</f>
        <v>1DSB_R2_cmv.fa</v>
      </c>
      <c r="E55">
        <f ca="1">OFFSET(table_2_2[dsb_pos], table_3_2[[#This Row],[index]] - 1, 0, 1, 1)</f>
        <v>46</v>
      </c>
      <c r="F55" t="str">
        <f ca="1">OFFSET(table_2_2[dsb_type], table_3_2[[#This Row],[index]] - 1, 0, 1, 1)</f>
        <v>1DSB</v>
      </c>
      <c r="G55" t="str" cm="1">
        <f t="array" aca="1" ref="G55" ca="1">IF(table_3_2[[#This Row],[dsb_type]]="2DSB", "2", IF(table_3_2[[#This Row],[dsb_type]]="2DSBanti", "2a", IF(table_3_2[[#This Row],[dsb_type]]="1DSB", "1", NA)))</f>
        <v>1</v>
      </c>
      <c r="H55" t="str">
        <f ca="1">OFFSET(table_2_2[strand], table_3_2[[#This Row],[index]] - 1, 0, 1, 1)</f>
        <v>R2</v>
      </c>
      <c r="I55" t="str">
        <f ca="1">MID(OFFSET(table_2_2[hguide], table_3_2[[#This Row],[index]] - 1, 0, 1, 1), 3, 100)</f>
        <v>B</v>
      </c>
      <c r="J55" t="str">
        <f ca="1">OFFSET(table_2_2[cell], table_3_2[[#This Row],[index]] - 1, 0, 1, 1)</f>
        <v>KO</v>
      </c>
      <c r="K55" t="str">
        <f ca="1">OFFSET(table_2_2[treatment], table_3_2[[#This Row],[index]] - 1, 0, 1, 1)</f>
        <v>cmv</v>
      </c>
      <c r="L55" t="str">
        <f t="shared" si="1"/>
        <v>without</v>
      </c>
      <c r="M5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libraries_4/KO_sgB_R2_cmv_nodsb</v>
      </c>
    </row>
    <row r="57" spans="1:14" x14ac:dyDescent="0.25">
      <c r="A57" s="1" t="s">
        <v>184</v>
      </c>
    </row>
    <row r="58" spans="1:14" x14ac:dyDescent="0.25">
      <c r="A58" t="str">
        <f ca="1">_xlfn.TEXTJOIN(CHAR(10), TRUE, M2:M41,M44:M55)</f>
        <v>python 2_graph_processing/make_main_data.py -i libraries_3/WT_sgAB_R1_sense.tsv -o libraries_4/WT_sgAB_R1_sense -ref ref_seq/2DSB_R1_sense.fa -dsb 67 --dsb_type 2 --strand R1 --hguide AB --cell WT --treatment sense --subst_type without --control none
python 2_graph_processing/make_main_data.py -i libraries_3/WT_sgAB_R1_branch.tsv -o libraries_4/WT_sgAB_R1_branch -ref ref_seq/2DSB_R1_branch.fa -dsb 67 --dsb_type 2 --strand R1 --hguide AB --cell WT --treatment branch --subst_type without --control none
python 2_graph_processing/make_main_data.py -i libraries_3/WT_sgAB_R1_cmv.tsv -o libraries_4/WT_sgAB_R1_cmv -ref ref_seq/2DSB_R1_cmv.fa -dsb 67 --dsb_type 2 --strand R1 --hguide AB --cell WT --treatment cmv --subst_type without --control none
python 2_graph_processing/make_main_data.py -i libraries_3/KO_sgAB_R1_sense.tsv -o libraries_4/KO_sgAB_R1_sense -ref ref_seq/2DSB_R1_sense.fa -dsb 67 --dsb_type 2 --strand R1 --hguide AB --cell KO --treatment sense --subst_type without --control none
python 2_graph_processing/make_main_data.py -i libraries_3/KO_sgAB_R1_branch.tsv -o libraries_4/KO_sgAB_R1_branch -ref ref_seq/2DSB_R1_branch.fa -dsb 67 --dsb_type 2 --strand R1 --hguide AB --cell KO --treatment branch --subst_type without --control none
python 2_graph_processing/make_main_data.py -i libraries_3/KO_sgAB_R1_cmv.tsv -o libraries_4/KO_sgAB_R1_cmv -ref ref_seq/2DSB_R1_cmv.fa -dsb 67 --dsb_type 2 --strand R1 --hguide AB --cell KO --treatment cmv --subst_type without --control none
python 2_graph_processing/make_main_data.py -i libraries_3/WT_sgAB_R2_sense.tsv -o libraries_4/WT_sgAB_R2_sense -ref ref_seq/2DSB_R2_sense.fa -dsb 46 --dsb_type 2 --strand R2 --hguide AB --cell WT --treatment sense --subst_type without --control none
python 2_graph_processing/make_main_data.py -i libraries_3/WT_sgAB_R2_branch.tsv -o libraries_4/WT_sgAB_R2_branch -ref ref_seq/2DSB_R2_branch.fa -dsb 46 --dsb_type 2 --strand R2 --hguide AB --cell WT --treatment branch --subst_type without --control none
python 2_graph_processing/make_main_data.py -i libraries_3/WT_sgAB_R2_cmv.tsv -o libraries_4/WT_sgAB_R2_cmv -ref ref_seq/2DSB_R2_cmv.fa -dsb 46 --dsb_type 2 --strand R2 --hguide AB --cell WT --treatment cmv --subst_type without --control none
python 2_graph_processing/make_main_data.py -i libraries_3/KO_sgAB_R2_sense.tsv -o libraries_4/KO_sgAB_R2_sense -ref ref_seq/2DSB_R2_sense.fa -dsb 46 --dsb_type 2 --strand R2 --hguide AB --cell KO --treatment sense --subst_type without --control none
python 2_graph_processing/make_main_data.py -i libraries_3/KO_sgAB_R2_branch.tsv -o libraries_4/KO_sgAB_R2_branch -ref ref_seq/2DSB_R2_branch.fa -dsb 46 --dsb_type 2 --strand R2 --hguide AB --cell KO --treatment branch --subst_type without --control none
python 2_graph_processing/make_main_data.py -i libraries_3/KO_sgAB_R2_cmv.tsv -o libraries_4/KO_sgAB_R2_cmv -ref ref_seq/2DSB_R2_cmv.fa -dsb 46 --dsb_type 2 --strand R2 --hguide AB --cell KO --treatment cmv --subst_type without --control none
python 2_graph_processing/make_main_data.py -i libraries_3/WT_sgA_R1_sense.tsv -o libraries_4/WT_sgA_R1_sense -ref ref_seq/1DSB_R1_sense.fa -dsb 67 --dsb_type 1 --strand R1 --hguide A --cell WT --treatment sense --subst_type without --control none
python 2_graph_processing/make_main_data.py -i libraries_3/WT_sgA_R1_branch.tsv -o libraries_4/WT_sgA_R1_branch -ref ref_seq/1DSB_R1_branch.fa -dsb 67 --dsb_type 1 --strand R1 --hguide A --cell WT --treatment branch --subst_type without --control none
python 2_graph_processing/make_main_data.py -i libraries_3/WT_sgA_R1_cmv.tsv -o libraries_4/WT_sgA_R1_cmv -ref ref_seq/1DSB_R1_cmv.fa -dsb 67 --dsb_type 1 --strand R1 --hguide A --cell WT --treatment cmv --subst_type without --control none
python 2_graph_processing/make_main_data.py -i libraries_3/KO_sgA_R1_sense.tsv -o libraries_4/KO_sgA_R1_sense -ref ref_seq/1DSB_R1_sense.fa -dsb 67 --dsb_type 1 --strand R1 --hguide A --cell KO --treatment sense --subst_type without --control none
python 2_graph_processing/make_main_data.py -i libraries_3/KO_sgA_R1_branch.tsv -o libraries_4/KO_sgA_R1_branch -ref ref_seq/1DSB_R1_branch.fa -dsb 67 --dsb_type 1 --strand R1 --hguide A --cell KO --treatment branch --subst_type without --control none
python 2_graph_processing/make_main_data.py -i libraries_3/KO_sgA_R1_cmv.tsv -o libraries_4/KO_sgA_R1_cmv -ref ref_seq/1DSB_R1_cmv.fa -dsb 67 --dsb_type 1 --strand R1 --hguide A --cell KO --treatment cmv --subst_type without --control none
python 2_graph_processing/make_main_data.py -i libraries_3/WT_sgB_R2_sense.tsv -o libraries_4/WT_sgB_R2_sense -ref ref_seq/1DSB_R2_sense.fa -dsb 46 --dsb_type 1 --strand R2 --hguide B --cell WT --treatment sense --subst_type without --control none
python 2_graph_processing/make_main_data.py -i libraries_3/WT_sgB_R2_branch.tsv -o libraries_4/WT_sgB_R2_branch -ref ref_seq/1DSB_R2_branch.fa -dsb 46 --dsb_type 1 --strand R2 --hguide B --cell WT --treatment branch --subst_type without --control none
python 2_graph_processing/make_main_data.py -i libraries_3/WT_sgB_R2_cmv.tsv -o libraries_4/WT_sgB_R2_cmv -ref ref_seq/1DSB_R2_cmv.fa -dsb 46 --dsb_type 1 --strand R2 --hguide B --cell WT --treatment cmv --subst_type without --control none
python 2_graph_processing/make_main_data.py -i libraries_3/KO_sgB_R2_sense.tsv -o libraries_4/KO_sgB_R2_sense -ref ref_seq/1DSB_R2_sense.fa -dsb 46 --dsb_type 1 --strand R2 --hguide B --cell KO --treatment sense --subst_type without --control none
python 2_graph_processing/make_main_data.py -i libraries_3/KO_sgB_R2_branch.tsv -o libraries_4/KO_sgB_R2_branch -ref ref_seq/1DSB_R2_branch.fa -dsb 46 --dsb_type 1 --strand R2 --hguide B --cell KO --treatment branch --subst_type without --control none
python 2_graph_processing/make_main_data.py -i libraries_3/KO_sgB_R2_cmv.tsv -o libraries_4/KO_sgB_R2_cmv -ref ref_seq/1DSB_R2_cmv.fa -dsb 46 --dsb_type 1 --strand R2 --hguide B --cell KO --treatment cmv --subst_type without --control none
python 2_graph_processing/make_main_data.py -i libraries_3/WT_sgA_R1_sense_30bpDown.tsv -o libraries_4/WT_sgA_R1_sense_30bpDown -ref ref_seq/1DSB_R1_sense.fa -dsb 97 --dsb_type 1 --strand R1 --hguide A --cell WT --treatment sense --subst_type without --control 30bpDown
python 2_graph_processing/make_main_data.py -i libraries_3/WT_sgA_R1_branch_30bpDown.tsv -o libraries_4/WT_sgA_R1_branch_30bpDown -ref ref_seq/1DSB_R1_branch.fa -dsb 97 --dsb_type 1 --strand R1 --hguide A --cell WT --treatment branch --subst_type without --control 30bpDown
python 2_graph_processing/make_main_data.py -i libraries_3/WT_sgA_R1_cmv_30bpDown.tsv -o libraries_4/WT_sgA_R1_cmv_30bpDown -ref ref_seq/1DSB_R1_cmv.fa -dsb 97 --dsb_type 1 --strand R1 --hguide A --cell WT --treatment cmv --subst_type without --control 30bpDown
python 2_graph_processing/make_main_data.py -i libraries_3/KO_sgA_R1_sense_30bpDown.tsv -o libraries_4/KO_sgA_R1_sense_30bpDown -ref ref_seq/1DSB_R1_sense.fa -dsb 97 --dsb_type 1 --strand R1 --hguide A --cell KO --treatment sense --subst_type without --control 30bpDown
python 2_graph_processing/make_main_data.py -i libraries_3/KO_sgA_R1_branch_30bpDown.tsv -o libraries_4/KO_sgA_R1_branch_30bpDown -ref ref_seq/1DSB_R1_branch.fa -dsb 97 --dsb_type 1 --strand R1 --hguide A --cell KO --treatment branch --subst_type without --control 30bpDown
python 2_graph_processing/make_main_data.py -i libraries_3/KO_sgA_R1_cmv_30bpDown.tsv -o libraries_4/KO_sgA_R1_cmv_30bpDown -ref ref_seq/1DSB_R1_cmv.fa -dsb 97 --dsb_type 1 --strand R1 --hguide A --cell KO --treatment cmv --subst_type without --control 30bpDown
python 2_graph_processing/make_main_data.py -i libraries_3/WT_sgB_R2_sense_30bpDown.tsv -o libraries_4/WT_sgB_R2_sense_30bpDown -ref ref_seq/1DSB_R2_sense.fa -dsb 76 --dsb_type 1 --strand R2 --hguide B --cell WT --treatment sense --subst_type without --control 30bpDown
python 2_graph_processing/make_main_data.py -i libraries_3/WT_sgB_R2_branch_30bpDown.tsv -o libraries_4/WT_sgB_R2_branch_30bpDown -ref ref_seq/1DSB_R2_branch.fa -dsb 76 --dsb_type 1 --strand R2 --hguide B --cell WT --treatment branch --subst_type without --control 30bpDown
python 2_graph_processing/make_main_data.py -i libraries_3/WT_sgB_R2_cmv_30bpDown.tsv -o libraries_4/WT_sgB_R2_cmv_30bpDown -ref ref_seq/1DSB_R2_cmv.fa -dsb 76 --dsb_type 1 --strand R2 --hguide B --cell WT --treatment cmv --subst_type without --control 30bpDown
python 2_graph_processing/make_main_data.py -i libraries_3/KO_sgB_R2_sense_30bpDown.tsv -o libraries_4/KO_sgB_R2_sense_30bpDown -ref ref_seq/1DSB_R2_sense.fa -dsb 76 --dsb_type 1 --strand R2 --hguide B --cell KO --treatment sense --subst_type without --control 30bpDown
python 2_graph_processing/make_main_data.py -i libraries_3/KO_sgB_R2_branch_30bpDown.tsv -o libraries_4/KO_sgB_R2_branch_30bpDown -ref ref_seq/1DSB_R2_branch.fa -dsb 76 --dsb_type 1 --strand R2 --hguide B --cell KO --treatment branch --subst_type without --control 30bpDown
python 2_graph_processing/make_main_data.py -i libraries_3/KO_sgB_R2_cmv_30bpDown.tsv -o libraries_4/KO_sgB_R2_cmv_30bpDown -ref ref_seq/1DSB_R2_cmv.fa -dsb 76 --dsb_type 1 --strand R2 --hguide B --cell KO --treatment cmv --subst_type without --control 30bpDown
python 2_graph_processing/make_main_data.py -i libraries_3/WT_sgCD_R1_antisense.tsv -o libraries_4/WT_sgCD_R1_antisense -ref ref_seq/2DSBanti_R1_antisense.fa -dsb 50 --dsb_type 2a --strand R1 --hguide CD --cell WT --treatment antisense --subst_type without --control none
python 2_graph_processing/make_main_data.py -i libraries_3/WT_sgCD_R1_splicing.tsv -o libraries_4/WT_sgCD_R1_splicing -ref ref_seq/2DSBanti_R1_splicing.fa -dsb 50 --dsb_type 2a --strand R1 --hguide CD --cell WT --treatment splicing --subst_type without --control none
python 2_graph_processing/make_main_data.py -i libraries_3/WT_sgCD_R2_antisense.tsv -o libraries_4/WT_sgCD_R2_antisense -ref ref_seq/2DSBanti_R2_antisense.fa -dsb 47 --dsb_type 2a --strand R2 --hguide CD --cell WT --treatment antisense --subst_type without --control none
python 2_graph_processing/make_main_data.py -i libraries_3/WT_sgCD_R2_splicing.tsv -o libraries_4/WT_sgCD_R2_splicing -ref ref_seq/2DSBanti_R2_splicing.fa -dsb 47 --dsb_type 2a --strand R2 --hguide CD --cell WT --treatment splicing --subst_type without --control none
python 2_graph_processing/make_main_data.py -i libraries_3/WT_sgA_R1_sense_nodsb.tsv -o libraries_4/WT_sgA_R1_sense_nodsb -ref ref_seq/1DSB_R1_sense.fa -dsb 67 --dsb_type 1 --strand R1 --hguide A --cell WT --treatment sense --subst_type without --control noDSB
python 2_graph_processing/make_main_data.py -i libraries_3/WT_sgA_R1_branch_nodsb.tsv -o libraries_4/WT_sgA_R1_branch_nodsb -ref ref_seq/1DSB_R1_branch.fa -dsb 67 --dsb_type 1 --strand R1 --hguide A --cell WT --treatment branch --subst_type without --control noDSB
python 2_graph_processing/make_main_data.py -i libraries_3/WT_sgA_R1_cmv_nodsb.tsv -o libraries_4/WT_sgA_R1_cmv_nodsb -ref ref_seq/1DSB_R1_cmv.fa -dsb 67 --dsb_type 1 --strand R1 --hguide A --cell WT --treatment cmv --subst_type without --control noDSB
python 2_graph_processing/make_main_data.py -i libraries_3/KO_sgA_R1_sense_nodsb.tsv -o libraries_4/KO_sgA_R1_sense_nodsb -ref ref_seq/1DSB_R1_sense.fa -dsb 67 --dsb_type 1 --strand R1 --hguide A --cell KO --treatment sense --subst_type without --control noDSB
python 2_graph_processing/make_main_data.py -i libraries_3/KO_sgA_R1_branch_nodsb.tsv -o libraries_4/KO_sgA_R1_branch_nodsb -ref ref_seq/1DSB_R1_branch.fa -dsb 67 --dsb_type 1 --strand R1 --hguide A --cell KO --treatment branch --subst_type without --control noDSB
python 2_graph_processing/make_main_data.py -i libraries_3/KO_sgA_R1_cmv_nodsb.tsv -o libraries_4/KO_sgA_R1_cmv_nodsb -ref ref_seq/1DSB_R1_cmv.fa -dsb 67 --dsb_type 1 --strand R1 --hguide A --cell KO --treatment cmv --subst_type without --control noDSB
python 2_graph_processing/make_main_data.py -i libraries_3/WT_sgB_R2_sense_nodsb.tsv -o libraries_4/WT_sgB_R2_sense_nodsb -ref ref_seq/1DSB_R2_sense.fa -dsb 46 --dsb_type 1 --strand R2 --hguide B --cell WT --treatment sense --subst_type without --control noDSB
python 2_graph_processing/make_main_data.py -i libraries_3/WT_sgB_R2_branch_nodsb.tsv -o libraries_4/WT_sgB_R2_branch_nodsb -ref ref_seq/1DSB_R2_branch.fa -dsb 46 --dsb_type 1 --strand R2 --hguide B --cell WT --treatment branch --subst_type without --control noDSB
python 2_graph_processing/make_main_data.py -i libraries_3/WT_sgB_R2_cmv_nodsb.tsv -o libraries_4/WT_sgB_R2_cmv_nodsb -ref ref_seq/1DSB_R2_cmv.fa -dsb 46 --dsb_type 1 --strand R2 --hguide B --cell WT --treatment cmv --subst_type without --control noDSB
python 2_graph_processing/make_main_data.py -i libraries_3/KO_sgB_R2_sense_nodsb.tsv -o libraries_4/KO_sgB_R2_sense_nodsb -ref ref_seq/1DSB_R2_sense.fa -dsb 46 --dsb_type 1 --strand R2 --hguide B --cell KO --treatment sense --subst_type without --control noDSB
python 2_graph_processing/make_main_data.py -i libraries_3/KO_sgB_R2_branch_nodsb.tsv -o libraries_4/KO_sgB_R2_branch_nodsb -ref ref_seq/1DSB_R2_branch.fa -dsb 46 --dsb_type 1 --strand R2 --hguide B --cell KO --treatment branch --subst_type without --control noDSB
python 2_graph_processing/make_main_data.py -i libraries_3/KO_sgB_R2_cmv_nodsb.tsv -o libraries_4/KO_sgB_R2_cmv_nodsb -ref ref_seq/1DSB_R2_cmv.fa -dsb 46 --dsb_type 1 --strand R2 --hguide B --cell KO --treatment cmv --subst_type without --control noDSB</v>
      </c>
    </row>
    <row r="60" spans="1:14" x14ac:dyDescent="0.25">
      <c r="A60" s="1" t="s">
        <v>185</v>
      </c>
    </row>
    <row r="61" spans="1:14" x14ac:dyDescent="0.25">
      <c r="A61" t="str">
        <f ca="1">_xlfn.TEXTJOIN(CHAR(10), TRUE, N2:N41,N44:N55)</f>
        <v>python 2_graph_processing/make_graph_data.py --subst_type without -dir libraries_4/WT_sgAB_R1_sense
python 2_graph_processing/make_graph_data.py --subst_type without -dir libraries_4/WT_sgAB_R1_branch
python 2_graph_processing/make_graph_data.py --subst_type without -dir libraries_4/WT_sgAB_R1_cmv
python 2_graph_processing/make_graph_data.py --subst_type without -dir libraries_4/KO_sgAB_R1_sense
python 2_graph_processing/make_graph_data.py --subst_type without -dir libraries_4/KO_sgAB_R1_branch
python 2_graph_processing/make_graph_data.py --subst_type without -dir libraries_4/KO_sgAB_R1_cmv
python 2_graph_processing/make_graph_data.py --subst_type without -dir libraries_4/WT_sgAB_R2_sense
python 2_graph_processing/make_graph_data.py --subst_type without -dir libraries_4/WT_sgAB_R2_branch
python 2_graph_processing/make_graph_data.py --subst_type without -dir libraries_4/WT_sgAB_R2_cmv
python 2_graph_processing/make_graph_data.py --subst_type without -dir libraries_4/KO_sgAB_R2_sense
python 2_graph_processing/make_graph_data.py --subst_type without -dir libraries_4/KO_sgAB_R2_branch
python 2_graph_processing/make_graph_data.py --subst_type without -dir libraries_4/KO_sgAB_R2_cmv
python 2_graph_processing/make_graph_data.py --subst_type without -dir libraries_4/WT_sgA_R1_sense
python 2_graph_processing/make_graph_data.py --subst_type without -dir libraries_4/WT_sgA_R1_branch
python 2_graph_processing/make_graph_data.py --subst_type without -dir libraries_4/WT_sgA_R1_cmv
python 2_graph_processing/make_graph_data.py --subst_type without -dir libraries_4/KO_sgA_R1_sense
python 2_graph_processing/make_graph_data.py --subst_type without -dir libraries_4/KO_sgA_R1_branch
python 2_graph_processing/make_graph_data.py --subst_type without -dir libraries_4/KO_sgA_R1_cmv
python 2_graph_processing/make_graph_data.py --subst_type without -dir libraries_4/WT_sgB_R2_sense
python 2_graph_processing/make_graph_data.py --subst_type without -dir libraries_4/WT_sgB_R2_branch
python 2_graph_processing/make_graph_data.py --subst_type without -dir libraries_4/WT_sgB_R2_cmv
python 2_graph_processing/make_graph_data.py --subst_type without -dir libraries_4/KO_sgB_R2_sense
python 2_graph_processing/make_graph_data.py --subst_type without -dir libraries_4/KO_sgB_R2_branch
python 2_graph_processing/make_graph_data.py --subst_type without -dir libraries_4/KO_sgB_R2_cmv
python 2_graph_processing/make_graph_data.py --subst_type without -dir libraries_4/WT_sgA_R1_sense_30bpDown
python 2_graph_processing/make_graph_data.py --subst_type without -dir libraries_4/WT_sgA_R1_branch_30bpDown
python 2_graph_processing/make_graph_data.py --subst_type without -dir libraries_4/WT_sgA_R1_cmv_30bpDown
python 2_graph_processing/make_graph_data.py --subst_type without -dir libraries_4/KO_sgA_R1_sense_30bpDown
python 2_graph_processing/make_graph_data.py --subst_type without -dir libraries_4/KO_sgA_R1_branch_30bpDown
python 2_graph_processing/make_graph_data.py --subst_type without -dir libraries_4/KO_sgA_R1_cmv_30bpDown
python 2_graph_processing/make_graph_data.py --subst_type without -dir libraries_4/WT_sgB_R2_sense_30bpDown
python 2_graph_processing/make_graph_data.py --subst_type without -dir libraries_4/WT_sgB_R2_branch_30bpDown
python 2_graph_processing/make_graph_data.py --subst_type without -dir libraries_4/WT_sgB_R2_cmv_30bpDown
python 2_graph_processing/make_graph_data.py --subst_type without -dir libraries_4/KO_sgB_R2_sense_30bpDown
python 2_graph_processing/make_graph_data.py --subst_type without -dir libraries_4/KO_sgB_R2_branch_30bpDown
python 2_graph_processing/make_graph_data.py --subst_type without -dir libraries_4/KO_sgB_R2_cmv_30bpDown
python 2_graph_processing/make_graph_data.py --subst_type without -dir libraries_4/WT_sgCD_R1_antisense
python 2_graph_processing/make_graph_data.py --subst_type without -dir libraries_4/WT_sgCD_R1_splicing
python 2_graph_processing/make_graph_data.py --subst_type without -dir libraries_4/WT_sgCD_R2_antisense
python 2_graph_processing/make_graph_data.py --subst_type without -dir libraries_4/WT_sgCD_R2_splicing
python 2_graph_processing/make_graph_data.py --subst_type without -dir libraries_4/WT_sgA_R1_sense_nodsb
python 2_graph_processing/make_graph_data.py --subst_type without -dir libraries_4/WT_sgA_R1_branch_nodsb
python 2_graph_processing/make_graph_data.py --subst_type without -dir libraries_4/WT_sgA_R1_cmv_nodsb
python 2_graph_processing/make_graph_data.py --subst_type without -dir libraries_4/KO_sgA_R1_sense_nodsb
python 2_graph_processing/make_graph_data.py --subst_type without -dir libraries_4/KO_sgA_R1_branch_nodsb
python 2_graph_processing/make_graph_data.py --subst_type without -dir libraries_4/KO_sgA_R1_cmv_nodsb
python 2_graph_processing/make_graph_data.py --subst_type without -dir libraries_4/WT_sgB_R2_sense_nodsb
python 2_graph_processing/make_graph_data.py --subst_type without -dir libraries_4/WT_sgB_R2_branch_nodsb
python 2_graph_processing/make_graph_data.py --subst_type without -dir libraries_4/WT_sgB_R2_cmv_nodsb
python 2_graph_processing/make_graph_data.py --subst_type without -dir libraries_4/KO_sgB_R2_sense_nodsb
python 2_graph_processing/make_graph_data.py --subst_type without -dir libraries_4/KO_sgB_R2_branch_nodsb
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9"/>
  <sheetViews>
    <sheetView topLeftCell="A25" workbookViewId="0">
      <selection activeCell="A39" sqref="A39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112</v>
      </c>
      <c r="B1" s="1" t="s">
        <v>134</v>
      </c>
      <c r="C1" s="1" t="s">
        <v>164</v>
      </c>
      <c r="D1" s="1" t="s">
        <v>109</v>
      </c>
      <c r="E1" s="1" t="s">
        <v>165</v>
      </c>
      <c r="F1" s="1" t="s">
        <v>110</v>
      </c>
      <c r="G1" s="1" t="s">
        <v>166</v>
      </c>
      <c r="H1" s="1" t="s">
        <v>111</v>
      </c>
      <c r="I1" s="1" t="s">
        <v>105</v>
      </c>
      <c r="J1" s="1" t="s">
        <v>130</v>
      </c>
      <c r="K1" s="1" t="s">
        <v>108</v>
      </c>
    </row>
    <row r="2" spans="1:11" x14ac:dyDescent="0.25">
      <c r="A2" s="1">
        <v>1</v>
      </c>
      <c r="B2" s="6" t="str">
        <f ca="1">OFFSET(table_3_1[control], 3 * QUOTIENT(table_4_1[[#This Row],[index]] - 1, 2), 0, 1, 1)</f>
        <v>none</v>
      </c>
      <c r="C2" s="6" t="str">
        <f ca="1">OFFSET(table_3_1[treatment], 3 * QUOTIENT(table_4_1[[#This Row],[index]] - 1, 2), 0, 1, 1)</f>
        <v>sense</v>
      </c>
      <c r="D2" s="2" t="str">
        <f ca="1">OFFSET(table_3_1[dir], 3 * QUOTIENT(table_4_1[[#This Row],[index]] - 1, 2), 0, 1, 1)</f>
        <v>WT_sgAB_R1_sense</v>
      </c>
      <c r="E2" s="2" t="str">
        <f ca="1">OFFSET(table_3_1[treatment], 3 * QUOTIENT(table_4_1[[#This Row],[index]] - 1, 2) + 1 + MOD(table_4_1[[#This Row],[index]] - 1, 2), 0, 1, 1)</f>
        <v>branch</v>
      </c>
      <c r="F2" s="2" t="str">
        <f ca="1">OFFSET(table_3_1[dir], 3 * QUOTIENT(table_4_1[[#This Row],[index]] - 1, 2) + 1 + MOD(table_4_1[[#This Row],[index]] - 1, 2), 0, 1, 1)</f>
        <v>WT_sgAB_R1_branch</v>
      </c>
      <c r="G2" s="2" t="str">
        <f ca="1">_xlfn.CONCAT(table_4_1[[#This Row],[treatment_1]], "_", table_4_1[[#This Row],[treatment_2]])</f>
        <v>sense_branch</v>
      </c>
      <c r="H2" s="2" t="str">
        <f ca="1">SUBSTITUTE(table_4_1[[#This Row],[dir_1]], table_4_1[[#This Row],[treatment_1]], table_4_1[[#This Row],[treatments_out]])</f>
        <v>WT_sgAB_R1_sense_branch</v>
      </c>
      <c r="I2" t="str">
        <f t="shared" ref="I2:I17" si="0">subst_type</f>
        <v>without</v>
      </c>
      <c r="J2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6" t="str">
        <f ca="1">OFFSET(table_3_1[control], 3 * QUOTIENT(table_4_1[[#This Row],[index]] - 1, 2), 0, 1, 1)</f>
        <v>none</v>
      </c>
      <c r="C3" s="6" t="str">
        <f ca="1">OFFSET(table_3_1[treatment], 3 * QUOTIENT(table_4_1[[#This Row],[index]] - 1, 2), 0, 1, 1)</f>
        <v>sense</v>
      </c>
      <c r="D3" s="2" t="str">
        <f ca="1">OFFSET(table_3_1[dir], 3 * QUOTIENT(table_4_1[[#This Row],[index]] - 1, 2), 0, 1, 1)</f>
        <v>WT_sgAB_R1_sense</v>
      </c>
      <c r="E3" s="2" t="str">
        <f ca="1">OFFSET(table_3_1[treatment], 3 * QUOTIENT(table_4_1[[#This Row],[index]] - 1, 2) + 1 + MOD(table_4_1[[#This Row],[index]] - 1, 2), 0, 1, 1)</f>
        <v>cmv</v>
      </c>
      <c r="F3" s="2" t="str">
        <f ca="1">OFFSET(table_3_1[dir], 3 * QUOTIENT(table_4_1[[#This Row],[index]] - 1, 2) + 1 + MOD(table_4_1[[#This Row],[index]] - 1, 2), 0, 1, 1)</f>
        <v>WT_sgAB_R1_cmv</v>
      </c>
      <c r="G3" s="2" t="str">
        <f ca="1">_xlfn.CONCAT(table_4_1[[#This Row],[treatment_1]], "_", table_4_1[[#This Row],[treatment_2]])</f>
        <v>sense_cmv</v>
      </c>
      <c r="H3" s="2" t="str">
        <f ca="1">SUBSTITUTE(table_4_1[[#This Row],[dir_1]], table_4_1[[#This Row],[treatment_1]], table_4_1[[#This Row],[treatments_out]])</f>
        <v>WT_sgAB_R1_sense_cmv</v>
      </c>
      <c r="I3" t="str">
        <f t="shared" si="0"/>
        <v>without</v>
      </c>
      <c r="J3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5" t="str">
        <f ca="1">OFFSET(table_3_1[control], 3 * QUOTIENT(table_4_1[[#This Row],[index]] - 1, 2), 0, 1, 1)</f>
        <v>none</v>
      </c>
      <c r="C4" s="5" t="str">
        <f ca="1">OFFSET(table_3_1[treatment], 3 * QUOTIENT(table_4_1[[#This Row],[index]] - 1, 2), 0, 1, 1)</f>
        <v>sense</v>
      </c>
      <c r="D4" t="str">
        <f ca="1">OFFSET(table_3_1[dir], 3 * QUOTIENT(table_4_1[[#This Row],[index]] - 1, 2), 0, 1, 1)</f>
        <v>KO_sgAB_R1_sense</v>
      </c>
      <c r="E4" t="str">
        <f ca="1">OFFSET(table_3_1[treatment], 3 * QUOTIENT(table_4_1[[#This Row],[index]] - 1, 2) + 1 + MOD(table_4_1[[#This Row],[index]] - 1, 2), 0, 1, 1)</f>
        <v>branch</v>
      </c>
      <c r="F4" t="str">
        <f ca="1">OFFSET(table_3_1[dir], 3 * QUOTIENT(table_4_1[[#This Row],[index]] - 1, 2) + 1 + MOD(table_4_1[[#This Row],[index]] - 1, 2), 0, 1, 1)</f>
        <v>KO_sgAB_R1_branch</v>
      </c>
      <c r="G4" t="str">
        <f ca="1">_xlfn.CONCAT(table_4_1[[#This Row],[treatment_1]], "_", table_4_1[[#This Row],[treatment_2]])</f>
        <v>sense_branch</v>
      </c>
      <c r="H4" t="str">
        <f ca="1">SUBSTITUTE(table_4_1[[#This Row],[dir_1]], table_4_1[[#This Row],[treatment_1]], table_4_1[[#This Row],[treatments_out]])</f>
        <v>KO_sgAB_R1_sense_branch</v>
      </c>
      <c r="I4" t="str">
        <f t="shared" si="0"/>
        <v>without</v>
      </c>
      <c r="J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5" t="str">
        <f ca="1">OFFSET(table_3_1[control], 3 * QUOTIENT(table_4_1[[#This Row],[index]] - 1, 2), 0, 1, 1)</f>
        <v>none</v>
      </c>
      <c r="C5" s="5" t="str">
        <f ca="1">OFFSET(table_3_1[treatment], 3 * QUOTIENT(table_4_1[[#This Row],[index]] - 1, 2), 0, 1, 1)</f>
        <v>sense</v>
      </c>
      <c r="D5" t="str">
        <f ca="1">OFFSET(table_3_1[dir], 3 * QUOTIENT(table_4_1[[#This Row],[index]] - 1, 2), 0, 1, 1)</f>
        <v>KO_sgAB_R1_sense</v>
      </c>
      <c r="E5" t="str">
        <f ca="1">OFFSET(table_3_1[treatment], 3 * QUOTIENT(table_4_1[[#This Row],[index]] - 1, 2) + 1 + MOD(table_4_1[[#This Row],[index]] - 1, 2), 0, 1, 1)</f>
        <v>cmv</v>
      </c>
      <c r="F5" t="str">
        <f ca="1">OFFSET(table_3_1[dir], 3 * QUOTIENT(table_4_1[[#This Row],[index]] - 1, 2) + 1 + MOD(table_4_1[[#This Row],[index]] - 1, 2), 0, 1, 1)</f>
        <v>KO_sgAB_R1_cmv</v>
      </c>
      <c r="G5" t="str">
        <f ca="1">_xlfn.CONCAT(table_4_1[[#This Row],[treatment_1]], "_", table_4_1[[#This Row],[treatment_2]])</f>
        <v>sense_cmv</v>
      </c>
      <c r="H5" t="str">
        <f ca="1">SUBSTITUTE(table_4_1[[#This Row],[dir_1]], table_4_1[[#This Row],[treatment_1]], table_4_1[[#This Row],[treatments_out]])</f>
        <v>KO_sgAB_R1_sense_cmv</v>
      </c>
      <c r="I5" t="str">
        <f t="shared" si="0"/>
        <v>without</v>
      </c>
      <c r="J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5" t="str">
        <f ca="1">OFFSET(table_3_1[control], 3 * QUOTIENT(table_4_1[[#This Row],[index]] - 1, 2), 0, 1, 1)</f>
        <v>none</v>
      </c>
      <c r="C6" s="5" t="str">
        <f ca="1">OFFSET(table_3_1[treatment], 3 * QUOTIENT(table_4_1[[#This Row],[index]] - 1, 2), 0, 1, 1)</f>
        <v>sense</v>
      </c>
      <c r="D6" t="str">
        <f ca="1">OFFSET(table_3_1[dir], 3 * QUOTIENT(table_4_1[[#This Row],[index]] - 1, 2), 0, 1, 1)</f>
        <v>WT_sgAB_R2_sense</v>
      </c>
      <c r="E6" t="str">
        <f ca="1">OFFSET(table_3_1[treatment], 3 * QUOTIENT(table_4_1[[#This Row],[index]] - 1, 2) + 1 + MOD(table_4_1[[#This Row],[index]] - 1, 2), 0, 1, 1)</f>
        <v>branch</v>
      </c>
      <c r="F6" t="str">
        <f ca="1">OFFSET(table_3_1[dir], 3 * QUOTIENT(table_4_1[[#This Row],[index]] - 1, 2) + 1 + MOD(table_4_1[[#This Row],[index]] - 1, 2), 0, 1, 1)</f>
        <v>WT_sgAB_R2_branch</v>
      </c>
      <c r="G6" t="str">
        <f ca="1">_xlfn.CONCAT(table_4_1[[#This Row],[treatment_1]], "_", table_4_1[[#This Row],[treatment_2]])</f>
        <v>sense_branch</v>
      </c>
      <c r="H6" t="str">
        <f ca="1">SUBSTITUTE(table_4_1[[#This Row],[dir_1]], table_4_1[[#This Row],[treatment_1]], table_4_1[[#This Row],[treatments_out]])</f>
        <v>WT_sgAB_R2_sense_branch</v>
      </c>
      <c r="I6" t="str">
        <f t="shared" si="0"/>
        <v>without</v>
      </c>
      <c r="J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5" t="str">
        <f ca="1">OFFSET(table_3_1[control], 3 * QUOTIENT(table_4_1[[#This Row],[index]] - 1, 2), 0, 1, 1)</f>
        <v>none</v>
      </c>
      <c r="C7" s="5" t="str">
        <f ca="1">OFFSET(table_3_1[treatment], 3 * QUOTIENT(table_4_1[[#This Row],[index]] - 1, 2), 0, 1, 1)</f>
        <v>sense</v>
      </c>
      <c r="D7" t="str">
        <f ca="1">OFFSET(table_3_1[dir], 3 * QUOTIENT(table_4_1[[#This Row],[index]] - 1, 2), 0, 1, 1)</f>
        <v>WT_sgAB_R2_sense</v>
      </c>
      <c r="E7" t="str">
        <f ca="1">OFFSET(table_3_1[treatment], 3 * QUOTIENT(table_4_1[[#This Row],[index]] - 1, 2) + 1 + MOD(table_4_1[[#This Row],[index]] - 1, 2), 0, 1, 1)</f>
        <v>cmv</v>
      </c>
      <c r="F7" t="str">
        <f ca="1">OFFSET(table_3_1[dir], 3 * QUOTIENT(table_4_1[[#This Row],[index]] - 1, 2) + 1 + MOD(table_4_1[[#This Row],[index]] - 1, 2), 0, 1, 1)</f>
        <v>WT_sgAB_R2_cmv</v>
      </c>
      <c r="G7" t="str">
        <f ca="1">_xlfn.CONCAT(table_4_1[[#This Row],[treatment_1]], "_", table_4_1[[#This Row],[treatment_2]])</f>
        <v>sense_cmv</v>
      </c>
      <c r="H7" t="str">
        <f ca="1">SUBSTITUTE(table_4_1[[#This Row],[dir_1]], table_4_1[[#This Row],[treatment_1]], table_4_1[[#This Row],[treatments_out]])</f>
        <v>WT_sgAB_R2_sense_cmv</v>
      </c>
      <c r="I7" t="str">
        <f t="shared" si="0"/>
        <v>without</v>
      </c>
      <c r="J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5" t="str">
        <f ca="1">OFFSET(table_3_1[control], 3 * QUOTIENT(table_4_1[[#This Row],[index]] - 1, 2), 0, 1, 1)</f>
        <v>none</v>
      </c>
      <c r="C8" s="5" t="str">
        <f ca="1">OFFSET(table_3_1[treatment], 3 * QUOTIENT(table_4_1[[#This Row],[index]] - 1, 2), 0, 1, 1)</f>
        <v>sense</v>
      </c>
      <c r="D8" t="str">
        <f ca="1">OFFSET(table_3_1[dir], 3 * QUOTIENT(table_4_1[[#This Row],[index]] - 1, 2), 0, 1, 1)</f>
        <v>KO_sgAB_R2_sense</v>
      </c>
      <c r="E8" t="str">
        <f ca="1">OFFSET(table_3_1[treatment], 3 * QUOTIENT(table_4_1[[#This Row],[index]] - 1, 2) + 1 + MOD(table_4_1[[#This Row],[index]] - 1, 2), 0, 1, 1)</f>
        <v>branch</v>
      </c>
      <c r="F8" t="str">
        <f ca="1">OFFSET(table_3_1[dir], 3 * QUOTIENT(table_4_1[[#This Row],[index]] - 1, 2) + 1 + MOD(table_4_1[[#This Row],[index]] - 1, 2), 0, 1, 1)</f>
        <v>KO_sgAB_R2_branch</v>
      </c>
      <c r="G8" t="str">
        <f ca="1">_xlfn.CONCAT(table_4_1[[#This Row],[treatment_1]], "_", table_4_1[[#This Row],[treatment_2]])</f>
        <v>sense_branch</v>
      </c>
      <c r="H8" t="str">
        <f ca="1">SUBSTITUTE(table_4_1[[#This Row],[dir_1]], table_4_1[[#This Row],[treatment_1]], table_4_1[[#This Row],[treatments_out]])</f>
        <v>KO_sgAB_R2_sense_branch</v>
      </c>
      <c r="I8" t="str">
        <f t="shared" si="0"/>
        <v>without</v>
      </c>
      <c r="J8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5" t="str">
        <f ca="1">OFFSET(table_3_1[control], 3 * QUOTIENT(table_4_1[[#This Row],[index]] - 1, 2), 0, 1, 1)</f>
        <v>none</v>
      </c>
      <c r="C9" s="5" t="str">
        <f ca="1">OFFSET(table_3_1[treatment], 3 * QUOTIENT(table_4_1[[#This Row],[index]] - 1, 2), 0, 1, 1)</f>
        <v>sense</v>
      </c>
      <c r="D9" t="str">
        <f ca="1">OFFSET(table_3_1[dir], 3 * QUOTIENT(table_4_1[[#This Row],[index]] - 1, 2), 0, 1, 1)</f>
        <v>KO_sgAB_R2_sense</v>
      </c>
      <c r="E9" t="str">
        <f ca="1">OFFSET(table_3_1[treatment], 3 * QUOTIENT(table_4_1[[#This Row],[index]] - 1, 2) + 1 + MOD(table_4_1[[#This Row],[index]] - 1, 2), 0, 1, 1)</f>
        <v>cmv</v>
      </c>
      <c r="F9" t="str">
        <f ca="1">OFFSET(table_3_1[dir], 3 * QUOTIENT(table_4_1[[#This Row],[index]] - 1, 2) + 1 + MOD(table_4_1[[#This Row],[index]] - 1, 2), 0, 1, 1)</f>
        <v>KO_sgAB_R2_cmv</v>
      </c>
      <c r="G9" t="str">
        <f ca="1">_xlfn.CONCAT(table_4_1[[#This Row],[treatment_1]], "_", table_4_1[[#This Row],[treatment_2]])</f>
        <v>sense_cmv</v>
      </c>
      <c r="H9" t="str">
        <f ca="1">SUBSTITUTE(table_4_1[[#This Row],[dir_1]], table_4_1[[#This Row],[treatment_1]], table_4_1[[#This Row],[treatments_out]])</f>
        <v>KO_sgAB_R2_sense_cmv</v>
      </c>
      <c r="I9" t="str">
        <f t="shared" si="0"/>
        <v>without</v>
      </c>
      <c r="J9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5" t="str">
        <f ca="1">OFFSET(table_3_1[control], 3 * QUOTIENT(table_4_1[[#This Row],[index]] - 1, 2), 0, 1, 1)</f>
        <v>none</v>
      </c>
      <c r="C10" s="5" t="str">
        <f ca="1">OFFSET(table_3_1[treatment], 3 * QUOTIENT(table_4_1[[#This Row],[index]] - 1, 2), 0, 1, 1)</f>
        <v>sense</v>
      </c>
      <c r="D10" t="str">
        <f ca="1">OFFSET(table_3_1[dir], 3 * QUOTIENT(table_4_1[[#This Row],[index]] - 1, 2), 0, 1, 1)</f>
        <v>WT_sgA_R1_sense</v>
      </c>
      <c r="E10" t="str">
        <f ca="1">OFFSET(table_3_1[treatment], 3 * QUOTIENT(table_4_1[[#This Row],[index]] - 1, 2) + 1 + MOD(table_4_1[[#This Row],[index]] - 1, 2), 0, 1, 1)</f>
        <v>branch</v>
      </c>
      <c r="F10" t="str">
        <f ca="1">OFFSET(table_3_1[dir], 3 * QUOTIENT(table_4_1[[#This Row],[index]] - 1, 2) + 1 + MOD(table_4_1[[#This Row],[index]] - 1, 2), 0, 1, 1)</f>
        <v>WT_sgA_R1_branch</v>
      </c>
      <c r="G10" t="str">
        <f ca="1">_xlfn.CONCAT(table_4_1[[#This Row],[treatment_1]], "_", table_4_1[[#This Row],[treatment_2]])</f>
        <v>sense_branch</v>
      </c>
      <c r="H10" t="str">
        <f ca="1">SUBSTITUTE(table_4_1[[#This Row],[dir_1]], table_4_1[[#This Row],[treatment_1]], table_4_1[[#This Row],[treatments_out]])</f>
        <v>WT_sgA_R1_sense_branch</v>
      </c>
      <c r="I10" t="str">
        <f t="shared" si="0"/>
        <v>without</v>
      </c>
      <c r="J10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5" t="str">
        <f ca="1">OFFSET(table_3_1[control], 3 * QUOTIENT(table_4_1[[#This Row],[index]] - 1, 2), 0, 1, 1)</f>
        <v>none</v>
      </c>
      <c r="C11" s="5" t="str">
        <f ca="1">OFFSET(table_3_1[treatment], 3 * QUOTIENT(table_4_1[[#This Row],[index]] - 1, 2), 0, 1, 1)</f>
        <v>sense</v>
      </c>
      <c r="D11" t="str">
        <f ca="1">OFFSET(table_3_1[dir], 3 * QUOTIENT(table_4_1[[#This Row],[index]] - 1, 2), 0, 1, 1)</f>
        <v>WT_sgA_R1_sense</v>
      </c>
      <c r="E11" t="str">
        <f ca="1">OFFSET(table_3_1[treatment], 3 * QUOTIENT(table_4_1[[#This Row],[index]] - 1, 2) + 1 + MOD(table_4_1[[#This Row],[index]] - 1, 2), 0, 1, 1)</f>
        <v>cmv</v>
      </c>
      <c r="F11" t="str">
        <f ca="1">OFFSET(table_3_1[dir], 3 * QUOTIENT(table_4_1[[#This Row],[index]] - 1, 2) + 1 + MOD(table_4_1[[#This Row],[index]] - 1, 2), 0, 1, 1)</f>
        <v>WT_sgA_R1_cmv</v>
      </c>
      <c r="G11" t="str">
        <f ca="1">_xlfn.CONCAT(table_4_1[[#This Row],[treatment_1]], "_", table_4_1[[#This Row],[treatment_2]])</f>
        <v>sense_cmv</v>
      </c>
      <c r="H11" t="str">
        <f ca="1">SUBSTITUTE(table_4_1[[#This Row],[dir_1]], table_4_1[[#This Row],[treatment_1]], table_4_1[[#This Row],[treatments_out]])</f>
        <v>WT_sgA_R1_sense_cmv</v>
      </c>
      <c r="I11" t="str">
        <f t="shared" si="0"/>
        <v>without</v>
      </c>
      <c r="J11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5" t="str">
        <f ca="1">OFFSET(table_3_1[control], 3 * QUOTIENT(table_4_1[[#This Row],[index]] - 1, 2), 0, 1, 1)</f>
        <v>none</v>
      </c>
      <c r="C12" s="5" t="str">
        <f ca="1">OFFSET(table_3_1[treatment], 3 * QUOTIENT(table_4_1[[#This Row],[index]] - 1, 2), 0, 1, 1)</f>
        <v>sense</v>
      </c>
      <c r="D12" t="str">
        <f ca="1">OFFSET(table_3_1[dir], 3 * QUOTIENT(table_4_1[[#This Row],[index]] - 1, 2), 0, 1, 1)</f>
        <v>KO_sgA_R1_sense</v>
      </c>
      <c r="E12" t="str">
        <f ca="1">OFFSET(table_3_1[treatment], 3 * QUOTIENT(table_4_1[[#This Row],[index]] - 1, 2) + 1 + MOD(table_4_1[[#This Row],[index]] - 1, 2), 0, 1, 1)</f>
        <v>branch</v>
      </c>
      <c r="F12" t="str">
        <f ca="1">OFFSET(table_3_1[dir], 3 * QUOTIENT(table_4_1[[#This Row],[index]] - 1, 2) + 1 + MOD(table_4_1[[#This Row],[index]] - 1, 2), 0, 1, 1)</f>
        <v>KO_sgA_R1_branch</v>
      </c>
      <c r="G12" t="str">
        <f ca="1">_xlfn.CONCAT(table_4_1[[#This Row],[treatment_1]], "_", table_4_1[[#This Row],[treatment_2]])</f>
        <v>sense_branch</v>
      </c>
      <c r="H12" t="str">
        <f ca="1">SUBSTITUTE(table_4_1[[#This Row],[dir_1]], table_4_1[[#This Row],[treatment_1]], table_4_1[[#This Row],[treatments_out]])</f>
        <v>KO_sgA_R1_sense_branch</v>
      </c>
      <c r="I12" t="str">
        <f t="shared" si="0"/>
        <v>without</v>
      </c>
      <c r="J1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libraries_4/KO_sgA_R1_branch -o libraries_4/KO_sgA_R1_sense_branch --subst_type without</v>
      </c>
      <c r="K1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libraries_4/KO_sgA_R1_sense_branch</v>
      </c>
    </row>
    <row r="13" spans="1:11" x14ac:dyDescent="0.25">
      <c r="A13" s="1">
        <v>12</v>
      </c>
      <c r="B13" s="5" t="str">
        <f ca="1">OFFSET(table_3_1[control], 3 * QUOTIENT(table_4_1[[#This Row],[index]] - 1, 2), 0, 1, 1)</f>
        <v>none</v>
      </c>
      <c r="C13" s="5" t="str">
        <f ca="1">OFFSET(table_3_1[treatment], 3 * QUOTIENT(table_4_1[[#This Row],[index]] - 1, 2), 0, 1, 1)</f>
        <v>sense</v>
      </c>
      <c r="D13" t="str">
        <f ca="1">OFFSET(table_3_1[dir], 3 * QUOTIENT(table_4_1[[#This Row],[index]] - 1, 2), 0, 1, 1)</f>
        <v>KO_sgA_R1_sense</v>
      </c>
      <c r="E13" t="str">
        <f ca="1">OFFSET(table_3_1[treatment], 3 * QUOTIENT(table_4_1[[#This Row],[index]] - 1, 2) + 1 + MOD(table_4_1[[#This Row],[index]] - 1, 2), 0, 1, 1)</f>
        <v>cmv</v>
      </c>
      <c r="F13" t="str">
        <f ca="1">OFFSET(table_3_1[dir], 3 * QUOTIENT(table_4_1[[#This Row],[index]] - 1, 2) + 1 + MOD(table_4_1[[#This Row],[index]] - 1, 2), 0, 1, 1)</f>
        <v>KO_sgA_R1_cmv</v>
      </c>
      <c r="G13" t="str">
        <f ca="1">_xlfn.CONCAT(table_4_1[[#This Row],[treatment_1]], "_", table_4_1[[#This Row],[treatment_2]])</f>
        <v>sense_cmv</v>
      </c>
      <c r="H13" t="str">
        <f ca="1">SUBSTITUTE(table_4_1[[#This Row],[dir_1]], table_4_1[[#This Row],[treatment_1]], table_4_1[[#This Row],[treatments_out]])</f>
        <v>KO_sgA_R1_sense_cmv</v>
      </c>
      <c r="I13" t="str">
        <f t="shared" si="0"/>
        <v>without</v>
      </c>
      <c r="J13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libraries_4/KO_sgA_R1_cmv -o libraries_4/KO_sgA_R1_sense_cmv --subst_type without</v>
      </c>
      <c r="K1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libraries_4/KO_sgA_R1_sense_cmv</v>
      </c>
    </row>
    <row r="14" spans="1:11" x14ac:dyDescent="0.25">
      <c r="A14" s="1">
        <v>13</v>
      </c>
      <c r="B14" s="5" t="str">
        <f ca="1">OFFSET(table_3_1[control], 3 * QUOTIENT(table_4_1[[#This Row],[index]] - 1, 2), 0, 1, 1)</f>
        <v>none</v>
      </c>
      <c r="C14" s="5" t="str">
        <f ca="1">OFFSET(table_3_1[treatment], 3 * QUOTIENT(table_4_1[[#This Row],[index]] - 1, 2), 0, 1, 1)</f>
        <v>sense</v>
      </c>
      <c r="D14" t="str">
        <f ca="1">OFFSET(table_3_1[dir], 3 * QUOTIENT(table_4_1[[#This Row],[index]] - 1, 2), 0, 1, 1)</f>
        <v>WT_sgB_R2_sense</v>
      </c>
      <c r="E14" t="str">
        <f ca="1">OFFSET(table_3_1[treatment], 3 * QUOTIENT(table_4_1[[#This Row],[index]] - 1, 2) + 1 + MOD(table_4_1[[#This Row],[index]] - 1, 2), 0, 1, 1)</f>
        <v>branch</v>
      </c>
      <c r="F14" t="str">
        <f ca="1">OFFSET(table_3_1[dir], 3 * QUOTIENT(table_4_1[[#This Row],[index]] - 1, 2) + 1 + MOD(table_4_1[[#This Row],[index]] - 1, 2), 0, 1, 1)</f>
        <v>WT_sgB_R2_branch</v>
      </c>
      <c r="G14" t="str">
        <f ca="1">_xlfn.CONCAT(table_4_1[[#This Row],[treatment_1]], "_", table_4_1[[#This Row],[treatment_2]])</f>
        <v>sense_branch</v>
      </c>
      <c r="H14" t="str">
        <f ca="1">SUBSTITUTE(table_4_1[[#This Row],[dir_1]], table_4_1[[#This Row],[treatment_1]], table_4_1[[#This Row],[treatments_out]])</f>
        <v>WT_sgB_R2_sense_branch</v>
      </c>
      <c r="I14" t="str">
        <f t="shared" si="0"/>
        <v>without</v>
      </c>
      <c r="J1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libraries_4/WT_sgB_R2_branch -o libraries_4/WT_sgB_R2_sense_branch --subst_type without</v>
      </c>
      <c r="K1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libraries_4/WT_sgB_R2_sense_branch</v>
      </c>
    </row>
    <row r="15" spans="1:11" x14ac:dyDescent="0.25">
      <c r="A15" s="1">
        <v>14</v>
      </c>
      <c r="B15" s="5" t="str">
        <f ca="1">OFFSET(table_3_1[control], 3 * QUOTIENT(table_4_1[[#This Row],[index]] - 1, 2), 0, 1, 1)</f>
        <v>none</v>
      </c>
      <c r="C15" s="5" t="str">
        <f ca="1">OFFSET(table_3_1[treatment], 3 * QUOTIENT(table_4_1[[#This Row],[index]] - 1, 2), 0, 1, 1)</f>
        <v>sense</v>
      </c>
      <c r="D15" t="str">
        <f ca="1">OFFSET(table_3_1[dir], 3 * QUOTIENT(table_4_1[[#This Row],[index]] - 1, 2), 0, 1, 1)</f>
        <v>WT_sgB_R2_sense</v>
      </c>
      <c r="E15" t="str">
        <f ca="1">OFFSET(table_3_1[treatment], 3 * QUOTIENT(table_4_1[[#This Row],[index]] - 1, 2) + 1 + MOD(table_4_1[[#This Row],[index]] - 1, 2), 0, 1, 1)</f>
        <v>cmv</v>
      </c>
      <c r="F15" t="str">
        <f ca="1">OFFSET(table_3_1[dir], 3 * QUOTIENT(table_4_1[[#This Row],[index]] - 1, 2) + 1 + MOD(table_4_1[[#This Row],[index]] - 1, 2), 0, 1, 1)</f>
        <v>WT_sgB_R2_cmv</v>
      </c>
      <c r="G15" t="str">
        <f ca="1">_xlfn.CONCAT(table_4_1[[#This Row],[treatment_1]], "_", table_4_1[[#This Row],[treatment_2]])</f>
        <v>sense_cmv</v>
      </c>
      <c r="H15" t="str">
        <f ca="1">SUBSTITUTE(table_4_1[[#This Row],[dir_1]], table_4_1[[#This Row],[treatment_1]], table_4_1[[#This Row],[treatments_out]])</f>
        <v>WT_sgB_R2_sense_cmv</v>
      </c>
      <c r="I15" t="str">
        <f t="shared" si="0"/>
        <v>without</v>
      </c>
      <c r="J1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libraries_4/WT_sgB_R2_cmv -o libraries_4/WT_sgB_R2_sense_cmv --subst_type without</v>
      </c>
      <c r="K1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libraries_4/WT_sgB_R2_sense_cmv</v>
      </c>
    </row>
    <row r="16" spans="1:11" x14ac:dyDescent="0.25">
      <c r="A16" s="1">
        <v>15</v>
      </c>
      <c r="B16" s="5" t="str">
        <f ca="1">OFFSET(table_3_1[control], 3 * QUOTIENT(table_4_1[[#This Row],[index]] - 1, 2), 0, 1, 1)</f>
        <v>none</v>
      </c>
      <c r="C16" s="5" t="str">
        <f ca="1">OFFSET(table_3_1[treatment], 3 * QUOTIENT(table_4_1[[#This Row],[index]] - 1, 2), 0, 1, 1)</f>
        <v>sense</v>
      </c>
      <c r="D16" t="str">
        <f ca="1">OFFSET(table_3_1[dir], 3 * QUOTIENT(table_4_1[[#This Row],[index]] - 1, 2), 0, 1, 1)</f>
        <v>KO_sgB_R2_sense</v>
      </c>
      <c r="E16" t="str">
        <f ca="1">OFFSET(table_3_1[treatment], 3 * QUOTIENT(table_4_1[[#This Row],[index]] - 1, 2) + 1 + MOD(table_4_1[[#This Row],[index]] - 1, 2), 0, 1, 1)</f>
        <v>branch</v>
      </c>
      <c r="F16" t="str">
        <f ca="1">OFFSET(table_3_1[dir], 3 * QUOTIENT(table_4_1[[#This Row],[index]] - 1, 2) + 1 + MOD(table_4_1[[#This Row],[index]] - 1, 2), 0, 1, 1)</f>
        <v>KO_sgB_R2_branch</v>
      </c>
      <c r="G16" t="str">
        <f ca="1">_xlfn.CONCAT(table_4_1[[#This Row],[treatment_1]], "_", table_4_1[[#This Row],[treatment_2]])</f>
        <v>sense_branch</v>
      </c>
      <c r="H16" t="str">
        <f ca="1">SUBSTITUTE(table_4_1[[#This Row],[dir_1]], table_4_1[[#This Row],[treatment_1]], table_4_1[[#This Row],[treatments_out]])</f>
        <v>KO_sgB_R2_sense_branch</v>
      </c>
      <c r="I16" t="str">
        <f t="shared" si="0"/>
        <v>without</v>
      </c>
      <c r="J1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5" t="str">
        <f ca="1">OFFSET(table_3_1[control], 3 * QUOTIENT(table_4_1[[#This Row],[index]] - 1, 2), 0, 1, 1)</f>
        <v>none</v>
      </c>
      <c r="C17" s="5" t="str">
        <f ca="1">OFFSET(table_3_1[treatment], 3 * QUOTIENT(table_4_1[[#This Row],[index]] - 1, 2), 0, 1, 1)</f>
        <v>sense</v>
      </c>
      <c r="D17" t="str">
        <f ca="1">OFFSET(table_3_1[dir], 3 * QUOTIENT(table_4_1[[#This Row],[index]] - 1, 2), 0, 1, 1)</f>
        <v>KO_sgB_R2_sense</v>
      </c>
      <c r="E17" t="str">
        <f ca="1">OFFSET(table_3_1[treatment], 3 * QUOTIENT(table_4_1[[#This Row],[index]] - 1, 2) + 1 + MOD(table_4_1[[#This Row],[index]] - 1, 2), 0, 1, 1)</f>
        <v>cmv</v>
      </c>
      <c r="F17" t="str">
        <f ca="1">OFFSET(table_3_1[dir], 3 * QUOTIENT(table_4_1[[#This Row],[index]] - 1, 2) + 1 + MOD(table_4_1[[#This Row],[index]] - 1, 2), 0, 1, 1)</f>
        <v>KO_sgB_R2_cmv</v>
      </c>
      <c r="G17" t="str">
        <f ca="1">_xlfn.CONCAT(table_4_1[[#This Row],[treatment_1]], "_", table_4_1[[#This Row],[treatment_2]])</f>
        <v>sense_cmv</v>
      </c>
      <c r="H17" t="str">
        <f ca="1">SUBSTITUTE(table_4_1[[#This Row],[dir_1]], table_4_1[[#This Row],[treatment_1]], table_4_1[[#This Row],[treatments_out]])</f>
        <v>KO_sgB_R2_sense_cmv</v>
      </c>
      <c r="I17" t="str">
        <f t="shared" si="0"/>
        <v>without</v>
      </c>
      <c r="J1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libraries_4/KO_sgB_R2_sense_cmv</v>
      </c>
    </row>
    <row r="19" spans="1:11" x14ac:dyDescent="0.25">
      <c r="A19">
        <v>37</v>
      </c>
    </row>
    <row r="20" spans="1:11" x14ac:dyDescent="0.25">
      <c r="A20" s="1" t="s">
        <v>112</v>
      </c>
      <c r="B20" s="1" t="s">
        <v>134</v>
      </c>
      <c r="C20" s="1" t="s">
        <v>164</v>
      </c>
      <c r="D20" s="1" t="s">
        <v>109</v>
      </c>
      <c r="E20" s="1" t="s">
        <v>165</v>
      </c>
      <c r="F20" s="1" t="s">
        <v>110</v>
      </c>
      <c r="G20" s="1" t="s">
        <v>166</v>
      </c>
      <c r="H20" s="1" t="s">
        <v>111</v>
      </c>
      <c r="I20" s="1" t="s">
        <v>105</v>
      </c>
      <c r="J20" s="1" t="s">
        <v>130</v>
      </c>
      <c r="K20" s="1" t="s">
        <v>108</v>
      </c>
    </row>
    <row r="21" spans="1:11" x14ac:dyDescent="0.25">
      <c r="A21" s="1">
        <v>1</v>
      </c>
      <c r="B21" s="5" t="str">
        <f ca="1">OFFSET(table_3_1[control], var_4_anti_offset + 2 * (table_4_2[[#This Row],[index]] - 1), 0, 1, 1)</f>
        <v>none</v>
      </c>
      <c r="C21" s="5" t="str">
        <f ca="1">OFFSET(table_3_1[treatment], var_4_anti_offset - 1 + 2 * (table_4_2[[#This Row],[index]] - 1), 0, 1, 1)</f>
        <v>antisense</v>
      </c>
      <c r="D21" t="str">
        <f ca="1">OFFSET(table_3_1[dir], var_4_anti_offset - 1 + 2 * (table_4_2[[#This Row],[index]] - 1), 0, 1, 1)</f>
        <v>WT_sgCD_R1_antisense</v>
      </c>
      <c r="E21" t="str">
        <f ca="1">OFFSET(table_3_1[treatment], var_4_anti_offset - 1 + 2 * (table_4_2[[#This Row],[index]] - 1) + 1, 0, 1, 1)</f>
        <v>splicing</v>
      </c>
      <c r="F21" t="str">
        <f ca="1">OFFSET(table_3_1[dir], var_4_anti_offset - 1 + 2 * (table_4_2[[#This Row],[index]] - 1) + 1, 0, 1, 1)</f>
        <v>WT_sgCD_R1_splicing</v>
      </c>
      <c r="G21" t="str">
        <f ca="1">_xlfn.CONCAT(table_4_2[[#This Row],[treatment_1]], "_", table_4_2[[#This Row],[treatment_2]])</f>
        <v>antisense_splicing</v>
      </c>
      <c r="H21" t="str">
        <f ca="1">SUBSTITUTE(table_4_2[[#This Row],[dir_1]], table_4_2[[#This Row],[treatment_1]], table_4_2[[#This Row],[treatments_out]])</f>
        <v>WT_sgCD_R1_antisense_splicing</v>
      </c>
      <c r="I21" t="str">
        <f>subst_type</f>
        <v>without</v>
      </c>
      <c r="J21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libraries_4/WT_sgCD_R1_antisense libraries_4/WT_sgCD_R1_splicing -o libraries_4/WT_sgCD_R1_antisense_splicing --subst_type without</v>
      </c>
      <c r="K21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libraries_4/WT_sgCD_R1_antisense_splicing</v>
      </c>
    </row>
    <row r="22" spans="1:11" x14ac:dyDescent="0.25">
      <c r="A22" s="1">
        <v>2</v>
      </c>
      <c r="B22" s="5" t="str">
        <f ca="1">OFFSET(table_3_1[control], var_4_anti_offset + 2 * (table_4_2[[#This Row],[index]] - 1), 0, 1, 1)</f>
        <v>none</v>
      </c>
      <c r="C22" s="5" t="str">
        <f ca="1">OFFSET(table_3_1[treatment], var_4_anti_offset - 1 + 2 * (table_4_2[[#This Row],[index]] - 1), 0, 1, 1)</f>
        <v>antisense</v>
      </c>
      <c r="D22" t="str">
        <f ca="1">OFFSET(table_3_1[dir], var_4_anti_offset - 1 + 2 * (table_4_2[[#This Row],[index]] - 1), 0, 1, 1)</f>
        <v>WT_sgCD_R2_antisense</v>
      </c>
      <c r="E22" t="str">
        <f ca="1">OFFSET(table_3_1[treatment], var_4_anti_offset - 1 + 2 * (table_4_2[[#This Row],[index]] - 1) + 1, 0, 1, 1)</f>
        <v>splicing</v>
      </c>
      <c r="F22" t="str">
        <f ca="1">OFFSET(table_3_1[dir], var_4_anti_offset - 1 + 2 * (table_4_2[[#This Row],[index]] - 1) + 1, 0, 1, 1)</f>
        <v>WT_sgCD_R2_splicing</v>
      </c>
      <c r="G22" t="str">
        <f ca="1">_xlfn.CONCAT(table_4_2[[#This Row],[treatment_1]], "_", table_4_2[[#This Row],[treatment_2]])</f>
        <v>antisense_splicing</v>
      </c>
      <c r="H22" t="str">
        <f ca="1">SUBSTITUTE(table_4_2[[#This Row],[dir_1]], table_4_2[[#This Row],[treatment_1]], table_4_2[[#This Row],[treatments_out]])</f>
        <v>WT_sgCD_R2_antisense_splicing</v>
      </c>
      <c r="I22" t="str">
        <f>subst_type</f>
        <v>without</v>
      </c>
      <c r="J22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libraries_4/WT_sgCD_R2_antisense libraries_4/WT_sgCD_R2_splicing -o libraries_4/WT_sgCD_R2_antisense_splicing --subst_type without</v>
      </c>
      <c r="K22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libraries_4/WT_sgCD_R2_antisense_splicing</v>
      </c>
    </row>
    <row r="23" spans="1:11" x14ac:dyDescent="0.25">
      <c r="A23" s="1"/>
      <c r="B23" s="5"/>
      <c r="C23" s="5"/>
      <c r="K23" s="2"/>
    </row>
    <row r="25" spans="1:11" x14ac:dyDescent="0.25">
      <c r="A25" s="1" t="s">
        <v>112</v>
      </c>
      <c r="B25" s="1" t="s">
        <v>134</v>
      </c>
      <c r="C25" s="1" t="s">
        <v>164</v>
      </c>
      <c r="D25" s="1" t="s">
        <v>109</v>
      </c>
      <c r="E25" s="1" t="s">
        <v>165</v>
      </c>
      <c r="F25" s="1" t="s">
        <v>110</v>
      </c>
      <c r="G25" s="1" t="s">
        <v>166</v>
      </c>
      <c r="H25" s="1" t="s">
        <v>111</v>
      </c>
      <c r="I25" s="1" t="s">
        <v>105</v>
      </c>
      <c r="J25" s="1" t="s">
        <v>130</v>
      </c>
      <c r="K25" s="1" t="s">
        <v>108</v>
      </c>
    </row>
    <row r="26" spans="1:11" x14ac:dyDescent="0.25">
      <c r="A26" s="1">
        <v>1</v>
      </c>
      <c r="B26" s="6" t="str">
        <f ca="1">OFFSET(table_3_2[control], 3 * QUOTIENT(table_4_3[[#This Row],[index]] - 1, 2), 0, 1, 1)</f>
        <v>noDSB</v>
      </c>
      <c r="C26" s="6" t="str">
        <f ca="1">OFFSET(table_3_2[treatment], 3 * QUOTIENT(table_4_3[[#This Row],[index]] - 1, 2), 0, 1, 1)</f>
        <v>sense</v>
      </c>
      <c r="D26" s="2" t="str">
        <f ca="1">OFFSET(table_3_2[dir], 3 * QUOTIENT(table_4_3[[#This Row],[index]] - 1, 2), 0, 1, 1)</f>
        <v>WT_sgA_R1_sense_nodsb</v>
      </c>
      <c r="E26" s="2" t="str">
        <f ca="1">OFFSET(table_3_2[treatment], 3 * QUOTIENT(table_4_3[[#This Row],[index]] - 1, 2) + 1 + MOD(table_4_3[[#This Row],[index]] - 1, 2), 0, 1, 1)</f>
        <v>branch</v>
      </c>
      <c r="F26" s="2" t="str">
        <f ca="1">OFFSET(table_3_2[dir], 3 * QUOTIENT(table_4_3[[#This Row],[index]] - 1, 2) + 1 + MOD(table_4_3[[#This Row],[index]] - 1, 2), 0, 1, 1)</f>
        <v>WT_sgA_R1_branch_nodsb</v>
      </c>
      <c r="G26" s="2" t="str">
        <f ca="1">_xlfn.CONCAT(table_4_3[[#This Row],[treatment_1]], "_", table_4_3[[#This Row],[treatment_2]])</f>
        <v>sense_branch</v>
      </c>
      <c r="H26" s="2" t="str">
        <f ca="1">SUBSTITUTE(table_4_3[[#This Row],[dir_1]], table_4_3[[#This Row],[treatment_1]], table_4_3[[#This Row],[treatments_out]])</f>
        <v>WT_sgA_R1_sense_branch_nodsb</v>
      </c>
      <c r="I26" t="str">
        <f t="shared" ref="I26:I33" si="1">subst_type</f>
        <v>without</v>
      </c>
      <c r="J26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libraries_4/WT_sgA_R1_branch_nodsb -o libraries_4/WT_sgA_R1_sense_branch_nodsb --subst_type without</v>
      </c>
      <c r="K26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libraries_4/WT_sgA_R1_sense_branch_nodsb</v>
      </c>
    </row>
    <row r="27" spans="1:11" x14ac:dyDescent="0.25">
      <c r="A27" s="1">
        <v>2</v>
      </c>
      <c r="B27" s="6" t="str">
        <f ca="1">OFFSET(table_3_2[control], 3 * QUOTIENT(table_4_3[[#This Row],[index]] - 1, 2), 0, 1, 1)</f>
        <v>noDSB</v>
      </c>
      <c r="C27" s="6" t="str">
        <f ca="1">OFFSET(table_3_2[treatment], 3 * QUOTIENT(table_4_3[[#This Row],[index]] - 1, 2), 0, 1, 1)</f>
        <v>sense</v>
      </c>
      <c r="D27" s="2" t="str">
        <f ca="1">OFFSET(table_3_2[dir], 3 * QUOTIENT(table_4_3[[#This Row],[index]] - 1, 2), 0, 1, 1)</f>
        <v>WT_sgA_R1_sense_nodsb</v>
      </c>
      <c r="E27" s="2" t="str">
        <f ca="1">OFFSET(table_3_2[treatment], 3 * QUOTIENT(table_4_3[[#This Row],[index]] - 1, 2) + 1 + MOD(table_4_3[[#This Row],[index]] - 1, 2), 0, 1, 1)</f>
        <v>cmv</v>
      </c>
      <c r="F27" s="2" t="str">
        <f ca="1">OFFSET(table_3_2[dir], 3 * QUOTIENT(table_4_3[[#This Row],[index]] - 1, 2) + 1 + MOD(table_4_3[[#This Row],[index]] - 1, 2), 0, 1, 1)</f>
        <v>WT_sgA_R1_cmv_nodsb</v>
      </c>
      <c r="G27" s="2" t="str">
        <f ca="1">_xlfn.CONCAT(table_4_3[[#This Row],[treatment_1]], "_", table_4_3[[#This Row],[treatment_2]])</f>
        <v>sense_cmv</v>
      </c>
      <c r="H27" s="2" t="str">
        <f ca="1">SUBSTITUTE(table_4_3[[#This Row],[dir_1]], table_4_3[[#This Row],[treatment_1]], table_4_3[[#This Row],[treatments_out]])</f>
        <v>WT_sgA_R1_sense_cmv_nodsb</v>
      </c>
      <c r="I27" t="str">
        <f t="shared" si="1"/>
        <v>without</v>
      </c>
      <c r="J27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libraries_4/WT_sgA_R1_cmv_nodsb -o libraries_4/WT_sgA_R1_sense_cmv_nodsb --subst_type without</v>
      </c>
      <c r="K27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libraries_4/WT_sgA_R1_sense_cmv_nodsb</v>
      </c>
    </row>
    <row r="28" spans="1:11" x14ac:dyDescent="0.25">
      <c r="A28" s="1">
        <v>3</v>
      </c>
      <c r="B28" s="5" t="str">
        <f ca="1">OFFSET(table_3_2[control], 3 * QUOTIENT(table_4_3[[#This Row],[index]] - 1, 2), 0, 1, 1)</f>
        <v>noDSB</v>
      </c>
      <c r="C28" s="5" t="str">
        <f ca="1">OFFSET(table_3_2[treatment], 3 * QUOTIENT(table_4_3[[#This Row],[index]] - 1, 2), 0, 1, 1)</f>
        <v>sense</v>
      </c>
      <c r="D28" t="str">
        <f ca="1">OFFSET(table_3_2[dir], 3 * QUOTIENT(table_4_3[[#This Row],[index]] - 1, 2), 0, 1, 1)</f>
        <v>KO_sgA_R1_sense_nodsb</v>
      </c>
      <c r="E28" t="str">
        <f ca="1">OFFSET(table_3_2[treatment], 3 * QUOTIENT(table_4_3[[#This Row],[index]] - 1, 2) + 1 + MOD(table_4_3[[#This Row],[index]] - 1, 2), 0, 1, 1)</f>
        <v>branch</v>
      </c>
      <c r="F28" t="str">
        <f ca="1">OFFSET(table_3_2[dir], 3 * QUOTIENT(table_4_3[[#This Row],[index]] - 1, 2) + 1 + MOD(table_4_3[[#This Row],[index]] - 1, 2), 0, 1, 1)</f>
        <v>KO_sgA_R1_branch_nodsb</v>
      </c>
      <c r="G28" t="str">
        <f ca="1">_xlfn.CONCAT(table_4_3[[#This Row],[treatment_1]], "_", table_4_3[[#This Row],[treatment_2]])</f>
        <v>sense_branch</v>
      </c>
      <c r="H28" t="str">
        <f ca="1">SUBSTITUTE(table_4_3[[#This Row],[dir_1]], table_4_3[[#This Row],[treatment_1]], table_4_3[[#This Row],[treatments_out]])</f>
        <v>KO_sgA_R1_sense_branch_nodsb</v>
      </c>
      <c r="I28" t="str">
        <f t="shared" si="1"/>
        <v>without</v>
      </c>
      <c r="J28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libraries_4/KO_sgA_R1_branch_nodsb -o libraries_4/KO_sgA_R1_sense_branch_nodsb --subst_type without</v>
      </c>
      <c r="K28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libraries_4/KO_sgA_R1_sense_branch_nodsb</v>
      </c>
    </row>
    <row r="29" spans="1:11" x14ac:dyDescent="0.25">
      <c r="A29" s="1">
        <v>4</v>
      </c>
      <c r="B29" s="5" t="str">
        <f ca="1">OFFSET(table_3_2[control], 3 * QUOTIENT(table_4_3[[#This Row],[index]] - 1, 2), 0, 1, 1)</f>
        <v>noDSB</v>
      </c>
      <c r="C29" s="5" t="str">
        <f ca="1">OFFSET(table_3_2[treatment], 3 * QUOTIENT(table_4_3[[#This Row],[index]] - 1, 2), 0, 1, 1)</f>
        <v>sense</v>
      </c>
      <c r="D29" t="str">
        <f ca="1">OFFSET(table_3_2[dir], 3 * QUOTIENT(table_4_3[[#This Row],[index]] - 1, 2), 0, 1, 1)</f>
        <v>KO_sgA_R1_sense_nodsb</v>
      </c>
      <c r="E29" t="str">
        <f ca="1">OFFSET(table_3_2[treatment], 3 * QUOTIENT(table_4_3[[#This Row],[index]] - 1, 2) + 1 + MOD(table_4_3[[#This Row],[index]] - 1, 2), 0, 1, 1)</f>
        <v>cmv</v>
      </c>
      <c r="F29" t="str">
        <f ca="1">OFFSET(table_3_2[dir], 3 * QUOTIENT(table_4_3[[#This Row],[index]] - 1, 2) + 1 + MOD(table_4_3[[#This Row],[index]] - 1, 2), 0, 1, 1)</f>
        <v>KO_sgA_R1_cmv_nodsb</v>
      </c>
      <c r="G29" t="str">
        <f ca="1">_xlfn.CONCAT(table_4_3[[#This Row],[treatment_1]], "_", table_4_3[[#This Row],[treatment_2]])</f>
        <v>sense_cmv</v>
      </c>
      <c r="H29" t="str">
        <f ca="1">SUBSTITUTE(table_4_3[[#This Row],[dir_1]], table_4_3[[#This Row],[treatment_1]], table_4_3[[#This Row],[treatments_out]])</f>
        <v>KO_sgA_R1_sense_cmv_nodsb</v>
      </c>
      <c r="I29" t="str">
        <f t="shared" si="1"/>
        <v>without</v>
      </c>
      <c r="J29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libraries_4/KO_sgA_R1_cmv_nodsb -o libraries_4/KO_sgA_R1_sense_cmv_nodsb --subst_type without</v>
      </c>
      <c r="K29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libraries_4/KO_sgA_R1_sense_cmv_nodsb</v>
      </c>
    </row>
    <row r="30" spans="1:11" x14ac:dyDescent="0.25">
      <c r="A30" s="1">
        <v>5</v>
      </c>
      <c r="B30" s="5" t="str">
        <f ca="1">OFFSET(table_3_2[control], 3 * QUOTIENT(table_4_3[[#This Row],[index]] - 1, 2), 0, 1, 1)</f>
        <v>noDSB</v>
      </c>
      <c r="C30" s="5" t="str">
        <f ca="1">OFFSET(table_3_2[treatment], 3 * QUOTIENT(table_4_3[[#This Row],[index]] - 1, 2), 0, 1, 1)</f>
        <v>sense</v>
      </c>
      <c r="D30" t="str">
        <f ca="1">OFFSET(table_3_2[dir], 3 * QUOTIENT(table_4_3[[#This Row],[index]] - 1, 2), 0, 1, 1)</f>
        <v>WT_sgB_R2_sense_nodsb</v>
      </c>
      <c r="E30" t="str">
        <f ca="1">OFFSET(table_3_2[treatment], 3 * QUOTIENT(table_4_3[[#This Row],[index]] - 1, 2) + 1 + MOD(table_4_3[[#This Row],[index]] - 1, 2), 0, 1, 1)</f>
        <v>branch</v>
      </c>
      <c r="F30" t="str">
        <f ca="1">OFFSET(table_3_2[dir], 3 * QUOTIENT(table_4_3[[#This Row],[index]] - 1, 2) + 1 + MOD(table_4_3[[#This Row],[index]] - 1, 2), 0, 1, 1)</f>
        <v>WT_sgB_R2_branch_nodsb</v>
      </c>
      <c r="G30" t="str">
        <f ca="1">_xlfn.CONCAT(table_4_3[[#This Row],[treatment_1]], "_", table_4_3[[#This Row],[treatment_2]])</f>
        <v>sense_branch</v>
      </c>
      <c r="H30" t="str">
        <f ca="1">SUBSTITUTE(table_4_3[[#This Row],[dir_1]], table_4_3[[#This Row],[treatment_1]], table_4_3[[#This Row],[treatments_out]])</f>
        <v>WT_sgB_R2_sense_branch_nodsb</v>
      </c>
      <c r="I30" t="str">
        <f t="shared" si="1"/>
        <v>without</v>
      </c>
      <c r="J30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libraries_4/WT_sgB_R2_branch_nodsb -o libraries_4/WT_sgB_R2_sense_branch_nodsb --subst_type without</v>
      </c>
      <c r="K30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libraries_4/WT_sgB_R2_sense_branch_nodsb</v>
      </c>
    </row>
    <row r="31" spans="1:11" x14ac:dyDescent="0.25">
      <c r="A31" s="1">
        <v>6</v>
      </c>
      <c r="B31" s="5" t="str">
        <f ca="1">OFFSET(table_3_2[control], 3 * QUOTIENT(table_4_3[[#This Row],[index]] - 1, 2), 0, 1, 1)</f>
        <v>noDSB</v>
      </c>
      <c r="C31" s="5" t="str">
        <f ca="1">OFFSET(table_3_2[treatment], 3 * QUOTIENT(table_4_3[[#This Row],[index]] - 1, 2), 0, 1, 1)</f>
        <v>sense</v>
      </c>
      <c r="D31" t="str">
        <f ca="1">OFFSET(table_3_2[dir], 3 * QUOTIENT(table_4_3[[#This Row],[index]] - 1, 2), 0, 1, 1)</f>
        <v>WT_sgB_R2_sense_nodsb</v>
      </c>
      <c r="E31" t="str">
        <f ca="1">OFFSET(table_3_2[treatment], 3 * QUOTIENT(table_4_3[[#This Row],[index]] - 1, 2) + 1 + MOD(table_4_3[[#This Row],[index]] - 1, 2), 0, 1, 1)</f>
        <v>cmv</v>
      </c>
      <c r="F31" t="str">
        <f ca="1">OFFSET(table_3_2[dir], 3 * QUOTIENT(table_4_3[[#This Row],[index]] - 1, 2) + 1 + MOD(table_4_3[[#This Row],[index]] - 1, 2), 0, 1, 1)</f>
        <v>WT_sgB_R2_cmv_nodsb</v>
      </c>
      <c r="G31" t="str">
        <f ca="1">_xlfn.CONCAT(table_4_3[[#This Row],[treatment_1]], "_", table_4_3[[#This Row],[treatment_2]])</f>
        <v>sense_cmv</v>
      </c>
      <c r="H31" t="str">
        <f ca="1">SUBSTITUTE(table_4_3[[#This Row],[dir_1]], table_4_3[[#This Row],[treatment_1]], table_4_3[[#This Row],[treatments_out]])</f>
        <v>WT_sgB_R2_sense_cmv_nodsb</v>
      </c>
      <c r="I31" t="str">
        <f t="shared" si="1"/>
        <v>without</v>
      </c>
      <c r="J31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libraries_4/WT_sgB_R2_cmv_nodsb -o libraries_4/WT_sgB_R2_sense_cmv_nodsb --subst_type without</v>
      </c>
      <c r="K31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libraries_4/WT_sgB_R2_sense_cmv_nodsb</v>
      </c>
    </row>
    <row r="32" spans="1:11" x14ac:dyDescent="0.25">
      <c r="A32" s="1">
        <v>7</v>
      </c>
      <c r="B32" s="5" t="str">
        <f ca="1">OFFSET(table_3_2[control], 3 * QUOTIENT(table_4_3[[#This Row],[index]] - 1, 2), 0, 1, 1)</f>
        <v>noDSB</v>
      </c>
      <c r="C32" s="5" t="str">
        <f ca="1">OFFSET(table_3_2[treatment], 3 * QUOTIENT(table_4_3[[#This Row],[index]] - 1, 2), 0, 1, 1)</f>
        <v>sense</v>
      </c>
      <c r="D32" t="str">
        <f ca="1">OFFSET(table_3_2[dir], 3 * QUOTIENT(table_4_3[[#This Row],[index]] - 1, 2), 0, 1, 1)</f>
        <v>KO_sgB_R2_sense_nodsb</v>
      </c>
      <c r="E32" t="str">
        <f ca="1">OFFSET(table_3_2[treatment], 3 * QUOTIENT(table_4_3[[#This Row],[index]] - 1, 2) + 1 + MOD(table_4_3[[#This Row],[index]] - 1, 2), 0, 1, 1)</f>
        <v>branch</v>
      </c>
      <c r="F32" t="str">
        <f ca="1">OFFSET(table_3_2[dir], 3 * QUOTIENT(table_4_3[[#This Row],[index]] - 1, 2) + 1 + MOD(table_4_3[[#This Row],[index]] - 1, 2), 0, 1, 1)</f>
        <v>KO_sgB_R2_branch_nodsb</v>
      </c>
      <c r="G32" t="str">
        <f ca="1">_xlfn.CONCAT(table_4_3[[#This Row],[treatment_1]], "_", table_4_3[[#This Row],[treatment_2]])</f>
        <v>sense_branch</v>
      </c>
      <c r="H32" t="str">
        <f ca="1">SUBSTITUTE(table_4_3[[#This Row],[dir_1]], table_4_3[[#This Row],[treatment_1]], table_4_3[[#This Row],[treatments_out]])</f>
        <v>KO_sgB_R2_sense_branch_nodsb</v>
      </c>
      <c r="I32" t="str">
        <f t="shared" si="1"/>
        <v>without</v>
      </c>
      <c r="J3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libraries_4/KO_sgB_R2_branch_nodsb -o libraries_4/KO_sgB_R2_sense_branch_nodsb --subst_type without</v>
      </c>
      <c r="K32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libraries_4/KO_sgB_R2_sense_branch_nodsb</v>
      </c>
    </row>
    <row r="33" spans="1:11" x14ac:dyDescent="0.25">
      <c r="A33" s="1">
        <v>8</v>
      </c>
      <c r="B33" s="5" t="str">
        <f ca="1">OFFSET(table_3_2[control], 3 * QUOTIENT(table_4_3[[#This Row],[index]] - 1, 2), 0, 1, 1)</f>
        <v>noDSB</v>
      </c>
      <c r="C33" s="5" t="str">
        <f ca="1">OFFSET(table_3_2[treatment], 3 * QUOTIENT(table_4_3[[#This Row],[index]] - 1, 2), 0, 1, 1)</f>
        <v>sense</v>
      </c>
      <c r="D33" t="str">
        <f ca="1">OFFSET(table_3_2[dir], 3 * QUOTIENT(table_4_3[[#This Row],[index]] - 1, 2), 0, 1, 1)</f>
        <v>KO_sgB_R2_sense_nodsb</v>
      </c>
      <c r="E33" t="str">
        <f ca="1">OFFSET(table_3_2[treatment], 3 * QUOTIENT(table_4_3[[#This Row],[index]] - 1, 2) + 1 + MOD(table_4_3[[#This Row],[index]] - 1, 2), 0, 1, 1)</f>
        <v>cmv</v>
      </c>
      <c r="F33" t="str">
        <f ca="1">OFFSET(table_3_2[dir], 3 * QUOTIENT(table_4_3[[#This Row],[index]] - 1, 2) + 1 + MOD(table_4_3[[#This Row],[index]] - 1, 2), 0, 1, 1)</f>
        <v>KO_sgB_R2_cmv_nodsb</v>
      </c>
      <c r="G33" t="str">
        <f ca="1">_xlfn.CONCAT(table_4_3[[#This Row],[treatment_1]], "_", table_4_3[[#This Row],[treatment_2]])</f>
        <v>sense_cmv</v>
      </c>
      <c r="H33" t="str">
        <f ca="1">SUBSTITUTE(table_4_3[[#This Row],[dir_1]], table_4_3[[#This Row],[treatment_1]], table_4_3[[#This Row],[treatments_out]])</f>
        <v>KO_sgB_R2_sense_cmv_nodsb</v>
      </c>
      <c r="I33" t="str">
        <f t="shared" si="1"/>
        <v>without</v>
      </c>
      <c r="J33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libraries_4/KO_sgB_R2_cmv_nodsb -o libraries_4/KO_sgB_R2_sense_cmv_nodsb --subst_type without</v>
      </c>
      <c r="K33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libraries_4/KO_sgB_R2_sense_cmv_nodsb</v>
      </c>
    </row>
    <row r="35" spans="1:11" x14ac:dyDescent="0.25">
      <c r="A35" s="1" t="s">
        <v>184</v>
      </c>
    </row>
    <row r="36" spans="1:11" x14ac:dyDescent="0.25">
      <c r="A36" t="str">
        <f ca="1">_xlfn.TEXTJOIN(CHAR(10), TRUE, J2:J17,J21:J22,J26:J33)</f>
        <v>python 2_graph_processing/make_main_data_combined.py -i libraries_4/WT_sgAB_R1_sense libraries_4/WT_sgAB_R1_branch -o libraries_4/WT_sgAB_R1_sense_branch --subst_type without
python 2_graph_processing/make_main_data_combined.py -i libraries_4/WT_sgAB_R1_sense libraries_4/WT_sgAB_R1_cmv -o libraries_4/WT_sgAB_R1_sense_cmv --subst_type without
python 2_graph_processing/make_main_data_combined.py -i libraries_4/KO_sgAB_R1_sense libraries_4/KO_sgAB_R1_branch -o libraries_4/KO_sgAB_R1_sense_branch --subst_type without
python 2_graph_processing/make_main_data_combined.py -i libraries_4/KO_sgAB_R1_sense libraries_4/KO_sgAB_R1_cmv -o libraries_4/KO_sgAB_R1_sense_cmv --subst_type without
python 2_graph_processing/make_main_data_combined.py -i libraries_4/WT_sgAB_R2_sense libraries_4/WT_sgAB_R2_branch -o libraries_4/WT_sgAB_R2_sense_branch --subst_type without
python 2_graph_processing/make_main_data_combined.py -i libraries_4/WT_sgAB_R2_sense libraries_4/WT_sgAB_R2_cmv -o libraries_4/WT_sgAB_R2_sense_cmv --subst_type without
python 2_graph_processing/make_main_data_combined.py -i libraries_4/KO_sgAB_R2_sense libraries_4/KO_sgAB_R2_branch -o libraries_4/KO_sgAB_R2_sense_branch --subst_type without
python 2_graph_processing/make_main_data_combined.py -i libraries_4/KO_sgAB_R2_sense libraries_4/KO_sgAB_R2_cmv -o libraries_4/KO_sgAB_R2_sense_cmv --subst_type without
python 2_graph_processing/make_main_data_combined.py -i libraries_4/WT_sgA_R1_sense libraries_4/WT_sgA_R1_branch -o libraries_4/WT_sgA_R1_sense_branch --subst_type without
python 2_graph_processing/make_main_data_combined.py -i libraries_4/WT_sgA_R1_sense libraries_4/WT_sgA_R1_cmv -o libraries_4/WT_sgA_R1_sense_cmv --subst_type without
python 2_graph_processing/make_main_data_combined.py -i libraries_4/KO_sgA_R1_sense libraries_4/KO_sgA_R1_branch -o libraries_4/KO_sgA_R1_sense_branch --subst_type without
python 2_graph_processing/make_main_data_combined.py -i libraries_4/KO_sgA_R1_sense libraries_4/KO_sgA_R1_cmv -o libraries_4/KO_sgA_R1_sense_cmv --subst_type without
python 2_graph_processing/make_main_data_combined.py -i libraries_4/WT_sgB_R2_sense libraries_4/WT_sgB_R2_branch -o libraries_4/WT_sgB_R2_sense_branch --subst_type without
python 2_graph_processing/make_main_data_combined.py -i libraries_4/WT_sgB_R2_sense libraries_4/WT_sgB_R2_cmv -o libraries_4/WT_sgB_R2_sense_cmv --subst_type without
python 2_graph_processing/make_main_data_combined.py -i libraries_4/KO_sgB_R2_sense libraries_4/KO_sgB_R2_branch -o libraries_4/KO_sgB_R2_sense_branch --subst_type without
python 2_graph_processing/make_main_data_combined.py -i libraries_4/KO_sgB_R2_sense libraries_4/KO_sgB_R2_cmv -o libraries_4/KO_sgB_R2_sense_cmv --subst_type without
python 2_graph_processing/make_main_data_combined.py -i libraries_4/WT_sgCD_R1_antisense libraries_4/WT_sgCD_R1_splicing -o libraries_4/WT_sgCD_R1_antisense_splicing --subst_type without
python 2_graph_processing/make_main_data_combined.py -i libraries_4/WT_sgCD_R2_antisense libraries_4/WT_sgCD_R2_splicing -o libraries_4/WT_sgCD_R2_antisense_splicing --subst_type without
python 2_graph_processing/make_main_data_combined.py -i libraries_4/WT_sgA_R1_sense_nodsb libraries_4/WT_sgA_R1_branch_nodsb -o libraries_4/WT_sgA_R1_sense_branch_nodsb --subst_type without
python 2_graph_processing/make_main_data_combined.py -i libraries_4/WT_sgA_R1_sense_nodsb libraries_4/WT_sgA_R1_cmv_nodsb -o libraries_4/WT_sgA_R1_sense_cmv_nodsb --subst_type without
python 2_graph_processing/make_main_data_combined.py -i libraries_4/KO_sgA_R1_sense_nodsb libraries_4/KO_sgA_R1_branch_nodsb -o libraries_4/KO_sgA_R1_sense_branch_nodsb --subst_type without
python 2_graph_processing/make_main_data_combined.py -i libraries_4/KO_sgA_R1_sense_nodsb libraries_4/KO_sgA_R1_cmv_nodsb -o libraries_4/KO_sgA_R1_sense_cmv_nodsb --subst_type without
python 2_graph_processing/make_main_data_combined.py -i libraries_4/WT_sgB_R2_sense_nodsb libraries_4/WT_sgB_R2_branch_nodsb -o libraries_4/WT_sgB_R2_sense_branch_nodsb --subst_type without
python 2_graph_processing/make_main_data_combined.py -i libraries_4/WT_sgB_R2_sense_nodsb libraries_4/WT_sgB_R2_cmv_nodsb -o libraries_4/WT_sgB_R2_sense_cmv_nodsb --subst_type without
python 2_graph_processing/make_main_data_combined.py -i libraries_4/KO_sgB_R2_sense_nodsb libraries_4/KO_sgB_R2_branch_nodsb -o libraries_4/KO_sgB_R2_sense_branch_nodsb --subst_type without
python 2_graph_processing/make_main_data_combined.py -i libraries_4/KO_sgB_R2_sense_nodsb libraries_4/KO_sgB_R2_cmv_nodsb -o libraries_4/KO_sgB_R2_sense_cmv_nodsb --subst_type without</v>
      </c>
    </row>
    <row r="38" spans="1:11" x14ac:dyDescent="0.25">
      <c r="A38" s="1" t="s">
        <v>185</v>
      </c>
    </row>
    <row r="39" spans="1:11" x14ac:dyDescent="0.25">
      <c r="A39" t="str">
        <f ca="1">_xlfn.TEXTJOIN(CHAR(10), TRUE, K2:K17,K21:K22,K26:K33)</f>
        <v>python 2_graph_processing/make_graph_data.py --subst_type without -dir libraries_4/WT_sgAB_R1_sense_branch
python 2_graph_processing/make_graph_data.py --subst_type without -dir libraries_4/WT_sgAB_R1_sense_cmv
python 2_graph_processing/make_graph_data.py --subst_type without -dir libraries_4/KO_sgAB_R1_sense_branch
python 2_graph_processing/make_graph_data.py --subst_type without -dir libraries_4/KO_sgAB_R1_sense_cmv
python 2_graph_processing/make_graph_data.py --subst_type without -dir libraries_4/WT_sgAB_R2_sense_branch
python 2_graph_processing/make_graph_data.py --subst_type without -dir libraries_4/WT_sgAB_R2_sense_cmv
python 2_graph_processing/make_graph_data.py --subst_type without -dir libraries_4/KO_sgAB_R2_sense_branch
python 2_graph_processing/make_graph_data.py --subst_type without -dir libraries_4/KO_sgAB_R2_sense_cmv
python 2_graph_processing/make_graph_data.py --subst_type without -dir libraries_4/WT_sgA_R1_sense_branch
python 2_graph_processing/make_graph_data.py --subst_type without -dir libraries_4/WT_sgA_R1_sense_cmv
python 2_graph_processing/make_graph_data.py --subst_type without -dir libraries_4/KO_sgA_R1_sense_branch
python 2_graph_processing/make_graph_data.py --subst_type without -dir libraries_4/KO_sgA_R1_sense_cmv
python 2_graph_processing/make_graph_data.py --subst_type without -dir libraries_4/WT_sgB_R2_sense_branch
python 2_graph_processing/make_graph_data.py --subst_type without -dir libraries_4/WT_sgB_R2_sense_cmv
python 2_graph_processing/make_graph_data.py --subst_type without -dir libraries_4/KO_sgB_R2_sense_branch
python 2_graph_processing/make_graph_data.py --subst_type without -dir libraries_4/KO_sgB_R2_sense_cmv
python 2_graph_processing/make_graph_data.py --subst_type without -dir libraries_4/WT_sgCD_R1_antisense_splicing
python 2_graph_processing/make_graph_data.py --subst_type without -dir libraries_4/WT_sgCD_R2_antisense_splicing
python 2_graph_processing/make_graph_data.py --subst_type without -dir libraries_4/WT_sgA_R1_sense_branch_nodsb
python 2_graph_processing/make_graph_data.py --subst_type without -dir libraries_4/WT_sgA_R1_sense_cmv_nodsb
python 2_graph_processing/make_graph_data.py --subst_type without -dir libraries_4/KO_sgA_R1_sense_branch_nodsb
python 2_graph_processing/make_graph_data.py --subst_type without -dir libraries_4/KO_sgA_R1_sense_cmv_nodsb
python 2_graph_processing/make_graph_data.py --subst_type without -dir libraries_4/WT_sgB_R2_sense_branch_nodsb
python 2_graph_processing/make_graph_data.py --subst_type without -dir libraries_4/WT_sgB_R2_sense_cmv_nodsb
python 2_graph_processing/make_graph_data.py --subst_type without -dir libraries_4/KO_sgB_R2_sense_branch_nodsb
python 2_graph_processing/make_graph_data.py --subst_type without -dir libraries_4/KO_sgB_R2_sense_cmv_nodsb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O58"/>
  <sheetViews>
    <sheetView topLeftCell="A55" workbookViewId="0">
      <selection activeCell="G68" sqref="G68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2.42578125" customWidth="1"/>
    <col min="14" max="14" width="8.42578125" customWidth="1"/>
  </cols>
  <sheetData>
    <row r="1" spans="1:15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142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187</v>
      </c>
      <c r="N1" s="1" t="s">
        <v>188</v>
      </c>
      <c r="O1" s="1" t="s">
        <v>168</v>
      </c>
    </row>
    <row r="2" spans="1:15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:L41" si="0">"with"</f>
        <v>with</v>
      </c>
      <c r="M2" t="str">
        <f ca="1">IF(table_5_1[[#This Row],[control]]="30bpDown", "absolute", "relative")</f>
        <v>relative</v>
      </c>
      <c r="N2" t="str">
        <f ca="1">IF(table_5_1[[#This Row],[strand]]="R2", " -rp ", "")</f>
        <v/>
      </c>
      <c r="O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libraries_4/WT_sgAB_R1_sense -o plots/histogram_3d/ -lt relative</v>
      </c>
    </row>
    <row r="3" spans="1:15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si="0"/>
        <v>with</v>
      </c>
      <c r="M3" t="str">
        <f ca="1">IF(table_5_1[[#This Row],[control]]="30bpDown", "absolute", "relative")</f>
        <v>relative</v>
      </c>
      <c r="N3" t="str">
        <f ca="1">IF(table_5_1[[#This Row],[strand]]="R2", " -rp ", "")</f>
        <v/>
      </c>
      <c r="O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libraries_4/WT_sgAB_R1_branch -o plots/histogram_3d/ -lt relative</v>
      </c>
    </row>
    <row r="4" spans="1:15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0"/>
        <v>with</v>
      </c>
      <c r="M4" t="str">
        <f ca="1">IF(table_5_1[[#This Row],[control]]="30bpDown", "absolute", "relative")</f>
        <v>relative</v>
      </c>
      <c r="N4" t="str">
        <f ca="1">IF(table_5_1[[#This Row],[strand]]="R2", " -rp ", "")</f>
        <v/>
      </c>
      <c r="O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libraries_4/WT_sgAB_R1_cmv -o plots/histogram_3d/ -lt relative</v>
      </c>
    </row>
    <row r="5" spans="1:15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0"/>
        <v>with</v>
      </c>
      <c r="M5" t="str">
        <f ca="1">IF(table_5_1[[#This Row],[control]]="30bpDown", "absolute", "relative")</f>
        <v>relative</v>
      </c>
      <c r="N5" t="str">
        <f ca="1">IF(table_5_1[[#This Row],[strand]]="R2", " -rp ", "")</f>
        <v/>
      </c>
      <c r="O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libraries_4/KO_sgAB_R1_sense -o plots/histogram_3d/ -lt relative</v>
      </c>
    </row>
    <row r="6" spans="1:15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0"/>
        <v>with</v>
      </c>
      <c r="M6" t="str">
        <f ca="1">IF(table_5_1[[#This Row],[control]]="30bpDown", "absolute", "relative")</f>
        <v>relative</v>
      </c>
      <c r="N6" t="str">
        <f ca="1">IF(table_5_1[[#This Row],[strand]]="R2", " -rp ", "")</f>
        <v/>
      </c>
      <c r="O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libraries_4/KO_sgAB_R1_branch -o plots/histogram_3d/ -lt relative</v>
      </c>
    </row>
    <row r="7" spans="1:15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0"/>
        <v>with</v>
      </c>
      <c r="M7" t="str">
        <f ca="1">IF(table_5_1[[#This Row],[control]]="30bpDown", "absolute", "relative")</f>
        <v>relative</v>
      </c>
      <c r="N7" t="str">
        <f ca="1">IF(table_5_1[[#This Row],[strand]]="R2", " -rp ", "")</f>
        <v/>
      </c>
      <c r="O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libraries_4/KO_sgAB_R1_cmv -o plots/histogram_3d/ -lt relative</v>
      </c>
    </row>
    <row r="8" spans="1:15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0"/>
        <v>with</v>
      </c>
      <c r="M8" t="str">
        <f ca="1">IF(table_5_1[[#This Row],[control]]="30bpDown", "absolute", "relative")</f>
        <v>relative</v>
      </c>
      <c r="N8" t="str">
        <f ca="1">IF(table_5_1[[#This Row],[strand]]="R2", " -rp ", "")</f>
        <v xml:space="preserve"> -rp </v>
      </c>
      <c r="O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libraries_4/WT_sgAB_R2_sense -o plots/histogram_3d/ -rp  -lt relative</v>
      </c>
    </row>
    <row r="9" spans="1:15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0"/>
        <v>with</v>
      </c>
      <c r="M9" t="str">
        <f ca="1">IF(table_5_1[[#This Row],[control]]="30bpDown", "absolute", "relative")</f>
        <v>relative</v>
      </c>
      <c r="N9" t="str">
        <f ca="1">IF(table_5_1[[#This Row],[strand]]="R2", " -rp ", "")</f>
        <v xml:space="preserve"> -rp </v>
      </c>
      <c r="O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libraries_4/WT_sgAB_R2_branch -o plots/histogram_3d/ -rp  -lt relative</v>
      </c>
    </row>
    <row r="10" spans="1:15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0"/>
        <v>with</v>
      </c>
      <c r="M10" t="str">
        <f ca="1">IF(table_5_1[[#This Row],[control]]="30bpDown", "absolute", "relative")</f>
        <v>relative</v>
      </c>
      <c r="N10" t="str">
        <f ca="1">IF(table_5_1[[#This Row],[strand]]="R2", " -rp ", "")</f>
        <v xml:space="preserve"> -rp </v>
      </c>
      <c r="O1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libraries_4/WT_sgAB_R2_cmv -o plots/histogram_3d/ -rp  -lt relative</v>
      </c>
    </row>
    <row r="11" spans="1:15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0"/>
        <v>with</v>
      </c>
      <c r="M11" t="str">
        <f ca="1">IF(table_5_1[[#This Row],[control]]="30bpDown", "absolute", "relative")</f>
        <v>relative</v>
      </c>
      <c r="N11" t="str">
        <f ca="1">IF(table_5_1[[#This Row],[strand]]="R2", " -rp ", "")</f>
        <v xml:space="preserve"> -rp </v>
      </c>
      <c r="O1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libraries_4/KO_sgAB_R2_sense -o plots/histogram_3d/ -rp  -lt relative</v>
      </c>
    </row>
    <row r="12" spans="1:15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0"/>
        <v>with</v>
      </c>
      <c r="M12" t="str">
        <f ca="1">IF(table_5_1[[#This Row],[control]]="30bpDown", "absolute", "relative")</f>
        <v>relative</v>
      </c>
      <c r="N12" t="str">
        <f ca="1">IF(table_5_1[[#This Row],[strand]]="R2", " -rp ", "")</f>
        <v xml:space="preserve"> -rp </v>
      </c>
      <c r="O1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libraries_4/KO_sgAB_R2_branch -o plots/histogram_3d/ -rp  -lt relative</v>
      </c>
    </row>
    <row r="13" spans="1:15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0"/>
        <v>with</v>
      </c>
      <c r="M13" t="str">
        <f ca="1">IF(table_5_1[[#This Row],[control]]="30bpDown", "absolute", "relative")</f>
        <v>relative</v>
      </c>
      <c r="N13" t="str">
        <f ca="1">IF(table_5_1[[#This Row],[strand]]="R2", " -rp ", "")</f>
        <v xml:space="preserve"> -rp </v>
      </c>
      <c r="O1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libraries_4/KO_sgAB_R2_cmv -o plots/histogram_3d/ -rp  -lt relative</v>
      </c>
    </row>
    <row r="14" spans="1:15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0"/>
        <v>with</v>
      </c>
      <c r="M14" t="str">
        <f ca="1">IF(table_5_1[[#This Row],[control]]="30bpDown", "absolute", "relative")</f>
        <v>relative</v>
      </c>
      <c r="N14" t="str">
        <f ca="1">IF(table_5_1[[#This Row],[strand]]="R2", " -rp ", "")</f>
        <v/>
      </c>
      <c r="O1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libraries_4/WT_sgA_R1_sense -o plots/histogram_3d/ -lt relative</v>
      </c>
    </row>
    <row r="15" spans="1:15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0"/>
        <v>with</v>
      </c>
      <c r="M15" t="str">
        <f ca="1">IF(table_5_1[[#This Row],[control]]="30bpDown", "absolute", "relative")</f>
        <v>relative</v>
      </c>
      <c r="N15" t="str">
        <f ca="1">IF(table_5_1[[#This Row],[strand]]="R2", " -rp ", "")</f>
        <v/>
      </c>
      <c r="O1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libraries_4/WT_sgA_R1_branch -o plots/histogram_3d/ -lt relative</v>
      </c>
    </row>
    <row r="16" spans="1:15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0"/>
        <v>with</v>
      </c>
      <c r="M16" t="str">
        <f ca="1">IF(table_5_1[[#This Row],[control]]="30bpDown", "absolute", "relative")</f>
        <v>relative</v>
      </c>
      <c r="N16" t="str">
        <f ca="1">IF(table_5_1[[#This Row],[strand]]="R2", " -rp ", "")</f>
        <v/>
      </c>
      <c r="O1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libraries_4/WT_sgA_R1_cmv -o plots/histogram_3d/ -lt relative</v>
      </c>
    </row>
    <row r="17" spans="1:15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0"/>
        <v>with</v>
      </c>
      <c r="M17" t="str">
        <f ca="1">IF(table_5_1[[#This Row],[control]]="30bpDown", "absolute", "relative")</f>
        <v>relative</v>
      </c>
      <c r="N17" t="str">
        <f ca="1">IF(table_5_1[[#This Row],[strand]]="R2", " -rp ", "")</f>
        <v/>
      </c>
      <c r="O1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libraries_4/KO_sgA_R1_sense -o plots/histogram_3d/ -lt relative</v>
      </c>
    </row>
    <row r="18" spans="1:15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0"/>
        <v>with</v>
      </c>
      <c r="M18" t="str">
        <f ca="1">IF(table_5_1[[#This Row],[control]]="30bpDown", "absolute", "relative")</f>
        <v>relative</v>
      </c>
      <c r="N18" t="str">
        <f ca="1">IF(table_5_1[[#This Row],[strand]]="R2", " -rp ", "")</f>
        <v/>
      </c>
      <c r="O1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libraries_4/KO_sgA_R1_branch -o plots/histogram_3d/ -lt relative</v>
      </c>
    </row>
    <row r="19" spans="1:15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0"/>
        <v>with</v>
      </c>
      <c r="M19" t="str">
        <f ca="1">IF(table_5_1[[#This Row],[control]]="30bpDown", "absolute", "relative")</f>
        <v>relative</v>
      </c>
      <c r="N19" t="str">
        <f ca="1">IF(table_5_1[[#This Row],[strand]]="R2", " -rp ", "")</f>
        <v/>
      </c>
      <c r="O1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libraries_4/KO_sgA_R1_cmv -o plots/histogram_3d/ -lt relative</v>
      </c>
    </row>
    <row r="20" spans="1:15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0"/>
        <v>with</v>
      </c>
      <c r="M20" t="str">
        <f ca="1">IF(table_5_1[[#This Row],[control]]="30bpDown", "absolute", "relative")</f>
        <v>relative</v>
      </c>
      <c r="N20" t="str">
        <f ca="1">IF(table_5_1[[#This Row],[strand]]="R2", " -rp ", "")</f>
        <v xml:space="preserve"> -rp </v>
      </c>
      <c r="O2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libraries_4/WT_sgB_R2_sense -o plots/histogram_3d/ -rp  -lt relative</v>
      </c>
    </row>
    <row r="21" spans="1:15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0"/>
        <v>with</v>
      </c>
      <c r="M21" t="str">
        <f ca="1">IF(table_5_1[[#This Row],[control]]="30bpDown", "absolute", "relative")</f>
        <v>relative</v>
      </c>
      <c r="N21" t="str">
        <f ca="1">IF(table_5_1[[#This Row],[strand]]="R2", " -rp ", "")</f>
        <v xml:space="preserve"> -rp </v>
      </c>
      <c r="O2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libraries_4/WT_sgB_R2_branch -o plots/histogram_3d/ -rp  -lt relative</v>
      </c>
    </row>
    <row r="22" spans="1:15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0"/>
        <v>with</v>
      </c>
      <c r="M22" t="str">
        <f ca="1">IF(table_5_1[[#This Row],[control]]="30bpDown", "absolute", "relative")</f>
        <v>relative</v>
      </c>
      <c r="N22" t="str">
        <f ca="1">IF(table_5_1[[#This Row],[strand]]="R2", " -rp ", "")</f>
        <v xml:space="preserve"> -rp </v>
      </c>
      <c r="O2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libraries_4/WT_sgB_R2_cmv -o plots/histogram_3d/ -rp  -lt relative</v>
      </c>
    </row>
    <row r="23" spans="1:15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0"/>
        <v>with</v>
      </c>
      <c r="M23" t="str">
        <f ca="1">IF(table_5_1[[#This Row],[control]]="30bpDown", "absolute", "relative")</f>
        <v>relative</v>
      </c>
      <c r="N23" t="str">
        <f ca="1">IF(table_5_1[[#This Row],[strand]]="R2", " -rp ", "")</f>
        <v xml:space="preserve"> -rp </v>
      </c>
      <c r="O2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libraries_4/KO_sgB_R2_sense -o plots/histogram_3d/ -rp  -lt relative</v>
      </c>
    </row>
    <row r="24" spans="1:15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0"/>
        <v>with</v>
      </c>
      <c r="M24" t="str">
        <f ca="1">IF(table_5_1[[#This Row],[control]]="30bpDown", "absolute", "relative")</f>
        <v>relative</v>
      </c>
      <c r="N24" t="str">
        <f ca="1">IF(table_5_1[[#This Row],[strand]]="R2", " -rp ", "")</f>
        <v xml:space="preserve"> -rp </v>
      </c>
      <c r="O2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libraries_4/KO_sgB_R2_branch -o plots/histogram_3d/ -rp  -lt relative</v>
      </c>
    </row>
    <row r="25" spans="1:15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0"/>
        <v>with</v>
      </c>
      <c r="M25" t="str">
        <f ca="1">IF(table_5_1[[#This Row],[control]]="30bpDown", "absolute", "relative")</f>
        <v>relative</v>
      </c>
      <c r="N25" t="str">
        <f ca="1">IF(table_5_1[[#This Row],[strand]]="R2", " -rp ", "")</f>
        <v xml:space="preserve"> -rp </v>
      </c>
      <c r="O2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libraries_4/KO_sgB_R2_cmv -o plots/histogram_3d/ -rp  -lt relative</v>
      </c>
    </row>
    <row r="26" spans="1:15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0"/>
        <v>with</v>
      </c>
      <c r="M26" t="str">
        <f ca="1">IF(table_5_1[[#This Row],[control]]="30bpDown", "absolute", "relative")</f>
        <v>absolute</v>
      </c>
      <c r="N26" t="str">
        <f ca="1">IF(table_5_1[[#This Row],[strand]]="R2", " -rp ", "")</f>
        <v/>
      </c>
      <c r="O2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libraries_4/WT_sgA_R1_sense_30bpDown -o plots/histogram_3d/ -lt absolute</v>
      </c>
    </row>
    <row r="27" spans="1:15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0"/>
        <v>with</v>
      </c>
      <c r="M27" t="str">
        <f ca="1">IF(table_5_1[[#This Row],[control]]="30bpDown", "absolute", "relative")</f>
        <v>absolute</v>
      </c>
      <c r="N27" t="str">
        <f ca="1">IF(table_5_1[[#This Row],[strand]]="R2", " -rp ", "")</f>
        <v/>
      </c>
      <c r="O2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libraries_4/WT_sgA_R1_branch_30bpDown -o plots/histogram_3d/ -lt absolute</v>
      </c>
    </row>
    <row r="28" spans="1:15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0"/>
        <v>with</v>
      </c>
      <c r="M28" t="str">
        <f ca="1">IF(table_5_1[[#This Row],[control]]="30bpDown", "absolute", "relative")</f>
        <v>absolute</v>
      </c>
      <c r="N28" t="str">
        <f ca="1">IF(table_5_1[[#This Row],[strand]]="R2", " -rp ", "")</f>
        <v/>
      </c>
      <c r="O2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libraries_4/WT_sgA_R1_cmv_30bpDown -o plots/histogram_3d/ -lt absolute</v>
      </c>
    </row>
    <row r="29" spans="1:15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0"/>
        <v>with</v>
      </c>
      <c r="M29" t="str">
        <f ca="1">IF(table_5_1[[#This Row],[control]]="30bpDown", "absolute", "relative")</f>
        <v>absolute</v>
      </c>
      <c r="N29" t="str">
        <f ca="1">IF(table_5_1[[#This Row],[strand]]="R2", " -rp ", "")</f>
        <v/>
      </c>
      <c r="O2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libraries_4/KO_sgA_R1_sense_30bpDown -o plots/histogram_3d/ -lt absolute</v>
      </c>
    </row>
    <row r="30" spans="1:15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0"/>
        <v>with</v>
      </c>
      <c r="M30" t="str">
        <f ca="1">IF(table_5_1[[#This Row],[control]]="30bpDown", "absolute", "relative")</f>
        <v>absolute</v>
      </c>
      <c r="N30" t="str">
        <f ca="1">IF(table_5_1[[#This Row],[strand]]="R2", " -rp ", "")</f>
        <v/>
      </c>
      <c r="O3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libraries_4/KO_sgA_R1_branch_30bpDown -o plots/histogram_3d/ -lt absolute</v>
      </c>
    </row>
    <row r="31" spans="1:15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0"/>
        <v>with</v>
      </c>
      <c r="M31" t="str">
        <f ca="1">IF(table_5_1[[#This Row],[control]]="30bpDown", "absolute", "relative")</f>
        <v>absolute</v>
      </c>
      <c r="N31" t="str">
        <f ca="1">IF(table_5_1[[#This Row],[strand]]="R2", " -rp ", "")</f>
        <v/>
      </c>
      <c r="O3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libraries_4/KO_sgA_R1_cmv_30bpDown -o plots/histogram_3d/ -lt absolute</v>
      </c>
    </row>
    <row r="32" spans="1:15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0"/>
        <v>with</v>
      </c>
      <c r="M32" t="str">
        <f ca="1">IF(table_5_1[[#This Row],[control]]="30bpDown", "absolute", "relative")</f>
        <v>absolute</v>
      </c>
      <c r="N32" t="str">
        <f ca="1">IF(table_5_1[[#This Row],[strand]]="R2", " -rp ", "")</f>
        <v xml:space="preserve"> -rp </v>
      </c>
      <c r="O3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libraries_4/WT_sgB_R2_sense_30bpDown -o plots/histogram_3d/ -rp  -lt absolute</v>
      </c>
    </row>
    <row r="33" spans="1:15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0"/>
        <v>with</v>
      </c>
      <c r="M33" t="str">
        <f ca="1">IF(table_5_1[[#This Row],[control]]="30bpDown", "absolute", "relative")</f>
        <v>absolute</v>
      </c>
      <c r="N33" t="str">
        <f ca="1">IF(table_5_1[[#This Row],[strand]]="R2", " -rp ", "")</f>
        <v xml:space="preserve"> -rp </v>
      </c>
      <c r="O3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libraries_4/WT_sgB_R2_branch_30bpDown -o plots/histogram_3d/ -rp  -lt absolute</v>
      </c>
    </row>
    <row r="34" spans="1:15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0"/>
        <v>with</v>
      </c>
      <c r="M34" t="str">
        <f ca="1">IF(table_5_1[[#This Row],[control]]="30bpDown", "absolute", "relative")</f>
        <v>absolute</v>
      </c>
      <c r="N34" t="str">
        <f ca="1">IF(table_5_1[[#This Row],[strand]]="R2", " -rp ", "")</f>
        <v xml:space="preserve"> -rp </v>
      </c>
      <c r="O3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libraries_4/WT_sgB_R2_cmv_30bpDown -o plots/histogram_3d/ -rp  -lt absolute</v>
      </c>
    </row>
    <row r="35" spans="1:15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0"/>
        <v>with</v>
      </c>
      <c r="M35" t="str">
        <f ca="1">IF(table_5_1[[#This Row],[control]]="30bpDown", "absolute", "relative")</f>
        <v>absolute</v>
      </c>
      <c r="N35" t="str">
        <f ca="1">IF(table_5_1[[#This Row],[strand]]="R2", " -rp ", "")</f>
        <v xml:space="preserve"> -rp </v>
      </c>
      <c r="O3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libraries_4/KO_sgB_R2_sense_30bpDown -o plots/histogram_3d/ -rp  -lt absolute</v>
      </c>
    </row>
    <row r="36" spans="1:15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0"/>
        <v>with</v>
      </c>
      <c r="M36" t="str">
        <f ca="1">IF(table_5_1[[#This Row],[control]]="30bpDown", "absolute", "relative")</f>
        <v>absolute</v>
      </c>
      <c r="N36" t="str">
        <f ca="1">IF(table_5_1[[#This Row],[strand]]="R2", " -rp ", "")</f>
        <v xml:space="preserve"> -rp </v>
      </c>
      <c r="O3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libraries_4/KO_sgB_R2_branch_30bpDown -o plots/histogram_3d/ -rp  -lt absolute</v>
      </c>
    </row>
    <row r="37" spans="1:15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0"/>
        <v>with</v>
      </c>
      <c r="M37" t="str">
        <f ca="1">IF(table_5_1[[#This Row],[control]]="30bpDown", "absolute", "relative")</f>
        <v>absolute</v>
      </c>
      <c r="N37" t="str">
        <f ca="1">IF(table_5_1[[#This Row],[strand]]="R2", " -rp ", "")</f>
        <v xml:space="preserve"> -rp </v>
      </c>
      <c r="O3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libraries_4/KO_sgB_R2_cmv_30bpDown -o plots/histogram_3d/ -rp  -lt absolute</v>
      </c>
    </row>
    <row r="38" spans="1:15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50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0"/>
        <v>with</v>
      </c>
      <c r="M38" t="str">
        <f ca="1">IF(table_5_1[[#This Row],[control]]="30bpDown", "absolute", "relative")</f>
        <v>relative</v>
      </c>
      <c r="N38" t="str">
        <f ca="1">IF(table_5_1[[#This Row],[strand]]="R2", " -rp ", "")</f>
        <v/>
      </c>
      <c r="O3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libraries_4/WT_sgCD_R1_antisense -o plots/histogram_3d/ -lt relative</v>
      </c>
    </row>
    <row r="39" spans="1:15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50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0"/>
        <v>with</v>
      </c>
      <c r="M39" t="str">
        <f ca="1">IF(table_5_1[[#This Row],[control]]="30bpDown", "absolute", "relative")</f>
        <v>relative</v>
      </c>
      <c r="N39" t="str">
        <f ca="1">IF(table_5_1[[#This Row],[strand]]="R2", " -rp ", "")</f>
        <v/>
      </c>
      <c r="O3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libraries_4/WT_sgCD_R1_splicing -o plots/histogram_3d/ -lt relative</v>
      </c>
    </row>
    <row r="40" spans="1:15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0"/>
        <v>with</v>
      </c>
      <c r="M40" t="str">
        <f ca="1">IF(table_5_1[[#This Row],[control]]="30bpDown", "absolute", "relative")</f>
        <v>relative</v>
      </c>
      <c r="N40" t="str">
        <f ca="1">IF(table_5_1[[#This Row],[strand]]="R2", " -rp ", "")</f>
        <v xml:space="preserve"> -rp </v>
      </c>
      <c r="O4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libraries_4/WT_sgCD_R2_antisense -o plots/histogram_3d/ -rp  -lt relative</v>
      </c>
    </row>
    <row r="41" spans="1:15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0"/>
        <v>with</v>
      </c>
      <c r="M41" t="str">
        <f ca="1">IF(table_5_1[[#This Row],[control]]="30bpDown", "absolute", "relative")</f>
        <v>relative</v>
      </c>
      <c r="N41" t="str">
        <f ca="1">IF(table_5_1[[#This Row],[strand]]="R2", " -rp ", "")</f>
        <v xml:space="preserve"> -rp </v>
      </c>
      <c r="O4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libraries_4/WT_sgCD_R2_splicing -o plots/histogram_3d/ -rp  -lt relative</v>
      </c>
    </row>
    <row r="43" spans="1:15" x14ac:dyDescent="0.25">
      <c r="A43" t="s">
        <v>112</v>
      </c>
      <c r="B43" t="s">
        <v>87</v>
      </c>
      <c r="C43" t="s">
        <v>134</v>
      </c>
      <c r="D43" t="s">
        <v>86</v>
      </c>
      <c r="E43" t="s">
        <v>101</v>
      </c>
      <c r="F43" t="s">
        <v>102</v>
      </c>
      <c r="G43" t="s">
        <v>142</v>
      </c>
      <c r="H43" t="s">
        <v>82</v>
      </c>
      <c r="I43" t="s">
        <v>103</v>
      </c>
      <c r="J43" t="s">
        <v>104</v>
      </c>
      <c r="K43" t="s">
        <v>81</v>
      </c>
      <c r="L43" t="s">
        <v>105</v>
      </c>
      <c r="M43" t="s">
        <v>187</v>
      </c>
      <c r="N43" t="s">
        <v>188</v>
      </c>
      <c r="O43" t="s">
        <v>168</v>
      </c>
    </row>
    <row r="44" spans="1:15" x14ac:dyDescent="0.25">
      <c r="A44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>"with"</f>
        <v>with</v>
      </c>
      <c r="M44" t="str">
        <f ca="1">IF(table_5_2[[#This Row],[control]]="30bpDown", "absolute", "relative")</f>
        <v>relative</v>
      </c>
      <c r="N44" t="str">
        <f ca="1">IF(table_5_2[[#This Row],[strand]]="R2", " -rp ", "")</f>
        <v/>
      </c>
      <c r="O44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libraries_4/WT_sgA_R1_sense_nodsb -o plots/histogram_3d/ -lt relative</v>
      </c>
    </row>
    <row r="45" spans="1:15" x14ac:dyDescent="0.25">
      <c r="A45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5:L55" si="1">"with"</f>
        <v>with</v>
      </c>
      <c r="M45" t="str">
        <f ca="1">IF(table_5_2[[#This Row],[control]]="30bpDown", "absolute", "relative")</f>
        <v>relative</v>
      </c>
      <c r="N45" t="str">
        <f ca="1">IF(table_5_2[[#This Row],[strand]]="R2", " -rp ", "")</f>
        <v/>
      </c>
      <c r="O45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libraries_4/WT_sgA_R1_branch_nodsb -o plots/histogram_3d/ -lt relative</v>
      </c>
    </row>
    <row r="46" spans="1:15" x14ac:dyDescent="0.25">
      <c r="A46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1"/>
        <v>with</v>
      </c>
      <c r="M46" t="str">
        <f ca="1">IF(table_5_2[[#This Row],[control]]="30bpDown", "absolute", "relative")</f>
        <v>relative</v>
      </c>
      <c r="N46" t="str">
        <f ca="1">IF(table_5_2[[#This Row],[strand]]="R2", " -rp ", "")</f>
        <v/>
      </c>
      <c r="O46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libraries_4/WT_sgA_R1_cmv_nodsb -o plots/histogram_3d/ -lt relative</v>
      </c>
    </row>
    <row r="47" spans="1:15" x14ac:dyDescent="0.25">
      <c r="A47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1"/>
        <v>with</v>
      </c>
      <c r="M47" t="str">
        <f ca="1">IF(table_5_2[[#This Row],[control]]="30bpDown", "absolute", "relative")</f>
        <v>relative</v>
      </c>
      <c r="N47" t="str">
        <f ca="1">IF(table_5_2[[#This Row],[strand]]="R2", " -rp ", "")</f>
        <v/>
      </c>
      <c r="O47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libraries_4/KO_sgA_R1_sense_nodsb -o plots/histogram_3d/ -lt relative</v>
      </c>
    </row>
    <row r="48" spans="1:15" x14ac:dyDescent="0.25">
      <c r="A48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1"/>
        <v>with</v>
      </c>
      <c r="M48" t="str">
        <f ca="1">IF(table_5_2[[#This Row],[control]]="30bpDown", "absolute", "relative")</f>
        <v>relative</v>
      </c>
      <c r="N48" t="str">
        <f ca="1">IF(table_5_2[[#This Row],[strand]]="R2", " -rp ", "")</f>
        <v/>
      </c>
      <c r="O48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libraries_4/KO_sgA_R1_branch_nodsb -o plots/histogram_3d/ -lt relative</v>
      </c>
    </row>
    <row r="49" spans="1:15" x14ac:dyDescent="0.25">
      <c r="A49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1"/>
        <v>with</v>
      </c>
      <c r="M49" t="str">
        <f ca="1">IF(table_5_2[[#This Row],[control]]="30bpDown", "absolute", "relative")</f>
        <v>relative</v>
      </c>
      <c r="N49" t="str">
        <f ca="1">IF(table_5_2[[#This Row],[strand]]="R2", " -rp ", "")</f>
        <v/>
      </c>
      <c r="O49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libraries_4/KO_sgA_R1_cmv_nodsb -o plots/histogram_3d/ -lt relative</v>
      </c>
    </row>
    <row r="50" spans="1:15" x14ac:dyDescent="0.25">
      <c r="A50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1"/>
        <v>with</v>
      </c>
      <c r="M50" t="str">
        <f ca="1">IF(table_5_2[[#This Row],[control]]="30bpDown", "absolute", "relative")</f>
        <v>relative</v>
      </c>
      <c r="N50" t="str">
        <f ca="1">IF(table_5_2[[#This Row],[strand]]="R2", " -rp ", "")</f>
        <v xml:space="preserve"> -rp </v>
      </c>
      <c r="O50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libraries_4/WT_sgB_R2_sense_nodsb -o plots/histogram_3d/ -rp  -lt relative</v>
      </c>
    </row>
    <row r="51" spans="1:15" x14ac:dyDescent="0.25">
      <c r="A5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1"/>
        <v>with</v>
      </c>
      <c r="M51" t="str">
        <f ca="1">IF(table_5_2[[#This Row],[control]]="30bpDown", "absolute", "relative")</f>
        <v>relative</v>
      </c>
      <c r="N51" t="str">
        <f ca="1">IF(table_5_2[[#This Row],[strand]]="R2", " -rp ", "")</f>
        <v xml:space="preserve"> -rp </v>
      </c>
      <c r="O51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libraries_4/WT_sgB_R2_branch_nodsb -o plots/histogram_3d/ -rp  -lt relative</v>
      </c>
    </row>
    <row r="52" spans="1:15" x14ac:dyDescent="0.25">
      <c r="A52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1"/>
        <v>with</v>
      </c>
      <c r="M52" t="str">
        <f ca="1">IF(table_5_2[[#This Row],[control]]="30bpDown", "absolute", "relative")</f>
        <v>relative</v>
      </c>
      <c r="N52" t="str">
        <f ca="1">IF(table_5_2[[#This Row],[strand]]="R2", " -rp ", "")</f>
        <v xml:space="preserve"> -rp </v>
      </c>
      <c r="O52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libraries_4/WT_sgB_R2_cmv_nodsb -o plots/histogram_3d/ -rp  -lt relative</v>
      </c>
    </row>
    <row r="53" spans="1:15" x14ac:dyDescent="0.25">
      <c r="A53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1"/>
        <v>with</v>
      </c>
      <c r="M53" t="str">
        <f ca="1">IF(table_5_2[[#This Row],[control]]="30bpDown", "absolute", "relative")</f>
        <v>relative</v>
      </c>
      <c r="N53" t="str">
        <f ca="1">IF(table_5_2[[#This Row],[strand]]="R2", " -rp ", "")</f>
        <v xml:space="preserve"> -rp </v>
      </c>
      <c r="O53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libraries_4/KO_sgB_R2_sense_nodsb -o plots/histogram_3d/ -rp  -lt relative</v>
      </c>
    </row>
    <row r="54" spans="1:15" x14ac:dyDescent="0.25">
      <c r="A54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1"/>
        <v>with</v>
      </c>
      <c r="M54" t="str">
        <f ca="1">IF(table_5_2[[#This Row],[control]]="30bpDown", "absolute", "relative")</f>
        <v>relative</v>
      </c>
      <c r="N54" t="str">
        <f ca="1">IF(table_5_2[[#This Row],[strand]]="R2", " -rp ", "")</f>
        <v xml:space="preserve"> -rp </v>
      </c>
      <c r="O54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libraries_4/KO_sgB_R2_branch_nodsb -o plots/histogram_3d/ -rp  -lt relative</v>
      </c>
    </row>
    <row r="55" spans="1:15" x14ac:dyDescent="0.25">
      <c r="A55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1"/>
        <v>with</v>
      </c>
      <c r="M55" t="str">
        <f ca="1">IF(table_5_2[[#This Row],[control]]="30bpDown", "absolute", "relative")</f>
        <v>relative</v>
      </c>
      <c r="N55" t="str">
        <f ca="1">IF(table_5_2[[#This Row],[strand]]="R2", " -rp ", "")</f>
        <v xml:space="preserve"> -rp </v>
      </c>
      <c r="O55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libraries_4/KO_sgB_R2_cmv_nodsb -o plots/histogram_3d/ -rp  -lt relative</v>
      </c>
    </row>
    <row r="57" spans="1:15" x14ac:dyDescent="0.25">
      <c r="A57" s="1" t="s">
        <v>177</v>
      </c>
    </row>
    <row r="58" spans="1:15" x14ac:dyDescent="0.25">
      <c r="A58" t="str">
        <f ca="1">_xlfn.TEXTJOIN(CHAR(10), TRUE, O2:O41,O44:O55)</f>
        <v>python 2_graph_processing/make_histogram_3d.py -i libraries_4/WT_sgAB_R1_sense -o plots/histogram_3d/ -lt relative
python 2_graph_processing/make_histogram_3d.py -i libraries_4/WT_sgAB_R1_branch -o plots/histogram_3d/ -lt relative
python 2_graph_processing/make_histogram_3d.py -i libraries_4/WT_sgAB_R1_cmv -o plots/histogram_3d/ -lt relative
python 2_graph_processing/make_histogram_3d.py -i libraries_4/KO_sgAB_R1_sense -o plots/histogram_3d/ -lt relative
python 2_graph_processing/make_histogram_3d.py -i libraries_4/KO_sgAB_R1_branch -o plots/histogram_3d/ -lt relative
python 2_graph_processing/make_histogram_3d.py -i libraries_4/KO_sgAB_R1_cmv -o plots/histogram_3d/ -lt relative
python 2_graph_processing/make_histogram_3d.py -i libraries_4/WT_sgAB_R2_sense -o plots/histogram_3d/ -rp  -lt relative
python 2_graph_processing/make_histogram_3d.py -i libraries_4/WT_sgAB_R2_branch -o plots/histogram_3d/ -rp  -lt relative
python 2_graph_processing/make_histogram_3d.py -i libraries_4/WT_sgAB_R2_cmv -o plots/histogram_3d/ -rp  -lt relative
python 2_graph_processing/make_histogram_3d.py -i libraries_4/KO_sgAB_R2_sense -o plots/histogram_3d/ -rp  -lt relative
python 2_graph_processing/make_histogram_3d.py -i libraries_4/KO_sgAB_R2_branch -o plots/histogram_3d/ -rp  -lt relative
python 2_graph_processing/make_histogram_3d.py -i libraries_4/KO_sgAB_R2_cmv -o plots/histogram_3d/ -rp  -lt relative
python 2_graph_processing/make_histogram_3d.py -i libraries_4/WT_sgA_R1_sense -o plots/histogram_3d/ -lt relative
python 2_graph_processing/make_histogram_3d.py -i libraries_4/WT_sgA_R1_branch -o plots/histogram_3d/ -lt relative
python 2_graph_processing/make_histogram_3d.py -i libraries_4/WT_sgA_R1_cmv -o plots/histogram_3d/ -lt relative
python 2_graph_processing/make_histogram_3d.py -i libraries_4/KO_sgA_R1_sense -o plots/histogram_3d/ -lt relative
python 2_graph_processing/make_histogram_3d.py -i libraries_4/KO_sgA_R1_branch -o plots/histogram_3d/ -lt relative
python 2_graph_processing/make_histogram_3d.py -i libraries_4/KO_sgA_R1_cmv -o plots/histogram_3d/ -lt relative
python 2_graph_processing/make_histogram_3d.py -i libraries_4/WT_sgB_R2_sense -o plots/histogram_3d/ -rp  -lt relative
python 2_graph_processing/make_histogram_3d.py -i libraries_4/WT_sgB_R2_branch -o plots/histogram_3d/ -rp  -lt relative
python 2_graph_processing/make_histogram_3d.py -i libraries_4/WT_sgB_R2_cmv -o plots/histogram_3d/ -rp  -lt relative
python 2_graph_processing/make_histogram_3d.py -i libraries_4/KO_sgB_R2_sense -o plots/histogram_3d/ -rp  -lt relative
python 2_graph_processing/make_histogram_3d.py -i libraries_4/KO_sgB_R2_branch -o plots/histogram_3d/ -rp  -lt relative
python 2_graph_processing/make_histogram_3d.py -i libraries_4/KO_sgB_R2_cmv -o plots/histogram_3d/ -rp  -lt relative
python 2_graph_processing/make_histogram_3d.py -i libraries_4/WT_sgA_R1_sense_30bpDown -o plots/histogram_3d/ -lt absolute
python 2_graph_processing/make_histogram_3d.py -i libraries_4/WT_sgA_R1_branch_30bpDown -o plots/histogram_3d/ -lt absolute
python 2_graph_processing/make_histogram_3d.py -i libraries_4/WT_sgA_R1_cmv_30bpDown -o plots/histogram_3d/ -lt absolute
python 2_graph_processing/make_histogram_3d.py -i libraries_4/KO_sgA_R1_sense_30bpDown -o plots/histogram_3d/ -lt absolute
python 2_graph_processing/make_histogram_3d.py -i libraries_4/KO_sgA_R1_branch_30bpDown -o plots/histogram_3d/ -lt absolute
python 2_graph_processing/make_histogram_3d.py -i libraries_4/KO_sgA_R1_cmv_30bpDown -o plots/histogram_3d/ -lt absolute
python 2_graph_processing/make_histogram_3d.py -i libraries_4/WT_sgB_R2_sense_30bpDown -o plots/histogram_3d/ -rp  -lt absolute
python 2_graph_processing/make_histogram_3d.py -i libraries_4/WT_sgB_R2_branch_30bpDown -o plots/histogram_3d/ -rp  -lt absolute
python 2_graph_processing/make_histogram_3d.py -i libraries_4/WT_sgB_R2_cmv_30bpDown -o plots/histogram_3d/ -rp  -lt absolute
python 2_graph_processing/make_histogram_3d.py -i libraries_4/KO_sgB_R2_sense_30bpDown -o plots/histogram_3d/ -rp  -lt absolute
python 2_graph_processing/make_histogram_3d.py -i libraries_4/KO_sgB_R2_branch_30bpDown -o plots/histogram_3d/ -rp  -lt absolute
python 2_graph_processing/make_histogram_3d.py -i libraries_4/KO_sgB_R2_cmv_30bpDown -o plots/histogram_3d/ -rp  -lt absolute
python 2_graph_processing/make_histogram_3d.py -i libraries_4/WT_sgCD_R1_antisense -o plots/histogram_3d/ -lt relative
python 2_graph_processing/make_histogram_3d.py -i libraries_4/WT_sgCD_R1_splicing -o plots/histogram_3d/ -lt relative
python 2_graph_processing/make_histogram_3d.py -i libraries_4/WT_sgCD_R2_antisense -o plots/histogram_3d/ -rp  -lt relative
python 2_graph_processing/make_histogram_3d.py -i libraries_4/WT_sgCD_R2_splicing -o plots/histogram_3d/ -rp  -lt relative
python 2_graph_processing/make_histogram_3d.py -i libraries_4/WT_sgA_R1_sense_nodsb -o plots/histogram_3d/ -lt relative
python 2_graph_processing/make_histogram_3d.py -i libraries_4/WT_sgA_R1_branch_nodsb -o plots/histogram_3d/ -lt relative
python 2_graph_processing/make_histogram_3d.py -i libraries_4/WT_sgA_R1_cmv_nodsb -o plots/histogram_3d/ -lt relative
python 2_graph_processing/make_histogram_3d.py -i libraries_4/KO_sgA_R1_sense_nodsb -o plots/histogram_3d/ -lt relative
python 2_graph_processing/make_histogram_3d.py -i libraries_4/KO_sgA_R1_branch_nodsb -o plots/histogram_3d/ -lt relative
python 2_graph_processing/make_histogram_3d.py -i libraries_4/KO_sgA_R1_cmv_nodsb -o plots/histogram_3d/ -lt relative
python 2_graph_processing/make_histogram_3d.py -i libraries_4/WT_sgB_R2_sense_nodsb -o plots/histogram_3d/ -rp  -lt relative
python 2_graph_processing/make_histogram_3d.py -i libraries_4/WT_sgB_R2_branch_nodsb -o plots/histogram_3d/ -rp  -lt relative
python 2_graph_processing/make_histogram_3d.py -i libraries_4/WT_sgB_R2_cmv_nodsb -o plots/histogram_3d/ -rp  -lt relative
python 2_graph_processing/make_histogram_3d.py -i libraries_4/KO_sgB_R2_sense_nodsb -o plots/histogram_3d/ -rp  -lt relative
python 2_graph_processing/make_histogram_3d.py -i libraries_4/KO_sgB_R2_branch_nodsb -o plots/histogram_3d/ -rp  -lt relative
python 2_graph_processing/make_histogram_3d.py -i libraries_4/KO_sgB_R2_cmv_nodsb -o plots/histogram_3d/ -rp  -lt relative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17E7-0E2A-4E67-94B4-4030BF5F7C23}">
  <dimension ref="A1:V17"/>
  <sheetViews>
    <sheetView workbookViewId="0">
      <selection activeCell="A16" sqref="A16"/>
    </sheetView>
  </sheetViews>
  <sheetFormatPr defaultRowHeight="15" x14ac:dyDescent="0.25"/>
  <cols>
    <col min="1" max="1" width="8.28515625" bestFit="1" customWidth="1"/>
    <col min="2" max="2" width="65" customWidth="1"/>
    <col min="3" max="3" width="33.7109375" customWidth="1"/>
    <col min="4" max="4" width="26.7109375" bestFit="1" customWidth="1"/>
    <col min="5" max="5" width="28" bestFit="1" customWidth="1"/>
    <col min="6" max="6" width="28.85546875" bestFit="1" customWidth="1"/>
    <col min="7" max="7" width="26.42578125" bestFit="1" customWidth="1"/>
    <col min="8" max="8" width="24.28515625" customWidth="1"/>
    <col min="9" max="9" width="11.42578125" bestFit="1" customWidth="1"/>
    <col min="10" max="10" width="11.85546875" customWidth="1"/>
    <col min="12" max="12" width="18.140625" customWidth="1"/>
    <col min="13" max="13" width="12.5703125" customWidth="1"/>
    <col min="14" max="14" width="23.140625" customWidth="1"/>
    <col min="19" max="19" width="22.5703125" customWidth="1"/>
  </cols>
  <sheetData>
    <row r="1" spans="1:22" x14ac:dyDescent="0.25">
      <c r="A1" s="1" t="s">
        <v>176</v>
      </c>
      <c r="B1" t="s">
        <v>181</v>
      </c>
    </row>
    <row r="3" spans="1:22" x14ac:dyDescent="0.25">
      <c r="A3" s="1" t="s">
        <v>112</v>
      </c>
      <c r="B3" s="1" t="s">
        <v>87</v>
      </c>
      <c r="C3" s="1" t="s">
        <v>178</v>
      </c>
      <c r="D3" s="1" t="s">
        <v>134</v>
      </c>
      <c r="E3" s="1" t="s">
        <v>102</v>
      </c>
      <c r="F3" s="1" t="s">
        <v>103</v>
      </c>
      <c r="G3" s="1" t="s">
        <v>105</v>
      </c>
      <c r="H3" s="1" t="s">
        <v>111</v>
      </c>
      <c r="I3" s="1" t="s">
        <v>168</v>
      </c>
    </row>
    <row r="4" spans="1:22" x14ac:dyDescent="0.25">
      <c r="A4" s="3">
        <v>1</v>
      </c>
      <c r="B4" s="6" t="str" cm="1">
        <f t="array" aca="1" ref="B4" ca="1">TRIM(SUBSTITUTE(_xlfn.CONCAT(" ", _xlfn.TEXTJOIN(" ", TRUE, OFFSET(table_3_1[[dir]:[dir]], 12 * (table_6_3[[#This Row],[index]:[index]] - 1), 0, 12, 1))), " ", _xlfn.CONCAT(" ", libraries_4, "/")))</f>
        <v>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</v>
      </c>
      <c r="C4" s="6" t="str" cm="1">
        <f t="array" aca="1" ref="C4" ca="1">_xlfn.TEXTJOIN(
  " ",
  TRUE,
  IF(OFFSET(table_3_1[[strand]:[strand]], 12 * (table_6_3[[#This Row],[index]:[index]] - 1), 0, 12, 1) = "R1", 0, 1)
)</f>
        <v>0 0 0 0 0 0 1 1 1 1 1 1</v>
      </c>
      <c r="D4" t="str">
        <f ca="1">OFFSET(table_3_1[control], 6 * (table_6_3[[#This Row],[index]] - 1), 0, 1, 1)</f>
        <v>none</v>
      </c>
      <c r="E4" t="str">
        <f ca="1">OFFSET(table_3_1[dsb_type], 12 * (table_6_3[[#This Row],[index]] - 1), 0, 1, 1)</f>
        <v>2DSB</v>
      </c>
      <c r="F4" t="str" cm="1">
        <f t="array" aca="1" ref="F4" ca="1">OFFSET(table_3_1[[hguide]:[hguide]], 12 * (table_6_3[[#This Row],[index]:[index]] - 1), 0, 1, 1)</f>
        <v>AB</v>
      </c>
      <c r="G4" t="str">
        <f t="shared" ref="G4:G9" si="0">subst_type</f>
        <v>without</v>
      </c>
      <c r="H4" t="str">
        <f ca="1">_xlfn.CONCAT(var_6_layout, "/", table_6_3[[#This Row],[dsb_type]], "_", table_6_3[[#This Row],[hguide]], IF(table_6_3[[#This Row],[control]]&lt;&gt;"none", _xlfn.CONCAT("_", table_6_3[[#This Row],[control]]), ""))</f>
        <v>universal/2DSB_AB</v>
      </c>
      <c r="I4" t="str">
        <f ca="1"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</v>
      </c>
    </row>
    <row r="5" spans="1:22" x14ac:dyDescent="0.25">
      <c r="A5" s="3"/>
      <c r="B5" s="6"/>
      <c r="C5" s="6"/>
    </row>
    <row r="6" spans="1:22" x14ac:dyDescent="0.25">
      <c r="A6" s="3">
        <v>12</v>
      </c>
      <c r="B6" s="6"/>
      <c r="C6" s="6"/>
    </row>
    <row r="7" spans="1:22" x14ac:dyDescent="0.25">
      <c r="A7" s="1" t="s">
        <v>112</v>
      </c>
      <c r="B7" s="1" t="s">
        <v>87</v>
      </c>
      <c r="C7" s="1" t="s">
        <v>178</v>
      </c>
      <c r="D7" s="1" t="s">
        <v>134</v>
      </c>
      <c r="E7" s="1" t="s">
        <v>102</v>
      </c>
      <c r="F7" s="1" t="s">
        <v>103</v>
      </c>
      <c r="G7" s="1" t="s">
        <v>105</v>
      </c>
      <c r="H7" s="1" t="s">
        <v>111</v>
      </c>
      <c r="I7" s="1" t="s">
        <v>168</v>
      </c>
    </row>
    <row r="8" spans="1:22" x14ac:dyDescent="0.25">
      <c r="A8" s="3">
        <v>1</v>
      </c>
      <c r="B8" s="6" t="str" cm="1">
        <f t="array" aca="1" ref="B8" ca="1">TRIM(SUBSTITUTE(_xlfn.CONCAT(" ", _xlfn.TEXTJOIN(" ", TRUE, OFFSET(table_3_1[[dir]:[dir]], var_6_1dsb_offset + 6 * (table_6_4[[#This Row],[index]:[index]] - 1), 0, 6, 1))), " ", _xlfn.CONCAT(" ", libraries_4, "/")))</f>
        <v>libraries_4/WT_sgA_R1_sense libraries_4/WT_sgA_R1_branch libraries_4/WT_sgA_R1_cmv libraries_4/KO_sgA_R1_sense libraries_4/KO_sgA_R1_branch libraries_4/KO_sgA_R1_cmv</v>
      </c>
      <c r="C8" s="6" t="e">
        <f ca="1">IF(table_6_4[[#This Row],[hguide]]="A",NA(), IF(var_6_layout = "universal", "1 1 1 1 1 1", NA()))</f>
        <v>#N/A</v>
      </c>
      <c r="D8" t="str">
        <f ca="1">OFFSET(table_3_1[control], 6 * (table_6_4[[#This Row],[index]] - 1), 0, 1, 1)</f>
        <v>none</v>
      </c>
      <c r="E8" t="str">
        <f ca="1">OFFSET(table_3_1[dsb_type], var_6_1dsb_offset + 6 * (table_6_4[[#This Row],[index]] - 1), 0, 1, 1)</f>
        <v>1DSB</v>
      </c>
      <c r="F8" t="str" cm="1">
        <f t="array" aca="1" ref="F8" ca="1">OFFSET(table_3_1[[hguide]:[hguide]], var_6_1dsb_offset + 6 * (table_6_4[[#This Row],[index]:[index]] - 1), 0, 1, 1)</f>
        <v>A</v>
      </c>
      <c r="G8" t="str">
        <f t="shared" si="0"/>
        <v>without</v>
      </c>
      <c r="H8" t="str">
        <f ca="1">_xlfn.CONCAT(var_6_layout, "/", table_6_4[[#This Row],[dsb_type]], "_", table_6_4[[#This Row],[hguide]], IF(table_6_4[[#This Row],[control]]&lt;&gt;"none", _xlfn.CONCAT("_", table_6_4[[#This Row],[control]]), ""))</f>
        <v>universal/1DSB_A</v>
      </c>
      <c r="I8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</v>
      </c>
      <c r="J8" s="6"/>
      <c r="K8" s="6"/>
      <c r="L8" s="6"/>
    </row>
    <row r="9" spans="1:22" x14ac:dyDescent="0.25">
      <c r="A9" s="3">
        <v>2</v>
      </c>
      <c r="B9" s="6" t="str" cm="1">
        <f t="array" aca="1" ref="B9" ca="1">TRIM(SUBSTITUTE(_xlfn.CONCAT(" ", _xlfn.TEXTJOIN(" ", TRUE, OFFSET(table_3_1[[dir]:[dir]], var_6_1dsb_offset + 6 * (table_6_4[[#This Row],[index]:[index]] - 1), 0, 6, 1))), " ", _xlfn.CONCAT(" ", libraries_4, "/")))</f>
        <v>libraries_4/WT_sgB_R2_sense libraries_4/WT_sgB_R2_branch libraries_4/WT_sgB_R2_cmv libraries_4/KO_sgB_R2_sense libraries_4/KO_sgB_R2_branch libraries_4/KO_sgB_R2_cmv</v>
      </c>
      <c r="C9" s="6" t="str">
        <f ca="1">IF(table_6_4[[#This Row],[hguide]]="A",NA(), IF(var_6_layout = "universal", "1 1 1 1 1 1", NA()))</f>
        <v>1 1 1 1 1 1</v>
      </c>
      <c r="D9" t="str">
        <f ca="1">OFFSET(table_3_1[control], 6 * (table_6_4[[#This Row],[index]] - 1), 0, 1, 1)</f>
        <v>none</v>
      </c>
      <c r="E9" t="str">
        <f ca="1">OFFSET(table_3_1[dsb_type], var_6_1dsb_offset + 6 * (table_6_4[[#This Row],[index]] - 1), 0, 1, 1)</f>
        <v>1DSB</v>
      </c>
      <c r="F9" t="str" cm="1">
        <f t="array" aca="1" ref="F9" ca="1">OFFSET(table_3_1[[hguide]:[hguide]], var_6_1dsb_offset + 6 * (table_6_4[[#This Row],[index]:[index]] - 1), 0, 1, 1)</f>
        <v>B</v>
      </c>
      <c r="G9" t="str">
        <f t="shared" si="0"/>
        <v>without</v>
      </c>
      <c r="H9" t="str">
        <f ca="1">_xlfn.CONCAT(var_6_layout, "/", table_6_4[[#This Row],[dsb_type]], "_", table_6_4[[#This Row],[hguide]], IF(table_6_4[[#This Row],[control]]&lt;&gt;"none", _xlfn.CONCAT("_", table_6_4[[#This Row],[control]]), ""))</f>
        <v>universal/1DSB_B</v>
      </c>
      <c r="I9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</v>
      </c>
      <c r="J9" s="1"/>
      <c r="K9" s="1"/>
      <c r="L9" s="1"/>
      <c r="M9" s="1"/>
    </row>
    <row r="10" spans="1:22" x14ac:dyDescent="0.25">
      <c r="A10" s="3"/>
      <c r="B10" s="6"/>
      <c r="C10" s="6"/>
      <c r="J10" s="1"/>
      <c r="K10" s="1"/>
      <c r="L10" s="1"/>
      <c r="M10" s="1"/>
    </row>
    <row r="11" spans="1:22" x14ac:dyDescent="0.25">
      <c r="A11" s="3">
        <v>36</v>
      </c>
      <c r="B11" s="6"/>
      <c r="C11" s="6"/>
      <c r="I11" s="6"/>
      <c r="J11" s="6"/>
      <c r="V11" t="str" cm="1">
        <f t="array" aca="1" ref="V11" ca="1">IF(C4:C4 = "R1", "+", "-")</f>
        <v>-</v>
      </c>
    </row>
    <row r="12" spans="1:22" x14ac:dyDescent="0.25">
      <c r="A12" s="8" t="s">
        <v>112</v>
      </c>
      <c r="B12" s="8" t="s">
        <v>87</v>
      </c>
      <c r="C12" s="8" t="s">
        <v>82</v>
      </c>
      <c r="D12" s="8" t="s">
        <v>134</v>
      </c>
      <c r="E12" s="8" t="s">
        <v>102</v>
      </c>
      <c r="F12" s="8" t="s">
        <v>105</v>
      </c>
      <c r="G12" s="8" t="s">
        <v>103</v>
      </c>
      <c r="H12" s="8" t="s">
        <v>111</v>
      </c>
      <c r="I12" s="8" t="s">
        <v>168</v>
      </c>
      <c r="J12" s="1"/>
      <c r="K12" s="1"/>
    </row>
    <row r="13" spans="1:22" x14ac:dyDescent="0.25">
      <c r="A13" s="7">
        <v>1</v>
      </c>
      <c r="B13" s="6" t="str" cm="1">
        <f t="array" aca="1" ref="B13" ca="1">TRIM(SUBSTITUTE(_xlfn.CONCAT(" ", _xlfn.TEXTJOIN(" ", TRUE, OFFSET(table_3_1[[dir]:[dir]], var_6_anti_offset + 4 * (table_6_5[[#This Row],[index]:[index]] - 1), 0, 4, 1))), " ", _xlfn.CONCAT(" ", libraries_4, "/")))</f>
        <v>libraries_4/WT_sgCD_R1_antisense libraries_4/WT_sgCD_R1_splicing libraries_4/WT_sgCD_R2_antisense libraries_4/WT_sgCD_R2_splicing</v>
      </c>
      <c r="C13" s="6" t="str" cm="1">
        <f t="array" aca="1" ref="C13" ca="1">_xlfn.TEXTJOIN(
  " ",
  TRUE,
  IF(OFFSET(table_3_1[[strand]:[strand]], var_6_anti_offset + 4 * (table_6_5[[#This Row],[index]:[index]] - 1), 0,4, 1) = "R1", 0, 1)
)</f>
        <v>0 0 1 1</v>
      </c>
      <c r="D13" s="6" t="str">
        <f ca="1">OFFSET(table_3_1[control], var_6_anti_offset + 4 * (table_6_5[[#This Row],[index]] - 1), 0, 1, 1)</f>
        <v>none</v>
      </c>
      <c r="E13" s="6" t="str">
        <f ca="1">OFFSET(table_3_1[dsb_type], var_6_anti_offset + 4 * (table_6_5[[#This Row],[index]] - 1), 0, 1, 1)</f>
        <v>2DSBanti</v>
      </c>
      <c r="F13" s="4" t="str">
        <f>subst_type</f>
        <v>without</v>
      </c>
      <c r="G13" s="4" t="str">
        <f ca="1">OFFSET(table_3_1[[hguide]:[hguide]], var_6_anti_offset + 4 * (table_6_5[[#This Row],[index]] - 1), 0, 1, 1)</f>
        <v>CD</v>
      </c>
      <c r="H13" s="4" t="str">
        <f ca="1">_xlfn.CONCAT(var_6_layout, "/", table_6_5[[#This Row],[dsb_type]], "_", table_6_5[[#This Row],[hguide]], IF(table_6_5[[#This Row],[control]]&lt;&gt;"none", _xlfn.CONCAT("_", table_6_5[[#This Row],[control]]), ""))</f>
        <v>universal/2DSBanti_CD</v>
      </c>
      <c r="I13" s="4" t="str">
        <f ca="1"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f>
        <v>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</row>
    <row r="14" spans="1:22" x14ac:dyDescent="0.25">
      <c r="A14" s="3"/>
      <c r="B14" s="6"/>
      <c r="C14" s="6"/>
      <c r="D14" s="6"/>
      <c r="E14" s="6"/>
      <c r="F14" s="6"/>
      <c r="G14" s="6"/>
      <c r="H14" s="6"/>
    </row>
    <row r="15" spans="1:22" x14ac:dyDescent="0.25">
      <c r="A15" s="1" t="s">
        <v>177</v>
      </c>
      <c r="B15" s="1"/>
      <c r="C15" s="1"/>
      <c r="D15" s="1"/>
      <c r="E15" s="1"/>
      <c r="F15" s="1"/>
      <c r="G15" s="1"/>
      <c r="H15" s="1"/>
    </row>
    <row r="16" spans="1:22" x14ac:dyDescent="0.25">
      <c r="A16" s="6" t="str">
        <f ca="1">_xlfn.TEXTJOIN(CHAR(10), TRUE, table_6_3[command], table_6_4[command], table_6_5[command])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
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
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
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  <c r="B16" s="6"/>
      <c r="C16" s="6"/>
      <c r="D16" s="6"/>
      <c r="E16" s="6"/>
      <c r="F16" s="6"/>
      <c r="G16" s="6"/>
    </row>
    <row r="17" spans="1:7" x14ac:dyDescent="0.25">
      <c r="A17" s="3"/>
      <c r="B17" s="6"/>
      <c r="C17" s="6"/>
      <c r="D17" s="6"/>
      <c r="E17" s="6"/>
      <c r="F17" s="6"/>
      <c r="G17" s="6"/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07-D76A-4386-B771-6693BBF75061}">
  <dimension ref="A1:AB67"/>
  <sheetViews>
    <sheetView workbookViewId="0">
      <selection activeCell="A67" sqref="A67"/>
    </sheetView>
  </sheetViews>
  <sheetFormatPr defaultRowHeight="15" x14ac:dyDescent="0.25"/>
  <cols>
    <col min="1" max="1" width="15.42578125" customWidth="1"/>
    <col min="2" max="2" width="31.28515625" customWidth="1"/>
    <col min="3" max="3" width="24.42578125" customWidth="1"/>
    <col min="4" max="4" width="24.28515625" bestFit="1" customWidth="1"/>
    <col min="5" max="6" width="11.28515625" customWidth="1"/>
    <col min="7" max="7" width="5.85546875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6.28515625" customWidth="1"/>
    <col min="14" max="14" width="22.7109375" customWidth="1"/>
  </cols>
  <sheetData>
    <row r="1" spans="1:28" x14ac:dyDescent="0.25">
      <c r="A1" s="1" t="s">
        <v>174</v>
      </c>
      <c r="B1" t="b">
        <v>1</v>
      </c>
      <c r="C1" s="1" t="s">
        <v>175</v>
      </c>
      <c r="D1" t="s">
        <v>202</v>
      </c>
      <c r="E1" s="1" t="s">
        <v>176</v>
      </c>
      <c r="F1" t="str">
        <f>IF(var_7_common_layout, var_6_layout, "universal")</f>
        <v>universal</v>
      </c>
      <c r="G1" s="1" t="s">
        <v>179</v>
      </c>
      <c r="H1">
        <v>2400</v>
      </c>
      <c r="I1" s="1" t="s">
        <v>180</v>
      </c>
      <c r="J1">
        <v>1800</v>
      </c>
    </row>
    <row r="2" spans="1:28" x14ac:dyDescent="0.25">
      <c r="A2" s="1" t="s">
        <v>112</v>
      </c>
      <c r="B2" s="1" t="s">
        <v>87</v>
      </c>
      <c r="C2" s="1" t="s">
        <v>134</v>
      </c>
      <c r="D2" s="1" t="s">
        <v>86</v>
      </c>
      <c r="E2" s="1" t="s">
        <v>101</v>
      </c>
      <c r="F2" s="1" t="s">
        <v>102</v>
      </c>
      <c r="G2" s="1" t="s">
        <v>142</v>
      </c>
      <c r="H2" s="1" t="s">
        <v>82</v>
      </c>
      <c r="I2" s="1" t="s">
        <v>103</v>
      </c>
      <c r="J2" s="1" t="s">
        <v>104</v>
      </c>
      <c r="K2" s="1" t="s">
        <v>81</v>
      </c>
      <c r="L2" s="1" t="s">
        <v>105</v>
      </c>
      <c r="M2" s="1" t="s">
        <v>171</v>
      </c>
      <c r="N2" s="1" t="s">
        <v>178</v>
      </c>
      <c r="O2" s="1" t="s">
        <v>189</v>
      </c>
      <c r="P2" s="1" t="s">
        <v>190</v>
      </c>
      <c r="Q2" s="1" t="s">
        <v>191</v>
      </c>
      <c r="R2" s="1" t="s">
        <v>192</v>
      </c>
      <c r="S2" s="1" t="s">
        <v>182</v>
      </c>
      <c r="T2" s="1" t="s">
        <v>194</v>
      </c>
      <c r="U2" s="1" t="s">
        <v>195</v>
      </c>
      <c r="V2" s="1" t="s">
        <v>193</v>
      </c>
      <c r="W2" s="1" t="s">
        <v>196</v>
      </c>
      <c r="X2" s="1" t="s">
        <v>197</v>
      </c>
      <c r="Y2" s="1" t="s">
        <v>198</v>
      </c>
      <c r="Z2" s="1" t="s">
        <v>139</v>
      </c>
      <c r="AA2" s="1" t="s">
        <v>199</v>
      </c>
      <c r="AB2" s="1" t="s">
        <v>168</v>
      </c>
    </row>
    <row r="3" spans="1:28" x14ac:dyDescent="0.25">
      <c r="A3" s="3">
        <v>1</v>
      </c>
      <c r="B3" t="str">
        <f ca="1">OFFSET(table_3_1[[dir]:[dir]], table_7_1[[#This Row],[index]] - 1, 0, 1, 1)</f>
        <v>WT_sgAB_R1_sense</v>
      </c>
      <c r="C3" t="str">
        <f ca="1">OFFSET(table_3_1[[control]:[control]], table_7_1[[#This Row],[index]] - 1, 0, 1, 1)</f>
        <v>none</v>
      </c>
      <c r="D3" t="str">
        <f ca="1">OFFSET(table_3_1[[ref]:[ref]], table_7_1[[#This Row],[index]] - 1, 0, 1, 1)</f>
        <v>2DSB_R1_sense.fa</v>
      </c>
      <c r="E3">
        <f ca="1">OFFSET(table_3_1[[dsb_pos]:[dsb_pos]], table_7_1[[#This Row],[index]] - 1, 0, 1, 1)</f>
        <v>67</v>
      </c>
      <c r="F3" t="str">
        <f ca="1">OFFSET(table_3_1[[dsb_type]:[dsb_type]], table_7_1[[#This Row],[index]] - 1, 0, 1, 1)</f>
        <v>2DSB</v>
      </c>
      <c r="G3" t="str">
        <f ca="1">OFFSET(table_3_1[[dsb_type_command]:[dsb_type_command]], table_7_1[[#This Row],[index]] - 1, 0, 1, 1)</f>
        <v>2</v>
      </c>
      <c r="H3" t="str">
        <f ca="1">OFFSET(table_3_1[[strand]:[strand]], table_7_1[[#This Row],[index]] - 1, 0, 1, 1)</f>
        <v>R1</v>
      </c>
      <c r="I3" t="str">
        <f ca="1">OFFSET(table_3_1[[hguide]:[hguide]], table_7_1[[#This Row],[index]] - 1, 0, 1, 1)</f>
        <v>AB</v>
      </c>
      <c r="J3" t="str">
        <f ca="1">OFFSET(table_3_1[[cell]:[cell]], table_7_1[[#This Row],[index]] - 1, 0, 1, 1)</f>
        <v>WT</v>
      </c>
      <c r="K3" t="str">
        <f ca="1">OFFSET(table_3_1[[treatment]:[treatment]], table_7_1[[#This Row],[index]] - 1, 0, 1, 1)</f>
        <v>sense</v>
      </c>
      <c r="L3" t="str">
        <f t="shared" ref="L3:L42" si="0">"without"</f>
        <v>without</v>
      </c>
      <c r="M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3" t="b">
        <f ca="1">AND(table_7_1[[#This Row],[strand]] = "R2", OR(var_7_layout = "universal", var_7_layout = "fractal", AND(var_7_layout = "radial", table_7_1[[#This Row],[dsb_type]] &lt;&gt; "1DSB")))</f>
        <v>0</v>
      </c>
      <c r="O3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3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3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3" t="b">
        <v>1</v>
      </c>
      <c r="V3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-20.5 --universal_layout_x_axis_insertion_y_pos 21.5 --universal_layout_x_axis_x_range -11.5 11.5</v>
      </c>
      <c r="W3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3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3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3" t="str">
        <f>_xlfn.CONCAT(graphs, "/", var_7_layout, "/", table_7_1[[#This Row],[format]], "/", var_7_ext)</f>
        <v>plots/graphs/universal/individual/html</v>
      </c>
      <c r="AA3" t="s">
        <v>200</v>
      </c>
      <c r="AB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libraries_4/WT_sgAB_R1_sense -o plots/graphs/universal/individual/html --layout_dir layouts/universal/2DSB_AB -ext html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</v>
      </c>
    </row>
    <row r="4" spans="1:28" x14ac:dyDescent="0.25">
      <c r="A4" s="3">
        <v>2</v>
      </c>
      <c r="B4" t="str">
        <f ca="1">OFFSET(table_3_1[[dir]:[dir]], table_7_1[[#This Row],[index]] - 1, 0, 1, 1)</f>
        <v>WT_sgAB_R1_branch</v>
      </c>
      <c r="C4" t="str">
        <f ca="1">OFFSET(table_3_1[[control]:[control]], table_7_1[[#This Row],[index]] - 1, 0, 1, 1)</f>
        <v>none</v>
      </c>
      <c r="D4" t="str">
        <f ca="1">OFFSET(table_3_1[[ref]:[ref]], table_7_1[[#This Row],[index]] - 1, 0, 1, 1)</f>
        <v>2DSB_R1_branch.fa</v>
      </c>
      <c r="E4">
        <f ca="1">OFFSET(table_3_1[[dsb_pos]:[dsb_pos]], table_7_1[[#This Row],[index]] - 1, 0, 1, 1)</f>
        <v>67</v>
      </c>
      <c r="F4" t="str">
        <f ca="1">OFFSET(table_3_1[[dsb_type]:[dsb_type]], table_7_1[[#This Row],[index]] - 1, 0, 1, 1)</f>
        <v>2DSB</v>
      </c>
      <c r="G4" t="str">
        <f ca="1">OFFSET(table_3_1[[dsb_type_command]:[dsb_type_command]], table_7_1[[#This Row],[index]] - 1, 0, 1, 1)</f>
        <v>2</v>
      </c>
      <c r="H4" t="str">
        <f ca="1">OFFSET(table_3_1[[strand]:[strand]], table_7_1[[#This Row],[index]] - 1, 0, 1, 1)</f>
        <v>R1</v>
      </c>
      <c r="I4" t="str">
        <f ca="1">OFFSET(table_3_1[[hguide]:[hguide]], table_7_1[[#This Row],[index]] - 1, 0, 1, 1)</f>
        <v>AB</v>
      </c>
      <c r="J4" t="str">
        <f ca="1">OFFSET(table_3_1[[cell]:[cell]], table_7_1[[#This Row],[index]] - 1, 0, 1, 1)</f>
        <v>WT</v>
      </c>
      <c r="K4" t="str">
        <f ca="1">OFFSET(table_3_1[[treatment]:[treatment]], table_7_1[[#This Row],[index]] - 1, 0, 1, 1)</f>
        <v>branch</v>
      </c>
      <c r="L4" t="str">
        <f t="shared" si="0"/>
        <v>without</v>
      </c>
      <c r="M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4" t="b">
        <f ca="1">AND(table_7_1[[#This Row],[strand]] = "R2", OR(var_7_layout = "universal", var_7_layout = "fractal", AND(var_7_layout = "radial", table_7_1[[#This Row],[dsb_type]] &lt;&gt; "1DSB")))</f>
        <v>0</v>
      </c>
      <c r="O4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4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4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4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4" t="b">
        <v>0</v>
      </c>
      <c r="V4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4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4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4" t="str">
        <f>_xlfn.CONCAT(graphs, "/", var_7_layout, "/", table_7_1[[#This Row],[format]], "/", var_7_ext)</f>
        <v>plots/graphs/universal/individual/html</v>
      </c>
      <c r="AA4" t="s">
        <v>200</v>
      </c>
      <c r="AB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5" spans="1:28" x14ac:dyDescent="0.25">
      <c r="A5" s="3">
        <v>3</v>
      </c>
      <c r="B5" t="str">
        <f ca="1">OFFSET(table_3_1[[dir]:[dir]], table_7_1[[#This Row],[index]] - 1, 0, 1, 1)</f>
        <v>WT_sgAB_R1_cmv</v>
      </c>
      <c r="C5" t="str">
        <f ca="1">OFFSET(table_3_1[[control]:[control]], table_7_1[[#This Row],[index]] - 1, 0, 1, 1)</f>
        <v>none</v>
      </c>
      <c r="D5" t="str">
        <f ca="1">OFFSET(table_3_1[[ref]:[ref]], table_7_1[[#This Row],[index]] - 1, 0, 1, 1)</f>
        <v>2DSB_R1_cmv.fa</v>
      </c>
      <c r="E5">
        <f ca="1">OFFSET(table_3_1[[dsb_pos]:[dsb_pos]], table_7_1[[#This Row],[index]] - 1, 0, 1, 1)</f>
        <v>67</v>
      </c>
      <c r="F5" t="str">
        <f ca="1">OFFSET(table_3_1[[dsb_type]:[dsb_type]], table_7_1[[#This Row],[index]] - 1, 0, 1, 1)</f>
        <v>2DSB</v>
      </c>
      <c r="G5" t="str">
        <f ca="1">OFFSET(table_3_1[[dsb_type_command]:[dsb_type_command]], table_7_1[[#This Row],[index]] - 1, 0, 1, 1)</f>
        <v>2</v>
      </c>
      <c r="H5" t="str">
        <f ca="1">OFFSET(table_3_1[[strand]:[strand]], table_7_1[[#This Row],[index]] - 1, 0, 1, 1)</f>
        <v>R1</v>
      </c>
      <c r="I5" t="str">
        <f ca="1">OFFSET(table_3_1[[hguide]:[hguide]], table_7_1[[#This Row],[index]] - 1, 0, 1, 1)</f>
        <v>AB</v>
      </c>
      <c r="J5" t="str">
        <f ca="1">OFFSET(table_3_1[[cell]:[cell]], table_7_1[[#This Row],[index]] - 1, 0, 1, 1)</f>
        <v>WT</v>
      </c>
      <c r="K5" t="str">
        <f ca="1">OFFSET(table_3_1[[treatment]:[treatment]], table_7_1[[#This Row],[index]] - 1, 0, 1, 1)</f>
        <v>cmv</v>
      </c>
      <c r="L5" t="str">
        <f t="shared" si="0"/>
        <v>without</v>
      </c>
      <c r="M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5" t="b">
        <f ca="1">AND(table_7_1[[#This Row],[strand]] = "R2", OR(var_7_layout = "universal", var_7_layout = "fractal", AND(var_7_layout = "radial", table_7_1[[#This Row],[dsb_type]] &lt;&gt; "1DSB")))</f>
        <v>0</v>
      </c>
      <c r="O5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5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5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5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5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5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5" t="b">
        <v>0</v>
      </c>
      <c r="V5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5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5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5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5" t="str">
        <f>_xlfn.CONCAT(graphs, "/", var_7_layout, "/", table_7_1[[#This Row],[format]], "/", var_7_ext)</f>
        <v>plots/graphs/universal/individual/html</v>
      </c>
      <c r="AA5" t="s">
        <v>200</v>
      </c>
      <c r="AB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6" spans="1:28" x14ac:dyDescent="0.25">
      <c r="A6" s="3">
        <v>4</v>
      </c>
      <c r="B6" t="str">
        <f ca="1">OFFSET(table_3_1[[dir]:[dir]], table_7_1[[#This Row],[index]] - 1, 0, 1, 1)</f>
        <v>KO_sgAB_R1_sense</v>
      </c>
      <c r="C6" t="str">
        <f ca="1">OFFSET(table_3_1[[control]:[control]], table_7_1[[#This Row],[index]] - 1, 0, 1, 1)</f>
        <v>none</v>
      </c>
      <c r="D6" t="str">
        <f ca="1">OFFSET(table_3_1[[ref]:[ref]], table_7_1[[#This Row],[index]] - 1, 0, 1, 1)</f>
        <v>2DSB_R1_sense.fa</v>
      </c>
      <c r="E6">
        <f ca="1">OFFSET(table_3_1[[dsb_pos]:[dsb_pos]], table_7_1[[#This Row],[index]] - 1, 0, 1, 1)</f>
        <v>67</v>
      </c>
      <c r="F6" t="str">
        <f ca="1">OFFSET(table_3_1[[dsb_type]:[dsb_type]], table_7_1[[#This Row],[index]] - 1, 0, 1, 1)</f>
        <v>2DSB</v>
      </c>
      <c r="G6" t="str">
        <f ca="1">OFFSET(table_3_1[[dsb_type_command]:[dsb_type_command]], table_7_1[[#This Row],[index]] - 1, 0, 1, 1)</f>
        <v>2</v>
      </c>
      <c r="H6" t="str">
        <f ca="1">OFFSET(table_3_1[[strand]:[strand]], table_7_1[[#This Row],[index]] - 1, 0, 1, 1)</f>
        <v>R1</v>
      </c>
      <c r="I6" t="str">
        <f ca="1">OFFSET(table_3_1[[hguide]:[hguide]], table_7_1[[#This Row],[index]] - 1, 0, 1, 1)</f>
        <v>AB</v>
      </c>
      <c r="J6" t="str">
        <f ca="1">OFFSET(table_3_1[[cell]:[cell]], table_7_1[[#This Row],[index]] - 1, 0, 1, 1)</f>
        <v>KO</v>
      </c>
      <c r="K6" t="str">
        <f ca="1">OFFSET(table_3_1[[treatment]:[treatment]], table_7_1[[#This Row],[index]] - 1, 0, 1, 1)</f>
        <v>sense</v>
      </c>
      <c r="L6" t="str">
        <f t="shared" si="0"/>
        <v>without</v>
      </c>
      <c r="M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6" t="b">
        <f ca="1">AND(table_7_1[[#This Row],[strand]] = "R2", OR(var_7_layout = "universal", var_7_layout = "fractal", AND(var_7_layout = "radial", table_7_1[[#This Row],[dsb_type]] &lt;&gt; "1DSB")))</f>
        <v>0</v>
      </c>
      <c r="O6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6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6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6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6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6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6" t="b">
        <v>1</v>
      </c>
      <c r="V6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-20.5 --universal_layout_x_axis_insertion_y_pos 21.5 --universal_layout_x_axis_x_range -11.5 11.5</v>
      </c>
      <c r="W6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6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6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6" t="str">
        <f>_xlfn.CONCAT(graphs, "/", var_7_layout, "/", table_7_1[[#This Row],[format]], "/", var_7_ext)</f>
        <v>plots/graphs/universal/individual/html</v>
      </c>
      <c r="AA6" t="s">
        <v>200</v>
      </c>
      <c r="AB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libraries_4/KO_sgAB_R1_sense -o plots/graphs/universal/individual/html --layout_dir layouts/universal/2DSB_AB -ext html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</v>
      </c>
    </row>
    <row r="7" spans="1:28" x14ac:dyDescent="0.25">
      <c r="A7" s="3">
        <v>5</v>
      </c>
      <c r="B7" t="str">
        <f ca="1">OFFSET(table_3_1[[dir]:[dir]], table_7_1[[#This Row],[index]] - 1, 0, 1, 1)</f>
        <v>KO_sgAB_R1_branch</v>
      </c>
      <c r="C7" t="str">
        <f ca="1">OFFSET(table_3_1[[control]:[control]], table_7_1[[#This Row],[index]] - 1, 0, 1, 1)</f>
        <v>none</v>
      </c>
      <c r="D7" t="str">
        <f ca="1">OFFSET(table_3_1[[ref]:[ref]], table_7_1[[#This Row],[index]] - 1, 0, 1, 1)</f>
        <v>2DSB_R1_branch.fa</v>
      </c>
      <c r="E7">
        <f ca="1">OFFSET(table_3_1[[dsb_pos]:[dsb_pos]], table_7_1[[#This Row],[index]] - 1, 0, 1, 1)</f>
        <v>67</v>
      </c>
      <c r="F7" t="str">
        <f ca="1">OFFSET(table_3_1[[dsb_type]:[dsb_type]], table_7_1[[#This Row],[index]] - 1, 0, 1, 1)</f>
        <v>2DSB</v>
      </c>
      <c r="G7" t="str">
        <f ca="1">OFFSET(table_3_1[[dsb_type_command]:[dsb_type_command]], table_7_1[[#This Row],[index]] - 1, 0, 1, 1)</f>
        <v>2</v>
      </c>
      <c r="H7" t="str">
        <f ca="1">OFFSET(table_3_1[[strand]:[strand]], table_7_1[[#This Row],[index]] - 1, 0, 1, 1)</f>
        <v>R1</v>
      </c>
      <c r="I7" t="str">
        <f ca="1">OFFSET(table_3_1[[hguide]:[hguide]], table_7_1[[#This Row],[index]] - 1, 0, 1, 1)</f>
        <v>AB</v>
      </c>
      <c r="J7" t="str">
        <f ca="1">OFFSET(table_3_1[[cell]:[cell]], table_7_1[[#This Row],[index]] - 1, 0, 1, 1)</f>
        <v>KO</v>
      </c>
      <c r="K7" t="str">
        <f ca="1">OFFSET(table_3_1[[treatment]:[treatment]], table_7_1[[#This Row],[index]] - 1, 0, 1, 1)</f>
        <v>branch</v>
      </c>
      <c r="L7" t="str">
        <f t="shared" si="0"/>
        <v>without</v>
      </c>
      <c r="M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7" t="b">
        <f ca="1">AND(table_7_1[[#This Row],[strand]] = "R2", OR(var_7_layout = "universal", var_7_layout = "fractal", AND(var_7_layout = "radial", table_7_1[[#This Row],[dsb_type]] &lt;&gt; "1DSB")))</f>
        <v>0</v>
      </c>
      <c r="O7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7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7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7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7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7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7" t="b">
        <v>0</v>
      </c>
      <c r="V7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7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7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7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7" t="str">
        <f>_xlfn.CONCAT(graphs, "/", var_7_layout, "/", table_7_1[[#This Row],[format]], "/", var_7_ext)</f>
        <v>plots/graphs/universal/individual/html</v>
      </c>
      <c r="AA7" t="s">
        <v>200</v>
      </c>
      <c r="AB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8" spans="1:28" x14ac:dyDescent="0.25">
      <c r="A8" s="3">
        <v>6</v>
      </c>
      <c r="B8" t="str">
        <f ca="1">OFFSET(table_3_1[[dir]:[dir]], table_7_1[[#This Row],[index]] - 1, 0, 1, 1)</f>
        <v>KO_sgAB_R1_cmv</v>
      </c>
      <c r="C8" t="str">
        <f ca="1">OFFSET(table_3_1[[control]:[control]], table_7_1[[#This Row],[index]] - 1, 0, 1, 1)</f>
        <v>none</v>
      </c>
      <c r="D8" t="str">
        <f ca="1">OFFSET(table_3_1[[ref]:[ref]], table_7_1[[#This Row],[index]] - 1, 0, 1, 1)</f>
        <v>2DSB_R1_cmv.fa</v>
      </c>
      <c r="E8">
        <f ca="1">OFFSET(table_3_1[[dsb_pos]:[dsb_pos]], table_7_1[[#This Row],[index]] - 1, 0, 1, 1)</f>
        <v>67</v>
      </c>
      <c r="F8" t="str">
        <f ca="1">OFFSET(table_3_1[[dsb_type]:[dsb_type]], table_7_1[[#This Row],[index]] - 1, 0, 1, 1)</f>
        <v>2DSB</v>
      </c>
      <c r="G8" t="str">
        <f ca="1">OFFSET(table_3_1[[dsb_type_command]:[dsb_type_command]], table_7_1[[#This Row],[index]] - 1, 0, 1, 1)</f>
        <v>2</v>
      </c>
      <c r="H8" t="str">
        <f ca="1">OFFSET(table_3_1[[strand]:[strand]], table_7_1[[#This Row],[index]] - 1, 0, 1, 1)</f>
        <v>R1</v>
      </c>
      <c r="I8" t="str">
        <f ca="1">OFFSET(table_3_1[[hguide]:[hguide]], table_7_1[[#This Row],[index]] - 1, 0, 1, 1)</f>
        <v>AB</v>
      </c>
      <c r="J8" t="str">
        <f ca="1">OFFSET(table_3_1[[cell]:[cell]], table_7_1[[#This Row],[index]] - 1, 0, 1, 1)</f>
        <v>KO</v>
      </c>
      <c r="K8" t="str">
        <f ca="1">OFFSET(table_3_1[[treatment]:[treatment]], table_7_1[[#This Row],[index]] - 1, 0, 1, 1)</f>
        <v>cmv</v>
      </c>
      <c r="L8" t="str">
        <f t="shared" si="0"/>
        <v>without</v>
      </c>
      <c r="M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8" t="b">
        <f ca="1">AND(table_7_1[[#This Row],[strand]] = "R2", OR(var_7_layout = "universal", var_7_layout = "fractal", AND(var_7_layout = "radial", table_7_1[[#This Row],[dsb_type]] &lt;&gt; "1DSB")))</f>
        <v>0</v>
      </c>
      <c r="O8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8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8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8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8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8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8" t="b">
        <v>0</v>
      </c>
      <c r="V8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8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8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8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8" t="str">
        <f>_xlfn.CONCAT(graphs, "/", var_7_layout, "/", table_7_1[[#This Row],[format]], "/", var_7_ext)</f>
        <v>plots/graphs/universal/individual/html</v>
      </c>
      <c r="AA8" t="s">
        <v>200</v>
      </c>
      <c r="AB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9" spans="1:28" x14ac:dyDescent="0.25">
      <c r="A9" s="3">
        <v>7</v>
      </c>
      <c r="B9" t="str">
        <f ca="1">OFFSET(table_3_1[[dir]:[dir]], table_7_1[[#This Row],[index]] - 1, 0, 1, 1)</f>
        <v>WT_sgAB_R2_sense</v>
      </c>
      <c r="C9" t="str">
        <f ca="1">OFFSET(table_3_1[[control]:[control]], table_7_1[[#This Row],[index]] - 1, 0, 1, 1)</f>
        <v>none</v>
      </c>
      <c r="D9" t="str">
        <f ca="1">OFFSET(table_3_1[[ref]:[ref]], table_7_1[[#This Row],[index]] - 1, 0, 1, 1)</f>
        <v>2DSB_R2_sense.fa</v>
      </c>
      <c r="E9">
        <f ca="1">OFFSET(table_3_1[[dsb_pos]:[dsb_pos]], table_7_1[[#This Row],[index]] - 1, 0, 1, 1)</f>
        <v>46</v>
      </c>
      <c r="F9" t="str">
        <f ca="1">OFFSET(table_3_1[[dsb_type]:[dsb_type]], table_7_1[[#This Row],[index]] - 1, 0, 1, 1)</f>
        <v>2DSB</v>
      </c>
      <c r="G9" t="str">
        <f ca="1">OFFSET(table_3_1[[dsb_type_command]:[dsb_type_command]], table_7_1[[#This Row],[index]] - 1, 0, 1, 1)</f>
        <v>2</v>
      </c>
      <c r="H9" t="str">
        <f ca="1">OFFSET(table_3_1[[strand]:[strand]], table_7_1[[#This Row],[index]] - 1, 0, 1, 1)</f>
        <v>R2</v>
      </c>
      <c r="I9" t="str">
        <f ca="1">OFFSET(table_3_1[[hguide]:[hguide]], table_7_1[[#This Row],[index]] - 1, 0, 1, 1)</f>
        <v>AB</v>
      </c>
      <c r="J9" t="str">
        <f ca="1">OFFSET(table_3_1[[cell]:[cell]], table_7_1[[#This Row],[index]] - 1, 0, 1, 1)</f>
        <v>WT</v>
      </c>
      <c r="K9" t="str">
        <f ca="1">OFFSET(table_3_1[[treatment]:[treatment]], table_7_1[[#This Row],[index]] - 1, 0, 1, 1)</f>
        <v>sense</v>
      </c>
      <c r="L9" t="str">
        <f t="shared" si="0"/>
        <v>without</v>
      </c>
      <c r="M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9" t="b">
        <f ca="1">AND(table_7_1[[#This Row],[strand]] = "R2", OR(var_7_layout = "universal", var_7_layout = "fractal", AND(var_7_layout = "radial", table_7_1[[#This Row],[dsb_type]] &lt;&gt; "1DSB")))</f>
        <v>1</v>
      </c>
      <c r="O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9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9" t="b">
        <v>0</v>
      </c>
      <c r="V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9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9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9" t="str">
        <f>_xlfn.CONCAT(graphs, "/", var_7_layout, "/", table_7_1[[#This Row],[format]], "/", var_7_ext)</f>
        <v>plots/graphs/universal/individual/html</v>
      </c>
      <c r="AA9" t="s">
        <v>200</v>
      </c>
      <c r="AB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libraries_4/WT_sgAB_R2_sense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0" spans="1:28" x14ac:dyDescent="0.25">
      <c r="A10" s="3">
        <v>8</v>
      </c>
      <c r="B10" t="str">
        <f ca="1">OFFSET(table_3_1[[dir]:[dir]], table_7_1[[#This Row],[index]] - 1, 0, 1, 1)</f>
        <v>WT_sgAB_R2_branch</v>
      </c>
      <c r="C10" t="str">
        <f ca="1">OFFSET(table_3_1[[control]:[control]], table_7_1[[#This Row],[index]] - 1, 0, 1, 1)</f>
        <v>none</v>
      </c>
      <c r="D10" t="str">
        <f ca="1">OFFSET(table_3_1[[ref]:[ref]], table_7_1[[#This Row],[index]] - 1, 0, 1, 1)</f>
        <v>2DSB_R2_branch.fa</v>
      </c>
      <c r="E10">
        <f ca="1">OFFSET(table_3_1[[dsb_pos]:[dsb_pos]], table_7_1[[#This Row],[index]] - 1, 0, 1, 1)</f>
        <v>46</v>
      </c>
      <c r="F10" t="str">
        <f ca="1">OFFSET(table_3_1[[dsb_type]:[dsb_type]], table_7_1[[#This Row],[index]] - 1, 0, 1, 1)</f>
        <v>2DSB</v>
      </c>
      <c r="G10" t="str">
        <f ca="1">OFFSET(table_3_1[[dsb_type_command]:[dsb_type_command]], table_7_1[[#This Row],[index]] - 1, 0, 1, 1)</f>
        <v>2</v>
      </c>
      <c r="H10" t="str">
        <f ca="1">OFFSET(table_3_1[[strand]:[strand]], table_7_1[[#This Row],[index]] - 1, 0, 1, 1)</f>
        <v>R2</v>
      </c>
      <c r="I10" t="str">
        <f ca="1">OFFSET(table_3_1[[hguide]:[hguide]], table_7_1[[#This Row],[index]] - 1, 0, 1, 1)</f>
        <v>AB</v>
      </c>
      <c r="J10" t="str">
        <f ca="1">OFFSET(table_3_1[[cell]:[cell]], table_7_1[[#This Row],[index]] - 1, 0, 1, 1)</f>
        <v>WT</v>
      </c>
      <c r="K10" t="str">
        <f ca="1">OFFSET(table_3_1[[treatment]:[treatment]], table_7_1[[#This Row],[index]] - 1, 0, 1, 1)</f>
        <v>branch</v>
      </c>
      <c r="L10" t="str">
        <f t="shared" si="0"/>
        <v>without</v>
      </c>
      <c r="M1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0" t="b">
        <f ca="1">AND(table_7_1[[#This Row],[strand]] = "R2", OR(var_7_layout = "universal", var_7_layout = "fractal", AND(var_7_layout = "radial", table_7_1[[#This Row],[dsb_type]] &lt;&gt; "1DSB")))</f>
        <v>1</v>
      </c>
      <c r="O10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0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0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10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0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0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0" t="b">
        <v>0</v>
      </c>
      <c r="V10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0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0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10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0" t="str">
        <f>_xlfn.CONCAT(graphs, "/", var_7_layout, "/", table_7_1[[#This Row],[format]], "/", var_7_ext)</f>
        <v>plots/graphs/universal/individual/html</v>
      </c>
      <c r="AA10" t="s">
        <v>200</v>
      </c>
      <c r="AB1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libraries_4/WT_sgAB_R2_branch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1" spans="1:28" x14ac:dyDescent="0.25">
      <c r="A11" s="3">
        <v>9</v>
      </c>
      <c r="B11" t="str">
        <f ca="1">OFFSET(table_3_1[[dir]:[dir]], table_7_1[[#This Row],[index]] - 1, 0, 1, 1)</f>
        <v>WT_sgAB_R2_cmv</v>
      </c>
      <c r="C11" t="str">
        <f ca="1">OFFSET(table_3_1[[control]:[control]], table_7_1[[#This Row],[index]] - 1, 0, 1, 1)</f>
        <v>none</v>
      </c>
      <c r="D11" t="str">
        <f ca="1">OFFSET(table_3_1[[ref]:[ref]], table_7_1[[#This Row],[index]] - 1, 0, 1, 1)</f>
        <v>2DSB_R2_cmv.fa</v>
      </c>
      <c r="E11">
        <f ca="1">OFFSET(table_3_1[[dsb_pos]:[dsb_pos]], table_7_1[[#This Row],[index]] - 1, 0, 1, 1)</f>
        <v>46</v>
      </c>
      <c r="F11" t="str">
        <f ca="1">OFFSET(table_3_1[[dsb_type]:[dsb_type]], table_7_1[[#This Row],[index]] - 1, 0, 1, 1)</f>
        <v>2DSB</v>
      </c>
      <c r="G11" t="str">
        <f ca="1">OFFSET(table_3_1[[dsb_type_command]:[dsb_type_command]], table_7_1[[#This Row],[index]] - 1, 0, 1, 1)</f>
        <v>2</v>
      </c>
      <c r="H11" t="str">
        <f ca="1">OFFSET(table_3_1[[strand]:[strand]], table_7_1[[#This Row],[index]] - 1, 0, 1, 1)</f>
        <v>R2</v>
      </c>
      <c r="I11" t="str">
        <f ca="1">OFFSET(table_3_1[[hguide]:[hguide]], table_7_1[[#This Row],[index]] - 1, 0, 1, 1)</f>
        <v>AB</v>
      </c>
      <c r="J11" t="str">
        <f ca="1">OFFSET(table_3_1[[cell]:[cell]], table_7_1[[#This Row],[index]] - 1, 0, 1, 1)</f>
        <v>WT</v>
      </c>
      <c r="K11" t="str">
        <f ca="1">OFFSET(table_3_1[[treatment]:[treatment]], table_7_1[[#This Row],[index]] - 1, 0, 1, 1)</f>
        <v>cmv</v>
      </c>
      <c r="L11" t="str">
        <f t="shared" si="0"/>
        <v>without</v>
      </c>
      <c r="M1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1" t="b">
        <f ca="1">AND(table_7_1[[#This Row],[strand]] = "R2", OR(var_7_layout = "universal", var_7_layout = "fractal", AND(var_7_layout = "radial", table_7_1[[#This Row],[dsb_type]] &lt;&gt; "1DSB")))</f>
        <v>1</v>
      </c>
      <c r="O11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1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1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11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1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1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1" t="b">
        <v>0</v>
      </c>
      <c r="V11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1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1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11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1" t="str">
        <f>_xlfn.CONCAT(graphs, "/", var_7_layout, "/", table_7_1[[#This Row],[format]], "/", var_7_ext)</f>
        <v>plots/graphs/universal/individual/html</v>
      </c>
      <c r="AA11" t="s">
        <v>200</v>
      </c>
      <c r="AB1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libraries_4/WT_sgAB_R2_cmv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2" spans="1:28" x14ac:dyDescent="0.25">
      <c r="A12" s="3">
        <v>10</v>
      </c>
      <c r="B12" t="str">
        <f ca="1">OFFSET(table_3_1[[dir]:[dir]], table_7_1[[#This Row],[index]] - 1, 0, 1, 1)</f>
        <v>KO_sgAB_R2_sense</v>
      </c>
      <c r="C12" t="str">
        <f ca="1">OFFSET(table_3_1[[control]:[control]], table_7_1[[#This Row],[index]] - 1, 0, 1, 1)</f>
        <v>none</v>
      </c>
      <c r="D12" t="str">
        <f ca="1">OFFSET(table_3_1[[ref]:[ref]], table_7_1[[#This Row],[index]] - 1, 0, 1, 1)</f>
        <v>2DSB_R2_sense.fa</v>
      </c>
      <c r="E12">
        <f ca="1">OFFSET(table_3_1[[dsb_pos]:[dsb_pos]], table_7_1[[#This Row],[index]] - 1, 0, 1, 1)</f>
        <v>46</v>
      </c>
      <c r="F12" t="str">
        <f ca="1">OFFSET(table_3_1[[dsb_type]:[dsb_type]], table_7_1[[#This Row],[index]] - 1, 0, 1, 1)</f>
        <v>2DSB</v>
      </c>
      <c r="G12" t="str">
        <f ca="1">OFFSET(table_3_1[[dsb_type_command]:[dsb_type_command]], table_7_1[[#This Row],[index]] - 1, 0, 1, 1)</f>
        <v>2</v>
      </c>
      <c r="H12" t="str">
        <f ca="1">OFFSET(table_3_1[[strand]:[strand]], table_7_1[[#This Row],[index]] - 1, 0, 1, 1)</f>
        <v>R2</v>
      </c>
      <c r="I12" t="str">
        <f ca="1">OFFSET(table_3_1[[hguide]:[hguide]], table_7_1[[#This Row],[index]] - 1, 0, 1, 1)</f>
        <v>AB</v>
      </c>
      <c r="J12" t="str">
        <f ca="1">OFFSET(table_3_1[[cell]:[cell]], table_7_1[[#This Row],[index]] - 1, 0, 1, 1)</f>
        <v>KO</v>
      </c>
      <c r="K12" t="str">
        <f ca="1">OFFSET(table_3_1[[treatment]:[treatment]], table_7_1[[#This Row],[index]] - 1, 0, 1, 1)</f>
        <v>sense</v>
      </c>
      <c r="L12" t="str">
        <f t="shared" si="0"/>
        <v>without</v>
      </c>
      <c r="M1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2" t="b">
        <f ca="1">AND(table_7_1[[#This Row],[strand]] = "R2", OR(var_7_layout = "universal", var_7_layout = "fractal", AND(var_7_layout = "radial", table_7_1[[#This Row],[dsb_type]] &lt;&gt; "1DSB")))</f>
        <v>1</v>
      </c>
      <c r="O12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2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2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12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2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2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2" t="b">
        <v>0</v>
      </c>
      <c r="V12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2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2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12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2" t="str">
        <f>_xlfn.CONCAT(graphs, "/", var_7_layout, "/", table_7_1[[#This Row],[format]], "/", var_7_ext)</f>
        <v>plots/graphs/universal/individual/html</v>
      </c>
      <c r="AA12" t="s">
        <v>200</v>
      </c>
      <c r="AB1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libraries_4/KO_sgAB_R2_sense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3" spans="1:28" x14ac:dyDescent="0.25">
      <c r="A13" s="3">
        <v>11</v>
      </c>
      <c r="B13" t="str">
        <f ca="1">OFFSET(table_3_1[[dir]:[dir]], table_7_1[[#This Row],[index]] - 1, 0, 1, 1)</f>
        <v>KO_sgAB_R2_branch</v>
      </c>
      <c r="C13" t="str">
        <f ca="1">OFFSET(table_3_1[[control]:[control]], table_7_1[[#This Row],[index]] - 1, 0, 1, 1)</f>
        <v>none</v>
      </c>
      <c r="D13" t="str">
        <f ca="1">OFFSET(table_3_1[[ref]:[ref]], table_7_1[[#This Row],[index]] - 1, 0, 1, 1)</f>
        <v>2DSB_R2_branch.fa</v>
      </c>
      <c r="E13">
        <f ca="1">OFFSET(table_3_1[[dsb_pos]:[dsb_pos]], table_7_1[[#This Row],[index]] - 1, 0, 1, 1)</f>
        <v>46</v>
      </c>
      <c r="F13" t="str">
        <f ca="1">OFFSET(table_3_1[[dsb_type]:[dsb_type]], table_7_1[[#This Row],[index]] - 1, 0, 1, 1)</f>
        <v>2DSB</v>
      </c>
      <c r="G13" t="str">
        <f ca="1">OFFSET(table_3_1[[dsb_type_command]:[dsb_type_command]], table_7_1[[#This Row],[index]] - 1, 0, 1, 1)</f>
        <v>2</v>
      </c>
      <c r="H13" t="str">
        <f ca="1">OFFSET(table_3_1[[strand]:[strand]], table_7_1[[#This Row],[index]] - 1, 0, 1, 1)</f>
        <v>R2</v>
      </c>
      <c r="I13" t="str">
        <f ca="1">OFFSET(table_3_1[[hguide]:[hguide]], table_7_1[[#This Row],[index]] - 1, 0, 1, 1)</f>
        <v>AB</v>
      </c>
      <c r="J13" t="str">
        <f ca="1">OFFSET(table_3_1[[cell]:[cell]], table_7_1[[#This Row],[index]] - 1, 0, 1, 1)</f>
        <v>KO</v>
      </c>
      <c r="K13" t="str">
        <f ca="1">OFFSET(table_3_1[[treatment]:[treatment]], table_7_1[[#This Row],[index]] - 1, 0, 1, 1)</f>
        <v>branch</v>
      </c>
      <c r="L13" t="str">
        <f t="shared" si="0"/>
        <v>without</v>
      </c>
      <c r="M1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3" t="b">
        <f ca="1">AND(table_7_1[[#This Row],[strand]] = "R2", OR(var_7_layout = "universal", var_7_layout = "fractal", AND(var_7_layout = "radial", table_7_1[[#This Row],[dsb_type]] &lt;&gt; "1DSB")))</f>
        <v>1</v>
      </c>
      <c r="O13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3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3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13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3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3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3" t="b">
        <v>0</v>
      </c>
      <c r="V13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3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3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13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3" t="str">
        <f>_xlfn.CONCAT(graphs, "/", var_7_layout, "/", table_7_1[[#This Row],[format]], "/", var_7_ext)</f>
        <v>plots/graphs/universal/individual/html</v>
      </c>
      <c r="AA13" t="s">
        <v>200</v>
      </c>
      <c r="AB1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libraries_4/KO_sgAB_R2_branch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4" spans="1:28" x14ac:dyDescent="0.25">
      <c r="A14" s="3">
        <v>12</v>
      </c>
      <c r="B14" t="str">
        <f ca="1">OFFSET(table_3_1[[dir]:[dir]], table_7_1[[#This Row],[index]] - 1, 0, 1, 1)</f>
        <v>KO_sgAB_R2_cmv</v>
      </c>
      <c r="C14" t="str">
        <f ca="1">OFFSET(table_3_1[[control]:[control]], table_7_1[[#This Row],[index]] - 1, 0, 1, 1)</f>
        <v>none</v>
      </c>
      <c r="D14" t="str">
        <f ca="1">OFFSET(table_3_1[[ref]:[ref]], table_7_1[[#This Row],[index]] - 1, 0, 1, 1)</f>
        <v>2DSB_R2_cmv.fa</v>
      </c>
      <c r="E14">
        <f ca="1">OFFSET(table_3_1[[dsb_pos]:[dsb_pos]], table_7_1[[#This Row],[index]] - 1, 0, 1, 1)</f>
        <v>46</v>
      </c>
      <c r="F14" t="str">
        <f ca="1">OFFSET(table_3_1[[dsb_type]:[dsb_type]], table_7_1[[#This Row],[index]] - 1, 0, 1, 1)</f>
        <v>2DSB</v>
      </c>
      <c r="G14" t="str">
        <f ca="1">OFFSET(table_3_1[[dsb_type_command]:[dsb_type_command]], table_7_1[[#This Row],[index]] - 1, 0, 1, 1)</f>
        <v>2</v>
      </c>
      <c r="H14" t="str">
        <f ca="1">OFFSET(table_3_1[[strand]:[strand]], table_7_1[[#This Row],[index]] - 1, 0, 1, 1)</f>
        <v>R2</v>
      </c>
      <c r="I14" t="str">
        <f ca="1">OFFSET(table_3_1[[hguide]:[hguide]], table_7_1[[#This Row],[index]] - 1, 0, 1, 1)</f>
        <v>AB</v>
      </c>
      <c r="J14" t="str">
        <f ca="1">OFFSET(table_3_1[[cell]:[cell]], table_7_1[[#This Row],[index]] - 1, 0, 1, 1)</f>
        <v>KO</v>
      </c>
      <c r="K14" t="str">
        <f ca="1">OFFSET(table_3_1[[treatment]:[treatment]], table_7_1[[#This Row],[index]] - 1, 0, 1, 1)</f>
        <v>cmv</v>
      </c>
      <c r="L14" t="str">
        <f t="shared" si="0"/>
        <v>without</v>
      </c>
      <c r="M1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4" t="b">
        <f ca="1">AND(table_7_1[[#This Row],[strand]] = "R2", OR(var_7_layout = "universal", var_7_layout = "fractal", AND(var_7_layout = "radial", table_7_1[[#This Row],[dsb_type]] &lt;&gt; "1DSB")))</f>
        <v>1</v>
      </c>
      <c r="O14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4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4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14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4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4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4" t="b">
        <v>0</v>
      </c>
      <c r="V14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4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4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14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4" t="str">
        <f>_xlfn.CONCAT(graphs, "/", var_7_layout, "/", table_7_1[[#This Row],[format]], "/", var_7_ext)</f>
        <v>plots/graphs/universal/individual/html</v>
      </c>
      <c r="AA14" t="s">
        <v>200</v>
      </c>
      <c r="AB1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libraries_4/KO_sgAB_R2_cmv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5" spans="1:28" x14ac:dyDescent="0.25">
      <c r="A15" s="3">
        <v>13</v>
      </c>
      <c r="B15" t="str">
        <f ca="1">OFFSET(table_3_1[[dir]:[dir]], table_7_1[[#This Row],[index]] - 1, 0, 1, 1)</f>
        <v>WT_sgA_R1_sense</v>
      </c>
      <c r="C15" t="str">
        <f ca="1">OFFSET(table_3_1[[control]:[control]], table_7_1[[#This Row],[index]] - 1, 0, 1, 1)</f>
        <v>none</v>
      </c>
      <c r="D15" t="str">
        <f ca="1">OFFSET(table_3_1[[ref]:[ref]], table_7_1[[#This Row],[index]] - 1, 0, 1, 1)</f>
        <v>1DSB_R1_sense.fa</v>
      </c>
      <c r="E15">
        <f ca="1">OFFSET(table_3_1[[dsb_pos]:[dsb_pos]], table_7_1[[#This Row],[index]] - 1, 0, 1, 1)</f>
        <v>67</v>
      </c>
      <c r="F15" t="str">
        <f ca="1">OFFSET(table_3_1[[dsb_type]:[dsb_type]], table_7_1[[#This Row],[index]] - 1, 0, 1, 1)</f>
        <v>1DSB</v>
      </c>
      <c r="G15" t="str">
        <f ca="1">OFFSET(table_3_1[[dsb_type_command]:[dsb_type_command]], table_7_1[[#This Row],[index]] - 1, 0, 1, 1)</f>
        <v>1</v>
      </c>
      <c r="H15" t="str">
        <f ca="1">OFFSET(table_3_1[[strand]:[strand]], table_7_1[[#This Row],[index]] - 1, 0, 1, 1)</f>
        <v>R1</v>
      </c>
      <c r="I15" t="str">
        <f ca="1">OFFSET(table_3_1[[hguide]:[hguide]], table_7_1[[#This Row],[index]] - 1, 0, 1, 1)</f>
        <v>A</v>
      </c>
      <c r="J15" t="str">
        <f ca="1">OFFSET(table_3_1[[cell]:[cell]], table_7_1[[#This Row],[index]] - 1, 0, 1, 1)</f>
        <v>WT</v>
      </c>
      <c r="K15" t="str">
        <f ca="1">OFFSET(table_3_1[[treatment]:[treatment]], table_7_1[[#This Row],[index]] - 1, 0, 1, 1)</f>
        <v>sense</v>
      </c>
      <c r="L15" t="str">
        <f t="shared" si="0"/>
        <v>without</v>
      </c>
      <c r="M1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5" t="b">
        <f ca="1">AND(table_7_1[[#This Row],[strand]] = "R2", OR(var_7_layout = "universal", var_7_layout = "fractal", AND(var_7_layout = "radial", table_7_1[[#This Row],[dsb_type]] &lt;&gt; "1DSB")))</f>
        <v>0</v>
      </c>
      <c r="O15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5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5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15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5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5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5" t="b">
        <v>1</v>
      </c>
      <c r="V15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-21.5 --universal_layout_x_axis_insertion_y_pos 19.5 --universal_layout_x_axis_x_range -11.5 11.5</v>
      </c>
      <c r="W15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5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15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5" t="str">
        <f>_xlfn.CONCAT(graphs, "/", var_7_layout, "/", table_7_1[[#This Row],[format]], "/", var_7_ext)</f>
        <v>plots/graphs/universal/individual/html</v>
      </c>
      <c r="AA15" t="s">
        <v>200</v>
      </c>
      <c r="AB1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libraries_4/WT_sgA_R1_sense -o plots/graphs/universal/individual/html --layout_dir layouts/universal/1DSB_A -ext html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</v>
      </c>
    </row>
    <row r="16" spans="1:28" x14ac:dyDescent="0.25">
      <c r="A16" s="3">
        <v>14</v>
      </c>
      <c r="B16" t="str">
        <f ca="1">OFFSET(table_3_1[[dir]:[dir]], table_7_1[[#This Row],[index]] - 1, 0, 1, 1)</f>
        <v>WT_sgA_R1_branch</v>
      </c>
      <c r="C16" t="str">
        <f ca="1">OFFSET(table_3_1[[control]:[control]], table_7_1[[#This Row],[index]] - 1, 0, 1, 1)</f>
        <v>none</v>
      </c>
      <c r="D16" t="str">
        <f ca="1">OFFSET(table_3_1[[ref]:[ref]], table_7_1[[#This Row],[index]] - 1, 0, 1, 1)</f>
        <v>1DSB_R1_branch.fa</v>
      </c>
      <c r="E16">
        <f ca="1">OFFSET(table_3_1[[dsb_pos]:[dsb_pos]], table_7_1[[#This Row],[index]] - 1, 0, 1, 1)</f>
        <v>67</v>
      </c>
      <c r="F16" t="str">
        <f ca="1">OFFSET(table_3_1[[dsb_type]:[dsb_type]], table_7_1[[#This Row],[index]] - 1, 0, 1, 1)</f>
        <v>1DSB</v>
      </c>
      <c r="G16" t="str">
        <f ca="1">OFFSET(table_3_1[[dsb_type_command]:[dsb_type_command]], table_7_1[[#This Row],[index]] - 1, 0, 1, 1)</f>
        <v>1</v>
      </c>
      <c r="H16" t="str">
        <f ca="1">OFFSET(table_3_1[[strand]:[strand]], table_7_1[[#This Row],[index]] - 1, 0, 1, 1)</f>
        <v>R1</v>
      </c>
      <c r="I16" t="str">
        <f ca="1">OFFSET(table_3_1[[hguide]:[hguide]], table_7_1[[#This Row],[index]] - 1, 0, 1, 1)</f>
        <v>A</v>
      </c>
      <c r="J16" t="str">
        <f ca="1">OFFSET(table_3_1[[cell]:[cell]], table_7_1[[#This Row],[index]] - 1, 0, 1, 1)</f>
        <v>WT</v>
      </c>
      <c r="K16" t="str">
        <f ca="1">OFFSET(table_3_1[[treatment]:[treatment]], table_7_1[[#This Row],[index]] - 1, 0, 1, 1)</f>
        <v>branch</v>
      </c>
      <c r="L16" t="str">
        <f t="shared" si="0"/>
        <v>without</v>
      </c>
      <c r="M1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6" t="b">
        <f ca="1">AND(table_7_1[[#This Row],[strand]] = "R2", OR(var_7_layout = "universal", var_7_layout = "fractal", AND(var_7_layout = "radial", table_7_1[[#This Row],[dsb_type]] &lt;&gt; "1DSB")))</f>
        <v>0</v>
      </c>
      <c r="O16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6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6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16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6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6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6" t="b">
        <v>0</v>
      </c>
      <c r="V16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6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6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16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6" t="str">
        <f>_xlfn.CONCAT(graphs, "/", var_7_layout, "/", table_7_1[[#This Row],[format]], "/", var_7_ext)</f>
        <v>plots/graphs/universal/individual/html</v>
      </c>
      <c r="AA16" t="s">
        <v>200</v>
      </c>
      <c r="AB1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17" spans="1:28" x14ac:dyDescent="0.25">
      <c r="A17" s="3">
        <v>15</v>
      </c>
      <c r="B17" t="str">
        <f ca="1">OFFSET(table_3_1[[dir]:[dir]], table_7_1[[#This Row],[index]] - 1, 0, 1, 1)</f>
        <v>WT_sgA_R1_cmv</v>
      </c>
      <c r="C17" t="str">
        <f ca="1">OFFSET(table_3_1[[control]:[control]], table_7_1[[#This Row],[index]] - 1, 0, 1, 1)</f>
        <v>none</v>
      </c>
      <c r="D17" t="str">
        <f ca="1">OFFSET(table_3_1[[ref]:[ref]], table_7_1[[#This Row],[index]] - 1, 0, 1, 1)</f>
        <v>1DSB_R1_cmv.fa</v>
      </c>
      <c r="E17">
        <f ca="1">OFFSET(table_3_1[[dsb_pos]:[dsb_pos]], table_7_1[[#This Row],[index]] - 1, 0, 1, 1)</f>
        <v>67</v>
      </c>
      <c r="F17" t="str">
        <f ca="1">OFFSET(table_3_1[[dsb_type]:[dsb_type]], table_7_1[[#This Row],[index]] - 1, 0, 1, 1)</f>
        <v>1DSB</v>
      </c>
      <c r="G17" t="str">
        <f ca="1">OFFSET(table_3_1[[dsb_type_command]:[dsb_type_command]], table_7_1[[#This Row],[index]] - 1, 0, 1, 1)</f>
        <v>1</v>
      </c>
      <c r="H17" t="str">
        <f ca="1">OFFSET(table_3_1[[strand]:[strand]], table_7_1[[#This Row],[index]] - 1, 0, 1, 1)</f>
        <v>R1</v>
      </c>
      <c r="I17" t="str">
        <f ca="1">OFFSET(table_3_1[[hguide]:[hguide]], table_7_1[[#This Row],[index]] - 1, 0, 1, 1)</f>
        <v>A</v>
      </c>
      <c r="J17" t="str">
        <f ca="1">OFFSET(table_3_1[[cell]:[cell]], table_7_1[[#This Row],[index]] - 1, 0, 1, 1)</f>
        <v>WT</v>
      </c>
      <c r="K17" t="str">
        <f ca="1">OFFSET(table_3_1[[treatment]:[treatment]], table_7_1[[#This Row],[index]] - 1, 0, 1, 1)</f>
        <v>cmv</v>
      </c>
      <c r="L17" t="str">
        <f t="shared" si="0"/>
        <v>without</v>
      </c>
      <c r="M1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7" t="b">
        <f ca="1">AND(table_7_1[[#This Row],[strand]] = "R2", OR(var_7_layout = "universal", var_7_layout = "fractal", AND(var_7_layout = "radial", table_7_1[[#This Row],[dsb_type]] &lt;&gt; "1DSB")))</f>
        <v>0</v>
      </c>
      <c r="O17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7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7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17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7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7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7" t="b">
        <v>0</v>
      </c>
      <c r="V17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7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7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17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7" t="str">
        <f>_xlfn.CONCAT(graphs, "/", var_7_layout, "/", table_7_1[[#This Row],[format]], "/", var_7_ext)</f>
        <v>plots/graphs/universal/individual/html</v>
      </c>
      <c r="AA17" t="s">
        <v>200</v>
      </c>
      <c r="AB1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18" spans="1:28" x14ac:dyDescent="0.25">
      <c r="A18" s="3">
        <v>16</v>
      </c>
      <c r="B18" t="str">
        <f ca="1">OFFSET(table_3_1[[dir]:[dir]], table_7_1[[#This Row],[index]] - 1, 0, 1, 1)</f>
        <v>KO_sgA_R1_sense</v>
      </c>
      <c r="C18" t="str">
        <f ca="1">OFFSET(table_3_1[[control]:[control]], table_7_1[[#This Row],[index]] - 1, 0, 1, 1)</f>
        <v>none</v>
      </c>
      <c r="D18" t="str">
        <f ca="1">OFFSET(table_3_1[[ref]:[ref]], table_7_1[[#This Row],[index]] - 1, 0, 1, 1)</f>
        <v>1DSB_R1_sense.fa</v>
      </c>
      <c r="E18">
        <f ca="1">OFFSET(table_3_1[[dsb_pos]:[dsb_pos]], table_7_1[[#This Row],[index]] - 1, 0, 1, 1)</f>
        <v>67</v>
      </c>
      <c r="F18" t="str">
        <f ca="1">OFFSET(table_3_1[[dsb_type]:[dsb_type]], table_7_1[[#This Row],[index]] - 1, 0, 1, 1)</f>
        <v>1DSB</v>
      </c>
      <c r="G18" t="str">
        <f ca="1">OFFSET(table_3_1[[dsb_type_command]:[dsb_type_command]], table_7_1[[#This Row],[index]] - 1, 0, 1, 1)</f>
        <v>1</v>
      </c>
      <c r="H18" t="str">
        <f ca="1">OFFSET(table_3_1[[strand]:[strand]], table_7_1[[#This Row],[index]] - 1, 0, 1, 1)</f>
        <v>R1</v>
      </c>
      <c r="I18" t="str">
        <f ca="1">OFFSET(table_3_1[[hguide]:[hguide]], table_7_1[[#This Row],[index]] - 1, 0, 1, 1)</f>
        <v>A</v>
      </c>
      <c r="J18" t="str">
        <f ca="1">OFFSET(table_3_1[[cell]:[cell]], table_7_1[[#This Row],[index]] - 1, 0, 1, 1)</f>
        <v>KO</v>
      </c>
      <c r="K18" t="str">
        <f ca="1">OFFSET(table_3_1[[treatment]:[treatment]], table_7_1[[#This Row],[index]] - 1, 0, 1, 1)</f>
        <v>sense</v>
      </c>
      <c r="L18" t="str">
        <f t="shared" si="0"/>
        <v>without</v>
      </c>
      <c r="M1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8" t="b">
        <f ca="1">AND(table_7_1[[#This Row],[strand]] = "R2", OR(var_7_layout = "universal", var_7_layout = "fractal", AND(var_7_layout = "radial", table_7_1[[#This Row],[dsb_type]] &lt;&gt; "1DSB")))</f>
        <v>0</v>
      </c>
      <c r="O18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8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8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18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8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8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8" t="b">
        <v>1</v>
      </c>
      <c r="V18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-21.5 --universal_layout_x_axis_insertion_y_pos 19.5 --universal_layout_x_axis_x_range -11.5 11.5</v>
      </c>
      <c r="W18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8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18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8" t="str">
        <f>_xlfn.CONCAT(graphs, "/", var_7_layout, "/", table_7_1[[#This Row],[format]], "/", var_7_ext)</f>
        <v>plots/graphs/universal/individual/html</v>
      </c>
      <c r="AA18" t="s">
        <v>200</v>
      </c>
      <c r="AB1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libraries_4/KO_sgA_R1_sense -o plots/graphs/universal/individual/html --layout_dir layouts/universal/1DSB_A -ext html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</v>
      </c>
    </row>
    <row r="19" spans="1:28" x14ac:dyDescent="0.25">
      <c r="A19" s="3">
        <v>17</v>
      </c>
      <c r="B19" t="str">
        <f ca="1">OFFSET(table_3_1[[dir]:[dir]], table_7_1[[#This Row],[index]] - 1, 0, 1, 1)</f>
        <v>KO_sgA_R1_branch</v>
      </c>
      <c r="C19" t="str">
        <f ca="1">OFFSET(table_3_1[[control]:[control]], table_7_1[[#This Row],[index]] - 1, 0, 1, 1)</f>
        <v>none</v>
      </c>
      <c r="D19" t="str">
        <f ca="1">OFFSET(table_3_1[[ref]:[ref]], table_7_1[[#This Row],[index]] - 1, 0, 1, 1)</f>
        <v>1DSB_R1_branch.fa</v>
      </c>
      <c r="E19">
        <f ca="1">OFFSET(table_3_1[[dsb_pos]:[dsb_pos]], table_7_1[[#This Row],[index]] - 1, 0, 1, 1)</f>
        <v>67</v>
      </c>
      <c r="F19" t="str">
        <f ca="1">OFFSET(table_3_1[[dsb_type]:[dsb_type]], table_7_1[[#This Row],[index]] - 1, 0, 1, 1)</f>
        <v>1DSB</v>
      </c>
      <c r="G19" t="str">
        <f ca="1">OFFSET(table_3_1[[dsb_type_command]:[dsb_type_command]], table_7_1[[#This Row],[index]] - 1, 0, 1, 1)</f>
        <v>1</v>
      </c>
      <c r="H19" t="str">
        <f ca="1">OFFSET(table_3_1[[strand]:[strand]], table_7_1[[#This Row],[index]] - 1, 0, 1, 1)</f>
        <v>R1</v>
      </c>
      <c r="I19" t="str">
        <f ca="1">OFFSET(table_3_1[[hguide]:[hguide]], table_7_1[[#This Row],[index]] - 1, 0, 1, 1)</f>
        <v>A</v>
      </c>
      <c r="J19" t="str">
        <f ca="1">OFFSET(table_3_1[[cell]:[cell]], table_7_1[[#This Row],[index]] - 1, 0, 1, 1)</f>
        <v>KO</v>
      </c>
      <c r="K19" t="str">
        <f ca="1">OFFSET(table_3_1[[treatment]:[treatment]], table_7_1[[#This Row],[index]] - 1, 0, 1, 1)</f>
        <v>branch</v>
      </c>
      <c r="L19" t="str">
        <f t="shared" si="0"/>
        <v>without</v>
      </c>
      <c r="M1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9" t="b">
        <f ca="1">AND(table_7_1[[#This Row],[strand]] = "R2", OR(var_7_layout = "universal", var_7_layout = "fractal", AND(var_7_layout = "radial", table_7_1[[#This Row],[dsb_type]] &lt;&gt; "1DSB")))</f>
        <v>0</v>
      </c>
      <c r="O1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1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9" t="b">
        <v>0</v>
      </c>
      <c r="V1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1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9" t="str">
        <f>_xlfn.CONCAT(graphs, "/", var_7_layout, "/", table_7_1[[#This Row],[format]], "/", var_7_ext)</f>
        <v>plots/graphs/universal/individual/html</v>
      </c>
      <c r="AA19" t="s">
        <v>200</v>
      </c>
      <c r="AB1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0" spans="1:28" x14ac:dyDescent="0.25">
      <c r="A20" s="3">
        <v>18</v>
      </c>
      <c r="B20" t="str">
        <f ca="1">OFFSET(table_3_1[[dir]:[dir]], table_7_1[[#This Row],[index]] - 1, 0, 1, 1)</f>
        <v>KO_sgA_R1_cmv</v>
      </c>
      <c r="C20" t="str">
        <f ca="1">OFFSET(table_3_1[[control]:[control]], table_7_1[[#This Row],[index]] - 1, 0, 1, 1)</f>
        <v>none</v>
      </c>
      <c r="D20" t="str">
        <f ca="1">OFFSET(table_3_1[[ref]:[ref]], table_7_1[[#This Row],[index]] - 1, 0, 1, 1)</f>
        <v>1DSB_R1_cmv.fa</v>
      </c>
      <c r="E20">
        <f ca="1">OFFSET(table_3_1[[dsb_pos]:[dsb_pos]], table_7_1[[#This Row],[index]] - 1, 0, 1, 1)</f>
        <v>67</v>
      </c>
      <c r="F20" t="str">
        <f ca="1">OFFSET(table_3_1[[dsb_type]:[dsb_type]], table_7_1[[#This Row],[index]] - 1, 0, 1, 1)</f>
        <v>1DSB</v>
      </c>
      <c r="G20" t="str">
        <f ca="1">OFFSET(table_3_1[[dsb_type_command]:[dsb_type_command]], table_7_1[[#This Row],[index]] - 1, 0, 1, 1)</f>
        <v>1</v>
      </c>
      <c r="H20" t="str">
        <f ca="1">OFFSET(table_3_1[[strand]:[strand]], table_7_1[[#This Row],[index]] - 1, 0, 1, 1)</f>
        <v>R1</v>
      </c>
      <c r="I20" t="str">
        <f ca="1">OFFSET(table_3_1[[hguide]:[hguide]], table_7_1[[#This Row],[index]] - 1, 0, 1, 1)</f>
        <v>A</v>
      </c>
      <c r="J20" t="str">
        <f ca="1">OFFSET(table_3_1[[cell]:[cell]], table_7_1[[#This Row],[index]] - 1, 0, 1, 1)</f>
        <v>KO</v>
      </c>
      <c r="K20" t="str">
        <f ca="1">OFFSET(table_3_1[[treatment]:[treatment]], table_7_1[[#This Row],[index]] - 1, 0, 1, 1)</f>
        <v>cmv</v>
      </c>
      <c r="L20" t="str">
        <f t="shared" si="0"/>
        <v>without</v>
      </c>
      <c r="M2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0" t="b">
        <f ca="1">AND(table_7_1[[#This Row],[strand]] = "R2", OR(var_7_layout = "universal", var_7_layout = "fractal", AND(var_7_layout = "radial", table_7_1[[#This Row],[dsb_type]] &lt;&gt; "1DSB")))</f>
        <v>0</v>
      </c>
      <c r="O20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0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0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20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0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0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0" t="b">
        <v>0</v>
      </c>
      <c r="V20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0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0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20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0" t="str">
        <f>_xlfn.CONCAT(graphs, "/", var_7_layout, "/", table_7_1[[#This Row],[format]], "/", var_7_ext)</f>
        <v>plots/graphs/universal/individual/html</v>
      </c>
      <c r="AA20" t="s">
        <v>200</v>
      </c>
      <c r="AB2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1" spans="1:28" x14ac:dyDescent="0.25">
      <c r="A21" s="3">
        <v>19</v>
      </c>
      <c r="B21" t="str">
        <f ca="1">OFFSET(table_3_1[[dir]:[dir]], table_7_1[[#This Row],[index]] - 1, 0, 1, 1)</f>
        <v>WT_sgB_R2_sense</v>
      </c>
      <c r="C21" t="str">
        <f ca="1">OFFSET(table_3_1[[control]:[control]], table_7_1[[#This Row],[index]] - 1, 0, 1, 1)</f>
        <v>none</v>
      </c>
      <c r="D21" t="str">
        <f ca="1">OFFSET(table_3_1[[ref]:[ref]], table_7_1[[#This Row],[index]] - 1, 0, 1, 1)</f>
        <v>1DSB_R2_sense.fa</v>
      </c>
      <c r="E21">
        <f ca="1">OFFSET(table_3_1[[dsb_pos]:[dsb_pos]], table_7_1[[#This Row],[index]] - 1, 0, 1, 1)</f>
        <v>46</v>
      </c>
      <c r="F21" t="str">
        <f ca="1">OFFSET(table_3_1[[dsb_type]:[dsb_type]], table_7_1[[#This Row],[index]] - 1, 0, 1, 1)</f>
        <v>1DSB</v>
      </c>
      <c r="G21" t="str">
        <f ca="1">OFFSET(table_3_1[[dsb_type_command]:[dsb_type_command]], table_7_1[[#This Row],[index]] - 1, 0, 1, 1)</f>
        <v>1</v>
      </c>
      <c r="H21" t="str">
        <f ca="1">OFFSET(table_3_1[[strand]:[strand]], table_7_1[[#This Row],[index]] - 1, 0, 1, 1)</f>
        <v>R2</v>
      </c>
      <c r="I21" t="str">
        <f ca="1">OFFSET(table_3_1[[hguide]:[hguide]], table_7_1[[#This Row],[index]] - 1, 0, 1, 1)</f>
        <v>B</v>
      </c>
      <c r="J21" t="str">
        <f ca="1">OFFSET(table_3_1[[cell]:[cell]], table_7_1[[#This Row],[index]] - 1, 0, 1, 1)</f>
        <v>WT</v>
      </c>
      <c r="K21" t="str">
        <f ca="1">OFFSET(table_3_1[[treatment]:[treatment]], table_7_1[[#This Row],[index]] - 1, 0, 1, 1)</f>
        <v>sense</v>
      </c>
      <c r="L21" t="str">
        <f t="shared" si="0"/>
        <v>without</v>
      </c>
      <c r="M2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1" t="b">
        <f ca="1">AND(table_7_1[[#This Row],[strand]] = "R2", OR(var_7_layout = "universal", var_7_layout = "fractal", AND(var_7_layout = "radial", table_7_1[[#This Row],[dsb_type]] &lt;&gt; "1DSB")))</f>
        <v>1</v>
      </c>
      <c r="O21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1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1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1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1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1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1" t="b">
        <v>0</v>
      </c>
      <c r="V21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1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1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1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1" t="str">
        <f>_xlfn.CONCAT(graphs, "/", var_7_layout, "/", table_7_1[[#This Row],[format]], "/", var_7_ext)</f>
        <v>plots/graphs/universal/individual/html</v>
      </c>
      <c r="AA21" t="s">
        <v>200</v>
      </c>
      <c r="AB2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libraries_4/WT_sgB_R2_sense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2" spans="1:28" x14ac:dyDescent="0.25">
      <c r="A22" s="3">
        <v>20</v>
      </c>
      <c r="B22" t="str">
        <f ca="1">OFFSET(table_3_1[[dir]:[dir]], table_7_1[[#This Row],[index]] - 1, 0, 1, 1)</f>
        <v>WT_sgB_R2_branch</v>
      </c>
      <c r="C22" t="str">
        <f ca="1">OFFSET(table_3_1[[control]:[control]], table_7_1[[#This Row],[index]] - 1, 0, 1, 1)</f>
        <v>none</v>
      </c>
      <c r="D22" t="str">
        <f ca="1">OFFSET(table_3_1[[ref]:[ref]], table_7_1[[#This Row],[index]] - 1, 0, 1, 1)</f>
        <v>1DSB_R2_branch.fa</v>
      </c>
      <c r="E22">
        <f ca="1">OFFSET(table_3_1[[dsb_pos]:[dsb_pos]], table_7_1[[#This Row],[index]] - 1, 0, 1, 1)</f>
        <v>46</v>
      </c>
      <c r="F22" t="str">
        <f ca="1">OFFSET(table_3_1[[dsb_type]:[dsb_type]], table_7_1[[#This Row],[index]] - 1, 0, 1, 1)</f>
        <v>1DSB</v>
      </c>
      <c r="G22" t="str">
        <f ca="1">OFFSET(table_3_1[[dsb_type_command]:[dsb_type_command]], table_7_1[[#This Row],[index]] - 1, 0, 1, 1)</f>
        <v>1</v>
      </c>
      <c r="H22" t="str">
        <f ca="1">OFFSET(table_3_1[[strand]:[strand]], table_7_1[[#This Row],[index]] - 1, 0, 1, 1)</f>
        <v>R2</v>
      </c>
      <c r="I22" t="str">
        <f ca="1">OFFSET(table_3_1[[hguide]:[hguide]], table_7_1[[#This Row],[index]] - 1, 0, 1, 1)</f>
        <v>B</v>
      </c>
      <c r="J22" t="str">
        <f ca="1">OFFSET(table_3_1[[cell]:[cell]], table_7_1[[#This Row],[index]] - 1, 0, 1, 1)</f>
        <v>WT</v>
      </c>
      <c r="K22" t="str">
        <f ca="1">OFFSET(table_3_1[[treatment]:[treatment]], table_7_1[[#This Row],[index]] - 1, 0, 1, 1)</f>
        <v>branch</v>
      </c>
      <c r="L22" t="str">
        <f t="shared" si="0"/>
        <v>without</v>
      </c>
      <c r="M2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2" t="b">
        <f ca="1">AND(table_7_1[[#This Row],[strand]] = "R2", OR(var_7_layout = "universal", var_7_layout = "fractal", AND(var_7_layout = "radial", table_7_1[[#This Row],[dsb_type]] &lt;&gt; "1DSB")))</f>
        <v>1</v>
      </c>
      <c r="O22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2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2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2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2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2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2" t="b">
        <v>0</v>
      </c>
      <c r="V22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2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2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2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2" t="str">
        <f>_xlfn.CONCAT(graphs, "/", var_7_layout, "/", table_7_1[[#This Row],[format]], "/", var_7_ext)</f>
        <v>plots/graphs/universal/individual/html</v>
      </c>
      <c r="AA22" t="s">
        <v>200</v>
      </c>
      <c r="AB2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libraries_4/WT_sgB_R2_branch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3" spans="1:28" x14ac:dyDescent="0.25">
      <c r="A23" s="3">
        <v>21</v>
      </c>
      <c r="B23" t="str">
        <f ca="1">OFFSET(table_3_1[[dir]:[dir]], table_7_1[[#This Row],[index]] - 1, 0, 1, 1)</f>
        <v>WT_sgB_R2_cmv</v>
      </c>
      <c r="C23" t="str">
        <f ca="1">OFFSET(table_3_1[[control]:[control]], table_7_1[[#This Row],[index]] - 1, 0, 1, 1)</f>
        <v>none</v>
      </c>
      <c r="D23" t="str">
        <f ca="1">OFFSET(table_3_1[[ref]:[ref]], table_7_1[[#This Row],[index]] - 1, 0, 1, 1)</f>
        <v>1DSB_R2_cmv.fa</v>
      </c>
      <c r="E23">
        <f ca="1">OFFSET(table_3_1[[dsb_pos]:[dsb_pos]], table_7_1[[#This Row],[index]] - 1, 0, 1, 1)</f>
        <v>46</v>
      </c>
      <c r="F23" t="str">
        <f ca="1">OFFSET(table_3_1[[dsb_type]:[dsb_type]], table_7_1[[#This Row],[index]] - 1, 0, 1, 1)</f>
        <v>1DSB</v>
      </c>
      <c r="G23" t="str">
        <f ca="1">OFFSET(table_3_1[[dsb_type_command]:[dsb_type_command]], table_7_1[[#This Row],[index]] - 1, 0, 1, 1)</f>
        <v>1</v>
      </c>
      <c r="H23" t="str">
        <f ca="1">OFFSET(table_3_1[[strand]:[strand]], table_7_1[[#This Row],[index]] - 1, 0, 1, 1)</f>
        <v>R2</v>
      </c>
      <c r="I23" t="str">
        <f ca="1">OFFSET(table_3_1[[hguide]:[hguide]], table_7_1[[#This Row],[index]] - 1, 0, 1, 1)</f>
        <v>B</v>
      </c>
      <c r="J23" t="str">
        <f ca="1">OFFSET(table_3_1[[cell]:[cell]], table_7_1[[#This Row],[index]] - 1, 0, 1, 1)</f>
        <v>WT</v>
      </c>
      <c r="K23" t="str">
        <f ca="1">OFFSET(table_3_1[[treatment]:[treatment]], table_7_1[[#This Row],[index]] - 1, 0, 1, 1)</f>
        <v>cmv</v>
      </c>
      <c r="L23" t="str">
        <f t="shared" si="0"/>
        <v>without</v>
      </c>
      <c r="M2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3" t="b">
        <f ca="1">AND(table_7_1[[#This Row],[strand]] = "R2", OR(var_7_layout = "universal", var_7_layout = "fractal", AND(var_7_layout = "radial", table_7_1[[#This Row],[dsb_type]] &lt;&gt; "1DSB")))</f>
        <v>1</v>
      </c>
      <c r="O23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3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3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3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3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3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3" t="b">
        <v>0</v>
      </c>
      <c r="V23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3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3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3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3" t="str">
        <f>_xlfn.CONCAT(graphs, "/", var_7_layout, "/", table_7_1[[#This Row],[format]], "/", var_7_ext)</f>
        <v>plots/graphs/universal/individual/html</v>
      </c>
      <c r="AA23" t="s">
        <v>200</v>
      </c>
      <c r="AB2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libraries_4/WT_sgB_R2_cmv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4" spans="1:28" x14ac:dyDescent="0.25">
      <c r="A24" s="3">
        <v>22</v>
      </c>
      <c r="B24" t="str">
        <f ca="1">OFFSET(table_3_1[[dir]:[dir]], table_7_1[[#This Row],[index]] - 1, 0, 1, 1)</f>
        <v>KO_sgB_R2_sense</v>
      </c>
      <c r="C24" t="str">
        <f ca="1">OFFSET(table_3_1[[control]:[control]], table_7_1[[#This Row],[index]] - 1, 0, 1, 1)</f>
        <v>none</v>
      </c>
      <c r="D24" t="str">
        <f ca="1">OFFSET(table_3_1[[ref]:[ref]], table_7_1[[#This Row],[index]] - 1, 0, 1, 1)</f>
        <v>1DSB_R2_sense.fa</v>
      </c>
      <c r="E24">
        <f ca="1">OFFSET(table_3_1[[dsb_pos]:[dsb_pos]], table_7_1[[#This Row],[index]] - 1, 0, 1, 1)</f>
        <v>46</v>
      </c>
      <c r="F24" t="str">
        <f ca="1">OFFSET(table_3_1[[dsb_type]:[dsb_type]], table_7_1[[#This Row],[index]] - 1, 0, 1, 1)</f>
        <v>1DSB</v>
      </c>
      <c r="G24" t="str">
        <f ca="1">OFFSET(table_3_1[[dsb_type_command]:[dsb_type_command]], table_7_1[[#This Row],[index]] - 1, 0, 1, 1)</f>
        <v>1</v>
      </c>
      <c r="H24" t="str">
        <f ca="1">OFFSET(table_3_1[[strand]:[strand]], table_7_1[[#This Row],[index]] - 1, 0, 1, 1)</f>
        <v>R2</v>
      </c>
      <c r="I24" t="str">
        <f ca="1">OFFSET(table_3_1[[hguide]:[hguide]], table_7_1[[#This Row],[index]] - 1, 0, 1, 1)</f>
        <v>B</v>
      </c>
      <c r="J24" t="str">
        <f ca="1">OFFSET(table_3_1[[cell]:[cell]], table_7_1[[#This Row],[index]] - 1, 0, 1, 1)</f>
        <v>KO</v>
      </c>
      <c r="K24" t="str">
        <f ca="1">OFFSET(table_3_1[[treatment]:[treatment]], table_7_1[[#This Row],[index]] - 1, 0, 1, 1)</f>
        <v>sense</v>
      </c>
      <c r="L24" t="str">
        <f t="shared" si="0"/>
        <v>without</v>
      </c>
      <c r="M2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4" t="b">
        <f ca="1">AND(table_7_1[[#This Row],[strand]] = "R2", OR(var_7_layout = "universal", var_7_layout = "fractal", AND(var_7_layout = "radial", table_7_1[[#This Row],[dsb_type]] &lt;&gt; "1DSB")))</f>
        <v>1</v>
      </c>
      <c r="O24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4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4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4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4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4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4" t="b">
        <v>0</v>
      </c>
      <c r="V24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4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4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4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4" t="str">
        <f>_xlfn.CONCAT(graphs, "/", var_7_layout, "/", table_7_1[[#This Row],[format]], "/", var_7_ext)</f>
        <v>plots/graphs/universal/individual/html</v>
      </c>
      <c r="AA24" t="s">
        <v>200</v>
      </c>
      <c r="AB2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libraries_4/KO_sgB_R2_sense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5" spans="1:28" x14ac:dyDescent="0.25">
      <c r="A25" s="3">
        <v>23</v>
      </c>
      <c r="B25" t="str">
        <f ca="1">OFFSET(table_3_1[[dir]:[dir]], table_7_1[[#This Row],[index]] - 1, 0, 1, 1)</f>
        <v>KO_sgB_R2_branch</v>
      </c>
      <c r="C25" t="str">
        <f ca="1">OFFSET(table_3_1[[control]:[control]], table_7_1[[#This Row],[index]] - 1, 0, 1, 1)</f>
        <v>none</v>
      </c>
      <c r="D25" t="str">
        <f ca="1">OFFSET(table_3_1[[ref]:[ref]], table_7_1[[#This Row],[index]] - 1, 0, 1, 1)</f>
        <v>1DSB_R2_branch.fa</v>
      </c>
      <c r="E25">
        <f ca="1">OFFSET(table_3_1[[dsb_pos]:[dsb_pos]], table_7_1[[#This Row],[index]] - 1, 0, 1, 1)</f>
        <v>46</v>
      </c>
      <c r="F25" t="str">
        <f ca="1">OFFSET(table_3_1[[dsb_type]:[dsb_type]], table_7_1[[#This Row],[index]] - 1, 0, 1, 1)</f>
        <v>1DSB</v>
      </c>
      <c r="G25" t="str">
        <f ca="1">OFFSET(table_3_1[[dsb_type_command]:[dsb_type_command]], table_7_1[[#This Row],[index]] - 1, 0, 1, 1)</f>
        <v>1</v>
      </c>
      <c r="H25" t="str">
        <f ca="1">OFFSET(table_3_1[[strand]:[strand]], table_7_1[[#This Row],[index]] - 1, 0, 1, 1)</f>
        <v>R2</v>
      </c>
      <c r="I25" t="str">
        <f ca="1">OFFSET(table_3_1[[hguide]:[hguide]], table_7_1[[#This Row],[index]] - 1, 0, 1, 1)</f>
        <v>B</v>
      </c>
      <c r="J25" t="str">
        <f ca="1">OFFSET(table_3_1[[cell]:[cell]], table_7_1[[#This Row],[index]] - 1, 0, 1, 1)</f>
        <v>KO</v>
      </c>
      <c r="K25" t="str">
        <f ca="1">OFFSET(table_3_1[[treatment]:[treatment]], table_7_1[[#This Row],[index]] - 1, 0, 1, 1)</f>
        <v>branch</v>
      </c>
      <c r="L25" t="str">
        <f t="shared" si="0"/>
        <v>without</v>
      </c>
      <c r="M2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5" t="b">
        <f ca="1">AND(table_7_1[[#This Row],[strand]] = "R2", OR(var_7_layout = "universal", var_7_layout = "fractal", AND(var_7_layout = "radial", table_7_1[[#This Row],[dsb_type]] &lt;&gt; "1DSB")))</f>
        <v>1</v>
      </c>
      <c r="O25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5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5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5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5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5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5" t="b">
        <v>0</v>
      </c>
      <c r="V25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5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5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5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5" t="str">
        <f>_xlfn.CONCAT(graphs, "/", var_7_layout, "/", table_7_1[[#This Row],[format]], "/", var_7_ext)</f>
        <v>plots/graphs/universal/individual/html</v>
      </c>
      <c r="AA25" t="s">
        <v>200</v>
      </c>
      <c r="AB2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libraries_4/KO_sgB_R2_branch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6" spans="1:28" x14ac:dyDescent="0.25">
      <c r="A26" s="3">
        <v>24</v>
      </c>
      <c r="B26" t="str">
        <f ca="1">OFFSET(table_3_1[[dir]:[dir]], table_7_1[[#This Row],[index]] - 1, 0, 1, 1)</f>
        <v>KO_sgB_R2_cmv</v>
      </c>
      <c r="C26" t="str">
        <f ca="1">OFFSET(table_3_1[[control]:[control]], table_7_1[[#This Row],[index]] - 1, 0, 1, 1)</f>
        <v>none</v>
      </c>
      <c r="D26" t="str">
        <f ca="1">OFFSET(table_3_1[[ref]:[ref]], table_7_1[[#This Row],[index]] - 1, 0, 1, 1)</f>
        <v>1DSB_R2_cmv.fa</v>
      </c>
      <c r="E26">
        <f ca="1">OFFSET(table_3_1[[dsb_pos]:[dsb_pos]], table_7_1[[#This Row],[index]] - 1, 0, 1, 1)</f>
        <v>46</v>
      </c>
      <c r="F26" t="str">
        <f ca="1">OFFSET(table_3_1[[dsb_type]:[dsb_type]], table_7_1[[#This Row],[index]] - 1, 0, 1, 1)</f>
        <v>1DSB</v>
      </c>
      <c r="G26" t="str">
        <f ca="1">OFFSET(table_3_1[[dsb_type_command]:[dsb_type_command]], table_7_1[[#This Row],[index]] - 1, 0, 1, 1)</f>
        <v>1</v>
      </c>
      <c r="H26" t="str">
        <f ca="1">OFFSET(table_3_1[[strand]:[strand]], table_7_1[[#This Row],[index]] - 1, 0, 1, 1)</f>
        <v>R2</v>
      </c>
      <c r="I26" t="str">
        <f ca="1">OFFSET(table_3_1[[hguide]:[hguide]], table_7_1[[#This Row],[index]] - 1, 0, 1, 1)</f>
        <v>B</v>
      </c>
      <c r="J26" t="str">
        <f ca="1">OFFSET(table_3_1[[cell]:[cell]], table_7_1[[#This Row],[index]] - 1, 0, 1, 1)</f>
        <v>KO</v>
      </c>
      <c r="K26" t="str">
        <f ca="1">OFFSET(table_3_1[[treatment]:[treatment]], table_7_1[[#This Row],[index]] - 1, 0, 1, 1)</f>
        <v>cmv</v>
      </c>
      <c r="L26" t="str">
        <f t="shared" si="0"/>
        <v>without</v>
      </c>
      <c r="M2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6" t="b">
        <f ca="1">AND(table_7_1[[#This Row],[strand]] = "R2", OR(var_7_layout = "universal", var_7_layout = "fractal", AND(var_7_layout = "radial", table_7_1[[#This Row],[dsb_type]] &lt;&gt; "1DSB")))</f>
        <v>1</v>
      </c>
      <c r="O26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6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6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6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6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6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6" t="b">
        <v>0</v>
      </c>
      <c r="V26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6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6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6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6" t="str">
        <f>_xlfn.CONCAT(graphs, "/", var_7_layout, "/", table_7_1[[#This Row],[format]], "/", var_7_ext)</f>
        <v>plots/graphs/universal/individual/html</v>
      </c>
      <c r="AA26" t="s">
        <v>200</v>
      </c>
      <c r="AB2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libraries_4/KO_sgB_R2_cmv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7" spans="1:28" x14ac:dyDescent="0.25">
      <c r="A27" s="3">
        <v>25</v>
      </c>
      <c r="B27" t="str">
        <f ca="1">OFFSET(table_3_1[[dir]:[dir]], table_7_1[[#This Row],[index]] - 1, 0, 1, 1)</f>
        <v>WT_sgA_R1_sense_30bpDown</v>
      </c>
      <c r="C27" s="9" t="str">
        <f ca="1">OFFSET(table_3_1[[control]:[control]], table_7_1[[#This Row],[index]] - 1, 0, 1, 1)</f>
        <v>30bpDown</v>
      </c>
      <c r="D27" s="9" t="str">
        <f ca="1">OFFSET(table_3_1[[ref]:[ref]], table_7_1[[#This Row],[index]] - 1, 0, 1, 1)</f>
        <v>1DSB_R1_sense.fa</v>
      </c>
      <c r="E27" s="9">
        <f ca="1">OFFSET(table_3_1[[dsb_pos]:[dsb_pos]], table_7_1[[#This Row],[index]] - 1, 0, 1, 1)</f>
        <v>97</v>
      </c>
      <c r="F27" s="9" t="str">
        <f ca="1">OFFSET(table_3_1[[dsb_type]:[dsb_type]], table_7_1[[#This Row],[index]] - 1, 0, 1, 1)</f>
        <v>1DSB</v>
      </c>
      <c r="G27" s="9" t="str">
        <f ca="1">OFFSET(table_3_1[[dsb_type_command]:[dsb_type_command]], table_7_1[[#This Row],[index]] - 1, 0, 1, 1)</f>
        <v>1</v>
      </c>
      <c r="H27" s="9" t="str">
        <f ca="1">OFFSET(table_3_1[[strand]:[strand]], table_7_1[[#This Row],[index]] - 1, 0, 1, 1)</f>
        <v>R1</v>
      </c>
      <c r="I27" s="9" t="str">
        <f ca="1">OFFSET(table_3_1[[hguide]:[hguide]], table_7_1[[#This Row],[index]] - 1, 0, 1, 1)</f>
        <v>A</v>
      </c>
      <c r="J27" s="9" t="str">
        <f ca="1">OFFSET(table_3_1[[cell]:[cell]], table_7_1[[#This Row],[index]] - 1, 0, 1, 1)</f>
        <v>WT</v>
      </c>
      <c r="K27" s="9" t="str">
        <f ca="1">OFFSET(table_3_1[[treatment]:[treatment]], table_7_1[[#This Row],[index]] - 1, 0, 1, 1)</f>
        <v>sense</v>
      </c>
      <c r="L27" s="9" t="str">
        <f t="shared" si="0"/>
        <v>without</v>
      </c>
      <c r="M2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7" s="9" t="b">
        <f ca="1">AND(table_7_1[[#This Row],[strand]] = "R2", OR(var_7_layout = "universal", var_7_layout = "fractal", AND(var_7_layout = "radial", table_7_1[[#This Row],[dsb_type]] &lt;&gt; "1DSB")))</f>
        <v>0</v>
      </c>
      <c r="O27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7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7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27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7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7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7" s="9" t="b">
        <v>0</v>
      </c>
      <c r="V27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7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7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27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7" s="9" t="str">
        <f>_xlfn.CONCAT(graphs, "/", var_7_layout, "/", table_7_1[[#This Row],[format]], "/", var_7_ext)</f>
        <v>plots/graphs/universal/individual/html</v>
      </c>
      <c r="AA27" s="9" t="s">
        <v>200</v>
      </c>
      <c r="AB2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libraries_4/WT_sgA_R1_sense_30bpDown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8" spans="1:28" x14ac:dyDescent="0.25">
      <c r="A28" s="3">
        <v>26</v>
      </c>
      <c r="B28" t="str">
        <f ca="1">OFFSET(table_3_1[[dir]:[dir]], table_7_1[[#This Row],[index]] - 1, 0, 1, 1)</f>
        <v>WT_sgA_R1_branch_30bpDown</v>
      </c>
      <c r="C28" s="9" t="str">
        <f ca="1">OFFSET(table_3_1[[control]:[control]], table_7_1[[#This Row],[index]] - 1, 0, 1, 1)</f>
        <v>30bpDown</v>
      </c>
      <c r="D28" s="9" t="str">
        <f ca="1">OFFSET(table_3_1[[ref]:[ref]], table_7_1[[#This Row],[index]] - 1, 0, 1, 1)</f>
        <v>1DSB_R1_branch.fa</v>
      </c>
      <c r="E28" s="9">
        <f ca="1">OFFSET(table_3_1[[dsb_pos]:[dsb_pos]], table_7_1[[#This Row],[index]] - 1, 0, 1, 1)</f>
        <v>97</v>
      </c>
      <c r="F28" s="9" t="str">
        <f ca="1">OFFSET(table_3_1[[dsb_type]:[dsb_type]], table_7_1[[#This Row],[index]] - 1, 0, 1, 1)</f>
        <v>1DSB</v>
      </c>
      <c r="G28" s="9" t="str">
        <f ca="1">OFFSET(table_3_1[[dsb_type_command]:[dsb_type_command]], table_7_1[[#This Row],[index]] - 1, 0, 1, 1)</f>
        <v>1</v>
      </c>
      <c r="H28" s="9" t="str">
        <f ca="1">OFFSET(table_3_1[[strand]:[strand]], table_7_1[[#This Row],[index]] - 1, 0, 1, 1)</f>
        <v>R1</v>
      </c>
      <c r="I28" s="9" t="str">
        <f ca="1">OFFSET(table_3_1[[hguide]:[hguide]], table_7_1[[#This Row],[index]] - 1, 0, 1, 1)</f>
        <v>A</v>
      </c>
      <c r="J28" s="9" t="str">
        <f ca="1">OFFSET(table_3_1[[cell]:[cell]], table_7_1[[#This Row],[index]] - 1, 0, 1, 1)</f>
        <v>WT</v>
      </c>
      <c r="K28" s="9" t="str">
        <f ca="1">OFFSET(table_3_1[[treatment]:[treatment]], table_7_1[[#This Row],[index]] - 1, 0, 1, 1)</f>
        <v>branch</v>
      </c>
      <c r="L28" s="9" t="str">
        <f t="shared" si="0"/>
        <v>without</v>
      </c>
      <c r="M2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8" s="9" t="b">
        <f ca="1">AND(table_7_1[[#This Row],[strand]] = "R2", OR(var_7_layout = "universal", var_7_layout = "fractal", AND(var_7_layout = "radial", table_7_1[[#This Row],[dsb_type]] &lt;&gt; "1DSB")))</f>
        <v>0</v>
      </c>
      <c r="O28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8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8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28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8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8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8" s="9" t="b">
        <v>0</v>
      </c>
      <c r="V28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8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8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28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8" s="9" t="str">
        <f>_xlfn.CONCAT(graphs, "/", var_7_layout, "/", table_7_1[[#This Row],[format]], "/", var_7_ext)</f>
        <v>plots/graphs/universal/individual/html</v>
      </c>
      <c r="AA28" s="9" t="s">
        <v>200</v>
      </c>
      <c r="AB2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libraries_4/WT_sgA_R1_branch_30bpDown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9" spans="1:28" x14ac:dyDescent="0.25">
      <c r="A29" s="3">
        <v>27</v>
      </c>
      <c r="B29" t="str">
        <f ca="1">OFFSET(table_3_1[[dir]:[dir]], table_7_1[[#This Row],[index]] - 1, 0, 1, 1)</f>
        <v>WT_sgA_R1_cmv_30bpDown</v>
      </c>
      <c r="C29" s="9" t="str">
        <f ca="1">OFFSET(table_3_1[[control]:[control]], table_7_1[[#This Row],[index]] - 1, 0, 1, 1)</f>
        <v>30bpDown</v>
      </c>
      <c r="D29" s="9" t="str">
        <f ca="1">OFFSET(table_3_1[[ref]:[ref]], table_7_1[[#This Row],[index]] - 1, 0, 1, 1)</f>
        <v>1DSB_R1_cmv.fa</v>
      </c>
      <c r="E29" s="9">
        <f ca="1">OFFSET(table_3_1[[dsb_pos]:[dsb_pos]], table_7_1[[#This Row],[index]] - 1, 0, 1, 1)</f>
        <v>97</v>
      </c>
      <c r="F29" s="9" t="str">
        <f ca="1">OFFSET(table_3_1[[dsb_type]:[dsb_type]], table_7_1[[#This Row],[index]] - 1, 0, 1, 1)</f>
        <v>1DSB</v>
      </c>
      <c r="G29" s="9" t="str">
        <f ca="1">OFFSET(table_3_1[[dsb_type_command]:[dsb_type_command]], table_7_1[[#This Row],[index]] - 1, 0, 1, 1)</f>
        <v>1</v>
      </c>
      <c r="H29" s="9" t="str">
        <f ca="1">OFFSET(table_3_1[[strand]:[strand]], table_7_1[[#This Row],[index]] - 1, 0, 1, 1)</f>
        <v>R1</v>
      </c>
      <c r="I29" s="9" t="str">
        <f ca="1">OFFSET(table_3_1[[hguide]:[hguide]], table_7_1[[#This Row],[index]] - 1, 0, 1, 1)</f>
        <v>A</v>
      </c>
      <c r="J29" s="9" t="str">
        <f ca="1">OFFSET(table_3_1[[cell]:[cell]], table_7_1[[#This Row],[index]] - 1, 0, 1, 1)</f>
        <v>WT</v>
      </c>
      <c r="K29" s="9" t="str">
        <f ca="1">OFFSET(table_3_1[[treatment]:[treatment]], table_7_1[[#This Row],[index]] - 1, 0, 1, 1)</f>
        <v>cmv</v>
      </c>
      <c r="L29" s="9" t="str">
        <f t="shared" si="0"/>
        <v>without</v>
      </c>
      <c r="M29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9" s="9" t="b">
        <f ca="1">AND(table_7_1[[#This Row],[strand]] = "R2", OR(var_7_layout = "universal", var_7_layout = "fractal", AND(var_7_layout = "radial", table_7_1[[#This Row],[dsb_type]] &lt;&gt; "1DSB")))</f>
        <v>0</v>
      </c>
      <c r="O29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9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9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29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9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9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9" s="9" t="b">
        <v>0</v>
      </c>
      <c r="V29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9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9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29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9" s="9" t="str">
        <f>_xlfn.CONCAT(graphs, "/", var_7_layout, "/", table_7_1[[#This Row],[format]], "/", var_7_ext)</f>
        <v>plots/graphs/universal/individual/html</v>
      </c>
      <c r="AA29" s="9" t="s">
        <v>200</v>
      </c>
      <c r="AB29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libraries_4/WT_sgA_R1_cmv_30bpDown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0" spans="1:28" x14ac:dyDescent="0.25">
      <c r="A30" s="3">
        <v>28</v>
      </c>
      <c r="B30" t="str">
        <f ca="1">OFFSET(table_3_1[[dir]:[dir]], table_7_1[[#This Row],[index]] - 1, 0, 1, 1)</f>
        <v>KO_sgA_R1_sense_30bpDown</v>
      </c>
      <c r="C30" s="9" t="str">
        <f ca="1">OFFSET(table_3_1[[control]:[control]], table_7_1[[#This Row],[index]] - 1, 0, 1, 1)</f>
        <v>30bpDown</v>
      </c>
      <c r="D30" s="9" t="str">
        <f ca="1">OFFSET(table_3_1[[ref]:[ref]], table_7_1[[#This Row],[index]] - 1, 0, 1, 1)</f>
        <v>1DSB_R1_sense.fa</v>
      </c>
      <c r="E30" s="9">
        <f ca="1">OFFSET(table_3_1[[dsb_pos]:[dsb_pos]], table_7_1[[#This Row],[index]] - 1, 0, 1, 1)</f>
        <v>97</v>
      </c>
      <c r="F30" s="9" t="str">
        <f ca="1">OFFSET(table_3_1[[dsb_type]:[dsb_type]], table_7_1[[#This Row],[index]] - 1, 0, 1, 1)</f>
        <v>1DSB</v>
      </c>
      <c r="G30" s="9" t="str">
        <f ca="1">OFFSET(table_3_1[[dsb_type_command]:[dsb_type_command]], table_7_1[[#This Row],[index]] - 1, 0, 1, 1)</f>
        <v>1</v>
      </c>
      <c r="H30" s="9" t="str">
        <f ca="1">OFFSET(table_3_1[[strand]:[strand]], table_7_1[[#This Row],[index]] - 1, 0, 1, 1)</f>
        <v>R1</v>
      </c>
      <c r="I30" s="9" t="str">
        <f ca="1">OFFSET(table_3_1[[hguide]:[hguide]], table_7_1[[#This Row],[index]] - 1, 0, 1, 1)</f>
        <v>A</v>
      </c>
      <c r="J30" s="9" t="str">
        <f ca="1">OFFSET(table_3_1[[cell]:[cell]], table_7_1[[#This Row],[index]] - 1, 0, 1, 1)</f>
        <v>KO</v>
      </c>
      <c r="K30" s="9" t="str">
        <f ca="1">OFFSET(table_3_1[[treatment]:[treatment]], table_7_1[[#This Row],[index]] - 1, 0, 1, 1)</f>
        <v>sense</v>
      </c>
      <c r="L30" s="9" t="str">
        <f t="shared" si="0"/>
        <v>without</v>
      </c>
      <c r="M30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0" s="9" t="b">
        <f ca="1">AND(table_7_1[[#This Row],[strand]] = "R2", OR(var_7_layout = "universal", var_7_layout = "fractal", AND(var_7_layout = "radial", table_7_1[[#This Row],[dsb_type]] &lt;&gt; "1DSB")))</f>
        <v>0</v>
      </c>
      <c r="O30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0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0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30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30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30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30" s="9" t="b">
        <v>0</v>
      </c>
      <c r="V30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0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30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30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30" s="9" t="str">
        <f>_xlfn.CONCAT(graphs, "/", var_7_layout, "/", table_7_1[[#This Row],[format]], "/", var_7_ext)</f>
        <v>plots/graphs/universal/individual/html</v>
      </c>
      <c r="AA30" s="9" t="s">
        <v>200</v>
      </c>
      <c r="AB30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libraries_4/KO_sgA_R1_sense_30bpDown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1" spans="1:28" x14ac:dyDescent="0.25">
      <c r="A31" s="3">
        <v>29</v>
      </c>
      <c r="B31" t="str">
        <f ca="1">OFFSET(table_3_1[[dir]:[dir]], table_7_1[[#This Row],[index]] - 1, 0, 1, 1)</f>
        <v>KO_sgA_R1_branch_30bpDown</v>
      </c>
      <c r="C31" s="9" t="str">
        <f ca="1">OFFSET(table_3_1[[control]:[control]], table_7_1[[#This Row],[index]] - 1, 0, 1, 1)</f>
        <v>30bpDown</v>
      </c>
      <c r="D31" s="9" t="str">
        <f ca="1">OFFSET(table_3_1[[ref]:[ref]], table_7_1[[#This Row],[index]] - 1, 0, 1, 1)</f>
        <v>1DSB_R1_branch.fa</v>
      </c>
      <c r="E31" s="9">
        <f ca="1">OFFSET(table_3_1[[dsb_pos]:[dsb_pos]], table_7_1[[#This Row],[index]] - 1, 0, 1, 1)</f>
        <v>97</v>
      </c>
      <c r="F31" s="9" t="str">
        <f ca="1">OFFSET(table_3_1[[dsb_type]:[dsb_type]], table_7_1[[#This Row],[index]] - 1, 0, 1, 1)</f>
        <v>1DSB</v>
      </c>
      <c r="G31" s="9" t="str">
        <f ca="1">OFFSET(table_3_1[[dsb_type_command]:[dsb_type_command]], table_7_1[[#This Row],[index]] - 1, 0, 1, 1)</f>
        <v>1</v>
      </c>
      <c r="H31" s="9" t="str">
        <f ca="1">OFFSET(table_3_1[[strand]:[strand]], table_7_1[[#This Row],[index]] - 1, 0, 1, 1)</f>
        <v>R1</v>
      </c>
      <c r="I31" s="9" t="str">
        <f ca="1">OFFSET(table_3_1[[hguide]:[hguide]], table_7_1[[#This Row],[index]] - 1, 0, 1, 1)</f>
        <v>A</v>
      </c>
      <c r="J31" s="9" t="str">
        <f ca="1">OFFSET(table_3_1[[cell]:[cell]], table_7_1[[#This Row],[index]] - 1, 0, 1, 1)</f>
        <v>KO</v>
      </c>
      <c r="K31" s="9" t="str">
        <f ca="1">OFFSET(table_3_1[[treatment]:[treatment]], table_7_1[[#This Row],[index]] - 1, 0, 1, 1)</f>
        <v>branch</v>
      </c>
      <c r="L31" s="9" t="str">
        <f t="shared" si="0"/>
        <v>without</v>
      </c>
      <c r="M31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1" s="9" t="b">
        <f ca="1">AND(table_7_1[[#This Row],[strand]] = "R2", OR(var_7_layout = "universal", var_7_layout = "fractal", AND(var_7_layout = "radial", table_7_1[[#This Row],[dsb_type]] &lt;&gt; "1DSB")))</f>
        <v>0</v>
      </c>
      <c r="O31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1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1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31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31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31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31" s="9" t="b">
        <v>0</v>
      </c>
      <c r="V31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1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31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31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31" s="9" t="str">
        <f>_xlfn.CONCAT(graphs, "/", var_7_layout, "/", table_7_1[[#This Row],[format]], "/", var_7_ext)</f>
        <v>plots/graphs/universal/individual/html</v>
      </c>
      <c r="AA31" s="9" t="s">
        <v>200</v>
      </c>
      <c r="AB31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libraries_4/KO_sgA_R1_branch_30bpDown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2" spans="1:28" x14ac:dyDescent="0.25">
      <c r="A32" s="3">
        <v>30</v>
      </c>
      <c r="B32" t="str">
        <f ca="1">OFFSET(table_3_1[[dir]:[dir]], table_7_1[[#This Row],[index]] - 1, 0, 1, 1)</f>
        <v>KO_sgA_R1_cmv_30bpDown</v>
      </c>
      <c r="C32" s="9" t="str">
        <f ca="1">OFFSET(table_3_1[[control]:[control]], table_7_1[[#This Row],[index]] - 1, 0, 1, 1)</f>
        <v>30bpDown</v>
      </c>
      <c r="D32" s="9" t="str">
        <f ca="1">OFFSET(table_3_1[[ref]:[ref]], table_7_1[[#This Row],[index]] - 1, 0, 1, 1)</f>
        <v>1DSB_R1_cmv.fa</v>
      </c>
      <c r="E32" s="9">
        <f ca="1">OFFSET(table_3_1[[dsb_pos]:[dsb_pos]], table_7_1[[#This Row],[index]] - 1, 0, 1, 1)</f>
        <v>97</v>
      </c>
      <c r="F32" s="9" t="str">
        <f ca="1">OFFSET(table_3_1[[dsb_type]:[dsb_type]], table_7_1[[#This Row],[index]] - 1, 0, 1, 1)</f>
        <v>1DSB</v>
      </c>
      <c r="G32" s="9" t="str">
        <f ca="1">OFFSET(table_3_1[[dsb_type_command]:[dsb_type_command]], table_7_1[[#This Row],[index]] - 1, 0, 1, 1)</f>
        <v>1</v>
      </c>
      <c r="H32" s="9" t="str">
        <f ca="1">OFFSET(table_3_1[[strand]:[strand]], table_7_1[[#This Row],[index]] - 1, 0, 1, 1)</f>
        <v>R1</v>
      </c>
      <c r="I32" s="9" t="str">
        <f ca="1">OFFSET(table_3_1[[hguide]:[hguide]], table_7_1[[#This Row],[index]] - 1, 0, 1, 1)</f>
        <v>A</v>
      </c>
      <c r="J32" s="9" t="str">
        <f ca="1">OFFSET(table_3_1[[cell]:[cell]], table_7_1[[#This Row],[index]] - 1, 0, 1, 1)</f>
        <v>KO</v>
      </c>
      <c r="K32" s="9" t="str">
        <f ca="1">OFFSET(table_3_1[[treatment]:[treatment]], table_7_1[[#This Row],[index]] - 1, 0, 1, 1)</f>
        <v>cmv</v>
      </c>
      <c r="L32" s="9" t="str">
        <f t="shared" si="0"/>
        <v>without</v>
      </c>
      <c r="M32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2" s="9" t="b">
        <f ca="1">AND(table_7_1[[#This Row],[strand]] = "R2", OR(var_7_layout = "universal", var_7_layout = "fractal", AND(var_7_layout = "radial", table_7_1[[#This Row],[dsb_type]] &lt;&gt; "1DSB")))</f>
        <v>0</v>
      </c>
      <c r="O32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2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2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32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32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32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32" s="9" t="b">
        <v>0</v>
      </c>
      <c r="V32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2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32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32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32" s="9" t="str">
        <f>_xlfn.CONCAT(graphs, "/", var_7_layout, "/", table_7_1[[#This Row],[format]], "/", var_7_ext)</f>
        <v>plots/graphs/universal/individual/html</v>
      </c>
      <c r="AA32" s="9" t="s">
        <v>200</v>
      </c>
      <c r="AB32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libraries_4/KO_sgA_R1_cmv_30bpDown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3" spans="1:28" x14ac:dyDescent="0.25">
      <c r="A33" s="3">
        <v>31</v>
      </c>
      <c r="B33" t="str">
        <f ca="1">OFFSET(table_3_1[[dir]:[dir]], table_7_1[[#This Row],[index]] - 1, 0, 1, 1)</f>
        <v>WT_sgB_R2_sense_30bpDown</v>
      </c>
      <c r="C33" s="9" t="str">
        <f ca="1">OFFSET(table_3_1[[control]:[control]], table_7_1[[#This Row],[index]] - 1, 0, 1, 1)</f>
        <v>30bpDown</v>
      </c>
      <c r="D33" s="9" t="str">
        <f ca="1">OFFSET(table_3_1[[ref]:[ref]], table_7_1[[#This Row],[index]] - 1, 0, 1, 1)</f>
        <v>1DSB_R2_sense.fa</v>
      </c>
      <c r="E33" s="9">
        <f ca="1">OFFSET(table_3_1[[dsb_pos]:[dsb_pos]], table_7_1[[#This Row],[index]] - 1, 0, 1, 1)</f>
        <v>76</v>
      </c>
      <c r="F33" s="9" t="str">
        <f ca="1">OFFSET(table_3_1[[dsb_type]:[dsb_type]], table_7_1[[#This Row],[index]] - 1, 0, 1, 1)</f>
        <v>1DSB</v>
      </c>
      <c r="G33" s="9" t="str">
        <f ca="1">OFFSET(table_3_1[[dsb_type_command]:[dsb_type_command]], table_7_1[[#This Row],[index]] - 1, 0, 1, 1)</f>
        <v>1</v>
      </c>
      <c r="H33" s="9" t="str">
        <f ca="1">OFFSET(table_3_1[[strand]:[strand]], table_7_1[[#This Row],[index]] - 1, 0, 1, 1)</f>
        <v>R2</v>
      </c>
      <c r="I33" s="9" t="str">
        <f ca="1">OFFSET(table_3_1[[hguide]:[hguide]], table_7_1[[#This Row],[index]] - 1, 0, 1, 1)</f>
        <v>B</v>
      </c>
      <c r="J33" s="9" t="str">
        <f ca="1">OFFSET(table_3_1[[cell]:[cell]], table_7_1[[#This Row],[index]] - 1, 0, 1, 1)</f>
        <v>WT</v>
      </c>
      <c r="K33" s="9" t="str">
        <f ca="1">OFFSET(table_3_1[[treatment]:[treatment]], table_7_1[[#This Row],[index]] - 1, 0, 1, 1)</f>
        <v>sense</v>
      </c>
      <c r="L33" s="9" t="str">
        <f t="shared" si="0"/>
        <v>without</v>
      </c>
      <c r="M33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3" s="9" t="b">
        <f ca="1">AND(table_7_1[[#This Row],[strand]] = "R2", OR(var_7_layout = "universal", var_7_layout = "fractal", AND(var_7_layout = "radial", table_7_1[[#This Row],[dsb_type]] &lt;&gt; "1DSB")))</f>
        <v>1</v>
      </c>
      <c r="O33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3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3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3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3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3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3" s="9" t="b">
        <v>0</v>
      </c>
      <c r="V33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3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3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3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3" s="9" t="str">
        <f>_xlfn.CONCAT(graphs, "/", var_7_layout, "/", table_7_1[[#This Row],[format]], "/", var_7_ext)</f>
        <v>plots/graphs/universal/individual/html</v>
      </c>
      <c r="AA33" s="9" t="s">
        <v>200</v>
      </c>
      <c r="AB33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libraries_4/WT_sgB_R2_sense_30bpDown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4" spans="1:28" x14ac:dyDescent="0.25">
      <c r="A34" s="3">
        <v>32</v>
      </c>
      <c r="B34" t="str">
        <f ca="1">OFFSET(table_3_1[[dir]:[dir]], table_7_1[[#This Row],[index]] - 1, 0, 1, 1)</f>
        <v>WT_sgB_R2_branch_30bpDown</v>
      </c>
      <c r="C34" s="9" t="str">
        <f ca="1">OFFSET(table_3_1[[control]:[control]], table_7_1[[#This Row],[index]] - 1, 0, 1, 1)</f>
        <v>30bpDown</v>
      </c>
      <c r="D34" s="9" t="str">
        <f ca="1">OFFSET(table_3_1[[ref]:[ref]], table_7_1[[#This Row],[index]] - 1, 0, 1, 1)</f>
        <v>1DSB_R2_branch.fa</v>
      </c>
      <c r="E34" s="9">
        <f ca="1">OFFSET(table_3_1[[dsb_pos]:[dsb_pos]], table_7_1[[#This Row],[index]] - 1, 0, 1, 1)</f>
        <v>76</v>
      </c>
      <c r="F34" s="9" t="str">
        <f ca="1">OFFSET(table_3_1[[dsb_type]:[dsb_type]], table_7_1[[#This Row],[index]] - 1, 0, 1, 1)</f>
        <v>1DSB</v>
      </c>
      <c r="G34" s="9" t="str">
        <f ca="1">OFFSET(table_3_1[[dsb_type_command]:[dsb_type_command]], table_7_1[[#This Row],[index]] - 1, 0, 1, 1)</f>
        <v>1</v>
      </c>
      <c r="H34" s="9" t="str">
        <f ca="1">OFFSET(table_3_1[[strand]:[strand]], table_7_1[[#This Row],[index]] - 1, 0, 1, 1)</f>
        <v>R2</v>
      </c>
      <c r="I34" s="9" t="str">
        <f ca="1">OFFSET(table_3_1[[hguide]:[hguide]], table_7_1[[#This Row],[index]] - 1, 0, 1, 1)</f>
        <v>B</v>
      </c>
      <c r="J34" s="9" t="str">
        <f ca="1">OFFSET(table_3_1[[cell]:[cell]], table_7_1[[#This Row],[index]] - 1, 0, 1, 1)</f>
        <v>WT</v>
      </c>
      <c r="K34" s="9" t="str">
        <f ca="1">OFFSET(table_3_1[[treatment]:[treatment]], table_7_1[[#This Row],[index]] - 1, 0, 1, 1)</f>
        <v>branch</v>
      </c>
      <c r="L34" s="9" t="str">
        <f t="shared" si="0"/>
        <v>without</v>
      </c>
      <c r="M34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4" s="9" t="b">
        <f ca="1">AND(table_7_1[[#This Row],[strand]] = "R2", OR(var_7_layout = "universal", var_7_layout = "fractal", AND(var_7_layout = "radial", table_7_1[[#This Row],[dsb_type]] &lt;&gt; "1DSB")))</f>
        <v>1</v>
      </c>
      <c r="O34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4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4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4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4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4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4" s="9" t="b">
        <v>0</v>
      </c>
      <c r="V34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4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4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4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4" s="9" t="str">
        <f>_xlfn.CONCAT(graphs, "/", var_7_layout, "/", table_7_1[[#This Row],[format]], "/", var_7_ext)</f>
        <v>plots/graphs/universal/individual/html</v>
      </c>
      <c r="AA34" s="9" t="s">
        <v>200</v>
      </c>
      <c r="AB34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libraries_4/WT_sgB_R2_branch_30bpDown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5" spans="1:28" x14ac:dyDescent="0.25">
      <c r="A35" s="3">
        <v>33</v>
      </c>
      <c r="B35" t="str">
        <f ca="1">OFFSET(table_3_1[[dir]:[dir]], table_7_1[[#This Row],[index]] - 1, 0, 1, 1)</f>
        <v>WT_sgB_R2_cmv_30bpDown</v>
      </c>
      <c r="C35" s="9" t="str">
        <f ca="1">OFFSET(table_3_1[[control]:[control]], table_7_1[[#This Row],[index]] - 1, 0, 1, 1)</f>
        <v>30bpDown</v>
      </c>
      <c r="D35" s="9" t="str">
        <f ca="1">OFFSET(table_3_1[[ref]:[ref]], table_7_1[[#This Row],[index]] - 1, 0, 1, 1)</f>
        <v>1DSB_R2_cmv.fa</v>
      </c>
      <c r="E35" s="9">
        <f ca="1">OFFSET(table_3_1[[dsb_pos]:[dsb_pos]], table_7_1[[#This Row],[index]] - 1, 0, 1, 1)</f>
        <v>76</v>
      </c>
      <c r="F35" s="9" t="str">
        <f ca="1">OFFSET(table_3_1[[dsb_type]:[dsb_type]], table_7_1[[#This Row],[index]] - 1, 0, 1, 1)</f>
        <v>1DSB</v>
      </c>
      <c r="G35" s="9" t="str">
        <f ca="1">OFFSET(table_3_1[[dsb_type_command]:[dsb_type_command]], table_7_1[[#This Row],[index]] - 1, 0, 1, 1)</f>
        <v>1</v>
      </c>
      <c r="H35" s="9" t="str">
        <f ca="1">OFFSET(table_3_1[[strand]:[strand]], table_7_1[[#This Row],[index]] - 1, 0, 1, 1)</f>
        <v>R2</v>
      </c>
      <c r="I35" s="9" t="str">
        <f ca="1">OFFSET(table_3_1[[hguide]:[hguide]], table_7_1[[#This Row],[index]] - 1, 0, 1, 1)</f>
        <v>B</v>
      </c>
      <c r="J35" s="9" t="str">
        <f ca="1">OFFSET(table_3_1[[cell]:[cell]], table_7_1[[#This Row],[index]] - 1, 0, 1, 1)</f>
        <v>WT</v>
      </c>
      <c r="K35" s="9" t="str">
        <f ca="1">OFFSET(table_3_1[[treatment]:[treatment]], table_7_1[[#This Row],[index]] - 1, 0, 1, 1)</f>
        <v>cmv</v>
      </c>
      <c r="L35" s="9" t="str">
        <f t="shared" si="0"/>
        <v>without</v>
      </c>
      <c r="M35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5" s="9" t="b">
        <f ca="1">AND(table_7_1[[#This Row],[strand]] = "R2", OR(var_7_layout = "universal", var_7_layout = "fractal", AND(var_7_layout = "radial", table_7_1[[#This Row],[dsb_type]] &lt;&gt; "1DSB")))</f>
        <v>1</v>
      </c>
      <c r="O35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5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5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5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5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5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5" s="9" t="b">
        <v>0</v>
      </c>
      <c r="V35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5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5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5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5" s="9" t="str">
        <f>_xlfn.CONCAT(graphs, "/", var_7_layout, "/", table_7_1[[#This Row],[format]], "/", var_7_ext)</f>
        <v>plots/graphs/universal/individual/html</v>
      </c>
      <c r="AA35" s="9" t="s">
        <v>200</v>
      </c>
      <c r="AB35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libraries_4/WT_sgB_R2_cmv_30bpDown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6" spans="1:28" x14ac:dyDescent="0.25">
      <c r="A36" s="3">
        <v>34</v>
      </c>
      <c r="B36" t="str">
        <f ca="1">OFFSET(table_3_1[[dir]:[dir]], table_7_1[[#This Row],[index]] - 1, 0, 1, 1)</f>
        <v>KO_sgB_R2_sense_30bpDown</v>
      </c>
      <c r="C36" s="9" t="str">
        <f ca="1">OFFSET(table_3_1[[control]:[control]], table_7_1[[#This Row],[index]] - 1, 0, 1, 1)</f>
        <v>30bpDown</v>
      </c>
      <c r="D36" s="9" t="str">
        <f ca="1">OFFSET(table_3_1[[ref]:[ref]], table_7_1[[#This Row],[index]] - 1, 0, 1, 1)</f>
        <v>1DSB_R2_sense.fa</v>
      </c>
      <c r="E36" s="9">
        <f ca="1">OFFSET(table_3_1[[dsb_pos]:[dsb_pos]], table_7_1[[#This Row],[index]] - 1, 0, 1, 1)</f>
        <v>76</v>
      </c>
      <c r="F36" s="9" t="str">
        <f ca="1">OFFSET(table_3_1[[dsb_type]:[dsb_type]], table_7_1[[#This Row],[index]] - 1, 0, 1, 1)</f>
        <v>1DSB</v>
      </c>
      <c r="G36" s="9" t="str">
        <f ca="1">OFFSET(table_3_1[[dsb_type_command]:[dsb_type_command]], table_7_1[[#This Row],[index]] - 1, 0, 1, 1)</f>
        <v>1</v>
      </c>
      <c r="H36" s="9" t="str">
        <f ca="1">OFFSET(table_3_1[[strand]:[strand]], table_7_1[[#This Row],[index]] - 1, 0, 1, 1)</f>
        <v>R2</v>
      </c>
      <c r="I36" s="9" t="str">
        <f ca="1">OFFSET(table_3_1[[hguide]:[hguide]], table_7_1[[#This Row],[index]] - 1, 0, 1, 1)</f>
        <v>B</v>
      </c>
      <c r="J36" s="9" t="str">
        <f ca="1">OFFSET(table_3_1[[cell]:[cell]], table_7_1[[#This Row],[index]] - 1, 0, 1, 1)</f>
        <v>KO</v>
      </c>
      <c r="K36" s="9" t="str">
        <f ca="1">OFFSET(table_3_1[[treatment]:[treatment]], table_7_1[[#This Row],[index]] - 1, 0, 1, 1)</f>
        <v>sense</v>
      </c>
      <c r="L36" s="9" t="str">
        <f t="shared" si="0"/>
        <v>without</v>
      </c>
      <c r="M36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6" s="9" t="b">
        <f ca="1">AND(table_7_1[[#This Row],[strand]] = "R2", OR(var_7_layout = "universal", var_7_layout = "fractal", AND(var_7_layout = "radial", table_7_1[[#This Row],[dsb_type]] &lt;&gt; "1DSB")))</f>
        <v>1</v>
      </c>
      <c r="O36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6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6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6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6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6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6" s="9" t="b">
        <v>0</v>
      </c>
      <c r="V36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6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6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6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6" s="9" t="str">
        <f>_xlfn.CONCAT(graphs, "/", var_7_layout, "/", table_7_1[[#This Row],[format]], "/", var_7_ext)</f>
        <v>plots/graphs/universal/individual/html</v>
      </c>
      <c r="AA36" s="9" t="s">
        <v>200</v>
      </c>
      <c r="AB36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libraries_4/KO_sgB_R2_sense_30bpDown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7" spans="1:28" x14ac:dyDescent="0.25">
      <c r="A37" s="3">
        <v>35</v>
      </c>
      <c r="B37" t="str">
        <f ca="1">OFFSET(table_3_1[[dir]:[dir]], table_7_1[[#This Row],[index]] - 1, 0, 1, 1)</f>
        <v>KO_sgB_R2_branch_30bpDown</v>
      </c>
      <c r="C37" s="9" t="str">
        <f ca="1">OFFSET(table_3_1[[control]:[control]], table_7_1[[#This Row],[index]] - 1, 0, 1, 1)</f>
        <v>30bpDown</v>
      </c>
      <c r="D37" s="9" t="str">
        <f ca="1">OFFSET(table_3_1[[ref]:[ref]], table_7_1[[#This Row],[index]] - 1, 0, 1, 1)</f>
        <v>1DSB_R2_branch.fa</v>
      </c>
      <c r="E37" s="9">
        <f ca="1">OFFSET(table_3_1[[dsb_pos]:[dsb_pos]], table_7_1[[#This Row],[index]] - 1, 0, 1, 1)</f>
        <v>76</v>
      </c>
      <c r="F37" s="9" t="str">
        <f ca="1">OFFSET(table_3_1[[dsb_type]:[dsb_type]], table_7_1[[#This Row],[index]] - 1, 0, 1, 1)</f>
        <v>1DSB</v>
      </c>
      <c r="G37" s="9" t="str">
        <f ca="1">OFFSET(table_3_1[[dsb_type_command]:[dsb_type_command]], table_7_1[[#This Row],[index]] - 1, 0, 1, 1)</f>
        <v>1</v>
      </c>
      <c r="H37" s="9" t="str">
        <f ca="1">OFFSET(table_3_1[[strand]:[strand]], table_7_1[[#This Row],[index]] - 1, 0, 1, 1)</f>
        <v>R2</v>
      </c>
      <c r="I37" s="9" t="str">
        <f ca="1">OFFSET(table_3_1[[hguide]:[hguide]], table_7_1[[#This Row],[index]] - 1, 0, 1, 1)</f>
        <v>B</v>
      </c>
      <c r="J37" s="9" t="str">
        <f ca="1">OFFSET(table_3_1[[cell]:[cell]], table_7_1[[#This Row],[index]] - 1, 0, 1, 1)</f>
        <v>KO</v>
      </c>
      <c r="K37" s="9" t="str">
        <f ca="1">OFFSET(table_3_1[[treatment]:[treatment]], table_7_1[[#This Row],[index]] - 1, 0, 1, 1)</f>
        <v>branch</v>
      </c>
      <c r="L37" s="9" t="str">
        <f t="shared" si="0"/>
        <v>without</v>
      </c>
      <c r="M3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7" s="9" t="b">
        <f ca="1">AND(table_7_1[[#This Row],[strand]] = "R2", OR(var_7_layout = "universal", var_7_layout = "fractal", AND(var_7_layout = "radial", table_7_1[[#This Row],[dsb_type]] &lt;&gt; "1DSB")))</f>
        <v>1</v>
      </c>
      <c r="O37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7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7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7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7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7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7" s="9" t="b">
        <v>0</v>
      </c>
      <c r="V37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7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7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7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7" s="9" t="str">
        <f>_xlfn.CONCAT(graphs, "/", var_7_layout, "/", table_7_1[[#This Row],[format]], "/", var_7_ext)</f>
        <v>plots/graphs/universal/individual/html</v>
      </c>
      <c r="AA37" s="9" t="s">
        <v>200</v>
      </c>
      <c r="AB3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libraries_4/KO_sgB_R2_branch_30bpDown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8" spans="1:28" x14ac:dyDescent="0.25">
      <c r="A38" s="3">
        <v>36</v>
      </c>
      <c r="B38" t="str">
        <f ca="1">OFFSET(table_3_1[[dir]:[dir]], table_7_1[[#This Row],[index]] - 1, 0, 1, 1)</f>
        <v>KO_sgB_R2_cmv_30bpDown</v>
      </c>
      <c r="C38" s="9" t="str">
        <f ca="1">OFFSET(table_3_1[[control]:[control]], table_7_1[[#This Row],[index]] - 1, 0, 1, 1)</f>
        <v>30bpDown</v>
      </c>
      <c r="D38" s="9" t="str">
        <f ca="1">OFFSET(table_3_1[[ref]:[ref]], table_7_1[[#This Row],[index]] - 1, 0, 1, 1)</f>
        <v>1DSB_R2_cmv.fa</v>
      </c>
      <c r="E38" s="9">
        <f ca="1">OFFSET(table_3_1[[dsb_pos]:[dsb_pos]], table_7_1[[#This Row],[index]] - 1, 0, 1, 1)</f>
        <v>76</v>
      </c>
      <c r="F38" s="9" t="str">
        <f ca="1">OFFSET(table_3_1[[dsb_type]:[dsb_type]], table_7_1[[#This Row],[index]] - 1, 0, 1, 1)</f>
        <v>1DSB</v>
      </c>
      <c r="G38" s="9" t="str">
        <f ca="1">OFFSET(table_3_1[[dsb_type_command]:[dsb_type_command]], table_7_1[[#This Row],[index]] - 1, 0, 1, 1)</f>
        <v>1</v>
      </c>
      <c r="H38" s="9" t="str">
        <f ca="1">OFFSET(table_3_1[[strand]:[strand]], table_7_1[[#This Row],[index]] - 1, 0, 1, 1)</f>
        <v>R2</v>
      </c>
      <c r="I38" s="9" t="str">
        <f ca="1">OFFSET(table_3_1[[hguide]:[hguide]], table_7_1[[#This Row],[index]] - 1, 0, 1, 1)</f>
        <v>B</v>
      </c>
      <c r="J38" s="9" t="str">
        <f ca="1">OFFSET(table_3_1[[cell]:[cell]], table_7_1[[#This Row],[index]] - 1, 0, 1, 1)</f>
        <v>KO</v>
      </c>
      <c r="K38" s="9" t="str">
        <f ca="1">OFFSET(table_3_1[[treatment]:[treatment]], table_7_1[[#This Row],[index]] - 1, 0, 1, 1)</f>
        <v>cmv</v>
      </c>
      <c r="L38" s="9" t="str">
        <f t="shared" si="0"/>
        <v>without</v>
      </c>
      <c r="M3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8" s="9" t="b">
        <f ca="1">AND(table_7_1[[#This Row],[strand]] = "R2", OR(var_7_layout = "universal", var_7_layout = "fractal", AND(var_7_layout = "radial", table_7_1[[#This Row],[dsb_type]] &lt;&gt; "1DSB")))</f>
        <v>1</v>
      </c>
      <c r="O38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8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8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8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8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8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8" s="9" t="b">
        <v>0</v>
      </c>
      <c r="V38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8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8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8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8" s="9" t="str">
        <f>_xlfn.CONCAT(graphs, "/", var_7_layout, "/", table_7_1[[#This Row],[format]], "/", var_7_ext)</f>
        <v>plots/graphs/universal/individual/html</v>
      </c>
      <c r="AA38" s="9" t="s">
        <v>200</v>
      </c>
      <c r="AB3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libraries_4/KO_sgB_R2_cmv_30bpDown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9" spans="1:28" x14ac:dyDescent="0.25">
      <c r="A39" s="3">
        <v>37</v>
      </c>
      <c r="B39" t="str">
        <f ca="1">OFFSET(table_3_1[[dir]:[dir]], table_7_1[[#This Row],[index]] - 1, 0, 1, 1)</f>
        <v>WT_sgCD_R1_antisense</v>
      </c>
      <c r="C39" t="str">
        <f ca="1">OFFSET(table_3_1[[control]:[control]], table_7_1[[#This Row],[index]] - 1, 0, 1, 1)</f>
        <v>none</v>
      </c>
      <c r="D39" t="str">
        <f ca="1">OFFSET(table_3_1[[ref]:[ref]], table_7_1[[#This Row],[index]] - 1, 0, 1, 1)</f>
        <v>2DSBanti_R1_antisense.fa</v>
      </c>
      <c r="E39">
        <f ca="1">OFFSET(table_3_1[[dsb_pos]:[dsb_pos]], table_7_1[[#This Row],[index]] - 1, 0, 1, 1)</f>
        <v>50</v>
      </c>
      <c r="F39" t="str">
        <f ca="1">OFFSET(table_3_1[[dsb_type]:[dsb_type]], table_7_1[[#This Row],[index]] - 1, 0, 1, 1)</f>
        <v>2DSBanti</v>
      </c>
      <c r="G39" t="str">
        <f ca="1">OFFSET(table_3_1[[dsb_type_command]:[dsb_type_command]], table_7_1[[#This Row],[index]] - 1, 0, 1, 1)</f>
        <v>2a</v>
      </c>
      <c r="H39" t="str">
        <f ca="1">OFFSET(table_3_1[[strand]:[strand]], table_7_1[[#This Row],[index]] - 1, 0, 1, 1)</f>
        <v>R1</v>
      </c>
      <c r="I39" t="str">
        <f ca="1">OFFSET(table_3_1[[hguide]:[hguide]], table_7_1[[#This Row],[index]] - 1, 0, 1, 1)</f>
        <v>CD</v>
      </c>
      <c r="J39" t="str">
        <f ca="1">OFFSET(table_3_1[[cell]:[cell]], table_7_1[[#This Row],[index]] - 1, 0, 1, 1)</f>
        <v>WT</v>
      </c>
      <c r="K39" t="str">
        <f ca="1">OFFSET(table_3_1[[treatment]:[treatment]], table_7_1[[#This Row],[index]] - 1, 0, 1, 1)</f>
        <v>antisense</v>
      </c>
      <c r="L39" t="str">
        <f t="shared" si="0"/>
        <v>without</v>
      </c>
      <c r="M3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39" t="b">
        <f ca="1">AND(table_7_1[[#This Row],[strand]] = "R2", OR(var_7_layout = "universal", var_7_layout = "fractal", AND(var_7_layout = "radial", table_7_1[[#This Row],[dsb_type]] &lt;&gt; "1DSB")))</f>
        <v>0</v>
      </c>
      <c r="O3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9">
        <f ca="1">IF(var_7_layout="universal", IF(table_7_1[[#This Row],[hguide]]="AB", -22, IF(table_7_1[[#This Row],[hguide]]="CD", -18, IF(table_7_1[[#This Row],[hguide]]="A", -23, IF(table_7_1[[#This Row],[hguide]]="B", -22, NA())))), NA())</f>
        <v>-18</v>
      </c>
      <c r="R39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3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-18 27</v>
      </c>
      <c r="T3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-15.5 25.5 </v>
      </c>
      <c r="U39" t="b">
        <v>1</v>
      </c>
      <c r="V39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-16.5 --universal_layout_x_axis_insertion_y_pos 26.5 --universal_layout_x_axis_x_range -11.5 11.5</v>
      </c>
      <c r="W39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39">
        <f ca="1">IF(var_7_layout="universal", IF(table_7_1[[#This Row],[hguide]]="AB", 17, IF(table_7_1[[#This Row],[hguide]]="CD", 14, IF(table_7_1[[#This Row],[hguide]]="A", 19, IF(table_7_1[[#This Row],[hguide]]="B", 18, NA())))), NA())</f>
        <v>14</v>
      </c>
      <c r="Y3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14 --universal_layout_y_axis_insertion_max_tick 8</v>
      </c>
      <c r="Z39" t="str">
        <f>_xlfn.CONCAT(graphs, "/", var_7_layout, "/", table_7_1[[#This Row],[format]], "/", var_7_ext)</f>
        <v>plots/graphs/universal/individual/html</v>
      </c>
      <c r="AA39" t="s">
        <v>200</v>
      </c>
      <c r="AB3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libraries_4/WT_sgCD_R1_antisense -o plots/graphs/universal/individual/html --layout_dir layouts/universal/2DSBanti_CD -ext html --layout universal --width 2400 --height 1800 --range_x -12 13 --range_y -18 27  --universal_layout_y_axis_x_pos 12 --universal_layout_y_axis_y_range -15.5 25.5   --universal_layout_x_axis_deletion_y_pos -16.5 --universal_layout_x_axis_insertion_y_pos 26.5 --universal_layout_x_axis_x_range -11.5 11.5  --universal_layout_y_axis_deletion_max_tick 14 --universal_layout_y_axis_insertion_max_tick 8</v>
      </c>
    </row>
    <row r="40" spans="1:28" x14ac:dyDescent="0.25">
      <c r="A40" s="3">
        <v>38</v>
      </c>
      <c r="B40" t="str">
        <f ca="1">OFFSET(table_3_1[[dir]:[dir]], table_7_1[[#This Row],[index]] - 1, 0, 1, 1)</f>
        <v>WT_sgCD_R1_splicing</v>
      </c>
      <c r="C40" t="str">
        <f ca="1">OFFSET(table_3_1[[control]:[control]], table_7_1[[#This Row],[index]] - 1, 0, 1, 1)</f>
        <v>none</v>
      </c>
      <c r="D40" t="str">
        <f ca="1">OFFSET(table_3_1[[ref]:[ref]], table_7_1[[#This Row],[index]] - 1, 0, 1, 1)</f>
        <v>2DSBanti_R1_splicing.fa</v>
      </c>
      <c r="E40">
        <f ca="1">OFFSET(table_3_1[[dsb_pos]:[dsb_pos]], table_7_1[[#This Row],[index]] - 1, 0, 1, 1)</f>
        <v>50</v>
      </c>
      <c r="F40" t="str">
        <f ca="1">OFFSET(table_3_1[[dsb_type]:[dsb_type]], table_7_1[[#This Row],[index]] - 1, 0, 1, 1)</f>
        <v>2DSBanti</v>
      </c>
      <c r="G40" t="str">
        <f ca="1">OFFSET(table_3_1[[dsb_type_command]:[dsb_type_command]], table_7_1[[#This Row],[index]] - 1, 0, 1, 1)</f>
        <v>2a</v>
      </c>
      <c r="H40" t="str">
        <f ca="1">OFFSET(table_3_1[[strand]:[strand]], table_7_1[[#This Row],[index]] - 1, 0, 1, 1)</f>
        <v>R1</v>
      </c>
      <c r="I40" t="str">
        <f ca="1">OFFSET(table_3_1[[hguide]:[hguide]], table_7_1[[#This Row],[index]] - 1, 0, 1, 1)</f>
        <v>CD</v>
      </c>
      <c r="J40" t="str">
        <f ca="1">OFFSET(table_3_1[[cell]:[cell]], table_7_1[[#This Row],[index]] - 1, 0, 1, 1)</f>
        <v>WT</v>
      </c>
      <c r="K40" t="str">
        <f ca="1">OFFSET(table_3_1[[treatment]:[treatment]], table_7_1[[#This Row],[index]] - 1, 0, 1, 1)</f>
        <v>splicing</v>
      </c>
      <c r="L40" t="str">
        <f t="shared" si="0"/>
        <v>without</v>
      </c>
      <c r="M4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0" t="b">
        <f ca="1">AND(table_7_1[[#This Row],[strand]] = "R2", OR(var_7_layout = "universal", var_7_layout = "fractal", AND(var_7_layout = "radial", table_7_1[[#This Row],[dsb_type]] &lt;&gt; "1DSB")))</f>
        <v>0</v>
      </c>
      <c r="O40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0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0">
        <f ca="1">IF(var_7_layout="universal", IF(table_7_1[[#This Row],[hguide]]="AB", -22, IF(table_7_1[[#This Row],[hguide]]="CD", -18, IF(table_7_1[[#This Row],[hguide]]="A", -23, IF(table_7_1[[#This Row],[hguide]]="B", -22, NA())))), NA())</f>
        <v>-18</v>
      </c>
      <c r="R40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40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-18 27</v>
      </c>
      <c r="T40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-15.5 25.5 </v>
      </c>
      <c r="U40" t="b">
        <v>0</v>
      </c>
      <c r="V40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0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40">
        <f ca="1">IF(var_7_layout="universal", IF(table_7_1[[#This Row],[hguide]]="AB", 17, IF(table_7_1[[#This Row],[hguide]]="CD", 14, IF(table_7_1[[#This Row],[hguide]]="A", 19, IF(table_7_1[[#This Row],[hguide]]="B", 18, NA())))), NA())</f>
        <v>14</v>
      </c>
      <c r="Y40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14 --universal_layout_y_axis_insertion_max_tick 8</v>
      </c>
      <c r="Z40" t="str">
        <f>_xlfn.CONCAT(graphs, "/", var_7_layout, "/", table_7_1[[#This Row],[format]], "/", var_7_ext)</f>
        <v>plots/graphs/universal/individual/html</v>
      </c>
      <c r="AA40" t="s">
        <v>200</v>
      </c>
      <c r="AB4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libraries_4/WT_sgCD_R1_splicing -o plots/graphs/universal/individual/html --layout_dir layouts/universal/2DSBanti_CD -ext html --layout universal --width 2400 --height 1800 --range_x -12 13 --range_y -18 27  --universal_layout_y_axis_x_pos 12 --universal_layout_y_axis_y_range -15.5 25.5    --universal_layout_y_axis_deletion_max_tick 14 --universal_layout_y_axis_insertion_max_tick 8</v>
      </c>
    </row>
    <row r="41" spans="1:28" x14ac:dyDescent="0.25">
      <c r="A41" s="3">
        <v>39</v>
      </c>
      <c r="B41" t="str">
        <f ca="1">OFFSET(table_3_1[[dir]:[dir]], table_7_1[[#This Row],[index]] - 1, 0, 1, 1)</f>
        <v>WT_sgCD_R2_antisense</v>
      </c>
      <c r="C41" t="str">
        <f ca="1">OFFSET(table_3_1[[control]:[control]], table_7_1[[#This Row],[index]] - 1, 0, 1, 1)</f>
        <v>none</v>
      </c>
      <c r="D41" t="str">
        <f ca="1">OFFSET(table_3_1[[ref]:[ref]], table_7_1[[#This Row],[index]] - 1, 0, 1, 1)</f>
        <v>2DSBanti_R2_antisense.fa</v>
      </c>
      <c r="E41">
        <f ca="1">OFFSET(table_3_1[[dsb_pos]:[dsb_pos]], table_7_1[[#This Row],[index]] - 1, 0, 1, 1)</f>
        <v>47</v>
      </c>
      <c r="F41" t="str">
        <f ca="1">OFFSET(table_3_1[[dsb_type]:[dsb_type]], table_7_1[[#This Row],[index]] - 1, 0, 1, 1)</f>
        <v>2DSBanti</v>
      </c>
      <c r="G41" t="str">
        <f ca="1">OFFSET(table_3_1[[dsb_type_command]:[dsb_type_command]], table_7_1[[#This Row],[index]] - 1, 0, 1, 1)</f>
        <v>2a</v>
      </c>
      <c r="H41" t="str">
        <f ca="1">OFFSET(table_3_1[[strand]:[strand]], table_7_1[[#This Row],[index]] - 1, 0, 1, 1)</f>
        <v>R2</v>
      </c>
      <c r="I41" t="str">
        <f ca="1">OFFSET(table_3_1[[hguide]:[hguide]], table_7_1[[#This Row],[index]] - 1, 0, 1, 1)</f>
        <v>CD</v>
      </c>
      <c r="J41" t="str">
        <f ca="1">OFFSET(table_3_1[[cell]:[cell]], table_7_1[[#This Row],[index]] - 1, 0, 1, 1)</f>
        <v>WT</v>
      </c>
      <c r="K41" t="str">
        <f ca="1">OFFSET(table_3_1[[treatment]:[treatment]], table_7_1[[#This Row],[index]] - 1, 0, 1, 1)</f>
        <v>antisense</v>
      </c>
      <c r="L41" t="str">
        <f t="shared" si="0"/>
        <v>without</v>
      </c>
      <c r="M4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1" t="b">
        <f ca="1">AND(table_7_1[[#This Row],[strand]] = "R2", OR(var_7_layout = "universal", var_7_layout = "fractal", AND(var_7_layout = "radial", table_7_1[[#This Row],[dsb_type]] &lt;&gt; "1DSB")))</f>
        <v>1</v>
      </c>
      <c r="O41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1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1">
        <f ca="1">IF(var_7_layout="universal", IF(table_7_1[[#This Row],[hguide]]="AB", -22, IF(table_7_1[[#This Row],[hguide]]="CD", -18, IF(table_7_1[[#This Row],[hguide]]="A", -23, IF(table_7_1[[#This Row],[hguide]]="B", -22, NA())))), NA())</f>
        <v>-18</v>
      </c>
      <c r="R41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41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-18 27</v>
      </c>
      <c r="T41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-15.5 25.5 </v>
      </c>
      <c r="U41" t="b">
        <v>0</v>
      </c>
      <c r="V41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1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41">
        <f ca="1">IF(var_7_layout="universal", IF(table_7_1[[#This Row],[hguide]]="AB", 17, IF(table_7_1[[#This Row],[hguide]]="CD", 14, IF(table_7_1[[#This Row],[hguide]]="A", 19, IF(table_7_1[[#This Row],[hguide]]="B", 18, NA())))), NA())</f>
        <v>14</v>
      </c>
      <c r="Y41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14 --universal_layout_y_axis_insertion_max_tick 8</v>
      </c>
      <c r="Z41" t="str">
        <f>_xlfn.CONCAT(graphs, "/", var_7_layout, "/", table_7_1[[#This Row],[format]], "/", var_7_ext)</f>
        <v>plots/graphs/universal/individual/html</v>
      </c>
      <c r="AA41" t="s">
        <v>200</v>
      </c>
      <c r="AB4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libraries_4/WT_sgCD_R2_antisense -o plots/graphs/universal/individual/html --layout_dir layouts/universal/2DSBanti_CD -ext html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</v>
      </c>
    </row>
    <row r="42" spans="1:28" x14ac:dyDescent="0.25">
      <c r="A42" s="3">
        <v>40</v>
      </c>
      <c r="B42" t="str">
        <f ca="1">OFFSET(table_3_1[[dir]:[dir]], table_7_1[[#This Row],[index]] - 1, 0, 1, 1)</f>
        <v>WT_sgCD_R2_splicing</v>
      </c>
      <c r="C42" t="str">
        <f ca="1">OFFSET(table_3_1[[control]:[control]], table_7_1[[#This Row],[index]] - 1, 0, 1, 1)</f>
        <v>none</v>
      </c>
      <c r="D42" t="str">
        <f ca="1">OFFSET(table_3_1[[ref]:[ref]], table_7_1[[#This Row],[index]] - 1, 0, 1, 1)</f>
        <v>2DSBanti_R2_splicing.fa</v>
      </c>
      <c r="E42">
        <f ca="1">OFFSET(table_3_1[[dsb_pos]:[dsb_pos]], table_7_1[[#This Row],[index]] - 1, 0, 1, 1)</f>
        <v>47</v>
      </c>
      <c r="F42" t="str">
        <f ca="1">OFFSET(table_3_1[[dsb_type]:[dsb_type]], table_7_1[[#This Row],[index]] - 1, 0, 1, 1)</f>
        <v>2DSBanti</v>
      </c>
      <c r="G42" t="str">
        <f ca="1">OFFSET(table_3_1[[dsb_type_command]:[dsb_type_command]], table_7_1[[#This Row],[index]] - 1, 0, 1, 1)</f>
        <v>2a</v>
      </c>
      <c r="H42" t="str">
        <f ca="1">OFFSET(table_3_1[[strand]:[strand]], table_7_1[[#This Row],[index]] - 1, 0, 1, 1)</f>
        <v>R2</v>
      </c>
      <c r="I42" t="str">
        <f ca="1">OFFSET(table_3_1[[hguide]:[hguide]], table_7_1[[#This Row],[index]] - 1, 0, 1, 1)</f>
        <v>CD</v>
      </c>
      <c r="J42" t="str">
        <f ca="1">OFFSET(table_3_1[[cell]:[cell]], table_7_1[[#This Row],[index]] - 1, 0, 1, 1)</f>
        <v>WT</v>
      </c>
      <c r="K42" t="str">
        <f ca="1">OFFSET(table_3_1[[treatment]:[treatment]], table_7_1[[#This Row],[index]] - 1, 0, 1, 1)</f>
        <v>splicing</v>
      </c>
      <c r="L42" t="str">
        <f t="shared" si="0"/>
        <v>without</v>
      </c>
      <c r="M4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2" t="b">
        <f ca="1">AND(table_7_1[[#This Row],[strand]] = "R2", OR(var_7_layout = "universal", var_7_layout = "fractal", AND(var_7_layout = "radial", table_7_1[[#This Row],[dsb_type]] &lt;&gt; "1DSB")))</f>
        <v>1</v>
      </c>
      <c r="O42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2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2">
        <f ca="1">IF(var_7_layout="universal", IF(table_7_1[[#This Row],[hguide]]="AB", -22, IF(table_7_1[[#This Row],[hguide]]="CD", -18, IF(table_7_1[[#This Row],[hguide]]="A", -23, IF(table_7_1[[#This Row],[hguide]]="B", -22, NA())))), NA())</f>
        <v>-18</v>
      </c>
      <c r="R42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42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-18 27</v>
      </c>
      <c r="T42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-15.5 25.5 </v>
      </c>
      <c r="U42" t="b">
        <v>0</v>
      </c>
      <c r="V42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2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42">
        <f ca="1">IF(var_7_layout="universal", IF(table_7_1[[#This Row],[hguide]]="AB", 17, IF(table_7_1[[#This Row],[hguide]]="CD", 14, IF(table_7_1[[#This Row],[hguide]]="A", 19, IF(table_7_1[[#This Row],[hguide]]="B", 18, NA())))), NA())</f>
        <v>14</v>
      </c>
      <c r="Y42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14 --universal_layout_y_axis_insertion_max_tick 8</v>
      </c>
      <c r="Z42" t="str">
        <f>_xlfn.CONCAT(graphs, "/", var_7_layout, "/", table_7_1[[#This Row],[format]], "/", var_7_ext)</f>
        <v>plots/graphs/universal/individual/html</v>
      </c>
      <c r="AA42" t="s">
        <v>200</v>
      </c>
      <c r="AB4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libraries_4/WT_sgCD_R2_splicing -o plots/graphs/universal/individual/html --layout_dir layouts/universal/2DSBanti_CD -ext html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</v>
      </c>
    </row>
    <row r="44" spans="1:28" x14ac:dyDescent="0.25">
      <c r="A44" s="1" t="s">
        <v>112</v>
      </c>
      <c r="B44" s="1" t="s">
        <v>87</v>
      </c>
      <c r="C44" s="1" t="s">
        <v>82</v>
      </c>
      <c r="D44" s="1" t="s">
        <v>103</v>
      </c>
      <c r="E44" s="1" t="s">
        <v>102</v>
      </c>
      <c r="F44" s="1" t="s">
        <v>171</v>
      </c>
      <c r="G44" s="1" t="s">
        <v>178</v>
      </c>
      <c r="H44" s="1" t="s">
        <v>182</v>
      </c>
      <c r="I44" s="1" t="s">
        <v>194</v>
      </c>
      <c r="J44" s="1" t="s">
        <v>195</v>
      </c>
      <c r="K44" s="1" t="s">
        <v>193</v>
      </c>
      <c r="L44" s="1" t="s">
        <v>198</v>
      </c>
      <c r="M44" s="1" t="s">
        <v>139</v>
      </c>
      <c r="N44" s="1" t="s">
        <v>199</v>
      </c>
      <c r="O44" s="1" t="s">
        <v>168</v>
      </c>
    </row>
    <row r="45" spans="1:28" x14ac:dyDescent="0.25">
      <c r="A45" s="1">
        <v>1</v>
      </c>
      <c r="B45" s="2" t="str">
        <f ca="1">OFFSET(table_4_1[], table_7_2[[#This Row],[index]] - 1, _xlfn.XMATCH("dir_out", table_4_1[#Headers], 0, 1) - 1, 1, 1)</f>
        <v>WT_sgAB_R1_sense_branch</v>
      </c>
      <c r="C45" s="2" t="str">
        <f ca="1">OFFSET(table_7_1[[strand]:[strand]], 3 * QUOTIENT(table_7_2[[#This Row],[index]] - 1, 2), 0, 1, 1)</f>
        <v>R1</v>
      </c>
      <c r="D45" s="2" t="str">
        <f ca="1">OFFSET(table_7_1[[hguide]:[hguide]], 3 * QUOTIENT(table_7_2[[#This Row],[index]] - 1, 2), 0, 1, 1)</f>
        <v>AB</v>
      </c>
      <c r="E45" s="2" t="str">
        <f ca="1">OFFSET(table_7_1[[dsb_type]:[dsb_type]], 3 * QUOTIENT(table_7_2[[#This Row],[index]] - 1, 2), 0, 1, 1)</f>
        <v>2DSB</v>
      </c>
      <c r="F45" s="2" t="str">
        <f ca="1">OFFSET(table_7_1[[common_layout_dir]:[common_layout_dir]], 3 * QUOTIENT(table_7_2[[#This Row],[index]] - 1, 2), 0, 1, 1)</f>
        <v>universal/2DSB_AB</v>
      </c>
      <c r="G45" s="2" t="b">
        <f ca="1">OFFSET(table_7_1[[reverse_complement]:[reverse_complement]], 3 * QUOTIENT(table_7_2[[#This Row],[index]] - 1, 2), 0, 1, 1)</f>
        <v>0</v>
      </c>
      <c r="H45" s="2" t="str">
        <f ca="1">OFFSET(table_7_1[[range_args]:[range_args]], 3 * QUOTIENT(table_7_2[[#This Row],[index]] - 1, 2), 0, 1, 1)</f>
        <v>--range_x -12 13 --range_y -22 22</v>
      </c>
      <c r="I45" s="2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5" s="2" t="b">
        <v>0</v>
      </c>
      <c r="K45" s="2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5" s="2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5" s="2" t="str">
        <f>_xlfn.CONCAT(graphs, "/", var_7_layout, "/", table_7_2[[#This Row],[format]], "/", var_7_ext)</f>
        <v>plots/graphs/universal/combined/html</v>
      </c>
      <c r="N45" s="2" t="s">
        <v>201</v>
      </c>
      <c r="O4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libraries_4/WT_sgAB_R1_sense_branch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6" spans="1:28" x14ac:dyDescent="0.25">
      <c r="A46" s="1">
        <v>2</v>
      </c>
      <c r="B46" s="2" t="str">
        <f ca="1">OFFSET(table_4_1[], table_7_2[[#This Row],[index]] - 1, _xlfn.XMATCH("dir_out", table_4_1[#Headers], 0, 1) - 1, 1, 1)</f>
        <v>WT_sgAB_R1_sense_cmv</v>
      </c>
      <c r="C46" s="2" t="str">
        <f ca="1">OFFSET(table_7_1[[strand]:[strand]], 3 * QUOTIENT(table_7_2[[#This Row],[index]] - 1, 2), 0, 1, 1)</f>
        <v>R1</v>
      </c>
      <c r="D46" s="2" t="str">
        <f ca="1">OFFSET(table_7_1[[hguide]:[hguide]], 3 * QUOTIENT(table_7_2[[#This Row],[index]] - 1, 2), 0, 1, 1)</f>
        <v>AB</v>
      </c>
      <c r="E46" s="2" t="str">
        <f ca="1">OFFSET(table_7_1[[dsb_type]:[dsb_type]], 3 * QUOTIENT(table_7_2[[#This Row],[index]] - 1, 2), 0, 1, 1)</f>
        <v>2DSB</v>
      </c>
      <c r="F46" s="2" t="str">
        <f ca="1">OFFSET(table_7_1[[common_layout_dir]:[common_layout_dir]], 3 * QUOTIENT(table_7_2[[#This Row],[index]] - 1, 2), 0, 1, 1)</f>
        <v>universal/2DSB_AB</v>
      </c>
      <c r="G46" s="2" t="b">
        <f ca="1">OFFSET(table_7_1[[reverse_complement]:[reverse_complement]], 3 * QUOTIENT(table_7_2[[#This Row],[index]] - 1, 2), 0, 1, 1)</f>
        <v>0</v>
      </c>
      <c r="H46" s="2" t="str">
        <f ca="1">OFFSET(table_7_1[[range_args]:[range_args]], 3 * QUOTIENT(table_7_2[[#This Row],[index]] - 1, 2), 0, 1, 1)</f>
        <v>--range_x -12 13 --range_y -22 22</v>
      </c>
      <c r="I46" s="2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6" s="2" t="b">
        <v>0</v>
      </c>
      <c r="K46" s="2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6" s="2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6" s="2" t="str">
        <f>_xlfn.CONCAT(graphs, "/", var_7_layout, "/", table_7_2[[#This Row],[format]], "/", var_7_ext)</f>
        <v>plots/graphs/universal/combined/html</v>
      </c>
      <c r="N46" s="2" t="s">
        <v>201</v>
      </c>
      <c r="O46" s="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libraries_4/WT_sgAB_R1_sense_cmv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7" spans="1:28" x14ac:dyDescent="0.25">
      <c r="A47" s="1">
        <v>3</v>
      </c>
      <c r="B47" t="str">
        <f ca="1">OFFSET(table_4_1[], table_7_2[[#This Row],[index]] - 1, _xlfn.XMATCH("dir_out", table_4_1[#Headers], 0, 1) - 1, 1, 1)</f>
        <v>KO_sgAB_R1_sense_branch</v>
      </c>
      <c r="C47" t="str">
        <f ca="1">OFFSET(table_7_1[[strand]:[strand]], 3 * QUOTIENT(table_7_2[[#This Row],[index]] - 1, 2), 0, 1, 1)</f>
        <v>R1</v>
      </c>
      <c r="D47" t="str">
        <f ca="1">OFFSET(table_7_1[[hguide]:[hguide]], 3 * QUOTIENT(table_7_2[[#This Row],[index]] - 1, 2), 0, 1, 1)</f>
        <v>AB</v>
      </c>
      <c r="E47" t="str">
        <f ca="1">OFFSET(table_7_1[[dsb_type]:[dsb_type]], 3 * QUOTIENT(table_7_2[[#This Row],[index]] - 1, 2), 0, 1, 1)</f>
        <v>2DSB</v>
      </c>
      <c r="F47" t="str">
        <f ca="1">OFFSET(table_7_1[[common_layout_dir]:[common_layout_dir]], 3 * QUOTIENT(table_7_2[[#This Row],[index]] - 1, 2), 0, 1, 1)</f>
        <v>universal/2DSB_AB</v>
      </c>
      <c r="G47" s="2" t="b">
        <f ca="1">OFFSET(table_7_1[[reverse_complement]:[reverse_complement]], 3 * QUOTIENT(table_7_2[[#This Row],[index]] - 1, 2), 0, 1, 1)</f>
        <v>0</v>
      </c>
      <c r="H47" t="str">
        <f ca="1">OFFSET(table_7_1[[range_args]:[range_args]], 3 * QUOTIENT(table_7_2[[#This Row],[index]] - 1, 2), 0, 1, 1)</f>
        <v>--range_x -12 13 --range_y -22 22</v>
      </c>
      <c r="I47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7" t="b">
        <v>0</v>
      </c>
      <c r="K47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7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7" t="str">
        <f>_xlfn.CONCAT(graphs, "/", var_7_layout, "/", table_7_2[[#This Row],[format]], "/", var_7_ext)</f>
        <v>plots/graphs/universal/combined/html</v>
      </c>
      <c r="N47" t="s">
        <v>201</v>
      </c>
      <c r="O4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libraries_4/KO_sgAB_R1_sense_branch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8" spans="1:28" x14ac:dyDescent="0.25">
      <c r="A48" s="1">
        <v>4</v>
      </c>
      <c r="B48" t="str">
        <f ca="1">OFFSET(table_4_1[], table_7_2[[#This Row],[index]] - 1, _xlfn.XMATCH("dir_out", table_4_1[#Headers], 0, 1) - 1, 1, 1)</f>
        <v>KO_sgAB_R1_sense_cmv</v>
      </c>
      <c r="C48" t="str">
        <f ca="1">OFFSET(table_7_1[[strand]:[strand]], 3 * QUOTIENT(table_7_2[[#This Row],[index]] - 1, 2), 0, 1, 1)</f>
        <v>R1</v>
      </c>
      <c r="D48" t="str">
        <f ca="1">OFFSET(table_7_1[[hguide]:[hguide]], 3 * QUOTIENT(table_7_2[[#This Row],[index]] - 1, 2), 0, 1, 1)</f>
        <v>AB</v>
      </c>
      <c r="E48" t="str">
        <f ca="1">OFFSET(table_7_1[[dsb_type]:[dsb_type]], 3 * QUOTIENT(table_7_2[[#This Row],[index]] - 1, 2), 0, 1, 1)</f>
        <v>2DSB</v>
      </c>
      <c r="F48" t="str">
        <f ca="1">OFFSET(table_7_1[[common_layout_dir]:[common_layout_dir]], 3 * QUOTIENT(table_7_2[[#This Row],[index]] - 1, 2), 0, 1, 1)</f>
        <v>universal/2DSB_AB</v>
      </c>
      <c r="G48" s="2" t="b">
        <f ca="1">OFFSET(table_7_1[[reverse_complement]:[reverse_complement]], 3 * QUOTIENT(table_7_2[[#This Row],[index]] - 1, 2), 0, 1, 1)</f>
        <v>0</v>
      </c>
      <c r="H48" t="str">
        <f ca="1">OFFSET(table_7_1[[range_args]:[range_args]], 3 * QUOTIENT(table_7_2[[#This Row],[index]] - 1, 2), 0, 1, 1)</f>
        <v>--range_x -12 13 --range_y -22 22</v>
      </c>
      <c r="I48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8" t="b">
        <v>0</v>
      </c>
      <c r="K48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8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8" t="str">
        <f>_xlfn.CONCAT(graphs, "/", var_7_layout, "/", table_7_2[[#This Row],[format]], "/", var_7_ext)</f>
        <v>plots/graphs/universal/combined/html</v>
      </c>
      <c r="N48" t="s">
        <v>201</v>
      </c>
      <c r="O4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libraries_4/KO_sgAB_R1_sense_cmv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9" spans="1:15" x14ac:dyDescent="0.25">
      <c r="A49" s="1">
        <v>5</v>
      </c>
      <c r="B49" t="str">
        <f ca="1">OFFSET(table_4_1[], table_7_2[[#This Row],[index]] - 1, _xlfn.XMATCH("dir_out", table_4_1[#Headers], 0, 1) - 1, 1, 1)</f>
        <v>WT_sgAB_R2_sense_branch</v>
      </c>
      <c r="C49" t="str">
        <f ca="1">OFFSET(table_7_1[[strand]:[strand]], 3 * QUOTIENT(table_7_2[[#This Row],[index]] - 1, 2), 0, 1, 1)</f>
        <v>R2</v>
      </c>
      <c r="D49" t="str">
        <f ca="1">OFFSET(table_7_1[[hguide]:[hguide]], 3 * QUOTIENT(table_7_2[[#This Row],[index]] - 1, 2), 0, 1, 1)</f>
        <v>AB</v>
      </c>
      <c r="E49" t="str">
        <f ca="1">OFFSET(table_7_1[[dsb_type]:[dsb_type]], 3 * QUOTIENT(table_7_2[[#This Row],[index]] - 1, 2), 0, 1, 1)</f>
        <v>2DSB</v>
      </c>
      <c r="F49" t="str">
        <f ca="1">OFFSET(table_7_1[[common_layout_dir]:[common_layout_dir]], 3 * QUOTIENT(table_7_2[[#This Row],[index]] - 1, 2), 0, 1, 1)</f>
        <v>universal/2DSB_AB</v>
      </c>
      <c r="G49" s="2" t="b">
        <f ca="1">OFFSET(table_7_1[[reverse_complement]:[reverse_complement]], 3 * QUOTIENT(table_7_2[[#This Row],[index]] - 1, 2), 0, 1, 1)</f>
        <v>1</v>
      </c>
      <c r="H49" t="str">
        <f ca="1">OFFSET(table_7_1[[range_args]:[range_args]], 3 * QUOTIENT(table_7_2[[#This Row],[index]] - 1, 2), 0, 1, 1)</f>
        <v>--range_x -12 13 --range_y -22 22</v>
      </c>
      <c r="I49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9" t="b">
        <v>0</v>
      </c>
      <c r="K49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9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9" t="str">
        <f>_xlfn.CONCAT(graphs, "/", var_7_layout, "/", table_7_2[[#This Row],[format]], "/", var_7_ext)</f>
        <v>plots/graphs/universal/combined/html</v>
      </c>
      <c r="N49" t="s">
        <v>201</v>
      </c>
      <c r="O4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libraries_4/WT_sgAB_R2_sense_branch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0" spans="1:15" x14ac:dyDescent="0.25">
      <c r="A50" s="1">
        <v>6</v>
      </c>
      <c r="B50" t="str">
        <f ca="1">OFFSET(table_4_1[], table_7_2[[#This Row],[index]] - 1, _xlfn.XMATCH("dir_out", table_4_1[#Headers], 0, 1) - 1, 1, 1)</f>
        <v>WT_sgAB_R2_sense_cmv</v>
      </c>
      <c r="C50" t="str">
        <f ca="1">OFFSET(table_7_1[[strand]:[strand]], 3 * QUOTIENT(table_7_2[[#This Row],[index]] - 1, 2), 0, 1, 1)</f>
        <v>R2</v>
      </c>
      <c r="D50" t="str">
        <f ca="1">OFFSET(table_7_1[[hguide]:[hguide]], 3 * QUOTIENT(table_7_2[[#This Row],[index]] - 1, 2), 0, 1, 1)</f>
        <v>AB</v>
      </c>
      <c r="E50" t="str">
        <f ca="1">OFFSET(table_7_1[[dsb_type]:[dsb_type]], 3 * QUOTIENT(table_7_2[[#This Row],[index]] - 1, 2), 0, 1, 1)</f>
        <v>2DSB</v>
      </c>
      <c r="F50" t="str">
        <f ca="1">OFFSET(table_7_1[[common_layout_dir]:[common_layout_dir]], 3 * QUOTIENT(table_7_2[[#This Row],[index]] - 1, 2), 0, 1, 1)</f>
        <v>universal/2DSB_AB</v>
      </c>
      <c r="G50" s="2" t="b">
        <f ca="1">OFFSET(table_7_1[[reverse_complement]:[reverse_complement]], 3 * QUOTIENT(table_7_2[[#This Row],[index]] - 1, 2), 0, 1, 1)</f>
        <v>1</v>
      </c>
      <c r="H50" t="str">
        <f ca="1">OFFSET(table_7_1[[range_args]:[range_args]], 3 * QUOTIENT(table_7_2[[#This Row],[index]] - 1, 2), 0, 1, 1)</f>
        <v>--range_x -12 13 --range_y -22 22</v>
      </c>
      <c r="I50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50" t="b">
        <v>0</v>
      </c>
      <c r="K50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0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50" t="str">
        <f>_xlfn.CONCAT(graphs, "/", var_7_layout, "/", table_7_2[[#This Row],[format]], "/", var_7_ext)</f>
        <v>plots/graphs/universal/combined/html</v>
      </c>
      <c r="N50" t="s">
        <v>201</v>
      </c>
      <c r="O5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libraries_4/WT_sgAB_R2_sense_cmv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1" spans="1:15" x14ac:dyDescent="0.25">
      <c r="A51" s="1">
        <v>7</v>
      </c>
      <c r="B51" t="str">
        <f ca="1">OFFSET(table_4_1[], table_7_2[[#This Row],[index]] - 1, _xlfn.XMATCH("dir_out", table_4_1[#Headers], 0, 1) - 1, 1, 1)</f>
        <v>KO_sgAB_R2_sense_branch</v>
      </c>
      <c r="C51" t="str">
        <f ca="1">OFFSET(table_7_1[[strand]:[strand]], 3 * QUOTIENT(table_7_2[[#This Row],[index]] - 1, 2), 0, 1, 1)</f>
        <v>R2</v>
      </c>
      <c r="D51" t="str">
        <f ca="1">OFFSET(table_7_1[[hguide]:[hguide]], 3 * QUOTIENT(table_7_2[[#This Row],[index]] - 1, 2), 0, 1, 1)</f>
        <v>AB</v>
      </c>
      <c r="E51" t="str">
        <f ca="1">OFFSET(table_7_1[[dsb_type]:[dsb_type]], 3 * QUOTIENT(table_7_2[[#This Row],[index]] - 1, 2), 0, 1, 1)</f>
        <v>2DSB</v>
      </c>
      <c r="F51" t="str">
        <f ca="1">OFFSET(table_7_1[[common_layout_dir]:[common_layout_dir]], 3 * QUOTIENT(table_7_2[[#This Row],[index]] - 1, 2), 0, 1, 1)</f>
        <v>universal/2DSB_AB</v>
      </c>
      <c r="G51" s="2" t="b">
        <f ca="1">OFFSET(table_7_1[[reverse_complement]:[reverse_complement]], 3 * QUOTIENT(table_7_2[[#This Row],[index]] - 1, 2), 0, 1, 1)</f>
        <v>1</v>
      </c>
      <c r="H51" t="str">
        <f ca="1">OFFSET(table_7_1[[range_args]:[range_args]], 3 * QUOTIENT(table_7_2[[#This Row],[index]] - 1, 2), 0, 1, 1)</f>
        <v>--range_x -12 13 --range_y -22 22</v>
      </c>
      <c r="I51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51" t="b">
        <v>0</v>
      </c>
      <c r="K51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1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51" t="str">
        <f>_xlfn.CONCAT(graphs, "/", var_7_layout, "/", table_7_2[[#This Row],[format]], "/", var_7_ext)</f>
        <v>plots/graphs/universal/combined/html</v>
      </c>
      <c r="N51" t="s">
        <v>201</v>
      </c>
      <c r="O51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libraries_4/KO_sgAB_R2_sense_branch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2" spans="1:15" x14ac:dyDescent="0.25">
      <c r="A52" s="1">
        <v>8</v>
      </c>
      <c r="B52" t="str">
        <f ca="1">OFFSET(table_4_1[], table_7_2[[#This Row],[index]] - 1, _xlfn.XMATCH("dir_out", table_4_1[#Headers], 0, 1) - 1, 1, 1)</f>
        <v>KO_sgAB_R2_sense_cmv</v>
      </c>
      <c r="C52" t="str">
        <f ca="1">OFFSET(table_7_1[[strand]:[strand]], 3 * QUOTIENT(table_7_2[[#This Row],[index]] - 1, 2), 0, 1, 1)</f>
        <v>R2</v>
      </c>
      <c r="D52" t="str">
        <f ca="1">OFFSET(table_7_1[[hguide]:[hguide]], 3 * QUOTIENT(table_7_2[[#This Row],[index]] - 1, 2), 0, 1, 1)</f>
        <v>AB</v>
      </c>
      <c r="E52" t="str">
        <f ca="1">OFFSET(table_7_1[[dsb_type]:[dsb_type]], 3 * QUOTIENT(table_7_2[[#This Row],[index]] - 1, 2), 0, 1, 1)</f>
        <v>2DSB</v>
      </c>
      <c r="F52" t="str">
        <f ca="1">OFFSET(table_7_1[[common_layout_dir]:[common_layout_dir]], 3 * QUOTIENT(table_7_2[[#This Row],[index]] - 1, 2), 0, 1, 1)</f>
        <v>universal/2DSB_AB</v>
      </c>
      <c r="G52" s="2" t="b">
        <f ca="1">OFFSET(table_7_1[[reverse_complement]:[reverse_complement]], 3 * QUOTIENT(table_7_2[[#This Row],[index]] - 1, 2), 0, 1, 1)</f>
        <v>1</v>
      </c>
      <c r="H52" t="str">
        <f ca="1">OFFSET(table_7_1[[range_args]:[range_args]], 3 * QUOTIENT(table_7_2[[#This Row],[index]] - 1, 2), 0, 1, 1)</f>
        <v>--range_x -12 13 --range_y -22 22</v>
      </c>
      <c r="I52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52" t="b">
        <v>0</v>
      </c>
      <c r="K52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2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52" t="str">
        <f>_xlfn.CONCAT(graphs, "/", var_7_layout, "/", table_7_2[[#This Row],[format]], "/", var_7_ext)</f>
        <v>plots/graphs/universal/combined/html</v>
      </c>
      <c r="N52" t="s">
        <v>201</v>
      </c>
      <c r="O5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libraries_4/KO_sgAB_R2_sense_cmv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3" spans="1:15" x14ac:dyDescent="0.25">
      <c r="A53" s="1">
        <v>9</v>
      </c>
      <c r="B53" t="str">
        <f ca="1">OFFSET(table_4_1[], table_7_2[[#This Row],[index]] - 1, _xlfn.XMATCH("dir_out", table_4_1[#Headers], 0, 1) - 1, 1, 1)</f>
        <v>WT_sgA_R1_sense_branch</v>
      </c>
      <c r="C53" t="str">
        <f ca="1">OFFSET(table_7_1[[strand]:[strand]], 3 * QUOTIENT(table_7_2[[#This Row],[index]] - 1, 2), 0, 1, 1)</f>
        <v>R1</v>
      </c>
      <c r="D53" t="str">
        <f ca="1">OFFSET(table_7_1[[hguide]:[hguide]], 3 * QUOTIENT(table_7_2[[#This Row],[index]] - 1, 2), 0, 1, 1)</f>
        <v>A</v>
      </c>
      <c r="E53" t="str">
        <f ca="1">OFFSET(table_7_1[[dsb_type]:[dsb_type]], 3 * QUOTIENT(table_7_2[[#This Row],[index]] - 1, 2), 0, 1, 1)</f>
        <v>1DSB</v>
      </c>
      <c r="F53" t="str">
        <f ca="1">OFFSET(table_7_1[[common_layout_dir]:[common_layout_dir]], 3 * QUOTIENT(table_7_2[[#This Row],[index]] - 1, 2), 0, 1, 1)</f>
        <v>universal/1DSB_A</v>
      </c>
      <c r="G53" s="2" t="b">
        <f ca="1">OFFSET(table_7_1[[reverse_complement]:[reverse_complement]], 3 * QUOTIENT(table_7_2[[#This Row],[index]] - 1, 2), 0, 1, 1)</f>
        <v>0</v>
      </c>
      <c r="H53" t="str">
        <f ca="1">OFFSET(table_7_1[[range_args]:[range_args]], 3 * QUOTIENT(table_7_2[[#This Row],[index]] - 1, 2), 0, 1, 1)</f>
        <v>--range_x -12 13 --range_y -23 20</v>
      </c>
      <c r="I53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3" t="b">
        <v>0</v>
      </c>
      <c r="K53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3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3" t="str">
        <f>_xlfn.CONCAT(graphs, "/", var_7_layout, "/", table_7_2[[#This Row],[format]], "/", var_7_ext)</f>
        <v>plots/graphs/universal/combined/html</v>
      </c>
      <c r="N53" t="s">
        <v>201</v>
      </c>
      <c r="O53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libraries_4/WT_sgA_R1_sense_branch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4" spans="1:15" x14ac:dyDescent="0.25">
      <c r="A54" s="1">
        <v>10</v>
      </c>
      <c r="B54" t="str">
        <f ca="1">OFFSET(table_4_1[], table_7_2[[#This Row],[index]] - 1, _xlfn.XMATCH("dir_out", table_4_1[#Headers], 0, 1) - 1, 1, 1)</f>
        <v>WT_sgA_R1_sense_cmv</v>
      </c>
      <c r="C54" t="str">
        <f ca="1">OFFSET(table_7_1[[strand]:[strand]], 3 * QUOTIENT(table_7_2[[#This Row],[index]] - 1, 2), 0, 1, 1)</f>
        <v>R1</v>
      </c>
      <c r="D54" t="str">
        <f ca="1">OFFSET(table_7_1[[hguide]:[hguide]], 3 * QUOTIENT(table_7_2[[#This Row],[index]] - 1, 2), 0, 1, 1)</f>
        <v>A</v>
      </c>
      <c r="E54" t="str">
        <f ca="1">OFFSET(table_7_1[[dsb_type]:[dsb_type]], 3 * QUOTIENT(table_7_2[[#This Row],[index]] - 1, 2), 0, 1, 1)</f>
        <v>1DSB</v>
      </c>
      <c r="F54" t="str">
        <f ca="1">OFFSET(table_7_1[[common_layout_dir]:[common_layout_dir]], 3 * QUOTIENT(table_7_2[[#This Row],[index]] - 1, 2), 0, 1, 1)</f>
        <v>universal/1DSB_A</v>
      </c>
      <c r="G54" s="2" t="b">
        <f ca="1">OFFSET(table_7_1[[reverse_complement]:[reverse_complement]], 3 * QUOTIENT(table_7_2[[#This Row],[index]] - 1, 2), 0, 1, 1)</f>
        <v>0</v>
      </c>
      <c r="H54" t="str">
        <f ca="1">OFFSET(table_7_1[[range_args]:[range_args]], 3 * QUOTIENT(table_7_2[[#This Row],[index]] - 1, 2), 0, 1, 1)</f>
        <v>--range_x -12 13 --range_y -23 20</v>
      </c>
      <c r="I54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4" t="b">
        <v>0</v>
      </c>
      <c r="K54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4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4" t="str">
        <f>_xlfn.CONCAT(graphs, "/", var_7_layout, "/", table_7_2[[#This Row],[format]], "/", var_7_ext)</f>
        <v>plots/graphs/universal/combined/html</v>
      </c>
      <c r="N54" t="s">
        <v>201</v>
      </c>
      <c r="O54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libraries_4/WT_sgA_R1_sense_cmv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5" spans="1:15" x14ac:dyDescent="0.25">
      <c r="A55" s="1">
        <v>11</v>
      </c>
      <c r="B55" t="str">
        <f ca="1">OFFSET(table_4_1[], table_7_2[[#This Row],[index]] - 1, _xlfn.XMATCH("dir_out", table_4_1[#Headers], 0, 1) - 1, 1, 1)</f>
        <v>KO_sgA_R1_sense_branch</v>
      </c>
      <c r="C55" t="str">
        <f ca="1">OFFSET(table_7_1[[strand]:[strand]], 3 * QUOTIENT(table_7_2[[#This Row],[index]] - 1, 2), 0, 1, 1)</f>
        <v>R1</v>
      </c>
      <c r="D55" t="str">
        <f ca="1">OFFSET(table_7_1[[hguide]:[hguide]], 3 * QUOTIENT(table_7_2[[#This Row],[index]] - 1, 2), 0, 1, 1)</f>
        <v>A</v>
      </c>
      <c r="E55" t="str">
        <f ca="1">OFFSET(table_7_1[[dsb_type]:[dsb_type]], 3 * QUOTIENT(table_7_2[[#This Row],[index]] - 1, 2), 0, 1, 1)</f>
        <v>1DSB</v>
      </c>
      <c r="F55" t="str">
        <f ca="1">OFFSET(table_7_1[[common_layout_dir]:[common_layout_dir]], 3 * QUOTIENT(table_7_2[[#This Row],[index]] - 1, 2), 0, 1, 1)</f>
        <v>universal/1DSB_A</v>
      </c>
      <c r="G55" s="2" t="b">
        <f ca="1">OFFSET(table_7_1[[reverse_complement]:[reverse_complement]], 3 * QUOTIENT(table_7_2[[#This Row],[index]] - 1, 2), 0, 1, 1)</f>
        <v>0</v>
      </c>
      <c r="H55" t="str">
        <f ca="1">OFFSET(table_7_1[[range_args]:[range_args]], 3 * QUOTIENT(table_7_2[[#This Row],[index]] - 1, 2), 0, 1, 1)</f>
        <v>--range_x -12 13 --range_y -23 20</v>
      </c>
      <c r="I55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5" t="b">
        <v>0</v>
      </c>
      <c r="K55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5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5" t="str">
        <f>_xlfn.CONCAT(graphs, "/", var_7_layout, "/", table_7_2[[#This Row],[format]], "/", var_7_ext)</f>
        <v>plots/graphs/universal/combined/html</v>
      </c>
      <c r="N55" t="s">
        <v>201</v>
      </c>
      <c r="O5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libraries_4/KO_sgA_R1_sense_branch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6" spans="1:15" x14ac:dyDescent="0.25">
      <c r="A56" s="1">
        <v>12</v>
      </c>
      <c r="B56" t="str">
        <f ca="1">OFFSET(table_4_1[], table_7_2[[#This Row],[index]] - 1, _xlfn.XMATCH("dir_out", table_4_1[#Headers], 0, 1) - 1, 1, 1)</f>
        <v>KO_sgA_R1_sense_cmv</v>
      </c>
      <c r="C56" t="str">
        <f ca="1">OFFSET(table_7_1[[strand]:[strand]], 3 * QUOTIENT(table_7_2[[#This Row],[index]] - 1, 2), 0, 1, 1)</f>
        <v>R1</v>
      </c>
      <c r="D56" t="str">
        <f ca="1">OFFSET(table_7_1[[hguide]:[hguide]], 3 * QUOTIENT(table_7_2[[#This Row],[index]] - 1, 2), 0, 1, 1)</f>
        <v>A</v>
      </c>
      <c r="E56" t="str">
        <f ca="1">OFFSET(table_7_1[[dsb_type]:[dsb_type]], 3 * QUOTIENT(table_7_2[[#This Row],[index]] - 1, 2), 0, 1, 1)</f>
        <v>1DSB</v>
      </c>
      <c r="F56" t="str">
        <f ca="1">OFFSET(table_7_1[[common_layout_dir]:[common_layout_dir]], 3 * QUOTIENT(table_7_2[[#This Row],[index]] - 1, 2), 0, 1, 1)</f>
        <v>universal/1DSB_A</v>
      </c>
      <c r="G56" s="2" t="b">
        <f ca="1">OFFSET(table_7_1[[reverse_complement]:[reverse_complement]], 3 * QUOTIENT(table_7_2[[#This Row],[index]] - 1, 2), 0, 1, 1)</f>
        <v>0</v>
      </c>
      <c r="H56" t="str">
        <f ca="1">OFFSET(table_7_1[[range_args]:[range_args]], 3 * QUOTIENT(table_7_2[[#This Row],[index]] - 1, 2), 0, 1, 1)</f>
        <v>--range_x -12 13 --range_y -23 20</v>
      </c>
      <c r="I56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6" t="b">
        <v>0</v>
      </c>
      <c r="K56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6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6" t="str">
        <f>_xlfn.CONCAT(graphs, "/", var_7_layout, "/", table_7_2[[#This Row],[format]], "/", var_7_ext)</f>
        <v>plots/graphs/universal/combined/html</v>
      </c>
      <c r="N56" t="s">
        <v>201</v>
      </c>
      <c r="O56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libraries_4/KO_sgA_R1_sense_cmv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7" spans="1:15" x14ac:dyDescent="0.25">
      <c r="A57" s="1">
        <v>13</v>
      </c>
      <c r="B57" t="str">
        <f ca="1">OFFSET(table_4_1[], table_7_2[[#This Row],[index]] - 1, _xlfn.XMATCH("dir_out", table_4_1[#Headers], 0, 1) - 1, 1, 1)</f>
        <v>WT_sgB_R2_sense_branch</v>
      </c>
      <c r="C57" t="str">
        <f ca="1">OFFSET(table_7_1[[strand]:[strand]], 3 * QUOTIENT(table_7_2[[#This Row],[index]] - 1, 2), 0, 1, 1)</f>
        <v>R2</v>
      </c>
      <c r="D57" t="str">
        <f ca="1">OFFSET(table_7_1[[hguide]:[hguide]], 3 * QUOTIENT(table_7_2[[#This Row],[index]] - 1, 2), 0, 1, 1)</f>
        <v>B</v>
      </c>
      <c r="E57" t="str">
        <f ca="1">OFFSET(table_7_1[[dsb_type]:[dsb_type]], 3 * QUOTIENT(table_7_2[[#This Row],[index]] - 1, 2), 0, 1, 1)</f>
        <v>1DSB</v>
      </c>
      <c r="F57" t="str">
        <f ca="1">OFFSET(table_7_1[[common_layout_dir]:[common_layout_dir]], 3 * QUOTIENT(table_7_2[[#This Row],[index]] - 1, 2), 0, 1, 1)</f>
        <v>universal/1DSB_B</v>
      </c>
      <c r="G57" s="2" t="b">
        <f ca="1">OFFSET(table_7_1[[reverse_complement]:[reverse_complement]], 3 * QUOTIENT(table_7_2[[#This Row],[index]] - 1, 2), 0, 1, 1)</f>
        <v>1</v>
      </c>
      <c r="H57" t="str">
        <f ca="1">OFFSET(table_7_1[[range_args]:[range_args]], 3 * QUOTIENT(table_7_2[[#This Row],[index]] - 1, 2), 0, 1, 1)</f>
        <v>--range_x -12 13 --range_y -22 16</v>
      </c>
      <c r="I57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57" t="b">
        <v>0</v>
      </c>
      <c r="K57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7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57" t="str">
        <f>_xlfn.CONCAT(graphs, "/", var_7_layout, "/", table_7_2[[#This Row],[format]], "/", var_7_ext)</f>
        <v>plots/graphs/universal/combined/html</v>
      </c>
      <c r="N57" t="s">
        <v>201</v>
      </c>
      <c r="O5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libraries_4/WT_sgB_R2_sense_branch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58" spans="1:15" x14ac:dyDescent="0.25">
      <c r="A58" s="1">
        <v>14</v>
      </c>
      <c r="B58" t="str">
        <f ca="1">OFFSET(table_4_1[], table_7_2[[#This Row],[index]] - 1, _xlfn.XMATCH("dir_out", table_4_1[#Headers], 0, 1) - 1, 1, 1)</f>
        <v>WT_sgB_R2_sense_cmv</v>
      </c>
      <c r="C58" t="str">
        <f ca="1">OFFSET(table_7_1[[strand]:[strand]], 3 * QUOTIENT(table_7_2[[#This Row],[index]] - 1, 2), 0, 1, 1)</f>
        <v>R2</v>
      </c>
      <c r="D58" t="str">
        <f ca="1">OFFSET(table_7_1[[hguide]:[hguide]], 3 * QUOTIENT(table_7_2[[#This Row],[index]] - 1, 2), 0, 1, 1)</f>
        <v>B</v>
      </c>
      <c r="E58" t="str">
        <f ca="1">OFFSET(table_7_1[[dsb_type]:[dsb_type]], 3 * QUOTIENT(table_7_2[[#This Row],[index]] - 1, 2), 0, 1, 1)</f>
        <v>1DSB</v>
      </c>
      <c r="F58" t="str">
        <f ca="1">OFFSET(table_7_1[[common_layout_dir]:[common_layout_dir]], 3 * QUOTIENT(table_7_2[[#This Row],[index]] - 1, 2), 0, 1, 1)</f>
        <v>universal/1DSB_B</v>
      </c>
      <c r="G58" s="2" t="b">
        <f ca="1">OFFSET(table_7_1[[reverse_complement]:[reverse_complement]], 3 * QUOTIENT(table_7_2[[#This Row],[index]] - 1, 2), 0, 1, 1)</f>
        <v>1</v>
      </c>
      <c r="H58" t="str">
        <f ca="1">OFFSET(table_7_1[[range_args]:[range_args]], 3 * QUOTIENT(table_7_2[[#This Row],[index]] - 1, 2), 0, 1, 1)</f>
        <v>--range_x -12 13 --range_y -22 16</v>
      </c>
      <c r="I58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58" t="b">
        <v>0</v>
      </c>
      <c r="K58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8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58" t="str">
        <f>_xlfn.CONCAT(graphs, "/", var_7_layout, "/", table_7_2[[#This Row],[format]], "/", var_7_ext)</f>
        <v>plots/graphs/universal/combined/html</v>
      </c>
      <c r="N58" t="s">
        <v>201</v>
      </c>
      <c r="O5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libraries_4/WT_sgB_R2_sense_cmv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59" spans="1:15" x14ac:dyDescent="0.25">
      <c r="A59" s="1">
        <v>15</v>
      </c>
      <c r="B59" t="str">
        <f ca="1">OFFSET(table_4_1[], table_7_2[[#This Row],[index]] - 1, _xlfn.XMATCH("dir_out", table_4_1[#Headers], 0, 1) - 1, 1, 1)</f>
        <v>KO_sgB_R2_sense_branch</v>
      </c>
      <c r="C59" t="str">
        <f ca="1">OFFSET(table_7_1[[strand]:[strand]], 3 * QUOTIENT(table_7_2[[#This Row],[index]] - 1, 2), 0, 1, 1)</f>
        <v>R2</v>
      </c>
      <c r="D59" t="str">
        <f ca="1">OFFSET(table_7_1[[hguide]:[hguide]], 3 * QUOTIENT(table_7_2[[#This Row],[index]] - 1, 2), 0, 1, 1)</f>
        <v>B</v>
      </c>
      <c r="E59" t="str">
        <f ca="1">OFFSET(table_7_1[[dsb_type]:[dsb_type]], 3 * QUOTIENT(table_7_2[[#This Row],[index]] - 1, 2), 0, 1, 1)</f>
        <v>1DSB</v>
      </c>
      <c r="F59" t="str">
        <f ca="1">OFFSET(table_7_1[[common_layout_dir]:[common_layout_dir]], 3 * QUOTIENT(table_7_2[[#This Row],[index]] - 1, 2), 0, 1, 1)</f>
        <v>universal/1DSB_B</v>
      </c>
      <c r="G59" s="2" t="b">
        <f ca="1">OFFSET(table_7_1[[reverse_complement]:[reverse_complement]], 3 * QUOTIENT(table_7_2[[#This Row],[index]] - 1, 2), 0, 1, 1)</f>
        <v>1</v>
      </c>
      <c r="H59" t="str">
        <f ca="1">OFFSET(table_7_1[[range_args]:[range_args]], 3 * QUOTIENT(table_7_2[[#This Row],[index]] - 1, 2), 0, 1, 1)</f>
        <v>--range_x -12 13 --range_y -22 16</v>
      </c>
      <c r="I59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59" t="b">
        <v>0</v>
      </c>
      <c r="K59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9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59" t="str">
        <f>_xlfn.CONCAT(graphs, "/", var_7_layout, "/", table_7_2[[#This Row],[format]], "/", var_7_ext)</f>
        <v>plots/graphs/universal/combined/html</v>
      </c>
      <c r="N59" t="s">
        <v>201</v>
      </c>
      <c r="O5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libraries_4/KO_sgB_R2_sense_branch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60" spans="1:15" x14ac:dyDescent="0.25">
      <c r="A60" s="1">
        <v>16</v>
      </c>
      <c r="B60" t="str">
        <f ca="1">OFFSET(table_4_1[], table_7_2[[#This Row],[index]] - 1, _xlfn.XMATCH("dir_out", table_4_1[#Headers], 0, 1) - 1, 1, 1)</f>
        <v>KO_sgB_R2_sense_cmv</v>
      </c>
      <c r="C60" t="str">
        <f ca="1">OFFSET(table_7_1[[strand]:[strand]], 3 * QUOTIENT(table_7_2[[#This Row],[index]] - 1, 2), 0, 1, 1)</f>
        <v>R2</v>
      </c>
      <c r="D60" t="str">
        <f ca="1">OFFSET(table_7_1[[hguide]:[hguide]], 3 * QUOTIENT(table_7_2[[#This Row],[index]] - 1, 2), 0, 1, 1)</f>
        <v>B</v>
      </c>
      <c r="E60" t="str">
        <f ca="1">OFFSET(table_7_1[[dsb_type]:[dsb_type]], 3 * QUOTIENT(table_7_2[[#This Row],[index]] - 1, 2), 0, 1, 1)</f>
        <v>1DSB</v>
      </c>
      <c r="F60" t="str">
        <f ca="1">OFFSET(table_7_1[[common_layout_dir]:[common_layout_dir]], 3 * QUOTIENT(table_7_2[[#This Row],[index]] - 1, 2), 0, 1, 1)</f>
        <v>universal/1DSB_B</v>
      </c>
      <c r="G60" s="2" t="b">
        <f ca="1">OFFSET(table_7_1[[reverse_complement]:[reverse_complement]], 3 * QUOTIENT(table_7_2[[#This Row],[index]] - 1, 2), 0, 1, 1)</f>
        <v>1</v>
      </c>
      <c r="H60" t="str">
        <f ca="1">OFFSET(table_7_1[[range_args]:[range_args]], 3 * QUOTIENT(table_7_2[[#This Row],[index]] - 1, 2), 0, 1, 1)</f>
        <v>--range_x -12 13 --range_y -22 16</v>
      </c>
      <c r="I60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60" t="b">
        <v>0</v>
      </c>
      <c r="K60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60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60" t="str">
        <f>_xlfn.CONCAT(graphs, "/", var_7_layout, "/", table_7_2[[#This Row],[format]], "/", var_7_ext)</f>
        <v>plots/graphs/universal/combined/html</v>
      </c>
      <c r="N60" t="s">
        <v>201</v>
      </c>
      <c r="O6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libraries_4/KO_sgB_R2_sense_cmv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62" spans="1:15" x14ac:dyDescent="0.25">
      <c r="A62" s="1" t="s">
        <v>112</v>
      </c>
      <c r="B62" s="1" t="s">
        <v>87</v>
      </c>
      <c r="C62" s="1" t="s">
        <v>82</v>
      </c>
      <c r="D62" s="1" t="s">
        <v>103</v>
      </c>
      <c r="E62" s="1" t="s">
        <v>102</v>
      </c>
      <c r="F62" s="1" t="s">
        <v>171</v>
      </c>
      <c r="G62" s="1" t="s">
        <v>178</v>
      </c>
      <c r="H62" s="1" t="s">
        <v>182</v>
      </c>
      <c r="I62" s="1" t="s">
        <v>194</v>
      </c>
      <c r="J62" s="1" t="s">
        <v>195</v>
      </c>
      <c r="K62" s="1" t="s">
        <v>193</v>
      </c>
      <c r="L62" s="1" t="s">
        <v>198</v>
      </c>
      <c r="M62" s="1" t="s">
        <v>139</v>
      </c>
      <c r="N62" s="1" t="s">
        <v>199</v>
      </c>
      <c r="O62" s="1" t="s">
        <v>168</v>
      </c>
    </row>
    <row r="63" spans="1:15" x14ac:dyDescent="0.25">
      <c r="A63" s="1">
        <v>1</v>
      </c>
      <c r="B63" s="2" t="str">
        <f ca="1">OFFSET(table_4_2[], table_7_3[[#This Row],[index]] - 1, _xlfn.XMATCH("dir_out", table_4_1[#Headers], 0, 1) - 1, 1, 1)</f>
        <v>WT_sgCD_R1_antisense_splicing</v>
      </c>
      <c r="C63" s="2" t="str">
        <f ca="1">OFFSET(table_7_1[[strand]:[strand]], 36 + 2 * QUOTIENT(table_7_3[[#This Row],[index]] - 1, 1), 0, 1, 1)</f>
        <v>R1</v>
      </c>
      <c r="D63" s="2" t="str">
        <f ca="1">OFFSET(table_7_1[[hguide]:[hguide]], 36 + 2 * QUOTIENT(table_7_3[[#This Row],[index]] - 1, 1), 0, 1, 1)</f>
        <v>CD</v>
      </c>
      <c r="E63" s="2" t="str">
        <f ca="1">OFFSET(table_7_1[[dsb_type]:[dsb_type]], 36 + 2 * QUOTIENT(table_7_3[[#This Row],[index]] - 1, 1), 0, 1, 1)</f>
        <v>2DSBanti</v>
      </c>
      <c r="F63" s="2" t="str">
        <f ca="1">OFFSET(table_7_1[[common_layout_dir]:[common_layout_dir]], 36 + 2 * QUOTIENT(table_7_3[[#This Row],[index]] - 1, 1), 0, 1, 1)</f>
        <v>universal/2DSBanti_CD</v>
      </c>
      <c r="G63" s="2" t="b">
        <f ca="1">OFFSET(table_7_1[[reverse_complement]:[reverse_complement]], 36 + 2 * QUOTIENT(table_7_3[[#This Row],[index]] - 1, 1), 0, 1, 1)</f>
        <v>0</v>
      </c>
      <c r="H63" s="2" t="str">
        <f ca="1">OFFSET(table_7_1[[range_args]:[range_args]], 36 + 2 * QUOTIENT(table_7_3[[#This Row],[index]] - 1, 1), 0, 1, 1)</f>
        <v>--range_x -12 13 --range_y -18 27</v>
      </c>
      <c r="I63" s="2" t="str">
        <f ca="1">OFFSET(table_7_1[[universal_layout_y_axis_args]:[universal_layout_y_axis_args]], 36 + 2 * QUOTIENT(table_7_3[[#This Row],[index]] - 1, 1), 0, 1, 1)</f>
        <v xml:space="preserve"> --universal_layout_y_axis_x_pos 12 --universal_layout_y_axis_y_range -15.5 25.5 </v>
      </c>
      <c r="J63" s="2" t="b">
        <v>0</v>
      </c>
      <c r="K63" s="2" t="str">
        <f ca="1">IF(table_7_3[[#This Row],[show_universal_layout_x_axes]], OFFSET(table_7_1[[universal_layout_x_axis_args]:[universal_layout_x_axis_args]], 36 + 2 * QUOTIENT(table_7_3[[#This Row],[index]] - 1, 2), 0, 1, 1), "")</f>
        <v/>
      </c>
      <c r="L63" s="2" t="str">
        <f ca="1">OFFSET(table_7_1[[universal_layout_max_tick_args]:[universal_layout_max_tick_args]], 36 + 2 * QUOTIENT(table_7_3[[#This Row],[index]] - 1, 1), 0, 1, 1)</f>
        <v xml:space="preserve"> --universal_layout_y_axis_deletion_max_tick 14 --universal_layout_y_axis_insertion_max_tick 8</v>
      </c>
      <c r="M63" s="2" t="str">
        <f>_xlfn.CONCAT(graphs, "/", var_7_layout, "/", table_7_3[[#This Row],[format]], "/", var_7_ext)</f>
        <v>plots/graphs/universal/combined/html</v>
      </c>
      <c r="N63" s="2" t="s">
        <v>201</v>
      </c>
      <c r="O63" t="str">
        <f ca="1"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" ", table_7_3[[#This Row],[universal_layout_y_axis_args]], " ", table_7_3[[#This Row],[universal_layout_x_axis_args]], " ", table_7_3[[#This Row],[universal_layout_max_tick_args]])</f>
        <v>python 2_graph_processing/plot_graph.py -i libraries_4/WT_sgCD_R1_antisense_splicing -o plots/graphs/universal/combined/html --layout_dir layouts/universal/2DSBanti_CD -ext html --layout universal --width 2400 --height 1800 --range_x -12 13 --range_y -18 27  --universal_layout_y_axis_x_pos 12 --universal_layout_y_axis_y_range -15.5 25.5    --universal_layout_y_axis_deletion_max_tick 14 --universal_layout_y_axis_insertion_max_tick 8</v>
      </c>
    </row>
    <row r="64" spans="1:15" x14ac:dyDescent="0.25">
      <c r="A64" s="1">
        <v>2</v>
      </c>
      <c r="B64" s="2" t="str">
        <f ca="1">OFFSET(table_4_2[], table_7_3[[#This Row],[index]] - 1, _xlfn.XMATCH("dir_out", table_4_1[#Headers], 0, 1) - 1, 1, 1)</f>
        <v>WT_sgCD_R2_antisense_splicing</v>
      </c>
      <c r="C64" s="2" t="str">
        <f ca="1">OFFSET(table_7_1[[strand]:[strand]], 36 + 2 * QUOTIENT(table_7_3[[#This Row],[index]] - 1, 1), 0, 1, 1)</f>
        <v>R2</v>
      </c>
      <c r="D64" s="2" t="str">
        <f ca="1">OFFSET(table_7_1[[hguide]:[hguide]], 36 + 2 * QUOTIENT(table_7_3[[#This Row],[index]] - 1, 1), 0, 1, 1)</f>
        <v>CD</v>
      </c>
      <c r="E64" s="2" t="str">
        <f ca="1">OFFSET(table_7_1[[dsb_type]:[dsb_type]], 36 + 2 * QUOTIENT(table_7_3[[#This Row],[index]] - 1, 1), 0, 1, 1)</f>
        <v>2DSBanti</v>
      </c>
      <c r="F64" s="2" t="str">
        <f ca="1">OFFSET(table_7_1[[common_layout_dir]:[common_layout_dir]], 36 + 2 * QUOTIENT(table_7_3[[#This Row],[index]] - 1, 1), 0, 1, 1)</f>
        <v>universal/2DSBanti_CD</v>
      </c>
      <c r="G64" s="2" t="b">
        <f ca="1">OFFSET(table_7_1[[reverse_complement]:[reverse_complement]], 36 + 2 * QUOTIENT(table_7_3[[#This Row],[index]] - 1, 1), 0, 1, 1)</f>
        <v>1</v>
      </c>
      <c r="H64" s="2" t="str">
        <f ca="1">OFFSET(table_7_1[[range_args]:[range_args]], 36 + 2 * QUOTIENT(table_7_3[[#This Row],[index]] - 1, 1), 0, 1, 1)</f>
        <v>--range_x -12 13 --range_y -18 27</v>
      </c>
      <c r="I64" s="2" t="str">
        <f ca="1">OFFSET(table_7_1[[universal_layout_y_axis_args]:[universal_layout_y_axis_args]], 36 + 2 * QUOTIENT(table_7_3[[#This Row],[index]] - 1, 1), 0, 1, 1)</f>
        <v xml:space="preserve"> --universal_layout_y_axis_x_pos 12 --universal_layout_y_axis_y_range -15.5 25.5 </v>
      </c>
      <c r="J64" s="2" t="b">
        <v>0</v>
      </c>
      <c r="K64" s="2" t="str">
        <f ca="1">IF(table_7_3[[#This Row],[show_universal_layout_x_axes]], OFFSET(table_7_1[[universal_layout_x_axis_args]:[universal_layout_x_axis_args]], 36 + 2 * QUOTIENT(table_7_3[[#This Row],[index]] - 1, 2), 0, 1, 1), "")</f>
        <v/>
      </c>
      <c r="L64" s="2" t="str">
        <f ca="1">OFFSET(table_7_1[[universal_layout_max_tick_args]:[universal_layout_max_tick_args]], 36 + 2 * QUOTIENT(table_7_3[[#This Row],[index]] - 1, 1), 0, 1, 1)</f>
        <v xml:space="preserve"> --universal_layout_y_axis_deletion_max_tick 14 --universal_layout_y_axis_insertion_max_tick 8</v>
      </c>
      <c r="M64" s="2" t="str">
        <f>_xlfn.CONCAT(graphs, "/", var_7_layout, "/", table_7_3[[#This Row],[format]], "/", var_7_ext)</f>
        <v>plots/graphs/universal/combined/html</v>
      </c>
      <c r="N64" s="2" t="s">
        <v>201</v>
      </c>
      <c r="O64" s="2" t="str">
        <f ca="1"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" ", table_7_3[[#This Row],[universal_layout_y_axis_args]], " ", table_7_3[[#This Row],[universal_layout_x_axis_args]], " ", table_7_3[[#This Row],[universal_layout_max_tick_args]])</f>
        <v>python 2_graph_processing/plot_graph.py -i libraries_4/WT_sgCD_R2_antisense_splicing -o plots/graphs/universal/combined/html --layout_dir layouts/universal/2DSBanti_CD -ext html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</v>
      </c>
    </row>
    <row r="66" spans="1:1" x14ac:dyDescent="0.25">
      <c r="A66" s="1" t="s">
        <v>177</v>
      </c>
    </row>
    <row r="67" spans="1:1" x14ac:dyDescent="0.25">
      <c r="A67" t="str">
        <f ca="1">_xlfn.TEXTJOIN(CHAR(10), TRUE, AB3:AB26,AB39:AB42, table_7_2[command], table_7_3[command])</f>
        <v>python 2_graph_processing/plot_graph.py -i libraries_4/WT_sgAB_R1_sense -o plots/graphs/universal/individual/html --layout_dir layouts/universal/2DSB_AB -ext html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
python 2_graph_processing/plot_graph.py -i libraries_4/WT_sgAB_R1_branch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libraries_4/KO_sgAB_R1_sense -o plots/graphs/universal/individual/html --layout_dir layouts/universal/2DSB_AB -ext html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
python 2_graph_processing/plot_graph.py -i libraries_4/KO_sgAB_R1_branch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libraries_4/WT_sgAB_R2_sense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libraries_4/WT_sgAB_R2_branch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libraries_4/WT_sgAB_R2_cmv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libraries_4/KO_sgAB_R2_sense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libraries_4/KO_sgAB_R2_branch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libraries_4/KO_sgAB_R2_cmv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libraries_4/WT_sgA_R1_sense -o plots/graphs/universal/individual/html --layout_dir layouts/universal/1DSB_A -ext html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
python 2_graph_processing/plot_graph.py -i libraries_4/WT_sgA_R1_branch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libraries_4/KO_sgA_R1_sense -o plots/graphs/universal/individual/html --layout_dir layouts/universal/1DSB_A -ext html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
python 2_graph_processing/plot_graph.py -i libraries_4/KO_sgA_R1_branch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libraries_4/WT_sgB_R2_sense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libraries_4/WT_sgB_R2_branch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libraries_4/WT_sgB_R2_cmv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libraries_4/KO_sgB_R2_sense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libraries_4/KO_sgB_R2_branch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libraries_4/KO_sgB_R2_cmv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libraries_4/WT_sgCD_R1_antisense -o plots/graphs/universal/individual/html --layout_dir layouts/universal/2DSBanti_CD -ext html --layout universal --width 2400 --height 1800 --range_x -12 13 --range_y -18 27  --universal_layout_y_axis_x_pos 12 --universal_layout_y_axis_y_range -15.5 25.5   --universal_layout_x_axis_deletion_y_pos -16.5 --universal_layout_x_axis_insertion_y_pos 26.5 --universal_layout_x_axis_x_range -11.5 11.5  --universal_layout_y_axis_deletion_max_tick 14 --universal_layout_y_axis_insertion_max_tick 8
python 2_graph_processing/plot_graph.py -i libraries_4/WT_sgCD_R1_splicing -o plots/graphs/universal/individual/html --layout_dir layouts/universal/2DSBanti_CD -ext html --layout universal --width 2400 --height 1800 --range_x -12 13 --range_y -18 27  --universal_layout_y_axis_x_pos 12 --universal_layout_y_axis_y_range -15.5 25.5    --universal_layout_y_axis_deletion_max_tick 14 --universal_layout_y_axis_insertion_max_tick 8
python 2_graph_processing/plot_graph.py -i libraries_4/WT_sgCD_R2_antisense -o plots/graphs/universal/individual/html --layout_dir layouts/universal/2DSBanti_CD -ext html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
python 2_graph_processing/plot_graph.py -i libraries_4/WT_sgCD_R2_splicing -o plots/graphs/universal/individual/html --layout_dir layouts/universal/2DSBanti_CD -ext html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
python 2_graph_processing/plot_graph.py -i libraries_4/WT_sgAB_R1_sense_branch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libraries_4/WT_sgAB_R1_sense_cmv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libraries_4/KO_sgAB_R1_sense_branch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libraries_4/KO_sgAB_R1_sense_cmv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libraries_4/WT_sgAB_R2_sense_branch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libraries_4/WT_sgAB_R2_sense_cmv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libraries_4/KO_sgAB_R2_sense_branch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libraries_4/KO_sgAB_R2_sense_cmv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libraries_4/WT_sgA_R1_sense_branch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libraries_4/WT_sgA_R1_sense_cmv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libraries_4/KO_sgA_R1_sense_branch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libraries_4/KO_sgA_R1_sense_cmv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libraries_4/WT_sgB_R2_sense_branch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libraries_4/WT_sgB_R2_sense_cmv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libraries_4/KO_sgB_R2_sense_branch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libraries_4/KO_sgB_R2_sense_cmv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libraries_4/WT_sgCD_R1_antisense_splicing -o plots/graphs/universal/combined/html --layout_dir layouts/universal/2DSBanti_CD -ext html --layout universal --width 2400 --height 1800 --range_x -12 13 --range_y -18 27  --universal_layout_y_axis_x_pos 12 --universal_layout_y_axis_y_range -15.5 25.5    --universal_layout_y_axis_deletion_max_tick 14 --universal_layout_y_axis_insertion_max_tick 8
python 2_graph_processing/plot_graph.py -i libraries_4/WT_sgCD_R2_antisense_splicing -o plots/graphs/universal/combined/html --layout_dir layouts/universal/2DSBanti_CD -ext html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20</vt:i4>
      </vt:variant>
    </vt:vector>
  </HeadingPairs>
  <TitlesOfParts>
    <vt:vector size="29" baseType="lpstr">
      <vt:lpstr>globals</vt:lpstr>
      <vt:lpstr>1_total_reads</vt:lpstr>
      <vt:lpstr>1_repeats</vt:lpstr>
      <vt:lpstr>2_combine</vt:lpstr>
      <vt:lpstr>3_graph</vt:lpstr>
      <vt:lpstr>4_graph_combined</vt:lpstr>
      <vt:lpstr>5_histogram_3d</vt:lpstr>
      <vt:lpstr>6_common_layout</vt:lpstr>
      <vt:lpstr>7_plot_graph</vt:lpstr>
      <vt:lpstr>graphs</vt:lpstr>
      <vt:lpstr>graphs_combined</vt:lpstr>
      <vt:lpstr>graphs_individual</vt:lpstr>
      <vt:lpstr>histogram_3d</vt:lpstr>
      <vt:lpstr>layouts</vt:lpstr>
      <vt:lpstr>libraries_1</vt:lpstr>
      <vt:lpstr>libraries_2</vt:lpstr>
      <vt:lpstr>libraries_3</vt:lpstr>
      <vt:lpstr>libraries_4</vt:lpstr>
      <vt:lpstr>subst_type</vt:lpstr>
      <vt:lpstr>var_2_nodsb_offset</vt:lpstr>
      <vt:lpstr>var_4_anti_offset</vt:lpstr>
      <vt:lpstr>var_6_1dsb_offset</vt:lpstr>
      <vt:lpstr>var_6_anti_offset</vt:lpstr>
      <vt:lpstr>var_6_layout</vt:lpstr>
      <vt:lpstr>var_7_common_layout</vt:lpstr>
      <vt:lpstr>var_7_ext</vt:lpstr>
      <vt:lpstr>var_7_height</vt:lpstr>
      <vt:lpstr>var_7_layout</vt:lpstr>
      <vt:lpstr>var_7_width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2022-08-20T17:33:37Z</dcterms:modified>
</cp:coreProperties>
</file>