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cixpress-my.sharepoint.com/personal/support_cucixpress_com/Documents/2026 Finance/"/>
    </mc:Choice>
  </mc:AlternateContent>
  <xr:revisionPtr revIDLastSave="0" documentId="8_{5F7EBFF2-76E3-4FBD-944E-D81BFE7EB8A0}" xr6:coauthVersionLast="47" xr6:coauthVersionMax="47" xr10:uidLastSave="{00000000-0000-0000-0000-000000000000}"/>
  <bookViews>
    <workbookView xWindow="15285" yWindow="-16320" windowWidth="29040" windowHeight="15720" tabRatio="913" firstSheet="14" activeTab="2" xr2:uid="{2DEF9A12-E55C-4C67-9279-8C63401A265C}"/>
  </bookViews>
  <sheets>
    <sheet name="Bank Balance Sheet" sheetId="16" state="hidden" r:id="rId1"/>
    <sheet name="Q2 Branch Comparison" sheetId="27" r:id="rId2"/>
    <sheet name="Tungku" sheetId="3" r:id="rId3"/>
    <sheet name="Salar" sheetId="22" r:id="rId4"/>
    <sheet name="Bengkurong" sheetId="23" r:id="rId5"/>
    <sheet name="Tutong" sheetId="24" r:id="rId6"/>
    <sheet name="Lambak" sheetId="25" r:id="rId7"/>
    <sheet name="Dart" sheetId="8" state="hidden" r:id="rId8"/>
    <sheet name="Overall" sheetId="26" r:id="rId9"/>
    <sheet name="MTD" sheetId="7" state="hidden" r:id="rId10"/>
    <sheet name="Sales" sheetId="10" state="hidden" r:id="rId11"/>
    <sheet name="CAPEX" sheetId="17" state="hidden" r:id="rId12"/>
    <sheet name="Social Media" sheetId="11" state="hidden" r:id="rId13"/>
    <sheet name="Wax" sheetId="12" state="hidden" r:id="rId14"/>
    <sheet name="Q1 Branch Comparison" sheetId="29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9" l="1"/>
  <c r="I24" i="29"/>
  <c r="I21" i="29"/>
  <c r="I20" i="29"/>
  <c r="I19" i="29"/>
  <c r="I18" i="29"/>
  <c r="I17" i="29"/>
  <c r="I16" i="29"/>
  <c r="I15" i="29"/>
  <c r="H22" i="29"/>
  <c r="G22" i="29"/>
  <c r="F22" i="29"/>
  <c r="E22" i="29"/>
  <c r="I13" i="29"/>
  <c r="I11" i="29"/>
  <c r="I10" i="29"/>
  <c r="I9" i="29"/>
  <c r="I8" i="29"/>
  <c r="I7" i="29"/>
  <c r="I6" i="29"/>
  <c r="I5" i="29"/>
  <c r="H12" i="29"/>
  <c r="H23" i="29" s="1"/>
  <c r="G12" i="29"/>
  <c r="G23" i="29" s="1"/>
  <c r="F12" i="29"/>
  <c r="F23" i="29" s="1"/>
  <c r="E12" i="29"/>
  <c r="E23" i="29" s="1"/>
  <c r="I3" i="29"/>
  <c r="H24" i="26"/>
  <c r="I24" i="26"/>
  <c r="G10" i="22"/>
  <c r="I3" i="3"/>
  <c r="H3" i="3"/>
  <c r="G3" i="3"/>
  <c r="H21" i="27"/>
  <c r="G21" i="27"/>
  <c r="F21" i="27"/>
  <c r="E21" i="27"/>
  <c r="D21" i="27"/>
  <c r="H20" i="27"/>
  <c r="G20" i="27"/>
  <c r="F20" i="27"/>
  <c r="E20" i="27"/>
  <c r="D20" i="27"/>
  <c r="H19" i="27"/>
  <c r="G19" i="27"/>
  <c r="F19" i="27"/>
  <c r="E19" i="27"/>
  <c r="D19" i="27"/>
  <c r="H18" i="27"/>
  <c r="G18" i="27"/>
  <c r="F18" i="27"/>
  <c r="E18" i="27"/>
  <c r="D18" i="27"/>
  <c r="H17" i="27"/>
  <c r="G17" i="27"/>
  <c r="F17" i="27"/>
  <c r="E17" i="27"/>
  <c r="D17" i="27"/>
  <c r="H16" i="27"/>
  <c r="G16" i="27"/>
  <c r="F16" i="27"/>
  <c r="E16" i="27"/>
  <c r="D16" i="27"/>
  <c r="H15" i="27"/>
  <c r="G15" i="27"/>
  <c r="F15" i="27"/>
  <c r="E15" i="27"/>
  <c r="D15" i="27"/>
  <c r="H14" i="27"/>
  <c r="G14" i="27"/>
  <c r="F14" i="27"/>
  <c r="E14" i="27"/>
  <c r="D14" i="27"/>
  <c r="H11" i="27"/>
  <c r="G11" i="27"/>
  <c r="F11" i="27"/>
  <c r="E11" i="27"/>
  <c r="D11" i="27"/>
  <c r="H10" i="27"/>
  <c r="G10" i="27"/>
  <c r="F10" i="27"/>
  <c r="E10" i="27"/>
  <c r="D10" i="27"/>
  <c r="H9" i="27"/>
  <c r="G9" i="27"/>
  <c r="F9" i="27"/>
  <c r="E9" i="27"/>
  <c r="D9" i="27"/>
  <c r="H8" i="27"/>
  <c r="G8" i="27"/>
  <c r="F8" i="27"/>
  <c r="E8" i="27"/>
  <c r="D8" i="27"/>
  <c r="H7" i="27"/>
  <c r="G7" i="27"/>
  <c r="F7" i="27"/>
  <c r="E7" i="27"/>
  <c r="D7" i="27"/>
  <c r="H6" i="27"/>
  <c r="G6" i="27"/>
  <c r="F6" i="27"/>
  <c r="E6" i="27"/>
  <c r="D6" i="27"/>
  <c r="H5" i="27"/>
  <c r="G5" i="27"/>
  <c r="F5" i="27"/>
  <c r="E5" i="27"/>
  <c r="D5" i="27"/>
  <c r="H4" i="27"/>
  <c r="G4" i="27"/>
  <c r="F4" i="27"/>
  <c r="E4" i="27"/>
  <c r="D4" i="27"/>
  <c r="H3" i="27"/>
  <c r="G3" i="27"/>
  <c r="F3" i="27"/>
  <c r="E3" i="27"/>
  <c r="D3" i="27"/>
  <c r="H25" i="27"/>
  <c r="G25" i="27"/>
  <c r="F25" i="27"/>
  <c r="E25" i="27"/>
  <c r="D25" i="27"/>
  <c r="I25" i="27" s="1"/>
  <c r="I21" i="27"/>
  <c r="I20" i="27"/>
  <c r="I19" i="27"/>
  <c r="I18" i="27"/>
  <c r="I17" i="27"/>
  <c r="I16" i="27"/>
  <c r="I15" i="27"/>
  <c r="H22" i="27"/>
  <c r="G22" i="27"/>
  <c r="F22" i="27"/>
  <c r="E22" i="27"/>
  <c r="I11" i="27"/>
  <c r="I10" i="27"/>
  <c r="I9" i="27"/>
  <c r="I8" i="27"/>
  <c r="I7" i="27"/>
  <c r="I6" i="27"/>
  <c r="I5" i="27"/>
  <c r="H12" i="27"/>
  <c r="H23" i="27" s="1"/>
  <c r="G12" i="27"/>
  <c r="G23" i="27" s="1"/>
  <c r="F12" i="27"/>
  <c r="F23" i="27" s="1"/>
  <c r="E12" i="27"/>
  <c r="E23" i="27" s="1"/>
  <c r="I3" i="27"/>
  <c r="J24" i="25"/>
  <c r="K24" i="25"/>
  <c r="L24" i="25"/>
  <c r="M24" i="25"/>
  <c r="N24" i="25"/>
  <c r="O24" i="25"/>
  <c r="E22" i="25"/>
  <c r="F22" i="25"/>
  <c r="G22" i="25"/>
  <c r="H22" i="25"/>
  <c r="I22" i="25"/>
  <c r="J22" i="25"/>
  <c r="K22" i="25"/>
  <c r="L22" i="25"/>
  <c r="M22" i="25"/>
  <c r="N22" i="25"/>
  <c r="O22" i="25"/>
  <c r="D22" i="25"/>
  <c r="J24" i="3"/>
  <c r="K24" i="3"/>
  <c r="L24" i="3"/>
  <c r="M24" i="3"/>
  <c r="N24" i="3"/>
  <c r="O24" i="3"/>
  <c r="J23" i="3"/>
  <c r="K23" i="3"/>
  <c r="L23" i="3"/>
  <c r="M23" i="3"/>
  <c r="N23" i="3"/>
  <c r="O23" i="3"/>
  <c r="G22" i="3"/>
  <c r="H22" i="3"/>
  <c r="I22" i="3"/>
  <c r="J22" i="3"/>
  <c r="K22" i="3"/>
  <c r="L22" i="3"/>
  <c r="M22" i="3"/>
  <c r="N22" i="3"/>
  <c r="O22" i="3"/>
  <c r="J24" i="22"/>
  <c r="K24" i="22"/>
  <c r="L24" i="22"/>
  <c r="M24" i="22"/>
  <c r="N24" i="22"/>
  <c r="O24" i="22"/>
  <c r="J23" i="22"/>
  <c r="K23" i="22"/>
  <c r="L23" i="22"/>
  <c r="M23" i="22"/>
  <c r="N23" i="22"/>
  <c r="O23" i="22"/>
  <c r="G22" i="22"/>
  <c r="H22" i="22"/>
  <c r="I22" i="22"/>
  <c r="J22" i="22"/>
  <c r="K22" i="22"/>
  <c r="L22" i="22"/>
  <c r="M22" i="22"/>
  <c r="N22" i="22"/>
  <c r="O22" i="22"/>
  <c r="J24" i="23"/>
  <c r="K24" i="23"/>
  <c r="L24" i="23"/>
  <c r="M24" i="23"/>
  <c r="N24" i="23"/>
  <c r="O24" i="23"/>
  <c r="J23" i="23"/>
  <c r="K23" i="23"/>
  <c r="L23" i="23"/>
  <c r="M23" i="23"/>
  <c r="N23" i="23"/>
  <c r="O23" i="23"/>
  <c r="J24" i="24"/>
  <c r="K24" i="24"/>
  <c r="L24" i="24"/>
  <c r="M24" i="24"/>
  <c r="N24" i="24"/>
  <c r="O24" i="24"/>
  <c r="J23" i="24"/>
  <c r="K23" i="24"/>
  <c r="L23" i="24"/>
  <c r="M23" i="24"/>
  <c r="N23" i="24"/>
  <c r="O23" i="24"/>
  <c r="G22" i="24"/>
  <c r="G17" i="22"/>
  <c r="G18" i="25"/>
  <c r="G18" i="24"/>
  <c r="G18" i="23"/>
  <c r="G18" i="22"/>
  <c r="G18" i="3"/>
  <c r="O25" i="26"/>
  <c r="N25" i="26"/>
  <c r="M25" i="26"/>
  <c r="L25" i="26"/>
  <c r="K25" i="26"/>
  <c r="J25" i="26"/>
  <c r="I25" i="26"/>
  <c r="H25" i="26"/>
  <c r="G25" i="26"/>
  <c r="F25" i="26"/>
  <c r="E25" i="26"/>
  <c r="D25" i="26"/>
  <c r="F28" i="3"/>
  <c r="E28" i="3"/>
  <c r="D28" i="3"/>
  <c r="E28" i="22"/>
  <c r="D28" i="22"/>
  <c r="F28" i="23"/>
  <c r="E28" i="23"/>
  <c r="D28" i="23"/>
  <c r="F28" i="24"/>
  <c r="E28" i="24"/>
  <c r="D28" i="24"/>
  <c r="P25" i="26"/>
  <c r="P25" i="25"/>
  <c r="P25" i="24"/>
  <c r="P25" i="23"/>
  <c r="P25" i="22"/>
  <c r="O26" i="22"/>
  <c r="O28" i="22" s="1"/>
  <c r="N26" i="22"/>
  <c r="N28" i="22" s="1"/>
  <c r="M26" i="22"/>
  <c r="M28" i="22" s="1"/>
  <c r="L26" i="22"/>
  <c r="L28" i="22" s="1"/>
  <c r="K26" i="22"/>
  <c r="K28" i="22" s="1"/>
  <c r="J26" i="22"/>
  <c r="J28" i="22" s="1"/>
  <c r="E24" i="22"/>
  <c r="E26" i="22" s="1"/>
  <c r="D24" i="22"/>
  <c r="P25" i="3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5"/>
  <c r="P21" i="24"/>
  <c r="P21" i="23"/>
  <c r="E22" i="23"/>
  <c r="F22" i="23"/>
  <c r="G22" i="23"/>
  <c r="H22" i="23"/>
  <c r="I22" i="23"/>
  <c r="J22" i="23"/>
  <c r="K22" i="23"/>
  <c r="L22" i="23"/>
  <c r="M22" i="23"/>
  <c r="N22" i="23"/>
  <c r="O22" i="23"/>
  <c r="D22" i="23"/>
  <c r="E22" i="22"/>
  <c r="F22" i="22"/>
  <c r="D22" i="22"/>
  <c r="P21" i="22"/>
  <c r="P21" i="3"/>
  <c r="F22" i="3"/>
  <c r="E22" i="3"/>
  <c r="D22" i="3"/>
  <c r="E3" i="26"/>
  <c r="F3" i="26"/>
  <c r="G3" i="26"/>
  <c r="H3" i="26"/>
  <c r="I3" i="26"/>
  <c r="J3" i="26"/>
  <c r="K3" i="26"/>
  <c r="L3" i="26"/>
  <c r="M3" i="26"/>
  <c r="N3" i="26"/>
  <c r="O3" i="26"/>
  <c r="D3" i="26"/>
  <c r="E14" i="26"/>
  <c r="F14" i="26"/>
  <c r="G14" i="26"/>
  <c r="H14" i="26"/>
  <c r="I14" i="26"/>
  <c r="J14" i="26"/>
  <c r="K14" i="26"/>
  <c r="L14" i="26"/>
  <c r="M14" i="26"/>
  <c r="N14" i="26"/>
  <c r="O14" i="26"/>
  <c r="E15" i="26"/>
  <c r="F15" i="26"/>
  <c r="G15" i="26"/>
  <c r="H15" i="26"/>
  <c r="I15" i="26"/>
  <c r="J15" i="26"/>
  <c r="K15" i="26"/>
  <c r="L15" i="26"/>
  <c r="M15" i="26"/>
  <c r="N15" i="26"/>
  <c r="O15" i="26"/>
  <c r="E16" i="26"/>
  <c r="F16" i="26"/>
  <c r="G16" i="26"/>
  <c r="H16" i="26"/>
  <c r="I16" i="26"/>
  <c r="J16" i="26"/>
  <c r="K16" i="26"/>
  <c r="L16" i="26"/>
  <c r="M16" i="26"/>
  <c r="N16" i="26"/>
  <c r="O16" i="26"/>
  <c r="E17" i="26"/>
  <c r="F17" i="26"/>
  <c r="G17" i="26"/>
  <c r="H17" i="26"/>
  <c r="I17" i="26"/>
  <c r="J17" i="26"/>
  <c r="K17" i="26"/>
  <c r="L17" i="26"/>
  <c r="M17" i="26"/>
  <c r="N17" i="26"/>
  <c r="O17" i="26"/>
  <c r="E18" i="26"/>
  <c r="F18" i="26"/>
  <c r="G18" i="26"/>
  <c r="H18" i="26"/>
  <c r="I18" i="26"/>
  <c r="J18" i="26"/>
  <c r="K18" i="26"/>
  <c r="L18" i="26"/>
  <c r="M18" i="26"/>
  <c r="N18" i="26"/>
  <c r="O18" i="26"/>
  <c r="E19" i="26"/>
  <c r="F19" i="26"/>
  <c r="G19" i="26"/>
  <c r="H19" i="26"/>
  <c r="I19" i="26"/>
  <c r="J19" i="26"/>
  <c r="K19" i="26"/>
  <c r="L19" i="26"/>
  <c r="M19" i="26"/>
  <c r="N19" i="26"/>
  <c r="O19" i="26"/>
  <c r="E20" i="26"/>
  <c r="F20" i="26"/>
  <c r="G20" i="26"/>
  <c r="H20" i="26"/>
  <c r="I20" i="26"/>
  <c r="J20" i="26"/>
  <c r="K20" i="26"/>
  <c r="L20" i="26"/>
  <c r="M20" i="26"/>
  <c r="N20" i="26"/>
  <c r="O20" i="26"/>
  <c r="D15" i="26"/>
  <c r="D16" i="26"/>
  <c r="D17" i="26"/>
  <c r="D18" i="26"/>
  <c r="D19" i="26"/>
  <c r="D20" i="26"/>
  <c r="D14" i="26"/>
  <c r="P9" i="25"/>
  <c r="P10" i="25"/>
  <c r="P11" i="25"/>
  <c r="E5" i="26"/>
  <c r="F5" i="26"/>
  <c r="G5" i="26"/>
  <c r="H5" i="26"/>
  <c r="I5" i="26"/>
  <c r="J5" i="26"/>
  <c r="K5" i="26"/>
  <c r="L5" i="26"/>
  <c r="M5" i="26"/>
  <c r="N5" i="26"/>
  <c r="O5" i="26"/>
  <c r="E6" i="26"/>
  <c r="F6" i="26"/>
  <c r="G6" i="26"/>
  <c r="H6" i="26"/>
  <c r="I6" i="26"/>
  <c r="J6" i="26"/>
  <c r="K6" i="26"/>
  <c r="L6" i="26"/>
  <c r="M6" i="26"/>
  <c r="N6" i="26"/>
  <c r="O6" i="26"/>
  <c r="E7" i="26"/>
  <c r="F7" i="26"/>
  <c r="G7" i="26"/>
  <c r="H7" i="26"/>
  <c r="I7" i="26"/>
  <c r="J7" i="26"/>
  <c r="K7" i="26"/>
  <c r="L7" i="26"/>
  <c r="M7" i="26"/>
  <c r="N7" i="26"/>
  <c r="O7" i="26"/>
  <c r="E8" i="26"/>
  <c r="F8" i="26"/>
  <c r="G8" i="26"/>
  <c r="H8" i="26"/>
  <c r="I8" i="26"/>
  <c r="J8" i="26"/>
  <c r="K8" i="26"/>
  <c r="L8" i="26"/>
  <c r="M8" i="26"/>
  <c r="N8" i="26"/>
  <c r="O8" i="26"/>
  <c r="E9" i="26"/>
  <c r="F9" i="26"/>
  <c r="G9" i="26"/>
  <c r="H9" i="26"/>
  <c r="I9" i="26"/>
  <c r="J9" i="26"/>
  <c r="K9" i="26"/>
  <c r="L9" i="26"/>
  <c r="M9" i="26"/>
  <c r="N9" i="26"/>
  <c r="O9" i="26"/>
  <c r="E10" i="26"/>
  <c r="F10" i="26"/>
  <c r="G10" i="26"/>
  <c r="H10" i="26"/>
  <c r="I10" i="26"/>
  <c r="J10" i="26"/>
  <c r="K10" i="26"/>
  <c r="L10" i="26"/>
  <c r="M10" i="26"/>
  <c r="N10" i="26"/>
  <c r="O10" i="26"/>
  <c r="E11" i="26"/>
  <c r="F11" i="26"/>
  <c r="G11" i="26"/>
  <c r="H11" i="26"/>
  <c r="I11" i="26"/>
  <c r="J11" i="26"/>
  <c r="K11" i="26"/>
  <c r="L11" i="26"/>
  <c r="M11" i="26"/>
  <c r="N11" i="26"/>
  <c r="O11" i="26"/>
  <c r="D5" i="26"/>
  <c r="D6" i="26"/>
  <c r="D7" i="26"/>
  <c r="D8" i="26"/>
  <c r="D9" i="26"/>
  <c r="D10" i="26"/>
  <c r="D11" i="26"/>
  <c r="E4" i="26"/>
  <c r="F4" i="26"/>
  <c r="G4" i="26"/>
  <c r="H4" i="26"/>
  <c r="I4" i="26"/>
  <c r="J4" i="26"/>
  <c r="K4" i="26"/>
  <c r="L4" i="26"/>
  <c r="M4" i="26"/>
  <c r="N4" i="26"/>
  <c r="O4" i="26"/>
  <c r="D4" i="26"/>
  <c r="P20" i="25"/>
  <c r="P19" i="25"/>
  <c r="P18" i="25"/>
  <c r="P17" i="25"/>
  <c r="P16" i="25"/>
  <c r="P15" i="25"/>
  <c r="P14" i="25"/>
  <c r="O12" i="25"/>
  <c r="O26" i="25" s="1"/>
  <c r="O28" i="25" s="1"/>
  <c r="N12" i="25"/>
  <c r="N26" i="25" s="1"/>
  <c r="N28" i="25" s="1"/>
  <c r="M12" i="25"/>
  <c r="M26" i="25" s="1"/>
  <c r="M28" i="25" s="1"/>
  <c r="L12" i="25"/>
  <c r="L26" i="25" s="1"/>
  <c r="L28" i="25" s="1"/>
  <c r="K12" i="25"/>
  <c r="K26" i="25" s="1"/>
  <c r="K28" i="25" s="1"/>
  <c r="J12" i="25"/>
  <c r="J26" i="25" s="1"/>
  <c r="J28" i="25" s="1"/>
  <c r="I12" i="25"/>
  <c r="H12" i="25"/>
  <c r="G12" i="25"/>
  <c r="F12" i="25"/>
  <c r="F24" i="25" s="1"/>
  <c r="F26" i="25" s="1"/>
  <c r="F28" i="25" s="1"/>
  <c r="E12" i="25"/>
  <c r="E24" i="25" s="1"/>
  <c r="D12" i="25"/>
  <c r="D24" i="25" s="1"/>
  <c r="P8" i="25"/>
  <c r="P7" i="25"/>
  <c r="P6" i="25"/>
  <c r="P5" i="25"/>
  <c r="P4" i="25"/>
  <c r="P3" i="25"/>
  <c r="O22" i="24"/>
  <c r="N22" i="24"/>
  <c r="M22" i="24"/>
  <c r="L22" i="24"/>
  <c r="K22" i="24"/>
  <c r="J22" i="24"/>
  <c r="I22" i="24"/>
  <c r="H22" i="24"/>
  <c r="F22" i="24"/>
  <c r="E22" i="24"/>
  <c r="D22" i="24"/>
  <c r="P20" i="24"/>
  <c r="P19" i="24"/>
  <c r="P18" i="24"/>
  <c r="P17" i="24"/>
  <c r="P16" i="24"/>
  <c r="P15" i="24"/>
  <c r="P14" i="24"/>
  <c r="O12" i="24"/>
  <c r="N12" i="24"/>
  <c r="M12" i="24"/>
  <c r="L12" i="24"/>
  <c r="K12" i="24"/>
  <c r="J12" i="24"/>
  <c r="I12" i="24"/>
  <c r="H12" i="24"/>
  <c r="G12" i="24"/>
  <c r="G24" i="24" s="1"/>
  <c r="F12" i="24"/>
  <c r="E12" i="24"/>
  <c r="D12" i="24"/>
  <c r="P8" i="24"/>
  <c r="P7" i="24"/>
  <c r="P6" i="24"/>
  <c r="P5" i="24"/>
  <c r="P4" i="24"/>
  <c r="P3" i="24"/>
  <c r="P20" i="23"/>
  <c r="P19" i="23"/>
  <c r="P18" i="23"/>
  <c r="P17" i="23"/>
  <c r="P16" i="23"/>
  <c r="P15" i="23"/>
  <c r="P14" i="23"/>
  <c r="O12" i="23"/>
  <c r="N12" i="23"/>
  <c r="M12" i="23"/>
  <c r="L12" i="23"/>
  <c r="K12" i="23"/>
  <c r="J12" i="23"/>
  <c r="I12" i="23"/>
  <c r="H12" i="23"/>
  <c r="G12" i="23"/>
  <c r="G23" i="23" s="1"/>
  <c r="F12" i="23"/>
  <c r="E12" i="23"/>
  <c r="D12" i="23"/>
  <c r="P8" i="23"/>
  <c r="P7" i="23"/>
  <c r="P6" i="23"/>
  <c r="P5" i="23"/>
  <c r="P4" i="23"/>
  <c r="P3" i="23"/>
  <c r="P20" i="22"/>
  <c r="P19" i="22"/>
  <c r="P18" i="22"/>
  <c r="P17" i="22"/>
  <c r="P16" i="22"/>
  <c r="P15" i="22"/>
  <c r="P14" i="22"/>
  <c r="O12" i="22"/>
  <c r="O13" i="22" s="1"/>
  <c r="N12" i="22"/>
  <c r="N13" i="22" s="1"/>
  <c r="M12" i="22"/>
  <c r="M13" i="22" s="1"/>
  <c r="L12" i="22"/>
  <c r="L13" i="22" s="1"/>
  <c r="K12" i="22"/>
  <c r="K13" i="22" s="1"/>
  <c r="J12" i="22"/>
  <c r="J13" i="22" s="1"/>
  <c r="I12" i="22"/>
  <c r="H12" i="22"/>
  <c r="G12" i="22"/>
  <c r="F12" i="22"/>
  <c r="E12" i="22"/>
  <c r="E13" i="22" s="1"/>
  <c r="D12" i="22"/>
  <c r="D13" i="22" s="1"/>
  <c r="P8" i="22"/>
  <c r="P7" i="22"/>
  <c r="P6" i="22"/>
  <c r="P5" i="22"/>
  <c r="P4" i="22"/>
  <c r="P3" i="22"/>
  <c r="P8" i="3"/>
  <c r="E12" i="3"/>
  <c r="F12" i="3"/>
  <c r="G12" i="3"/>
  <c r="H12" i="3"/>
  <c r="H13" i="3" s="1"/>
  <c r="I12" i="3"/>
  <c r="I13" i="3" s="1"/>
  <c r="J12" i="3"/>
  <c r="J13" i="3" s="1"/>
  <c r="K12" i="3"/>
  <c r="K13" i="3" s="1"/>
  <c r="L12" i="3"/>
  <c r="L13" i="3" s="1"/>
  <c r="M12" i="3"/>
  <c r="M13" i="3" s="1"/>
  <c r="N12" i="3"/>
  <c r="N13" i="3" s="1"/>
  <c r="O12" i="3"/>
  <c r="O13" i="3" s="1"/>
  <c r="D12" i="3"/>
  <c r="E12" i="17"/>
  <c r="F12" i="17"/>
  <c r="G12" i="17"/>
  <c r="H12" i="17"/>
  <c r="I12" i="17"/>
  <c r="J12" i="17"/>
  <c r="K12" i="17"/>
  <c r="L12" i="17"/>
  <c r="O23" i="17"/>
  <c r="N23" i="17"/>
  <c r="M23" i="17"/>
  <c r="L23" i="17"/>
  <c r="K23" i="17"/>
  <c r="J23" i="17"/>
  <c r="I23" i="17"/>
  <c r="H23" i="17"/>
  <c r="G23" i="17"/>
  <c r="F23" i="17"/>
  <c r="F24" i="17"/>
  <c r="F26" i="17"/>
  <c r="E23" i="17"/>
  <c r="D23" i="17"/>
  <c r="P22" i="17"/>
  <c r="P21" i="17"/>
  <c r="P20" i="17"/>
  <c r="P19" i="17"/>
  <c r="P18" i="17"/>
  <c r="P17" i="17"/>
  <c r="P16" i="17"/>
  <c r="P15" i="17"/>
  <c r="P14" i="17"/>
  <c r="P13" i="17"/>
  <c r="O12" i="17"/>
  <c r="N12" i="17"/>
  <c r="M12" i="17"/>
  <c r="D12" i="17"/>
  <c r="P11" i="17"/>
  <c r="P10" i="17"/>
  <c r="P9" i="17"/>
  <c r="P8" i="17"/>
  <c r="P7" i="17"/>
  <c r="P6" i="17"/>
  <c r="G24" i="17"/>
  <c r="G26" i="17"/>
  <c r="K24" i="17"/>
  <c r="K26" i="17"/>
  <c r="H25" i="17"/>
  <c r="J25" i="17"/>
  <c r="H24" i="17"/>
  <c r="H26" i="17"/>
  <c r="I24" i="17"/>
  <c r="I26" i="17"/>
  <c r="G25" i="17"/>
  <c r="E24" i="17"/>
  <c r="E26" i="17"/>
  <c r="I25" i="17"/>
  <c r="O25" i="17"/>
  <c r="M24" i="17"/>
  <c r="M26" i="17"/>
  <c r="N24" i="17"/>
  <c r="N26" i="17"/>
  <c r="O24" i="17"/>
  <c r="O26" i="17"/>
  <c r="P12" i="17"/>
  <c r="J24" i="17"/>
  <c r="J26" i="17"/>
  <c r="L24" i="17"/>
  <c r="L26" i="17"/>
  <c r="P23" i="17"/>
  <c r="K25" i="17"/>
  <c r="D25" i="17"/>
  <c r="E25" i="17"/>
  <c r="D24" i="17"/>
  <c r="D26" i="17"/>
  <c r="L25" i="17"/>
  <c r="M25" i="17"/>
  <c r="F25" i="17"/>
  <c r="N25" i="17"/>
  <c r="I47" i="16"/>
  <c r="J47" i="16"/>
  <c r="I46" i="16"/>
  <c r="J46" i="16"/>
  <c r="I45" i="16"/>
  <c r="J45" i="16"/>
  <c r="I44" i="16"/>
  <c r="J44" i="16"/>
  <c r="I43" i="16"/>
  <c r="J43" i="16"/>
  <c r="I42" i="16"/>
  <c r="J42" i="16"/>
  <c r="I41" i="16"/>
  <c r="J41" i="16"/>
  <c r="I40" i="16"/>
  <c r="J40" i="16"/>
  <c r="I39" i="16"/>
  <c r="J39" i="16"/>
  <c r="I38" i="16"/>
  <c r="J38" i="16"/>
  <c r="I37" i="16"/>
  <c r="J37" i="16"/>
  <c r="I36" i="16"/>
  <c r="J36" i="16"/>
  <c r="I35" i="16"/>
  <c r="J35" i="16"/>
  <c r="I34" i="16"/>
  <c r="J34" i="16"/>
  <c r="I33" i="16"/>
  <c r="J33" i="16"/>
  <c r="I32" i="16"/>
  <c r="J32" i="16"/>
  <c r="I31" i="16"/>
  <c r="J31" i="16"/>
  <c r="I30" i="16"/>
  <c r="J30" i="16"/>
  <c r="I29" i="16"/>
  <c r="J29" i="16"/>
  <c r="I28" i="16"/>
  <c r="J28" i="16"/>
  <c r="I27" i="16"/>
  <c r="J27" i="16"/>
  <c r="I26" i="16"/>
  <c r="J26" i="16"/>
  <c r="I25" i="16"/>
  <c r="J25" i="16"/>
  <c r="I24" i="16"/>
  <c r="J24" i="16"/>
  <c r="I23" i="16"/>
  <c r="J23" i="16"/>
  <c r="I22" i="16"/>
  <c r="J22" i="16"/>
  <c r="I21" i="16"/>
  <c r="J21" i="16"/>
  <c r="I20" i="16"/>
  <c r="J20" i="16"/>
  <c r="I19" i="16"/>
  <c r="J19" i="16"/>
  <c r="I18" i="16"/>
  <c r="J18" i="16"/>
  <c r="I17" i="16"/>
  <c r="J17" i="16"/>
  <c r="I16" i="16"/>
  <c r="J16" i="16"/>
  <c r="I15" i="16"/>
  <c r="J15" i="16"/>
  <c r="I14" i="16"/>
  <c r="J14" i="16"/>
  <c r="I13" i="16"/>
  <c r="J13" i="16"/>
  <c r="I12" i="16"/>
  <c r="J12" i="16"/>
  <c r="I11" i="16"/>
  <c r="J11" i="16"/>
  <c r="I10" i="16"/>
  <c r="J10" i="16"/>
  <c r="I9" i="16"/>
  <c r="J9" i="16"/>
  <c r="I8" i="16"/>
  <c r="J8" i="16"/>
  <c r="I7" i="16"/>
  <c r="J7" i="16"/>
  <c r="I6" i="16"/>
  <c r="J6" i="16"/>
  <c r="I5" i="16"/>
  <c r="J5" i="16"/>
  <c r="I4" i="16"/>
  <c r="J4" i="16"/>
  <c r="I3" i="16"/>
  <c r="J3" i="16"/>
  <c r="I2" i="16"/>
  <c r="J2" i="16"/>
  <c r="C9" i="10"/>
  <c r="C13" i="10"/>
  <c r="H13" i="10"/>
  <c r="C14" i="10"/>
  <c r="C3" i="10"/>
  <c r="P18" i="3"/>
  <c r="P17" i="3"/>
  <c r="P6" i="3"/>
  <c r="P4" i="3"/>
  <c r="P3" i="3"/>
  <c r="O26" i="3"/>
  <c r="O28" i="3" s="1"/>
  <c r="D7" i="12"/>
  <c r="E7" i="12"/>
  <c r="D6" i="12"/>
  <c r="E6" i="12"/>
  <c r="D5" i="12"/>
  <c r="D3" i="12"/>
  <c r="C15" i="11"/>
  <c r="D13" i="11"/>
  <c r="C10" i="11"/>
  <c r="D8" i="11"/>
  <c r="C5" i="11"/>
  <c r="D3" i="11"/>
  <c r="G10" i="10"/>
  <c r="L9" i="10"/>
  <c r="G14" i="10"/>
  <c r="K9" i="10"/>
  <c r="G9" i="10"/>
  <c r="N8" i="10"/>
  <c r="G8" i="10"/>
  <c r="N7" i="10"/>
  <c r="G7" i="10"/>
  <c r="N6" i="10"/>
  <c r="G6" i="10"/>
  <c r="G5" i="10"/>
  <c r="G4" i="10"/>
  <c r="G3" i="10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I4" i="7"/>
  <c r="F4" i="7"/>
  <c r="I3" i="7"/>
  <c r="I5" i="7"/>
  <c r="E34" i="8"/>
  <c r="D34" i="8"/>
  <c r="C34" i="8"/>
  <c r="P7" i="3"/>
  <c r="M26" i="3"/>
  <c r="M28" i="3" s="1"/>
  <c r="C10" i="10"/>
  <c r="H10" i="10"/>
  <c r="C8" i="10"/>
  <c r="H8" i="10"/>
  <c r="C6" i="10"/>
  <c r="H6" i="10"/>
  <c r="C5" i="10"/>
  <c r="H5" i="10"/>
  <c r="C11" i="10"/>
  <c r="H11" i="10"/>
  <c r="C7" i="10"/>
  <c r="H7" i="10"/>
  <c r="G6" i="12"/>
  <c r="N9" i="10"/>
  <c r="P14" i="3"/>
  <c r="M9" i="10"/>
  <c r="P20" i="3"/>
  <c r="P16" i="3"/>
  <c r="H9" i="10"/>
  <c r="P15" i="3"/>
  <c r="H3" i="10"/>
  <c r="I6" i="7"/>
  <c r="P19" i="3"/>
  <c r="G7" i="12"/>
  <c r="E5" i="12"/>
  <c r="G5" i="12"/>
  <c r="H14" i="10"/>
  <c r="P5" i="3"/>
  <c r="I7" i="7"/>
  <c r="P24" i="17"/>
  <c r="P26" i="17"/>
  <c r="C4" i="10"/>
  <c r="H4" i="10"/>
  <c r="C12" i="10"/>
  <c r="H12" i="10"/>
  <c r="P25" i="17"/>
  <c r="P12" i="3"/>
  <c r="K2" i="10"/>
  <c r="K3" i="10"/>
  <c r="D12" i="10"/>
  <c r="D13" i="10"/>
  <c r="D14" i="10"/>
  <c r="D10" i="10"/>
  <c r="D11" i="10"/>
  <c r="D12" i="29" l="1"/>
  <c r="I4" i="29"/>
  <c r="D22" i="29"/>
  <c r="I22" i="29" s="1"/>
  <c r="I14" i="29"/>
  <c r="D28" i="29"/>
  <c r="I26" i="29"/>
  <c r="I28" i="29" s="1"/>
  <c r="E28" i="29"/>
  <c r="F28" i="29"/>
  <c r="G28" i="29"/>
  <c r="H28" i="29"/>
  <c r="I24" i="25"/>
  <c r="I26" i="25" s="1"/>
  <c r="I28" i="25" s="1"/>
  <c r="H24" i="25"/>
  <c r="H26" i="25" s="1"/>
  <c r="H28" i="25" s="1"/>
  <c r="I24" i="23"/>
  <c r="I23" i="23"/>
  <c r="H24" i="23"/>
  <c r="H23" i="23"/>
  <c r="I24" i="24"/>
  <c r="I23" i="24"/>
  <c r="H24" i="24"/>
  <c r="G24" i="27" s="1"/>
  <c r="H23" i="24"/>
  <c r="I13" i="22"/>
  <c r="I24" i="22"/>
  <c r="I26" i="22" s="1"/>
  <c r="I28" i="22" s="1"/>
  <c r="I23" i="22"/>
  <c r="H13" i="22"/>
  <c r="H24" i="22"/>
  <c r="H26" i="22" s="1"/>
  <c r="H28" i="22" s="1"/>
  <c r="H23" i="22"/>
  <c r="I24" i="3"/>
  <c r="I23" i="3"/>
  <c r="H24" i="3"/>
  <c r="H23" i="3"/>
  <c r="G24" i="25"/>
  <c r="G13" i="22"/>
  <c r="E13" i="27" s="1"/>
  <c r="G24" i="22"/>
  <c r="E24" i="27" s="1"/>
  <c r="G23" i="22"/>
  <c r="G13" i="3"/>
  <c r="D13" i="27" s="1"/>
  <c r="G24" i="3"/>
  <c r="G23" i="3"/>
  <c r="D12" i="27"/>
  <c r="I4" i="27"/>
  <c r="D22" i="27"/>
  <c r="I22" i="27" s="1"/>
  <c r="I14" i="27"/>
  <c r="E26" i="25"/>
  <c r="E28" i="25" s="1"/>
  <c r="E24" i="26"/>
  <c r="D24" i="26"/>
  <c r="F13" i="22"/>
  <c r="F24" i="22"/>
  <c r="G26" i="22"/>
  <c r="D26" i="25"/>
  <c r="P24" i="25"/>
  <c r="P26" i="25" s="1"/>
  <c r="P28" i="25" s="1"/>
  <c r="D23" i="25"/>
  <c r="E23" i="25"/>
  <c r="F23" i="25"/>
  <c r="G23" i="25"/>
  <c r="H23" i="25"/>
  <c r="I23" i="25"/>
  <c r="J23" i="25"/>
  <c r="K23" i="25"/>
  <c r="L23" i="25"/>
  <c r="M23" i="25"/>
  <c r="N23" i="25"/>
  <c r="O23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D13" i="24"/>
  <c r="D24" i="24"/>
  <c r="E13" i="24"/>
  <c r="E24" i="24"/>
  <c r="E26" i="24" s="1"/>
  <c r="F13" i="24"/>
  <c r="F24" i="24"/>
  <c r="F26" i="24" s="1"/>
  <c r="G13" i="24"/>
  <c r="G26" i="24"/>
  <c r="H13" i="24"/>
  <c r="H26" i="24"/>
  <c r="H28" i="24" s="1"/>
  <c r="I13" i="24"/>
  <c r="I26" i="24"/>
  <c r="I28" i="24" s="1"/>
  <c r="J13" i="24"/>
  <c r="J26" i="24"/>
  <c r="J28" i="24" s="1"/>
  <c r="K13" i="24"/>
  <c r="K26" i="24"/>
  <c r="K28" i="24" s="1"/>
  <c r="L13" i="24"/>
  <c r="L26" i="24"/>
  <c r="L28" i="24" s="1"/>
  <c r="M13" i="24"/>
  <c r="M26" i="24"/>
  <c r="M28" i="24" s="1"/>
  <c r="N13" i="24"/>
  <c r="N26" i="24"/>
  <c r="N28" i="24" s="1"/>
  <c r="O13" i="24"/>
  <c r="O26" i="24"/>
  <c r="O28" i="24" s="1"/>
  <c r="D13" i="23"/>
  <c r="D24" i="23"/>
  <c r="E13" i="23"/>
  <c r="E24" i="23"/>
  <c r="E26" i="23" s="1"/>
  <c r="F13" i="23"/>
  <c r="F24" i="23"/>
  <c r="F26" i="23" s="1"/>
  <c r="G13" i="23"/>
  <c r="G24" i="23"/>
  <c r="H13" i="23"/>
  <c r="H26" i="23"/>
  <c r="H28" i="23" s="1"/>
  <c r="I13" i="23"/>
  <c r="I26" i="23"/>
  <c r="I28" i="23" s="1"/>
  <c r="J13" i="23"/>
  <c r="J26" i="23"/>
  <c r="J28" i="23" s="1"/>
  <c r="K13" i="23"/>
  <c r="K26" i="23"/>
  <c r="K28" i="23" s="1"/>
  <c r="L13" i="23"/>
  <c r="L26" i="23"/>
  <c r="L28" i="23" s="1"/>
  <c r="M13" i="23"/>
  <c r="M26" i="23"/>
  <c r="M28" i="23" s="1"/>
  <c r="N13" i="23"/>
  <c r="N26" i="23"/>
  <c r="N28" i="23" s="1"/>
  <c r="O13" i="23"/>
  <c r="O26" i="23"/>
  <c r="O28" i="23" s="1"/>
  <c r="D26" i="22"/>
  <c r="P24" i="22"/>
  <c r="P26" i="22" s="1"/>
  <c r="P28" i="22" s="1"/>
  <c r="D24" i="3"/>
  <c r="D26" i="3" s="1"/>
  <c r="D13" i="3"/>
  <c r="F24" i="3"/>
  <c r="F26" i="3" s="1"/>
  <c r="F13" i="3"/>
  <c r="E24" i="3"/>
  <c r="E26" i="3" s="1"/>
  <c r="E13" i="3"/>
  <c r="K26" i="3"/>
  <c r="K28" i="3" s="1"/>
  <c r="J26" i="3"/>
  <c r="J28" i="3" s="1"/>
  <c r="G26" i="3"/>
  <c r="D22" i="26"/>
  <c r="E22" i="26"/>
  <c r="O22" i="26"/>
  <c r="N22" i="26"/>
  <c r="M22" i="26"/>
  <c r="L22" i="26"/>
  <c r="K22" i="26"/>
  <c r="J22" i="26"/>
  <c r="I22" i="26"/>
  <c r="H22" i="26"/>
  <c r="G22" i="26"/>
  <c r="F22" i="26"/>
  <c r="P22" i="25"/>
  <c r="P22" i="22"/>
  <c r="P22" i="26"/>
  <c r="P21" i="26"/>
  <c r="P22" i="24"/>
  <c r="D12" i="26"/>
  <c r="E12" i="26"/>
  <c r="E26" i="26" s="1"/>
  <c r="E28" i="26" s="1"/>
  <c r="N12" i="26"/>
  <c r="N24" i="26" s="1"/>
  <c r="N26" i="26" s="1"/>
  <c r="N28" i="26" s="1"/>
  <c r="P19" i="26"/>
  <c r="P22" i="23"/>
  <c r="P7" i="26"/>
  <c r="P8" i="26"/>
  <c r="F12" i="26"/>
  <c r="P17" i="26"/>
  <c r="P15" i="26"/>
  <c r="P3" i="26"/>
  <c r="P20" i="26"/>
  <c r="P18" i="26"/>
  <c r="P4" i="26"/>
  <c r="P16" i="26"/>
  <c r="O12" i="26"/>
  <c r="O24" i="26" s="1"/>
  <c r="O26" i="26" s="1"/>
  <c r="O28" i="26" s="1"/>
  <c r="P6" i="26"/>
  <c r="P22" i="3"/>
  <c r="P23" i="3" s="1"/>
  <c r="D23" i="3"/>
  <c r="L26" i="3"/>
  <c r="L28" i="3" s="1"/>
  <c r="M12" i="26"/>
  <c r="M24" i="26" s="1"/>
  <c r="M26" i="26" s="1"/>
  <c r="M28" i="26" s="1"/>
  <c r="L12" i="26"/>
  <c r="L24" i="26" s="1"/>
  <c r="L26" i="26" s="1"/>
  <c r="L28" i="26" s="1"/>
  <c r="K12" i="26"/>
  <c r="K24" i="26" s="1"/>
  <c r="K26" i="26" s="1"/>
  <c r="K28" i="26" s="1"/>
  <c r="P14" i="26"/>
  <c r="J12" i="26"/>
  <c r="J24" i="26" s="1"/>
  <c r="J26" i="26" s="1"/>
  <c r="J28" i="26" s="1"/>
  <c r="I12" i="26"/>
  <c r="I26" i="26" s="1"/>
  <c r="I28" i="26" s="1"/>
  <c r="E23" i="3"/>
  <c r="H12" i="26"/>
  <c r="H26" i="3"/>
  <c r="H28" i="3" s="1"/>
  <c r="G12" i="26"/>
  <c r="N26" i="3"/>
  <c r="N28" i="3" s="1"/>
  <c r="P11" i="26"/>
  <c r="F23" i="3"/>
  <c r="P10" i="26"/>
  <c r="I26" i="3"/>
  <c r="I28" i="3" s="1"/>
  <c r="P5" i="26"/>
  <c r="P9" i="26"/>
  <c r="P12" i="25"/>
  <c r="P23" i="25" s="1"/>
  <c r="D23" i="24"/>
  <c r="P12" i="24"/>
  <c r="P23" i="24" s="1"/>
  <c r="E23" i="24"/>
  <c r="F23" i="24"/>
  <c r="G23" i="24"/>
  <c r="D23" i="23"/>
  <c r="P12" i="23"/>
  <c r="E23" i="23"/>
  <c r="F23" i="23"/>
  <c r="D23" i="22"/>
  <c r="P12" i="22"/>
  <c r="P23" i="22" s="1"/>
  <c r="E23" i="22"/>
  <c r="F23" i="22"/>
  <c r="D24" i="27" l="1"/>
  <c r="G24" i="26"/>
  <c r="D23" i="29"/>
  <c r="I12" i="29"/>
  <c r="I23" i="29" s="1"/>
  <c r="H13" i="27"/>
  <c r="G13" i="27"/>
  <c r="F13" i="27"/>
  <c r="H24" i="27"/>
  <c r="G26" i="25"/>
  <c r="G28" i="24"/>
  <c r="G26" i="27"/>
  <c r="G28" i="27" s="1"/>
  <c r="G26" i="23"/>
  <c r="F24" i="27"/>
  <c r="I24" i="27"/>
  <c r="I13" i="27"/>
  <c r="G28" i="22"/>
  <c r="E26" i="27"/>
  <c r="E28" i="27" s="1"/>
  <c r="G28" i="3"/>
  <c r="D26" i="27"/>
  <c r="D23" i="27"/>
  <c r="I12" i="27"/>
  <c r="I23" i="27" s="1"/>
  <c r="D28" i="25"/>
  <c r="F26" i="22"/>
  <c r="F24" i="26"/>
  <c r="P13" i="22"/>
  <c r="G13" i="26"/>
  <c r="G26" i="26"/>
  <c r="G28" i="26" s="1"/>
  <c r="H13" i="26"/>
  <c r="H26" i="26"/>
  <c r="H28" i="26" s="1"/>
  <c r="F13" i="26"/>
  <c r="F26" i="26"/>
  <c r="F28" i="26" s="1"/>
  <c r="D13" i="26"/>
  <c r="I13" i="26"/>
  <c r="J13" i="26"/>
  <c r="K13" i="26"/>
  <c r="L13" i="26"/>
  <c r="M13" i="26"/>
  <c r="O13" i="26"/>
  <c r="N13" i="26"/>
  <c r="E13" i="26"/>
  <c r="P13" i="26"/>
  <c r="P13" i="25"/>
  <c r="D26" i="24"/>
  <c r="P24" i="24"/>
  <c r="P26" i="24" s="1"/>
  <c r="P28" i="24" s="1"/>
  <c r="P13" i="24"/>
  <c r="D26" i="23"/>
  <c r="P24" i="23"/>
  <c r="P26" i="23" s="1"/>
  <c r="P28" i="23" s="1"/>
  <c r="P13" i="23"/>
  <c r="P13" i="3"/>
  <c r="G23" i="26"/>
  <c r="P24" i="3"/>
  <c r="P26" i="3" s="1"/>
  <c r="P28" i="3" s="1"/>
  <c r="H23" i="26"/>
  <c r="I23" i="26"/>
  <c r="J23" i="26"/>
  <c r="K23" i="26"/>
  <c r="L23" i="26"/>
  <c r="M23" i="26"/>
  <c r="N23" i="26"/>
  <c r="O23" i="26"/>
  <c r="E23" i="26"/>
  <c r="D23" i="26"/>
  <c r="F23" i="26"/>
  <c r="P23" i="26" s="1"/>
  <c r="P23" i="23"/>
  <c r="P12" i="26"/>
  <c r="G28" i="25" l="1"/>
  <c r="H26" i="27"/>
  <c r="H28" i="27" s="1"/>
  <c r="G28" i="23"/>
  <c r="F26" i="27"/>
  <c r="F28" i="27" s="1"/>
  <c r="D28" i="27"/>
  <c r="I26" i="27"/>
  <c r="I28" i="27" s="1"/>
  <c r="F28" i="22"/>
  <c r="D26" i="26"/>
  <c r="D28" i="26" s="1"/>
  <c r="P24" i="26"/>
  <c r="P26" i="26" s="1"/>
  <c r="P28" i="26" s="1"/>
</calcChain>
</file>

<file path=xl/sharedStrings.xml><?xml version="1.0" encoding="utf-8"?>
<sst xmlns="http://schemas.openxmlformats.org/spreadsheetml/2006/main" count="629" uniqueCount="212">
  <si>
    <t>Year</t>
  </si>
  <si>
    <t>Month</t>
  </si>
  <si>
    <t>Date</t>
  </si>
  <si>
    <t>Previous Balance</t>
  </si>
  <si>
    <t>Total Withdrawals</t>
  </si>
  <si>
    <t>Total deposits</t>
  </si>
  <si>
    <t>Current Balance</t>
  </si>
  <si>
    <t>Column1</t>
  </si>
  <si>
    <t>Profit</t>
  </si>
  <si>
    <t>checking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</si>
  <si>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</si>
  <si>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</si>
  <si>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</si>
  <si>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</si>
  <si>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</si>
  <si>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</si>
  <si>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</si>
  <si>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</si>
  <si>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</si>
  <si>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</si>
  <si>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</si>
  <si>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</si>
  <si>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Quarter 2 YTD Branch Comparison</t>
  </si>
  <si>
    <t>Tungku</t>
  </si>
  <si>
    <t>Salar</t>
  </si>
  <si>
    <t>Bengkurong</t>
  </si>
  <si>
    <t>Tutong</t>
  </si>
  <si>
    <t>Lambak</t>
  </si>
  <si>
    <t>YTD</t>
  </si>
  <si>
    <t>Revenue</t>
  </si>
  <si>
    <t>Cost of Services</t>
  </si>
  <si>
    <t>Water Bill</t>
  </si>
  <si>
    <t>Electricity Bill</t>
  </si>
  <si>
    <t>Car Wash Shampoo &amp; Tyre Shine + Car Wax</t>
  </si>
  <si>
    <t>Staff Wages</t>
  </si>
  <si>
    <t>Part-timer Wages</t>
  </si>
  <si>
    <t>Bonus</t>
  </si>
  <si>
    <t>Miscellaneous</t>
  </si>
  <si>
    <t>Maintenance &amp; Repair</t>
  </si>
  <si>
    <t>Total COS</t>
  </si>
  <si>
    <t>Gross Profit</t>
  </si>
  <si>
    <t>Operating Expense</t>
  </si>
  <si>
    <t xml:space="preserve">Total Units Rental </t>
  </si>
  <si>
    <t>Point-of-Sale System</t>
  </si>
  <si>
    <t>Wifi Internet</t>
  </si>
  <si>
    <t>SPK</t>
  </si>
  <si>
    <t>Connecteam (Employmee Management App)</t>
  </si>
  <si>
    <t>Barang Harian Serbaguna</t>
  </si>
  <si>
    <t>Foods &amp; Drink</t>
  </si>
  <si>
    <t>Management Fee</t>
  </si>
  <si>
    <t>Total OPEX</t>
  </si>
  <si>
    <t xml:space="preserve">Total Expeses </t>
  </si>
  <si>
    <t>EBITDA (Earning Before interest, tax, depreciation, amortisation</t>
  </si>
  <si>
    <t>Asset Depreciation</t>
  </si>
  <si>
    <t>NET PROFIT</t>
  </si>
  <si>
    <t>Profit Margin</t>
  </si>
  <si>
    <t>Kadai Tungku</t>
  </si>
  <si>
    <t>Revenue Hust Brew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</si>
  <si>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</si>
  <si>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</si>
  <si>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</si>
  <si>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</si>
  <si>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</si>
  <si>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</si>
  <si>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</si>
  <si>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</si>
  <si>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</si>
  <si>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</si>
  <si>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</si>
  <si>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Net Profit Margin</t>
  </si>
  <si>
    <t>remarks</t>
  </si>
  <si>
    <t>Hujan labat, 3/4 of the month, active weather and flood</t>
  </si>
  <si>
    <t>Surge of Revenue from a combination of  Very Good weather and Festive Hari Raya Season</t>
  </si>
  <si>
    <t>Good weather, however Tungku is rejuvenated with new installed window wash bay</t>
  </si>
  <si>
    <t>hujan half of the month</t>
  </si>
  <si>
    <t>Kadai Salar</t>
  </si>
  <si>
    <t>Kadai Bengkurong</t>
  </si>
  <si>
    <t>Kadai Tutong</t>
  </si>
  <si>
    <t>Kadai Lambak</t>
  </si>
  <si>
    <t>Good weather, sales is picking up, extra expense on Pylon Signage marketing strategy.</t>
  </si>
  <si>
    <t xml:space="preserve">Dart </t>
  </si>
  <si>
    <t xml:space="preserve">1st </t>
  </si>
  <si>
    <t xml:space="preserve">2nd </t>
  </si>
  <si>
    <t xml:space="preserve">3rd </t>
  </si>
  <si>
    <t xml:space="preserve">4th </t>
  </si>
  <si>
    <t xml:space="preserve">5th </t>
  </si>
  <si>
    <t xml:space="preserve">6th </t>
  </si>
  <si>
    <t xml:space="preserve">7th </t>
  </si>
  <si>
    <t xml:space="preserve">8th </t>
  </si>
  <si>
    <t xml:space="preserve">9th </t>
  </si>
  <si>
    <t xml:space="preserve">10th </t>
  </si>
  <si>
    <t xml:space="preserve">11th </t>
  </si>
  <si>
    <t xml:space="preserve">12th </t>
  </si>
  <si>
    <t xml:space="preserve">13th </t>
  </si>
  <si>
    <t xml:space="preserve">14th </t>
  </si>
  <si>
    <t xml:space="preserve">15th </t>
  </si>
  <si>
    <t xml:space="preserve">16th </t>
  </si>
  <si>
    <t xml:space="preserve">17th </t>
  </si>
  <si>
    <t xml:space="preserve">18th </t>
  </si>
  <si>
    <t xml:space="preserve">19th </t>
  </si>
  <si>
    <t xml:space="preserve">20th </t>
  </si>
  <si>
    <t xml:space="preserve">21st </t>
  </si>
  <si>
    <t xml:space="preserve">22nd </t>
  </si>
  <si>
    <t xml:space="preserve">23rd </t>
  </si>
  <si>
    <t xml:space="preserve">24th </t>
  </si>
  <si>
    <t xml:space="preserve">25th </t>
  </si>
  <si>
    <t xml:space="preserve">26th </t>
  </si>
  <si>
    <t xml:space="preserve">27th </t>
  </si>
  <si>
    <t xml:space="preserve">28th </t>
  </si>
  <si>
    <t xml:space="preserve">29th </t>
  </si>
  <si>
    <t xml:space="preserve">30th </t>
  </si>
  <si>
    <t xml:space="preserve">31st </t>
  </si>
  <si>
    <t>Overall Total</t>
  </si>
  <si>
    <t>Quarter 1 Insights remarks</t>
  </si>
  <si>
    <t>Rejuvenated Tungku Branch as planned in Q1 Business Plan</t>
  </si>
  <si>
    <t>1/2 month Rain</t>
  </si>
  <si>
    <t>1/2 Month rain</t>
  </si>
  <si>
    <t xml:space="preserve">                                             </t>
  </si>
  <si>
    <t>Days</t>
  </si>
  <si>
    <t xml:space="preserve">MTD Performance </t>
  </si>
  <si>
    <t>Cost Per Day</t>
  </si>
  <si>
    <t>Net Profit</t>
  </si>
  <si>
    <t>Time Elapsed</t>
  </si>
  <si>
    <t>Fri</t>
  </si>
  <si>
    <t>1st</t>
  </si>
  <si>
    <t xml:space="preserve">Pandan </t>
  </si>
  <si>
    <t>Sat</t>
  </si>
  <si>
    <t>2nd</t>
  </si>
  <si>
    <t xml:space="preserve">Tungku </t>
  </si>
  <si>
    <t>Sun</t>
  </si>
  <si>
    <t>3rd</t>
  </si>
  <si>
    <t>Mon</t>
  </si>
  <si>
    <t>4th</t>
  </si>
  <si>
    <t>Overall</t>
  </si>
  <si>
    <t>Tue</t>
  </si>
  <si>
    <t>5th</t>
  </si>
  <si>
    <t>Wed</t>
  </si>
  <si>
    <t>6th</t>
  </si>
  <si>
    <t>Thu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</si>
  <si>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</si>
  <si>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</si>
  <si>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</si>
  <si>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</si>
  <si>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</si>
  <si>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</si>
  <si>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</si>
  <si>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</si>
  <si>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</si>
  <si>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</si>
  <si>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</si>
  <si>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</si>
  <si>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</si>
  <si>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</si>
  <si>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</si>
  <si>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</si>
  <si>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</si>
  <si>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</si>
  <si>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</si>
  <si>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</si>
  <si>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</si>
  <si>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</si>
  <si>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</si>
  <si>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</si>
  <si>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</si>
  <si>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No of Cars</t>
  </si>
  <si>
    <t>Rank</t>
  </si>
  <si>
    <t>Full Package</t>
  </si>
  <si>
    <t>Ratio</t>
  </si>
  <si>
    <t>Total Cars</t>
  </si>
  <si>
    <t>Runrate</t>
  </si>
  <si>
    <t>Highest</t>
  </si>
  <si>
    <t>Kadai</t>
  </si>
  <si>
    <t>Performance</t>
  </si>
  <si>
    <t xml:space="preserve">Lowest </t>
  </si>
  <si>
    <t>Total</t>
  </si>
  <si>
    <t>Investment</t>
  </si>
  <si>
    <t>Fixed 
Cost</t>
  </si>
  <si>
    <t>Rental</t>
  </si>
  <si>
    <t xml:space="preserve">Internet </t>
  </si>
  <si>
    <t>POS</t>
  </si>
  <si>
    <t xml:space="preserve">Electricity </t>
  </si>
  <si>
    <t>Water</t>
  </si>
  <si>
    <t xml:space="preserve">Total Fixed Cost </t>
  </si>
  <si>
    <t xml:space="preserve">Variable
Cost </t>
  </si>
  <si>
    <t>Shampoo, Turtle Wax, water wax</t>
  </si>
  <si>
    <t>Connecteam</t>
  </si>
  <si>
    <t xml:space="preserve">Food and drinks </t>
  </si>
  <si>
    <t>Gaji Hari parttimer</t>
  </si>
  <si>
    <t>Maintenance and Repair Mesin</t>
  </si>
  <si>
    <t>Others</t>
  </si>
  <si>
    <t>Salary</t>
  </si>
  <si>
    <t xml:space="preserve">Total Variable Cost </t>
  </si>
  <si>
    <t xml:space="preserve">Net Profit </t>
  </si>
  <si>
    <t>Tiktok</t>
  </si>
  <si>
    <t xml:space="preserve">Numbers </t>
  </si>
  <si>
    <t>Before</t>
  </si>
  <si>
    <t>Current</t>
  </si>
  <si>
    <t>New Followers</t>
  </si>
  <si>
    <t>Instagram</t>
  </si>
  <si>
    <t>Facebook</t>
  </si>
  <si>
    <t>As of 5th July 2024</t>
  </si>
  <si>
    <t>Price</t>
  </si>
  <si>
    <t xml:space="preserve">Con Rate </t>
  </si>
  <si>
    <t xml:space="preserve">Cost </t>
  </si>
  <si>
    <t>Branches</t>
  </si>
  <si>
    <t>Unit</t>
  </si>
  <si>
    <t>Inventories</t>
  </si>
  <si>
    <t xml:space="preserve">In Stock </t>
  </si>
  <si>
    <t xml:space="preserve">Kadai Pandan </t>
  </si>
  <si>
    <t xml:space="preserve">Kadai Tungku </t>
  </si>
  <si>
    <t xml:space="preserve">Total </t>
  </si>
  <si>
    <t>Quarter 1 Branch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</si>
</sst>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[$MYR]\ #,##0.00"/>
    <numFmt numFmtId="165" formatCode="[$BND]\ #,##0.00"/>
    <numFmt numFmtId="166" formatCode="[$-14409]dd/mm/yyyy;@"/>
    <numFmt numFmtId="167" formatCode="dd/mm/yyyy;@"/>
    <numFmt numFmtId="168" formatCode="[$-F800]dddd\,\ mmmm\ dd\,\ yyyy"/>
  </numFmts>
  <fonts count="1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73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4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4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44" fontId="0" fillId="0" borderId="5" xfId="0" applyNumberFormat="1" applyBorder="1" applyAlignment="1">
      <alignment horizontal="left" vertical="center"/>
    </xf>
    <xf numFmtId="44" fontId="0" fillId="0" borderId="4" xfId="0" applyNumberFormat="1" applyBorder="1" applyAlignment="1">
      <alignment horizontal="left" vertical="center"/>
    </xf>
    <xf numFmtId="44" fontId="0" fillId="0" borderId="6" xfId="0" applyNumberFormat="1" applyBorder="1" applyAlignment="1">
      <alignment horizontal="left" vertical="center"/>
    </xf>
    <xf numFmtId="0" fontId="6" fillId="0" borderId="0" xfId="0" applyFont="1"/>
    <xf numFmtId="1" fontId="0" fillId="0" borderId="0" xfId="0" applyNumberFormat="1"/>
    <xf numFmtId="10" fontId="0" fillId="0" borderId="0" xfId="0" applyNumberFormat="1"/>
    <xf numFmtId="1" fontId="0" fillId="0" borderId="2" xfId="0" applyNumberFormat="1" applyBorder="1"/>
    <xf numFmtId="1" fontId="8" fillId="0" borderId="2" xfId="0" applyNumberFormat="1" applyFont="1" applyBorder="1"/>
    <xf numFmtId="1" fontId="9" fillId="0" borderId="2" xfId="0" applyNumberFormat="1" applyFont="1" applyBorder="1"/>
    <xf numFmtId="1" fontId="0" fillId="0" borderId="2" xfId="0" applyNumberFormat="1" applyBorder="1" applyAlignment="1">
      <alignment horizontal="right" vertical="center"/>
    </xf>
    <xf numFmtId="8" fontId="0" fillId="0" borderId="0" xfId="0" applyNumberFormat="1"/>
    <xf numFmtId="0" fontId="0" fillId="0" borderId="3" xfId="0" applyBorder="1" applyAlignment="1">
      <alignment horizontal="center"/>
    </xf>
    <xf numFmtId="0" fontId="1" fillId="3" borderId="0" xfId="0" applyFont="1" applyFill="1"/>
    <xf numFmtId="44" fontId="1" fillId="3" borderId="0" xfId="0" applyNumberFormat="1" applyFont="1" applyFill="1"/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left" vertical="center" wrapText="1"/>
    </xf>
    <xf numFmtId="10" fontId="1" fillId="3" borderId="0" xfId="0" applyNumberFormat="1" applyFont="1" applyFill="1"/>
    <xf numFmtId="0" fontId="10" fillId="0" borderId="0" xfId="0" applyFont="1"/>
    <xf numFmtId="0" fontId="6" fillId="0" borderId="1" xfId="0" applyFont="1" applyBorder="1"/>
    <xf numFmtId="10" fontId="6" fillId="0" borderId="17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horizontal="right" vertical="center"/>
    </xf>
    <xf numFmtId="0" fontId="12" fillId="0" borderId="1" xfId="0" applyFont="1" applyBorder="1"/>
    <xf numFmtId="0" fontId="10" fillId="0" borderId="1" xfId="0" applyFont="1" applyBorder="1"/>
    <xf numFmtId="10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10" xfId="0" applyNumberFormat="1" applyFont="1" applyBorder="1" applyAlignment="1">
      <alignment horizontal="center" vertical="center"/>
    </xf>
    <xf numFmtId="44" fontId="10" fillId="0" borderId="2" xfId="0" applyNumberFormat="1" applyFont="1" applyBorder="1"/>
    <xf numFmtId="44" fontId="6" fillId="0" borderId="2" xfId="0" applyNumberFormat="1" applyFont="1" applyBorder="1"/>
    <xf numFmtId="0" fontId="1" fillId="3" borderId="7" xfId="0" applyFont="1" applyFill="1" applyBorder="1" applyAlignment="1">
      <alignment horizontal="center" vertical="center"/>
    </xf>
    <xf numFmtId="10" fontId="1" fillId="3" borderId="16" xfId="0" applyNumberFormat="1" applyFont="1" applyFill="1" applyBorder="1" applyAlignment="1">
      <alignment horizontal="center" vertical="center"/>
    </xf>
    <xf numFmtId="10" fontId="5" fillId="3" borderId="9" xfId="0" applyNumberFormat="1" applyFont="1" applyFill="1" applyBorder="1" applyAlignment="1">
      <alignment horizontal="center" vertical="center"/>
    </xf>
    <xf numFmtId="10" fontId="5" fillId="3" borderId="18" xfId="0" applyNumberFormat="1" applyFont="1" applyFill="1" applyBorder="1" applyAlignment="1">
      <alignment horizontal="center" vertical="center"/>
    </xf>
    <xf numFmtId="0" fontId="5" fillId="3" borderId="1" xfId="0" applyFont="1" applyFill="1" applyBorder="1"/>
    <xf numFmtId="10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5" fillId="3" borderId="20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6" xfId="0" applyFont="1" applyFill="1" applyBorder="1"/>
    <xf numFmtId="0" fontId="7" fillId="3" borderId="18" xfId="0" applyFont="1" applyFill="1" applyBorder="1"/>
    <xf numFmtId="0" fontId="11" fillId="3" borderId="21" xfId="0" applyFont="1" applyFill="1" applyBorder="1" applyAlignment="1">
      <alignment horizontal="center" vertical="center"/>
    </xf>
    <xf numFmtId="0" fontId="6" fillId="0" borderId="2" xfId="0" applyFont="1" applyBorder="1"/>
    <xf numFmtId="10" fontId="6" fillId="0" borderId="2" xfId="0" applyNumberFormat="1" applyFont="1" applyBorder="1"/>
    <xf numFmtId="0" fontId="5" fillId="4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0" fontId="5" fillId="3" borderId="14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1" fontId="6" fillId="0" borderId="15" xfId="0" applyNumberFormat="1" applyFont="1" applyBorder="1"/>
    <xf numFmtId="1" fontId="6" fillId="0" borderId="0" xfId="0" applyNumberFormat="1" applyFont="1"/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1" fillId="3" borderId="0" xfId="0" applyFont="1" applyFill="1" applyAlignment="1">
      <alignment horizontal="left" vertical="center"/>
    </xf>
    <xf numFmtId="10" fontId="0" fillId="0" borderId="8" xfId="0" applyNumberFormat="1" applyBorder="1"/>
    <xf numFmtId="1" fontId="2" fillId="0" borderId="2" xfId="0" applyNumberFormat="1" applyFont="1" applyBorder="1"/>
    <xf numFmtId="0" fontId="2" fillId="6" borderId="0" xfId="0" applyFont="1" applyFill="1"/>
    <xf numFmtId="0" fontId="1" fillId="6" borderId="0" xfId="0" applyFont="1" applyFill="1"/>
    <xf numFmtId="44" fontId="1" fillId="6" borderId="0" xfId="0" applyNumberFormat="1" applyFont="1" applyFill="1"/>
    <xf numFmtId="0" fontId="1" fillId="5" borderId="0" xfId="0" applyFont="1" applyFill="1"/>
    <xf numFmtId="44" fontId="1" fillId="5" borderId="0" xfId="0" applyNumberFormat="1" applyFont="1" applyFill="1"/>
    <xf numFmtId="0" fontId="2" fillId="5" borderId="0" xfId="0" applyFont="1" applyFill="1"/>
    <xf numFmtId="0" fontId="2" fillId="0" borderId="0" xfId="0" applyFont="1" applyAlignment="1">
      <alignment horizontal="left" vertical="center" wrapText="1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44" fontId="0" fillId="0" borderId="0" xfId="0" applyNumberFormat="1" applyAlignment="1">
      <alignment wrapText="1"/>
    </xf>
    <xf numFmtId="44" fontId="0" fillId="0" borderId="0" xfId="0" applyNumberFormat="1" applyAlignment="1">
      <alignment vertical="center"/>
    </xf>
    <xf numFmtId="44" fontId="0" fillId="0" borderId="0" xfId="0" applyNumberFormat="1" applyAlignment="1">
      <alignment horizontal="right"/>
    </xf>
    <xf numFmtId="44" fontId="1" fillId="5" borderId="0" xfId="0" applyNumberFormat="1" applyFont="1" applyFill="1" applyAlignment="1">
      <alignment horizontal="right"/>
    </xf>
    <xf numFmtId="44" fontId="1" fillId="3" borderId="0" xfId="0" applyNumberFormat="1" applyFont="1" applyFill="1" applyAlignment="1">
      <alignment horizontal="right"/>
    </xf>
    <xf numFmtId="44" fontId="14" fillId="0" borderId="0" xfId="0" applyNumberFormat="1" applyFont="1"/>
    <xf numFmtId="8" fontId="0" fillId="0" borderId="0" xfId="0" applyNumberFormat="1" applyAlignment="1">
      <alignment horizontal="right"/>
    </xf>
    <xf numFmtId="10" fontId="8" fillId="0" borderId="22" xfId="0" applyNumberFormat="1" applyFont="1" applyBorder="1" applyAlignment="1">
      <alignment horizontal="center" vertical="center"/>
    </xf>
    <xf numFmtId="10" fontId="8" fillId="0" borderId="23" xfId="0" applyNumberFormat="1" applyFont="1" applyBorder="1" applyAlignment="1">
      <alignment horizontal="center" vertical="center"/>
    </xf>
    <xf numFmtId="44" fontId="0" fillId="0" borderId="24" xfId="0" applyNumberForma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" fillId="7" borderId="25" xfId="0" applyFont="1" applyFill="1" applyBorder="1" applyAlignment="1">
      <alignment horizontal="left" vertical="center" wrapText="1"/>
    </xf>
    <xf numFmtId="0" fontId="1" fillId="7" borderId="25" xfId="0" applyFont="1" applyFill="1" applyBorder="1"/>
    <xf numFmtId="44" fontId="1" fillId="7" borderId="25" xfId="0" applyNumberFormat="1" applyFont="1" applyFill="1" applyBorder="1"/>
    <xf numFmtId="0" fontId="0" fillId="8" borderId="0" xfId="0" applyFill="1"/>
    <xf numFmtId="0" fontId="2" fillId="8" borderId="0" xfId="0" applyFont="1" applyFill="1"/>
    <xf numFmtId="44" fontId="2" fillId="8" borderId="0" xfId="0" applyNumberFormat="1" applyFont="1" applyFill="1"/>
    <xf numFmtId="44" fontId="0" fillId="8" borderId="0" xfId="0" applyNumberFormat="1" applyFill="1"/>
    <xf numFmtId="0" fontId="3" fillId="9" borderId="25" xfId="0" applyFont="1" applyFill="1" applyBorder="1"/>
    <xf numFmtId="0" fontId="1" fillId="9" borderId="25" xfId="0" applyFont="1" applyFill="1" applyBorder="1"/>
    <xf numFmtId="44" fontId="1" fillId="9" borderId="25" xfId="0" applyNumberFormat="1" applyFont="1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10" fontId="1" fillId="3" borderId="16" xfId="0" applyNumberFormat="1" applyFont="1" applyFill="1" applyBorder="1" applyAlignment="1">
      <alignment horizontal="center" vertical="center"/>
    </xf>
    <xf numFmtId="10" fontId="1" fillId="3" borderId="18" xfId="0" applyNumberFormat="1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0" fontId="2" fillId="0" borderId="11" xfId="0" applyNumberFormat="1" applyFont="1" applyBorder="1" applyAlignment="1">
      <alignment horizontal="center" vertical="center"/>
    </xf>
    <xf numFmtId="10" fontId="2" fillId="0" borderId="12" xfId="0" applyNumberFormat="1" applyFont="1" applyBorder="1" applyAlignment="1">
      <alignment horizontal="center" vertical="center"/>
    </xf>
    <xf numFmtId="10" fontId="2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[$-14409]dd/mm/yyyy;@"/>
    </dxf>
    <dxf>
      <font>
        <color rgb="FFFF0000"/>
      </font>
    </dxf>
  </dxfs>
  <tableStyles count="0" defaultTableStyle="TableStyleMedium2" defaultPivotStyle="PivotStyleLight16"/>
  <colors>
    <mruColors>
      <color rgb="FFDA85FF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MTD!$D$3</c:f>
              <c:strCache>
                <c:ptCount val="1"/>
                <c:pt idx="0">
                  <c:v>Revenue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9.1220068415051314E-3"/>
                  <c:y val="-2.58064516129032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79-4CAD-A6CF-FB63027A1BC4}"/>
                </c:ext>
              </c:extLst>
            </c:dLbl>
            <c:dLbl>
              <c:idx val="3"/>
              <c:layout>
                <c:manualLayout>
                  <c:x val="-6.8415051311288486E-2"/>
                  <c:y val="1.4336917562724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79-4CAD-A6CF-FB63027A1BC4}"/>
                </c:ext>
              </c:extLst>
            </c:dLbl>
            <c:dLbl>
              <c:idx val="4"/>
              <c:layout>
                <c:manualLayout>
                  <c:x val="-5.6252375522614972E-2"/>
                  <c:y val="3.15412186379928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79-4CAD-A6CF-FB63027A1BC4}"/>
                </c:ext>
              </c:extLst>
            </c:dLbl>
            <c:dLbl>
              <c:idx val="5"/>
              <c:layout>
                <c:manualLayout>
                  <c:x val="0"/>
                  <c:y val="2.29390681003584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79-4CAD-A6CF-FB63027A1B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MTD!$C$4:$C$34</c:f>
              <c:strCache>
                <c:ptCount val="31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6th</c:v>
                </c:pt>
                <c:pt idx="6">
                  <c:v>7th</c:v>
                </c:pt>
                <c:pt idx="7">
                  <c:v>8th</c:v>
                </c:pt>
                <c:pt idx="8">
                  <c:v>9th</c:v>
                </c:pt>
                <c:pt idx="9">
                  <c:v>10th</c:v>
                </c:pt>
                <c:pt idx="10">
                  <c:v>11th</c:v>
                </c:pt>
                <c:pt idx="11">
                  <c:v>12th</c:v>
                </c:pt>
                <c:pt idx="12">
                  <c:v>13th</c:v>
                </c:pt>
                <c:pt idx="13">
                  <c:v>14th</c:v>
                </c:pt>
                <c:pt idx="14">
                  <c:v>15th</c:v>
                </c:pt>
                <c:pt idx="15">
                  <c:v>16th</c:v>
                </c:pt>
                <c:pt idx="16">
                  <c:v>17th</c:v>
                </c:pt>
                <c:pt idx="17">
                  <c:v>18th</c:v>
                </c:pt>
                <c:pt idx="18">
                  <c:v>19th</c:v>
                </c:pt>
                <c:pt idx="19">
                  <c:v>20th</c:v>
                </c:pt>
                <c:pt idx="20">
                  <c:v>21st</c:v>
                </c:pt>
                <c:pt idx="21">
                  <c:v>22nd</c:v>
                </c:pt>
                <c:pt idx="22">
                  <c:v>23rd</c:v>
                </c:pt>
                <c:pt idx="23">
                  <c:v>24th</c:v>
                </c:pt>
                <c:pt idx="24">
                  <c:v>25th</c:v>
                </c:pt>
                <c:pt idx="25">
                  <c:v>26th</c:v>
                </c:pt>
                <c:pt idx="26">
                  <c:v>27th</c:v>
                </c:pt>
                <c:pt idx="27">
                  <c:v>28th</c:v>
                </c:pt>
                <c:pt idx="28">
                  <c:v>29th</c:v>
                </c:pt>
                <c:pt idx="29">
                  <c:v>30th</c:v>
                </c:pt>
                <c:pt idx="30">
                  <c:v>31st</c:v>
                </c:pt>
              </c:strCache>
            </c:strRef>
          </c:cat>
          <c:val>
            <c:numRef>
              <c:f>MTD!$D$4:$D$34</c:f>
              <c:numCache>
                <c:formatCode>_("$"* #,##0.00_);_("$"* \(#,##0.00\);_("$"* "-"??_);_(@_)</c:formatCode>
                <c:ptCount val="31"/>
                <c:pt idx="0">
                  <c:v>334</c:v>
                </c:pt>
                <c:pt idx="1">
                  <c:v>1035</c:v>
                </c:pt>
                <c:pt idx="2">
                  <c:v>1283</c:v>
                </c:pt>
                <c:pt idx="3">
                  <c:v>611</c:v>
                </c:pt>
                <c:pt idx="4">
                  <c:v>725</c:v>
                </c:pt>
                <c:pt idx="5">
                  <c:v>615</c:v>
                </c:pt>
                <c:pt idx="6">
                  <c:v>588</c:v>
                </c:pt>
                <c:pt idx="7">
                  <c:v>570</c:v>
                </c:pt>
                <c:pt idx="8">
                  <c:v>1072</c:v>
                </c:pt>
                <c:pt idx="9">
                  <c:v>1126</c:v>
                </c:pt>
                <c:pt idx="10">
                  <c:v>720</c:v>
                </c:pt>
                <c:pt idx="11">
                  <c:v>830</c:v>
                </c:pt>
                <c:pt idx="12">
                  <c:v>690</c:v>
                </c:pt>
                <c:pt idx="13">
                  <c:v>869</c:v>
                </c:pt>
                <c:pt idx="14">
                  <c:v>367</c:v>
                </c:pt>
                <c:pt idx="15">
                  <c:v>1137</c:v>
                </c:pt>
                <c:pt idx="16">
                  <c:v>1179</c:v>
                </c:pt>
                <c:pt idx="17">
                  <c:v>846</c:v>
                </c:pt>
                <c:pt idx="18">
                  <c:v>409</c:v>
                </c:pt>
                <c:pt idx="19">
                  <c:v>798</c:v>
                </c:pt>
                <c:pt idx="20">
                  <c:v>818</c:v>
                </c:pt>
                <c:pt idx="21">
                  <c:v>558</c:v>
                </c:pt>
                <c:pt idx="22">
                  <c:v>682</c:v>
                </c:pt>
                <c:pt idx="23">
                  <c:v>850</c:v>
                </c:pt>
                <c:pt idx="24">
                  <c:v>1214</c:v>
                </c:pt>
                <c:pt idx="25">
                  <c:v>581</c:v>
                </c:pt>
                <c:pt idx="26">
                  <c:v>1243</c:v>
                </c:pt>
                <c:pt idx="27">
                  <c:v>1351</c:v>
                </c:pt>
                <c:pt idx="28">
                  <c:v>753</c:v>
                </c:pt>
                <c:pt idx="29">
                  <c:v>1030</c:v>
                </c:pt>
                <c:pt idx="30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1C-46EF-B2AF-BA3294283ECB}"/>
            </c:ext>
          </c:extLst>
        </c:ser>
        <c:ser>
          <c:idx val="1"/>
          <c:order val="1"/>
          <c:tx>
            <c:strRef>
              <c:f>MTD!$E$3</c:f>
              <c:strCache>
                <c:ptCount val="1"/>
                <c:pt idx="0">
                  <c:v>Cost Per Day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MTD!$C$4:$C$34</c:f>
              <c:strCache>
                <c:ptCount val="31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5th</c:v>
                </c:pt>
                <c:pt idx="5">
                  <c:v>6th</c:v>
                </c:pt>
                <c:pt idx="6">
                  <c:v>7th</c:v>
                </c:pt>
                <c:pt idx="7">
                  <c:v>8th</c:v>
                </c:pt>
                <c:pt idx="8">
                  <c:v>9th</c:v>
                </c:pt>
                <c:pt idx="9">
                  <c:v>10th</c:v>
                </c:pt>
                <c:pt idx="10">
                  <c:v>11th</c:v>
                </c:pt>
                <c:pt idx="11">
                  <c:v>12th</c:v>
                </c:pt>
                <c:pt idx="12">
                  <c:v>13th</c:v>
                </c:pt>
                <c:pt idx="13">
                  <c:v>14th</c:v>
                </c:pt>
                <c:pt idx="14">
                  <c:v>15th</c:v>
                </c:pt>
                <c:pt idx="15">
                  <c:v>16th</c:v>
                </c:pt>
                <c:pt idx="16">
                  <c:v>17th</c:v>
                </c:pt>
                <c:pt idx="17">
                  <c:v>18th</c:v>
                </c:pt>
                <c:pt idx="18">
                  <c:v>19th</c:v>
                </c:pt>
                <c:pt idx="19">
                  <c:v>20th</c:v>
                </c:pt>
                <c:pt idx="20">
                  <c:v>21st</c:v>
                </c:pt>
                <c:pt idx="21">
                  <c:v>22nd</c:v>
                </c:pt>
                <c:pt idx="22">
                  <c:v>23rd</c:v>
                </c:pt>
                <c:pt idx="23">
                  <c:v>24th</c:v>
                </c:pt>
                <c:pt idx="24">
                  <c:v>25th</c:v>
                </c:pt>
                <c:pt idx="25">
                  <c:v>26th</c:v>
                </c:pt>
                <c:pt idx="26">
                  <c:v>27th</c:v>
                </c:pt>
                <c:pt idx="27">
                  <c:v>28th</c:v>
                </c:pt>
                <c:pt idx="28">
                  <c:v>29th</c:v>
                </c:pt>
                <c:pt idx="29">
                  <c:v>30th</c:v>
                </c:pt>
                <c:pt idx="30">
                  <c:v>31st</c:v>
                </c:pt>
              </c:strCache>
            </c:strRef>
          </c:cat>
          <c:val>
            <c:numRef>
              <c:f>MTD!$E$4:$E$34</c:f>
              <c:numCache>
                <c:formatCode>_("$"* #,##0.00_);_("$"* \(#,##0.00\);_("$"* "-"??_);_(@_)</c:formatCode>
                <c:ptCount val="31"/>
                <c:pt idx="0">
                  <c:v>677.39166666666665</c:v>
                </c:pt>
                <c:pt idx="1">
                  <c:v>677.39166666666665</c:v>
                </c:pt>
                <c:pt idx="2">
                  <c:v>677.39166666666665</c:v>
                </c:pt>
                <c:pt idx="3">
                  <c:v>677.39166666666665</c:v>
                </c:pt>
                <c:pt idx="4">
                  <c:v>677.39166666666665</c:v>
                </c:pt>
                <c:pt idx="5">
                  <c:v>677.39166666666665</c:v>
                </c:pt>
                <c:pt idx="6">
                  <c:v>677.39166666666665</c:v>
                </c:pt>
                <c:pt idx="7">
                  <c:v>677.39166666666665</c:v>
                </c:pt>
                <c:pt idx="8">
                  <c:v>677.39166666666665</c:v>
                </c:pt>
                <c:pt idx="9">
                  <c:v>677.39166666666665</c:v>
                </c:pt>
                <c:pt idx="10">
                  <c:v>677.39166666666665</c:v>
                </c:pt>
                <c:pt idx="11">
                  <c:v>677.39166666666665</c:v>
                </c:pt>
                <c:pt idx="12">
                  <c:v>677.39166666666665</c:v>
                </c:pt>
                <c:pt idx="13">
                  <c:v>677.39166666666665</c:v>
                </c:pt>
                <c:pt idx="14">
                  <c:v>677.39166666666665</c:v>
                </c:pt>
                <c:pt idx="15">
                  <c:v>677.39166666666665</c:v>
                </c:pt>
                <c:pt idx="16">
                  <c:v>677.39166666666665</c:v>
                </c:pt>
                <c:pt idx="17">
                  <c:v>677.39166666666665</c:v>
                </c:pt>
                <c:pt idx="18">
                  <c:v>677.39166666666665</c:v>
                </c:pt>
                <c:pt idx="19">
                  <c:v>677.39166666666665</c:v>
                </c:pt>
                <c:pt idx="20">
                  <c:v>677.39166666666665</c:v>
                </c:pt>
                <c:pt idx="21">
                  <c:v>677.39166666666665</c:v>
                </c:pt>
                <c:pt idx="22">
                  <c:v>677.39166666666665</c:v>
                </c:pt>
                <c:pt idx="23">
                  <c:v>677.39166666666665</c:v>
                </c:pt>
                <c:pt idx="24">
                  <c:v>677.39166666666665</c:v>
                </c:pt>
                <c:pt idx="25">
                  <c:v>677.39166666666665</c:v>
                </c:pt>
                <c:pt idx="26">
                  <c:v>677.39166666666665</c:v>
                </c:pt>
                <c:pt idx="27">
                  <c:v>677.39166666666665</c:v>
                </c:pt>
                <c:pt idx="28">
                  <c:v>677.39166666666665</c:v>
                </c:pt>
                <c:pt idx="29">
                  <c:v>677.39166666666665</c:v>
                </c:pt>
                <c:pt idx="30">
                  <c:v>677.39166666666665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1C-46EF-B2AF-BA3294283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192680"/>
        <c:axId val="28119071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MTD!$F$3</c15:sqref>
                        </c15:formulaRef>
                      </c:ext>
                    </c:extLst>
                    <c:strCache>
                      <c:ptCount val="1"/>
                      <c:pt idx="0">
                        <c:v>Net Profit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MTD!$C$4:$C$34</c15:sqref>
                        </c15:formulaRef>
                      </c:ext>
                    </c:extLst>
                    <c:strCache>
                      <c:ptCount val="31"/>
                      <c:pt idx="0">
                        <c:v>1st</c:v>
                      </c:pt>
                      <c:pt idx="1">
                        <c:v>2nd</c:v>
                      </c:pt>
                      <c:pt idx="2">
                        <c:v>3rd</c:v>
                      </c:pt>
                      <c:pt idx="3">
                        <c:v>4th</c:v>
                      </c:pt>
                      <c:pt idx="4">
                        <c:v>5th</c:v>
                      </c:pt>
                      <c:pt idx="5">
                        <c:v>6th</c:v>
                      </c:pt>
                      <c:pt idx="6">
                        <c:v>7th</c:v>
                      </c:pt>
                      <c:pt idx="7">
                        <c:v>8th</c:v>
                      </c:pt>
                      <c:pt idx="8">
                        <c:v>9th</c:v>
                      </c:pt>
                      <c:pt idx="9">
                        <c:v>10th</c:v>
                      </c:pt>
                      <c:pt idx="10">
                        <c:v>11th</c:v>
                      </c:pt>
                      <c:pt idx="11">
                        <c:v>12th</c:v>
                      </c:pt>
                      <c:pt idx="12">
                        <c:v>13th</c:v>
                      </c:pt>
                      <c:pt idx="13">
                        <c:v>14th</c:v>
                      </c:pt>
                      <c:pt idx="14">
                        <c:v>15th</c:v>
                      </c:pt>
                      <c:pt idx="15">
                        <c:v>16th</c:v>
                      </c:pt>
                      <c:pt idx="16">
                        <c:v>17th</c:v>
                      </c:pt>
                      <c:pt idx="17">
                        <c:v>18th</c:v>
                      </c:pt>
                      <c:pt idx="18">
                        <c:v>19th</c:v>
                      </c:pt>
                      <c:pt idx="19">
                        <c:v>20th</c:v>
                      </c:pt>
                      <c:pt idx="20">
                        <c:v>21st</c:v>
                      </c:pt>
                      <c:pt idx="21">
                        <c:v>22nd</c:v>
                      </c:pt>
                      <c:pt idx="22">
                        <c:v>23rd</c:v>
                      </c:pt>
                      <c:pt idx="23">
                        <c:v>24th</c:v>
                      </c:pt>
                      <c:pt idx="24">
                        <c:v>25th</c:v>
                      </c:pt>
                      <c:pt idx="25">
                        <c:v>26th</c:v>
                      </c:pt>
                      <c:pt idx="26">
                        <c:v>27th</c:v>
                      </c:pt>
                      <c:pt idx="27">
                        <c:v>28th</c:v>
                      </c:pt>
                      <c:pt idx="28">
                        <c:v>29th</c:v>
                      </c:pt>
                      <c:pt idx="29">
                        <c:v>30th</c:v>
                      </c:pt>
                      <c:pt idx="30">
                        <c:v>31st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MTD!$F$4:$F$34</c15:sqref>
                        </c15:formulaRef>
                      </c:ext>
                    </c:extLst>
                    <c:numCache>
                      <c:formatCode>_("$"* #,##0.00_);_("$"* \(#,##0.00\);_("$"* "-"??_);_(@_)</c:formatCode>
                      <c:ptCount val="31"/>
                      <c:pt idx="0">
                        <c:v>-17063.849999999999</c:v>
                      </c:pt>
                      <c:pt idx="1">
                        <c:v>-16028.849999999999</c:v>
                      </c:pt>
                      <c:pt idx="2">
                        <c:v>-14745.849999999999</c:v>
                      </c:pt>
                      <c:pt idx="3">
                        <c:v>-14134.849999999999</c:v>
                      </c:pt>
                      <c:pt idx="4">
                        <c:v>-13409.849999999999</c:v>
                      </c:pt>
                      <c:pt idx="5">
                        <c:v>-12794.849999999999</c:v>
                      </c:pt>
                      <c:pt idx="6">
                        <c:v>-12206.849999999999</c:v>
                      </c:pt>
                      <c:pt idx="7">
                        <c:v>-11636.849999999999</c:v>
                      </c:pt>
                      <c:pt idx="8">
                        <c:v>-10564.849999999999</c:v>
                      </c:pt>
                      <c:pt idx="9">
                        <c:v>-9438.8499999999985</c:v>
                      </c:pt>
                      <c:pt idx="10">
                        <c:v>-8718.8499999999985</c:v>
                      </c:pt>
                      <c:pt idx="11">
                        <c:v>-7888.8499999999985</c:v>
                      </c:pt>
                      <c:pt idx="12">
                        <c:v>-7198.8499999999985</c:v>
                      </c:pt>
                      <c:pt idx="13">
                        <c:v>-6329.8499999999985</c:v>
                      </c:pt>
                      <c:pt idx="14">
                        <c:v>-5962.8499999999985</c:v>
                      </c:pt>
                      <c:pt idx="15">
                        <c:v>-4825.8499999999985</c:v>
                      </c:pt>
                      <c:pt idx="16">
                        <c:v>-3646.8499999999985</c:v>
                      </c:pt>
                      <c:pt idx="17">
                        <c:v>-2800.8499999999985</c:v>
                      </c:pt>
                      <c:pt idx="18">
                        <c:v>-2391.8499999999985</c:v>
                      </c:pt>
                      <c:pt idx="19">
                        <c:v>-1593.8499999999985</c:v>
                      </c:pt>
                      <c:pt idx="20">
                        <c:v>-775.84999999999854</c:v>
                      </c:pt>
                      <c:pt idx="21">
                        <c:v>-217.84999999999854</c:v>
                      </c:pt>
                      <c:pt idx="22">
                        <c:v>464.15000000000146</c:v>
                      </c:pt>
                      <c:pt idx="23">
                        <c:v>1314.1500000000015</c:v>
                      </c:pt>
                      <c:pt idx="24">
                        <c:v>2528.1500000000015</c:v>
                      </c:pt>
                      <c:pt idx="25">
                        <c:v>3109.1500000000015</c:v>
                      </c:pt>
                      <c:pt idx="26">
                        <c:v>4352.1500000000015</c:v>
                      </c:pt>
                      <c:pt idx="27">
                        <c:v>5703.1500000000015</c:v>
                      </c:pt>
                      <c:pt idx="28">
                        <c:v>6456.1500000000015</c:v>
                      </c:pt>
                      <c:pt idx="29">
                        <c:v>7486.1500000000015</c:v>
                      </c:pt>
                      <c:pt idx="30">
                        <c:v>8101.1500000000015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31C-46EF-B2AF-BA3294283ECB}"/>
                  </c:ext>
                </c:extLst>
              </c15:ser>
            </c15:filteredLineSeries>
          </c:ext>
        </c:extLst>
      </c:lineChart>
      <c:catAx>
        <c:axId val="281192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190712"/>
        <c:crosses val="autoZero"/>
        <c:auto val="1"/>
        <c:lblAlgn val="ctr"/>
        <c:lblOffset val="100"/>
        <c:noMultiLvlLbl val="0"/>
      </c:catAx>
      <c:valAx>
        <c:axId val="281190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281192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4</xdr:row>
      <xdr:rowOff>132347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13D22-0AB3-48CF-B1E7-3AB71B5F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8943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-66675</xdr:colOff>
      <xdr:row>0</xdr:row>
      <xdr:rowOff>0</xdr:rowOff>
    </xdr:from>
    <xdr:to>
      <xdr:col>0</xdr:col>
      <xdr:colOff>-66675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736EB-1239-4646-9F59-8C248FAD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-66675" y="571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805929</xdr:colOff>
      <xdr:row>4</xdr:row>
      <xdr:rowOff>170447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015EC5-454A-4A54-9DB9-F05709B12E4F}"/>
            </a:ext>
            <a:ext uri="{147F2762-F138-4A5C-976F-8EAC2B608ADB}">
              <a16:predDERef xmlns:a16="http://schemas.microsoft.com/office/drawing/2014/main" pred="{0FEE0D19-1933-924D-AF7E-FE85C83F1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1000125" cy="93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95250</xdr:rowOff>
    </xdr:from>
    <xdr:to>
      <xdr:col>14</xdr:col>
      <xdr:colOff>485775</xdr:colOff>
      <xdr:row>67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C67BF8-9708-92E0-1587-D8AA4366A746}"/>
            </a:ext>
            <a:ext uri="{147F2762-F138-4A5C-976F-8EAC2B608ADB}">
              <a16:predDERef xmlns:a16="http://schemas.microsoft.com/office/drawing/2014/main" pred="{FA015EC5-454A-4A54-9DB9-F05709B12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650" y="6524625"/>
          <a:ext cx="12134850" cy="6819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4</xdr:row>
      <xdr:rowOff>170447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8C940E-F7AD-4AE8-BA3B-0BB32F19F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93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16</xdr:col>
      <xdr:colOff>121306</xdr:colOff>
      <xdr:row>69</xdr:row>
      <xdr:rowOff>171368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47F86F-2BD3-06E7-E2D7-DB4429A3C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679" y="6127276"/>
          <a:ext cx="13527388" cy="756390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39</xdr:col>
      <xdr:colOff>88182</xdr:colOff>
      <xdr:row>69</xdr:row>
      <xdr:rowOff>171368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282FC9-01ED-02AF-613C-40DE6E39A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59067" y="5757649"/>
          <a:ext cx="13536914" cy="7563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4</xdr:row>
      <xdr:rowOff>170447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BC664-7A09-4405-9F35-A4A261D71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9324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4</xdr:row>
      <xdr:rowOff>170447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156637-7991-4E01-A18A-6E8989393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93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16</xdr:col>
      <xdr:colOff>149885</xdr:colOff>
      <xdr:row>70</xdr:row>
      <xdr:rowOff>24660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94BBF0-47B7-484D-DF88-3E14644AC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679" y="5757649"/>
          <a:ext cx="13555967" cy="7602011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39</xdr:col>
      <xdr:colOff>88182</xdr:colOff>
      <xdr:row>69</xdr:row>
      <xdr:rowOff>180894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5F4C98-4FA1-870C-9398-37F28775D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59067" y="5757649"/>
          <a:ext cx="13536914" cy="75734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995860</xdr:colOff>
      <xdr:row>4</xdr:row>
      <xdr:rowOff>170447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6F6F6F-AA76-45F8-9963-E470A5A7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9324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15</xdr:col>
      <xdr:colOff>656701</xdr:colOff>
      <xdr:row>69</xdr:row>
      <xdr:rowOff>180894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B97F1E-C605-8B1D-BCCF-F6095E938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48" y="6127276"/>
          <a:ext cx="13565493" cy="7573432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38</xdr:col>
      <xdr:colOff>116761</xdr:colOff>
      <xdr:row>70</xdr:row>
      <xdr:rowOff>34186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55ED56-6A5F-6B0A-FDA2-DA2901DE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31604" y="5757649"/>
          <a:ext cx="13565493" cy="76115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905941</xdr:colOff>
      <xdr:row>4</xdr:row>
      <xdr:rowOff>170447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BBD76-E4AD-43AC-BCBF-C1A82CAD6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9324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0</xdr:row>
      <xdr:rowOff>161925</xdr:rowOff>
    </xdr:from>
    <xdr:to>
      <xdr:col>21</xdr:col>
      <xdr:colOff>171450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409E6-9B5A-48DE-BEED-EC46B7856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5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0E5FD-AD7C-4F1F-9ECC-00FD9506E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71563" cy="952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2</xdr:col>
      <xdr:colOff>161925</xdr:colOff>
      <xdr:row>4</xdr:row>
      <xdr:rowOff>132347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4F044-CD37-40A1-8FC8-6082EE9A2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0"/>
          <a:ext cx="1000125" cy="8943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E4036-FF62-4BC7-A868-3EFD0062015F}" name="Table1" displayName="Table1" ref="A1:J47" totalsRowShown="0">
  <autoFilter ref="A1:J47" xr:uid="{E8F962FA-D94C-43EE-8A39-5F5693354C5D}"/>
  <tableColumns count="10">
    <tableColumn id="1" xr3:uid="{CC4460E5-C640-4566-9213-2DA4819B275E}" name="Year"/>
    <tableColumn id="2" xr3:uid="{77CE2415-91BF-4AAB-96BD-A5B9A5B274E9}" name="Month"/>
    <tableColumn id="10" xr3:uid="{0646885A-4732-4B94-A697-F74835F54B03}" name="Date" dataDxfId="12"/>
    <tableColumn id="3" xr3:uid="{9D8038E4-BC54-4C44-8543-B918FC4D8C07}" name="Previous Balance" dataDxfId="11"/>
    <tableColumn id="4" xr3:uid="{54362874-1254-4FC9-899A-F20D6F7872AF}" name="Total Withdrawals" dataDxfId="10"/>
    <tableColumn id="5" xr3:uid="{AA7088B5-0FA4-4C12-A732-FC6674AF761E}" name="Total deposits" dataDxfId="9"/>
    <tableColumn id="6" xr3:uid="{130980D6-65AF-4925-9FBD-1A9391B9A9C0}" name="Current Balance" dataDxfId="8"/>
    <tableColumn id="7" xr3:uid="{FAD8BA27-3914-4DD8-BD10-C19DB83D7ACC}" name="Column1" dataDxfId="7"/>
    <tableColumn id="8" xr3:uid="{ADABEB19-C3EB-431E-B896-5E77FE76FE9F}" name="Profit" dataDxfId="6">
      <calculatedColumnFormula>F2-E2</calculatedColumnFormula>
    </tableColumn>
    <tableColumn id="9" xr3:uid="{1CC544D8-12FB-4BAE-98A8-565AD405573A}" name="checking" dataDxfId="5">
      <calculatedColumnFormula>D2+I2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AC88-7186-4F83-91D0-7F56CFFB0417}">
  <dimension ref="A1:M47"/>
  <sheetViews>
    <sheetView topLeftCell="A18" workbookViewId="0">
      <selection activeCell="D46" sqref="D46"/>
    </sheetView>
  </sheetViews>
  <sheetFormatPr defaultRowHeight="14.25"/>
  <cols>
    <col min="1" max="1" width="10.28515625" customWidth="1"/>
    <col min="2" max="2" width="10.140625" bestFit="1" customWidth="1"/>
    <col min="3" max="3" width="17" style="90" customWidth="1"/>
    <col min="4" max="4" width="18.42578125" style="1" customWidth="1"/>
    <col min="5" max="5" width="19" style="1" customWidth="1"/>
    <col min="6" max="6" width="15.85546875" style="1" customWidth="1"/>
    <col min="7" max="7" width="17.5703125" style="1" customWidth="1"/>
    <col min="8" max="8" width="11.28515625" style="1" customWidth="1"/>
    <col min="9" max="9" width="13.42578125" style="1" bestFit="1" customWidth="1"/>
    <col min="10" max="10" width="14.7109375" style="1" customWidth="1"/>
    <col min="13" max="13" width="24.5703125" bestFit="1" customWidth="1"/>
  </cols>
  <sheetData>
    <row r="1" spans="1:13">
      <c r="A1" t="s">
        <v>0</v>
      </c>
      <c r="B1" t="s">
        <v>1</v>
      </c>
      <c r="C1" s="9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>
      <c r="A2">
        <v>2020</v>
      </c>
      <c r="B2" t="s">
        <v>10</v>
      </c>
      <c r="C2" s="91">
        <v>44105</v>
      </c>
      <c r="D2" s="1">
        <v>0</v>
      </c>
      <c r="E2" s="1">
        <v>5</v>
      </c>
      <c r="F2" s="1">
        <v>1200</v>
      </c>
      <c r="G2" s="1">
        <v>1195</v>
      </c>
      <c r="I2" s="1">
        <f t="shared" ref="I2:I33" si="0">F2-E2</f>
        <v>1195</v>
      </c>
      <c r="J2" s="1">
        <f t="shared" ref="J2:J33" si="1">D2+I2</f>
        <v>1195</v>
      </c>
      <c r="M2" s="92">
        <v>44135</v>
      </c>
    </row>
    <row r="3" spans="1:13">
      <c r="A3">
        <v>2020</v>
      </c>
      <c r="B3" t="s">
        <v>11</v>
      </c>
      <c r="C3" s="91">
        <v>44136</v>
      </c>
      <c r="D3" s="1">
        <v>1195</v>
      </c>
      <c r="E3" s="1">
        <v>8221.4500000000007</v>
      </c>
      <c r="F3" s="1">
        <v>45500.14</v>
      </c>
      <c r="G3" s="1">
        <v>38473.69</v>
      </c>
      <c r="I3" s="1">
        <f t="shared" si="0"/>
        <v>37278.69</v>
      </c>
      <c r="J3" s="1">
        <f t="shared" si="1"/>
        <v>38473.69</v>
      </c>
    </row>
    <row r="4" spans="1:13">
      <c r="A4">
        <v>2020</v>
      </c>
      <c r="B4" t="s">
        <v>12</v>
      </c>
      <c r="C4" s="91">
        <v>44166</v>
      </c>
      <c r="D4" s="1">
        <v>38473.69</v>
      </c>
      <c r="E4" s="1">
        <v>0</v>
      </c>
      <c r="F4" s="1">
        <v>0.33</v>
      </c>
      <c r="G4" s="1">
        <v>38474.019999999997</v>
      </c>
      <c r="I4" s="1">
        <f t="shared" si="0"/>
        <v>0.33</v>
      </c>
      <c r="J4" s="1">
        <f t="shared" si="1"/>
        <v>38474.020000000004</v>
      </c>
    </row>
    <row r="5" spans="1:13">
      <c r="A5">
        <v>2021</v>
      </c>
      <c r="B5" t="s">
        <v>13</v>
      </c>
      <c r="C5" s="91">
        <v>44197</v>
      </c>
      <c r="D5" s="1">
        <v>38474.019999999997</v>
      </c>
      <c r="E5" s="1">
        <v>25897</v>
      </c>
      <c r="F5" s="1">
        <v>0.22</v>
      </c>
      <c r="G5" s="1">
        <v>12577.24</v>
      </c>
      <c r="I5" s="1">
        <f t="shared" si="0"/>
        <v>-25896.78</v>
      </c>
      <c r="J5" s="1">
        <f t="shared" si="1"/>
        <v>12577.239999999998</v>
      </c>
    </row>
    <row r="6" spans="1:13">
      <c r="A6">
        <v>2021</v>
      </c>
      <c r="B6" t="s">
        <v>14</v>
      </c>
      <c r="C6" s="91">
        <v>44228</v>
      </c>
      <c r="D6" s="1">
        <v>12577.24</v>
      </c>
      <c r="E6" s="1">
        <v>8923.75</v>
      </c>
      <c r="F6" s="1">
        <v>1700.08</v>
      </c>
      <c r="G6" s="1">
        <v>5353.57</v>
      </c>
      <c r="I6" s="1">
        <f t="shared" si="0"/>
        <v>-7223.67</v>
      </c>
      <c r="J6" s="1">
        <f t="shared" si="1"/>
        <v>5353.57</v>
      </c>
    </row>
    <row r="7" spans="1:13">
      <c r="A7">
        <v>2021</v>
      </c>
      <c r="B7" t="s">
        <v>15</v>
      </c>
      <c r="C7" s="91">
        <v>44256</v>
      </c>
      <c r="D7" s="1">
        <v>5353.57</v>
      </c>
      <c r="E7" s="1">
        <v>4265</v>
      </c>
      <c r="F7" s="1">
        <v>2992.01</v>
      </c>
      <c r="G7" s="1">
        <v>4080.58</v>
      </c>
      <c r="I7" s="1">
        <f t="shared" si="0"/>
        <v>-1272.9899999999998</v>
      </c>
      <c r="J7" s="1">
        <f t="shared" si="1"/>
        <v>4080.58</v>
      </c>
    </row>
    <row r="8" spans="1:13">
      <c r="A8">
        <v>2021</v>
      </c>
      <c r="B8" t="s">
        <v>16</v>
      </c>
      <c r="C8" s="91">
        <v>44287</v>
      </c>
      <c r="D8" s="1">
        <v>4080.58</v>
      </c>
      <c r="E8" s="1">
        <v>7705.61</v>
      </c>
      <c r="F8" s="1">
        <v>6694.04</v>
      </c>
      <c r="G8" s="1">
        <v>3069.01</v>
      </c>
      <c r="I8" s="1">
        <f t="shared" si="0"/>
        <v>-1011.5699999999997</v>
      </c>
      <c r="J8" s="1">
        <f t="shared" si="1"/>
        <v>3069.01</v>
      </c>
    </row>
    <row r="9" spans="1:13">
      <c r="A9">
        <v>2021</v>
      </c>
      <c r="B9" t="s">
        <v>17</v>
      </c>
      <c r="C9" s="91">
        <v>44317</v>
      </c>
      <c r="D9" s="1">
        <v>3069.01</v>
      </c>
      <c r="E9" s="1">
        <v>11020.15</v>
      </c>
      <c r="F9" s="1">
        <v>15635.06</v>
      </c>
      <c r="G9" s="1">
        <v>7683.92</v>
      </c>
      <c r="I9" s="1">
        <f t="shared" si="0"/>
        <v>4614.91</v>
      </c>
      <c r="J9" s="1">
        <f t="shared" si="1"/>
        <v>7683.92</v>
      </c>
    </row>
    <row r="10" spans="1:13">
      <c r="A10">
        <v>2021</v>
      </c>
      <c r="B10" t="s">
        <v>18</v>
      </c>
      <c r="C10" s="91">
        <v>44348</v>
      </c>
      <c r="D10" s="1">
        <v>7683.92</v>
      </c>
      <c r="E10" s="1">
        <v>4763.66</v>
      </c>
      <c r="F10" s="1">
        <v>6820.08</v>
      </c>
      <c r="G10" s="1">
        <v>9740.34</v>
      </c>
      <c r="I10" s="1">
        <f t="shared" si="0"/>
        <v>2056.42</v>
      </c>
      <c r="J10" s="1">
        <f t="shared" si="1"/>
        <v>9740.34</v>
      </c>
    </row>
    <row r="11" spans="1:13">
      <c r="A11">
        <v>2021</v>
      </c>
      <c r="B11" t="s">
        <v>19</v>
      </c>
      <c r="C11" s="91">
        <v>44378</v>
      </c>
      <c r="D11" s="1">
        <v>9740.34</v>
      </c>
      <c r="E11" s="1">
        <v>21930.25</v>
      </c>
      <c r="F11" s="1">
        <v>29401.119999999999</v>
      </c>
      <c r="G11" s="1">
        <v>17211.21</v>
      </c>
      <c r="I11" s="1">
        <f t="shared" si="0"/>
        <v>7470.869999999999</v>
      </c>
      <c r="J11" s="1">
        <f t="shared" si="1"/>
        <v>17211.21</v>
      </c>
    </row>
    <row r="12" spans="1:13">
      <c r="A12">
        <v>2021</v>
      </c>
      <c r="B12" t="s">
        <v>20</v>
      </c>
      <c r="C12" s="91">
        <v>44409</v>
      </c>
      <c r="D12" s="1">
        <v>17211.21</v>
      </c>
      <c r="E12" s="1">
        <v>9989.91</v>
      </c>
      <c r="F12" s="1">
        <v>3462.11</v>
      </c>
      <c r="G12" s="1">
        <v>10683.41</v>
      </c>
      <c r="I12" s="1">
        <f t="shared" si="0"/>
        <v>-6527.7999999999993</v>
      </c>
      <c r="J12" s="1">
        <f t="shared" si="1"/>
        <v>10683.41</v>
      </c>
    </row>
    <row r="13" spans="1:13">
      <c r="A13">
        <v>2021</v>
      </c>
      <c r="B13" t="s">
        <v>21</v>
      </c>
      <c r="C13" s="91">
        <v>44440</v>
      </c>
      <c r="D13" s="1">
        <v>10683.41</v>
      </c>
      <c r="E13" s="1">
        <v>121.28</v>
      </c>
      <c r="F13" s="1">
        <v>2729.1</v>
      </c>
      <c r="G13" s="1">
        <v>13291.23</v>
      </c>
      <c r="I13" s="1">
        <f t="shared" si="0"/>
        <v>2607.8199999999997</v>
      </c>
      <c r="J13" s="1">
        <f t="shared" si="1"/>
        <v>13291.23</v>
      </c>
    </row>
    <row r="14" spans="1:13">
      <c r="A14">
        <v>2021</v>
      </c>
      <c r="B14" t="s">
        <v>10</v>
      </c>
      <c r="C14" s="91">
        <v>44470</v>
      </c>
      <c r="D14" s="1">
        <v>13291.23</v>
      </c>
      <c r="E14" s="1">
        <v>2710.83</v>
      </c>
      <c r="F14" s="1">
        <v>2933.1</v>
      </c>
      <c r="G14" s="1">
        <v>13513.5</v>
      </c>
      <c r="I14" s="1">
        <f t="shared" si="0"/>
        <v>222.26999999999998</v>
      </c>
      <c r="J14" s="1">
        <f t="shared" si="1"/>
        <v>13513.5</v>
      </c>
    </row>
    <row r="15" spans="1:13">
      <c r="A15">
        <v>2021</v>
      </c>
      <c r="B15" t="s">
        <v>11</v>
      </c>
      <c r="C15" s="91">
        <v>44501</v>
      </c>
      <c r="D15" s="1">
        <v>13513.5</v>
      </c>
      <c r="E15" s="1">
        <v>3572.7</v>
      </c>
      <c r="F15" s="1">
        <v>4029.1</v>
      </c>
      <c r="G15" s="1">
        <v>13969.9</v>
      </c>
      <c r="I15" s="1">
        <f t="shared" si="0"/>
        <v>456.40000000000009</v>
      </c>
      <c r="J15" s="1">
        <f t="shared" si="1"/>
        <v>13969.9</v>
      </c>
    </row>
    <row r="16" spans="1:13">
      <c r="A16">
        <v>2021</v>
      </c>
      <c r="B16" t="s">
        <v>12</v>
      </c>
      <c r="C16" s="91">
        <v>44531</v>
      </c>
      <c r="D16" s="1">
        <v>13969.9</v>
      </c>
      <c r="E16" s="1">
        <v>8663.8700000000008</v>
      </c>
      <c r="F16" s="1">
        <v>4261.07</v>
      </c>
      <c r="G16" s="1">
        <v>9567.1</v>
      </c>
      <c r="I16" s="1">
        <f t="shared" si="0"/>
        <v>-4402.8000000000011</v>
      </c>
      <c r="J16" s="1">
        <f t="shared" si="1"/>
        <v>9567.0999999999985</v>
      </c>
    </row>
    <row r="17" spans="1:10">
      <c r="A17">
        <v>2022</v>
      </c>
      <c r="B17" t="s">
        <v>13</v>
      </c>
      <c r="C17" s="91">
        <v>44562</v>
      </c>
      <c r="D17" s="1">
        <v>9567.1</v>
      </c>
      <c r="E17" s="1">
        <v>10675.82</v>
      </c>
      <c r="F17" s="1">
        <v>12390.49</v>
      </c>
      <c r="G17" s="1">
        <v>11281.77</v>
      </c>
      <c r="I17" s="1">
        <f t="shared" si="0"/>
        <v>1714.67</v>
      </c>
      <c r="J17" s="1">
        <f t="shared" si="1"/>
        <v>11281.77</v>
      </c>
    </row>
    <row r="18" spans="1:10">
      <c r="A18">
        <v>2022</v>
      </c>
      <c r="B18" t="s">
        <v>14</v>
      </c>
      <c r="C18" s="91">
        <v>44593</v>
      </c>
      <c r="D18" s="1">
        <v>11281.77</v>
      </c>
      <c r="E18" s="1">
        <v>15026.65</v>
      </c>
      <c r="F18" s="1">
        <v>11446.28</v>
      </c>
      <c r="G18" s="1">
        <v>7701.4</v>
      </c>
      <c r="I18" s="1">
        <f t="shared" si="0"/>
        <v>-3580.369999999999</v>
      </c>
      <c r="J18" s="1">
        <f t="shared" si="1"/>
        <v>7701.4000000000015</v>
      </c>
    </row>
    <row r="19" spans="1:10">
      <c r="A19">
        <v>2022</v>
      </c>
      <c r="B19" t="s">
        <v>15</v>
      </c>
      <c r="C19" s="91">
        <v>44621</v>
      </c>
      <c r="D19" s="1">
        <v>7701.4</v>
      </c>
      <c r="E19" s="1">
        <v>6000</v>
      </c>
      <c r="F19" s="1">
        <v>11408.8</v>
      </c>
      <c r="G19" s="1">
        <v>13110.2</v>
      </c>
      <c r="I19" s="1">
        <f t="shared" si="0"/>
        <v>5408.7999999999993</v>
      </c>
      <c r="J19" s="1">
        <f t="shared" si="1"/>
        <v>13110.199999999999</v>
      </c>
    </row>
    <row r="20" spans="1:10">
      <c r="A20">
        <v>2022</v>
      </c>
      <c r="B20" t="s">
        <v>16</v>
      </c>
      <c r="C20" s="91">
        <v>44652</v>
      </c>
      <c r="D20" s="1">
        <v>13110.2</v>
      </c>
      <c r="E20" s="1">
        <v>13204.34</v>
      </c>
      <c r="F20" s="1">
        <v>10220.06</v>
      </c>
      <c r="G20" s="1">
        <v>10125.92</v>
      </c>
      <c r="I20" s="1">
        <f t="shared" si="0"/>
        <v>-2984.2800000000007</v>
      </c>
      <c r="J20" s="1">
        <f t="shared" si="1"/>
        <v>10125.92</v>
      </c>
    </row>
    <row r="21" spans="1:10">
      <c r="A21">
        <v>2022</v>
      </c>
      <c r="B21" t="s">
        <v>17</v>
      </c>
      <c r="C21" s="91">
        <v>44682</v>
      </c>
      <c r="D21" s="1">
        <v>10125.92</v>
      </c>
      <c r="E21" s="1">
        <v>3485.76</v>
      </c>
      <c r="F21" s="1">
        <v>17390.13</v>
      </c>
      <c r="G21" s="1">
        <v>24030.29</v>
      </c>
      <c r="I21" s="1">
        <f t="shared" si="0"/>
        <v>13904.37</v>
      </c>
      <c r="J21" s="1">
        <f t="shared" si="1"/>
        <v>24030.29</v>
      </c>
    </row>
    <row r="22" spans="1:10">
      <c r="A22">
        <v>2022</v>
      </c>
      <c r="B22" t="s">
        <v>18</v>
      </c>
      <c r="C22" s="91">
        <v>44713</v>
      </c>
      <c r="D22" s="1">
        <v>24030.29</v>
      </c>
      <c r="E22" s="1">
        <v>5211.72</v>
      </c>
      <c r="F22" s="1">
        <v>13107.23</v>
      </c>
      <c r="G22" s="1">
        <v>31925.8</v>
      </c>
      <c r="I22" s="1">
        <f t="shared" si="0"/>
        <v>7895.5099999999993</v>
      </c>
      <c r="J22" s="1">
        <f t="shared" si="1"/>
        <v>31925.8</v>
      </c>
    </row>
    <row r="23" spans="1:10">
      <c r="A23">
        <v>2022</v>
      </c>
      <c r="B23" t="s">
        <v>19</v>
      </c>
      <c r="C23" s="91">
        <v>44743</v>
      </c>
      <c r="D23" s="1">
        <v>31925.8</v>
      </c>
      <c r="E23" s="1">
        <v>15968.64</v>
      </c>
      <c r="F23" s="1">
        <v>9766.73</v>
      </c>
      <c r="G23" s="1">
        <v>25723.89</v>
      </c>
      <c r="I23" s="1">
        <f t="shared" si="0"/>
        <v>-6201.91</v>
      </c>
      <c r="J23" s="1">
        <f t="shared" si="1"/>
        <v>25723.89</v>
      </c>
    </row>
    <row r="24" spans="1:10">
      <c r="A24">
        <v>2022</v>
      </c>
      <c r="B24" t="s">
        <v>20</v>
      </c>
      <c r="C24" s="91">
        <v>44774</v>
      </c>
      <c r="D24" s="1">
        <v>25723.89</v>
      </c>
      <c r="E24" s="1">
        <v>11335.75</v>
      </c>
      <c r="F24" s="1">
        <v>10875.05</v>
      </c>
      <c r="G24" s="1">
        <v>25263.19</v>
      </c>
      <c r="I24" s="1">
        <f t="shared" si="0"/>
        <v>-460.70000000000073</v>
      </c>
      <c r="J24" s="1">
        <f t="shared" si="1"/>
        <v>25263.19</v>
      </c>
    </row>
    <row r="25" spans="1:10">
      <c r="A25">
        <v>2022</v>
      </c>
      <c r="B25" t="s">
        <v>21</v>
      </c>
      <c r="C25" s="91">
        <v>44805</v>
      </c>
      <c r="D25" s="1">
        <v>25263.19</v>
      </c>
      <c r="E25" s="1">
        <v>17922.34</v>
      </c>
      <c r="F25" s="1">
        <v>9947.1200000000008</v>
      </c>
      <c r="G25" s="1">
        <v>17287.97</v>
      </c>
      <c r="I25" s="1">
        <f t="shared" si="0"/>
        <v>-7975.2199999999993</v>
      </c>
      <c r="J25" s="1">
        <f t="shared" si="1"/>
        <v>17287.97</v>
      </c>
    </row>
    <row r="26" spans="1:10">
      <c r="A26">
        <v>2022</v>
      </c>
      <c r="B26" t="s">
        <v>10</v>
      </c>
      <c r="C26" s="91">
        <v>44835</v>
      </c>
      <c r="D26" s="1">
        <v>17287.97</v>
      </c>
      <c r="E26" s="1">
        <v>16902.38</v>
      </c>
      <c r="F26" s="1">
        <v>7276.07</v>
      </c>
      <c r="G26" s="1">
        <v>7661.66</v>
      </c>
      <c r="I26" s="1">
        <f t="shared" si="0"/>
        <v>-9626.3100000000013</v>
      </c>
      <c r="J26" s="1">
        <f t="shared" si="1"/>
        <v>7661.66</v>
      </c>
    </row>
    <row r="27" spans="1:10">
      <c r="A27">
        <v>2022</v>
      </c>
      <c r="B27" t="s">
        <v>11</v>
      </c>
      <c r="C27" s="91">
        <v>44866</v>
      </c>
      <c r="D27" s="1">
        <v>7661.66</v>
      </c>
      <c r="E27" s="1">
        <v>8943.74</v>
      </c>
      <c r="F27" s="1">
        <v>9523.0499999999993</v>
      </c>
      <c r="G27" s="1">
        <v>8240.9699999999993</v>
      </c>
      <c r="I27" s="1">
        <f t="shared" si="0"/>
        <v>579.30999999999949</v>
      </c>
      <c r="J27" s="1">
        <f t="shared" si="1"/>
        <v>8240.9699999999993</v>
      </c>
    </row>
    <row r="28" spans="1:10">
      <c r="A28">
        <v>2022</v>
      </c>
      <c r="B28" t="s">
        <v>12</v>
      </c>
      <c r="C28" s="91">
        <v>44896</v>
      </c>
      <c r="D28" s="1">
        <v>8240.9699999999993</v>
      </c>
      <c r="E28" s="1">
        <v>10333.06</v>
      </c>
      <c r="F28" s="1">
        <v>7291.03</v>
      </c>
      <c r="G28" s="1">
        <v>5198.9399999999996</v>
      </c>
      <c r="I28" s="1">
        <f t="shared" si="0"/>
        <v>-3042.0299999999997</v>
      </c>
      <c r="J28" s="1">
        <f t="shared" si="1"/>
        <v>5198.9399999999996</v>
      </c>
    </row>
    <row r="29" spans="1:10">
      <c r="A29">
        <v>2023</v>
      </c>
      <c r="B29" t="s">
        <v>13</v>
      </c>
      <c r="C29" s="91">
        <v>44927</v>
      </c>
      <c r="D29" s="1">
        <v>5198.9399999999996</v>
      </c>
      <c r="E29" s="1">
        <v>10980.16</v>
      </c>
      <c r="F29" s="1">
        <v>15765.06</v>
      </c>
      <c r="G29" s="1">
        <v>9983.84</v>
      </c>
      <c r="I29" s="1">
        <f t="shared" si="0"/>
        <v>4784.8999999999996</v>
      </c>
      <c r="J29" s="1">
        <f t="shared" si="1"/>
        <v>9983.84</v>
      </c>
    </row>
    <row r="30" spans="1:10">
      <c r="A30">
        <v>2023</v>
      </c>
      <c r="B30" t="s">
        <v>14</v>
      </c>
      <c r="C30" s="91">
        <v>44958</v>
      </c>
      <c r="D30" s="1">
        <v>9983.84</v>
      </c>
      <c r="E30" s="1">
        <v>10114.73</v>
      </c>
      <c r="F30" s="1">
        <v>8951.0400000000009</v>
      </c>
      <c r="G30" s="1">
        <v>8820.15</v>
      </c>
      <c r="I30" s="1">
        <f t="shared" si="0"/>
        <v>-1163.6899999999987</v>
      </c>
      <c r="J30" s="1">
        <f t="shared" si="1"/>
        <v>8820.1500000000015</v>
      </c>
    </row>
    <row r="31" spans="1:10">
      <c r="A31">
        <v>2023</v>
      </c>
      <c r="B31" t="s">
        <v>15</v>
      </c>
      <c r="C31" s="91">
        <v>44986</v>
      </c>
      <c r="D31" s="1">
        <v>8820.15</v>
      </c>
      <c r="E31" s="1">
        <v>9873.56</v>
      </c>
      <c r="F31" s="1">
        <v>16383.09</v>
      </c>
      <c r="G31" s="1">
        <v>15329.68</v>
      </c>
      <c r="I31" s="1">
        <f t="shared" si="0"/>
        <v>6509.5300000000007</v>
      </c>
      <c r="J31" s="1">
        <f t="shared" si="1"/>
        <v>15329.68</v>
      </c>
    </row>
    <row r="32" spans="1:10">
      <c r="A32">
        <v>2023</v>
      </c>
      <c r="B32" t="s">
        <v>16</v>
      </c>
      <c r="C32" s="91">
        <v>45017</v>
      </c>
      <c r="D32" s="1">
        <v>15329.68</v>
      </c>
      <c r="E32" s="1">
        <v>12820.41</v>
      </c>
      <c r="F32" s="1">
        <v>17916.099999999999</v>
      </c>
      <c r="G32" s="1">
        <v>20425.37</v>
      </c>
      <c r="I32" s="1">
        <f t="shared" si="0"/>
        <v>5095.6899999999987</v>
      </c>
      <c r="J32" s="1">
        <f t="shared" si="1"/>
        <v>20425.37</v>
      </c>
    </row>
    <row r="33" spans="1:10">
      <c r="A33">
        <v>2023</v>
      </c>
      <c r="B33" t="s">
        <v>17</v>
      </c>
      <c r="C33" s="91">
        <v>45047</v>
      </c>
      <c r="D33" s="1">
        <v>20425.37</v>
      </c>
      <c r="E33" s="1">
        <v>10870.14</v>
      </c>
      <c r="F33" s="1">
        <v>16158.15</v>
      </c>
      <c r="G33" s="1">
        <v>25713.38</v>
      </c>
      <c r="I33" s="1">
        <f t="shared" si="0"/>
        <v>5288.01</v>
      </c>
      <c r="J33" s="1">
        <f t="shared" si="1"/>
        <v>25713.379999999997</v>
      </c>
    </row>
    <row r="34" spans="1:10">
      <c r="A34">
        <v>2023</v>
      </c>
      <c r="B34" t="s">
        <v>18</v>
      </c>
      <c r="C34" s="91">
        <v>45078</v>
      </c>
      <c r="D34" s="1">
        <v>25713.38</v>
      </c>
      <c r="E34" s="1">
        <v>9520.01</v>
      </c>
      <c r="F34" s="1">
        <v>14203.2</v>
      </c>
      <c r="G34" s="1">
        <v>30396.57</v>
      </c>
      <c r="I34" s="1">
        <f>F34-E34</f>
        <v>4683.1900000000005</v>
      </c>
      <c r="J34" s="1">
        <f>D34+I34</f>
        <v>30396.57</v>
      </c>
    </row>
    <row r="35" spans="1:10">
      <c r="A35">
        <v>2023</v>
      </c>
      <c r="B35" t="s">
        <v>19</v>
      </c>
      <c r="C35" s="91">
        <v>45108</v>
      </c>
      <c r="D35" s="1">
        <v>30396.57</v>
      </c>
      <c r="E35" s="1">
        <v>8404.5300000000007</v>
      </c>
      <c r="F35" s="1">
        <v>13145.23</v>
      </c>
      <c r="G35" s="1">
        <v>35137.269999999997</v>
      </c>
      <c r="I35" s="1">
        <f>F35-E35</f>
        <v>4740.6999999999989</v>
      </c>
      <c r="J35" s="1">
        <f>D35+I35</f>
        <v>35137.269999999997</v>
      </c>
    </row>
    <row r="36" spans="1:10">
      <c r="A36">
        <v>2023</v>
      </c>
      <c r="B36" t="s">
        <v>20</v>
      </c>
      <c r="C36" s="91">
        <v>45139</v>
      </c>
      <c r="D36" s="1">
        <v>35137.269999999997</v>
      </c>
      <c r="E36" s="1">
        <v>11637.86</v>
      </c>
      <c r="F36" s="1">
        <v>16155.29</v>
      </c>
      <c r="G36" s="1">
        <v>39654.699999999997</v>
      </c>
      <c r="I36" s="1">
        <f>F36-E36</f>
        <v>4517.43</v>
      </c>
      <c r="J36" s="1">
        <f>D36+I36</f>
        <v>39654.699999999997</v>
      </c>
    </row>
    <row r="37" spans="1:10">
      <c r="A37">
        <v>2023</v>
      </c>
      <c r="B37" t="s">
        <v>21</v>
      </c>
      <c r="C37" s="91">
        <v>45170</v>
      </c>
      <c r="D37" s="1">
        <v>39654.699999999997</v>
      </c>
      <c r="E37" s="1">
        <v>11217.75</v>
      </c>
      <c r="F37" s="1">
        <v>17368.34</v>
      </c>
      <c r="G37" s="1">
        <v>45805.29</v>
      </c>
      <c r="I37" s="1">
        <f>F37-E37</f>
        <v>6150.59</v>
      </c>
      <c r="J37" s="1">
        <f>D37+I37</f>
        <v>45805.289999999994</v>
      </c>
    </row>
    <row r="38" spans="1:10">
      <c r="A38">
        <v>2023</v>
      </c>
      <c r="B38" t="s">
        <v>10</v>
      </c>
      <c r="C38" s="91">
        <v>45200</v>
      </c>
      <c r="D38" s="1">
        <v>45805.29</v>
      </c>
      <c r="E38" s="1">
        <v>9154.26</v>
      </c>
      <c r="F38" s="1">
        <v>18451.419999999998</v>
      </c>
      <c r="G38" s="1">
        <v>55102.45</v>
      </c>
      <c r="I38" s="1">
        <f>F38-E38</f>
        <v>9297.159999999998</v>
      </c>
      <c r="J38" s="1">
        <f>D38+I38</f>
        <v>55102.45</v>
      </c>
    </row>
    <row r="39" spans="1:10">
      <c r="A39">
        <v>2023</v>
      </c>
      <c r="B39" t="s">
        <v>11</v>
      </c>
      <c r="C39" s="91">
        <v>45231</v>
      </c>
      <c r="D39" s="1">
        <v>55102.45</v>
      </c>
      <c r="E39" s="1">
        <v>10434.25</v>
      </c>
      <c r="F39" s="1">
        <v>11933.42</v>
      </c>
      <c r="G39" s="1">
        <v>56601.62</v>
      </c>
      <c r="I39" s="1">
        <f t="shared" ref="I39:I47" si="2">F39-E39</f>
        <v>1499.17</v>
      </c>
      <c r="J39" s="1">
        <f t="shared" ref="J39:J47" si="3">D39+I39</f>
        <v>56601.619999999995</v>
      </c>
    </row>
    <row r="40" spans="1:10">
      <c r="A40">
        <v>2023</v>
      </c>
      <c r="B40" t="s">
        <v>12</v>
      </c>
      <c r="C40" s="91">
        <v>45261</v>
      </c>
      <c r="D40" s="1">
        <v>56601.62</v>
      </c>
      <c r="E40" s="1">
        <v>10521.94</v>
      </c>
      <c r="F40" s="1">
        <v>16240.47</v>
      </c>
      <c r="G40" s="1">
        <v>62320.15</v>
      </c>
      <c r="I40" s="1">
        <f t="shared" si="2"/>
        <v>5718.5299999999988</v>
      </c>
      <c r="J40" s="1">
        <f t="shared" si="3"/>
        <v>62320.15</v>
      </c>
    </row>
    <row r="41" spans="1:10">
      <c r="A41">
        <v>2024</v>
      </c>
      <c r="B41" t="s">
        <v>13</v>
      </c>
      <c r="C41" s="91">
        <v>45292</v>
      </c>
      <c r="D41" s="1">
        <v>62320.15</v>
      </c>
      <c r="E41" s="1">
        <v>10713.56</v>
      </c>
      <c r="F41" s="1">
        <v>20478.509999999998</v>
      </c>
      <c r="G41" s="1">
        <v>72085.100000000006</v>
      </c>
      <c r="I41" s="1">
        <f t="shared" si="2"/>
        <v>9764.9499999999989</v>
      </c>
      <c r="J41" s="1">
        <f t="shared" si="3"/>
        <v>72085.100000000006</v>
      </c>
    </row>
    <row r="42" spans="1:10">
      <c r="A42">
        <v>2024</v>
      </c>
      <c r="B42" t="s">
        <v>14</v>
      </c>
      <c r="C42" s="91">
        <v>45323</v>
      </c>
      <c r="D42" s="1">
        <v>72085.100000000006</v>
      </c>
      <c r="E42" s="1">
        <v>19696.41</v>
      </c>
      <c r="F42" s="1">
        <v>32438.58</v>
      </c>
      <c r="G42" s="1">
        <v>84827.27</v>
      </c>
      <c r="I42" s="1">
        <f t="shared" si="2"/>
        <v>12742.170000000002</v>
      </c>
      <c r="J42" s="1">
        <f t="shared" si="3"/>
        <v>84827.27</v>
      </c>
    </row>
    <row r="43" spans="1:10">
      <c r="A43">
        <v>2024</v>
      </c>
      <c r="B43" t="s">
        <v>15</v>
      </c>
      <c r="C43" s="91">
        <v>45352</v>
      </c>
      <c r="D43" s="1">
        <v>84827.27</v>
      </c>
      <c r="E43" s="1">
        <v>15012.27</v>
      </c>
      <c r="F43" s="1">
        <v>36190.9</v>
      </c>
      <c r="G43" s="1">
        <v>106005.9</v>
      </c>
      <c r="I43" s="1">
        <f t="shared" si="2"/>
        <v>21178.63</v>
      </c>
      <c r="J43" s="1">
        <f t="shared" si="3"/>
        <v>106005.90000000001</v>
      </c>
    </row>
    <row r="44" spans="1:10">
      <c r="A44">
        <v>2024</v>
      </c>
      <c r="B44" t="s">
        <v>16</v>
      </c>
      <c r="C44" s="91">
        <v>45383</v>
      </c>
      <c r="D44" s="1">
        <v>106005.9</v>
      </c>
      <c r="E44" s="1">
        <v>16755.54</v>
      </c>
      <c r="F44" s="1">
        <v>14082.82</v>
      </c>
      <c r="G44" s="1">
        <v>103333.18</v>
      </c>
      <c r="I44" s="1">
        <f t="shared" si="2"/>
        <v>-2672.7200000000012</v>
      </c>
      <c r="J44" s="1">
        <f t="shared" si="3"/>
        <v>103333.18</v>
      </c>
    </row>
    <row r="45" spans="1:10">
      <c r="A45">
        <v>2024</v>
      </c>
      <c r="B45" t="s">
        <v>17</v>
      </c>
      <c r="C45" s="91">
        <v>45413</v>
      </c>
      <c r="D45" s="1">
        <v>103333.18</v>
      </c>
      <c r="E45" s="1">
        <v>110065</v>
      </c>
      <c r="F45" s="1">
        <v>7541.82</v>
      </c>
      <c r="G45" s="1">
        <v>810</v>
      </c>
      <c r="I45" s="1">
        <f t="shared" si="2"/>
        <v>-102523.18</v>
      </c>
      <c r="J45" s="1">
        <f t="shared" si="3"/>
        <v>810</v>
      </c>
    </row>
    <row r="46" spans="1:10">
      <c r="A46">
        <v>2024</v>
      </c>
      <c r="B46" t="s">
        <v>18</v>
      </c>
      <c r="C46" s="91">
        <v>45444</v>
      </c>
      <c r="D46" s="1">
        <v>810</v>
      </c>
      <c r="E46" s="1">
        <v>15</v>
      </c>
      <c r="F46" s="1">
        <v>1847</v>
      </c>
      <c r="G46" s="1">
        <v>2642</v>
      </c>
      <c r="I46" s="1">
        <f t="shared" si="2"/>
        <v>1832</v>
      </c>
      <c r="J46" s="1">
        <f t="shared" si="3"/>
        <v>2642</v>
      </c>
    </row>
    <row r="47" spans="1:10">
      <c r="A47">
        <v>2024</v>
      </c>
      <c r="B47" t="s">
        <v>19</v>
      </c>
      <c r="C47" s="91">
        <v>45474</v>
      </c>
      <c r="D47" s="1">
        <v>0</v>
      </c>
      <c r="E47" s="1">
        <v>0</v>
      </c>
      <c r="F47" s="1">
        <v>0</v>
      </c>
      <c r="G47" s="1">
        <v>0</v>
      </c>
      <c r="I47" s="1">
        <f t="shared" si="2"/>
        <v>0</v>
      </c>
      <c r="J47" s="1">
        <f t="shared" si="3"/>
        <v>0</v>
      </c>
    </row>
  </sheetData>
  <conditionalFormatting sqref="I1:I1048576">
    <cfRule type="cellIs" dxfId="13" priority="1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FEF1-0F5A-4A16-86A5-97ED483F340E}">
  <sheetPr>
    <tabColor rgb="FF7030A0"/>
  </sheetPr>
  <dimension ref="B1:I44"/>
  <sheetViews>
    <sheetView zoomScale="85" zoomScaleNormal="85" workbookViewId="0">
      <selection activeCell="J25" sqref="J25"/>
    </sheetView>
  </sheetViews>
  <sheetFormatPr defaultRowHeight="15" customHeight="1"/>
  <cols>
    <col min="1" max="1" width="3.7109375" customWidth="1"/>
    <col min="2" max="2" width="11.140625" customWidth="1"/>
    <col min="3" max="3" width="18.28515625" bestFit="1" customWidth="1"/>
    <col min="4" max="5" width="15.42578125" bestFit="1" customWidth="1"/>
    <col min="6" max="6" width="12.7109375" bestFit="1" customWidth="1"/>
    <col min="7" max="7" width="12.28515625" bestFit="1" customWidth="1"/>
    <col min="8" max="8" width="11.85546875" bestFit="1" customWidth="1"/>
    <col min="9" max="9" width="12.28515625" bestFit="1" customWidth="1"/>
  </cols>
  <sheetData>
    <row r="1" spans="2:9" ht="14.25">
      <c r="B1" t="s">
        <v>22</v>
      </c>
      <c r="D1" s="2"/>
      <c r="E1" s="2"/>
      <c r="F1" s="2"/>
      <c r="G1" s="2"/>
      <c r="H1" s="2"/>
      <c r="I1" s="2"/>
    </row>
    <row r="2" spans="2:9" ht="14.25"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</row>
    <row r="3" spans="2:9" ht="14.25">
      <c r="B3" s="86"/>
      <c r="C3" s="86" t="s">
        <v>29</v>
      </c>
      <c r="D3" s="87">
        <f>Tungku!G3+Tungku!H3+Tungku!I3</f>
        <v>31071.69</v>
      </c>
      <c r="E3" s="87">
        <f>Salar!G3+Salar!H3+Salar!I3</f>
        <v>15024.48</v>
      </c>
      <c r="F3" s="87">
        <f>Bengkurong!G3+Bengkurong!H3+Bengkurong!I3</f>
        <v>18170.010000000002</v>
      </c>
      <c r="G3" s="87">
        <f>Tutong!G3+Tutong!H3+Tutong!I3</f>
        <v>13176.739999999998</v>
      </c>
      <c r="H3" s="87">
        <f>Lambak!G3+Lambak!H3+Lambak!I3</f>
        <v>7487</v>
      </c>
      <c r="I3" s="87">
        <f>SUM(D3:H3)</f>
        <v>84929.919999999998</v>
      </c>
    </row>
    <row r="4" spans="2:9" ht="15" customHeight="1">
      <c r="B4" s="115" t="s">
        <v>30</v>
      </c>
      <c r="C4" t="s">
        <v>31</v>
      </c>
      <c r="D4" s="1">
        <f>Tungku!G4+Tungku!H4+Tungku!I4</f>
        <v>600</v>
      </c>
      <c r="E4" s="1">
        <f>Salar!G4+Salar!H4+Salar!I4</f>
        <v>300</v>
      </c>
      <c r="F4" s="1">
        <f>Bengkurong!G4+Bengkurong!H4+Bengkurong!I4</f>
        <v>250</v>
      </c>
      <c r="G4" s="1">
        <f>Tutong!G4+Tutong!H4+Tutong!I4</f>
        <v>200</v>
      </c>
      <c r="H4" s="1">
        <f>Lambak!G4+Lambak!H4+Lambak!I4</f>
        <v>0</v>
      </c>
      <c r="I4" s="98">
        <f t="shared" ref="I4:I21" si="0">SUM(D4:H4)</f>
        <v>1350</v>
      </c>
    </row>
    <row r="5" spans="2:9" ht="14.25">
      <c r="B5" s="115"/>
      <c r="C5" t="s">
        <v>32</v>
      </c>
      <c r="D5" s="1">
        <f>Tungku!G5+Tungku!H5+Tungku!I5</f>
        <v>420</v>
      </c>
      <c r="E5" s="1">
        <f>Salar!G5+Salar!H5+Salar!I5</f>
        <v>230</v>
      </c>
      <c r="F5" s="1">
        <f>Bengkurong!G5+Bengkurong!H5+Bengkurong!I5</f>
        <v>300</v>
      </c>
      <c r="G5" s="1">
        <f>Tutong!G5+Tutong!H5+Tutong!I5</f>
        <v>280</v>
      </c>
      <c r="H5" s="1">
        <f>Lambak!G5+Lambak!H5+Lambak!I5</f>
        <v>340</v>
      </c>
      <c r="I5" s="98">
        <f t="shared" si="0"/>
        <v>1570</v>
      </c>
    </row>
    <row r="6" spans="2:9" ht="14.25">
      <c r="B6" s="115"/>
      <c r="C6" t="s">
        <v>33</v>
      </c>
      <c r="D6" s="1">
        <f>Tungku!G6+Tungku!H6+Tungku!I6</f>
        <v>1249.2</v>
      </c>
      <c r="E6" s="1">
        <f>Salar!G6+Salar!H6+Salar!I6</f>
        <v>955.3</v>
      </c>
      <c r="F6" s="1">
        <f>Bengkurong!G6+Bengkurong!H6+Bengkurong!I6</f>
        <v>908.4</v>
      </c>
      <c r="G6" s="1">
        <f>Tutong!G6+Tutong!H6+Tutong!I6</f>
        <v>1027.5999999999999</v>
      </c>
      <c r="H6" s="1">
        <f>Lambak!G6+Lambak!H6+Lambak!I6</f>
        <v>717.4</v>
      </c>
      <c r="I6" s="98">
        <f t="shared" si="0"/>
        <v>4857.8999999999996</v>
      </c>
    </row>
    <row r="7" spans="2:9" ht="14.25">
      <c r="B7" s="115"/>
      <c r="C7" t="s">
        <v>34</v>
      </c>
      <c r="D7" s="1">
        <f>Tungku!G7+Tungku!H7+Tungku!I7</f>
        <v>10055.81</v>
      </c>
      <c r="E7" s="1">
        <f>Salar!G7+Salar!H7+Salar!I7</f>
        <v>3766.7800000000007</v>
      </c>
      <c r="F7" s="1">
        <f>Bengkurong!G7+Bengkurong!H7+Bengkurong!I7</f>
        <v>6126.27</v>
      </c>
      <c r="G7" s="1">
        <f>Tutong!G7+Tutong!H7+Tutong!I7</f>
        <v>6609.5500000000011</v>
      </c>
      <c r="H7" s="1">
        <f>Lambak!G7+Lambak!H7+Lambak!I7</f>
        <v>4550.5999999999995</v>
      </c>
      <c r="I7" s="98">
        <f t="shared" si="0"/>
        <v>31109.010000000002</v>
      </c>
    </row>
    <row r="8" spans="2:9" ht="14.25">
      <c r="B8" s="115"/>
      <c r="C8" t="s">
        <v>35</v>
      </c>
      <c r="D8" s="1">
        <f>Tungku!G8+Tungku!H8+Tungku!I8</f>
        <v>2233</v>
      </c>
      <c r="E8" s="1">
        <f>Salar!G8+Salar!H8+Salar!I8</f>
        <v>2949</v>
      </c>
      <c r="F8" s="1">
        <f>Bengkurong!G8+Bengkurong!H8+Bengkurong!I8</f>
        <v>79</v>
      </c>
      <c r="G8" s="1">
        <f>Tutong!G8+Tutong!H8+Tutong!I8</f>
        <v>331</v>
      </c>
      <c r="H8" s="1">
        <f>Lambak!G8+Lambak!H8+Lambak!I8</f>
        <v>746.7</v>
      </c>
      <c r="I8" s="98">
        <f t="shared" si="0"/>
        <v>6338.7</v>
      </c>
    </row>
    <row r="9" spans="2:9" ht="14.25">
      <c r="B9" s="115"/>
      <c r="C9" t="s">
        <v>36</v>
      </c>
      <c r="D9" s="1">
        <f>Tungku!G9+Tungku!H9+Tungku!I9</f>
        <v>0</v>
      </c>
      <c r="E9" s="1">
        <f>Salar!G9+Salar!H9+Salar!I9</f>
        <v>5</v>
      </c>
      <c r="F9" s="1">
        <f>Bengkurong!G9+Bengkurong!H9+Bengkurong!I9</f>
        <v>0</v>
      </c>
      <c r="G9" s="1">
        <f>Tutong!G9+Tutong!H9+Tutong!I9</f>
        <v>0</v>
      </c>
      <c r="H9" s="1">
        <f>Lambak!G9+Lambak!H9+Lambak!I9</f>
        <v>0</v>
      </c>
      <c r="I9" s="98">
        <f t="shared" si="0"/>
        <v>5</v>
      </c>
    </row>
    <row r="10" spans="2:9" ht="15" customHeight="1">
      <c r="B10" s="115"/>
      <c r="C10" t="s">
        <v>37</v>
      </c>
      <c r="D10" s="1">
        <f>Tungku!G10+Tungku!H10+Tungku!I10</f>
        <v>1091.54</v>
      </c>
      <c r="E10" s="1">
        <f>Salar!G10+Salar!H10+Salar!I10</f>
        <v>14.48</v>
      </c>
      <c r="F10" s="1">
        <f>Bengkurong!G10+Bengkurong!H10+Bengkurong!I10</f>
        <v>0</v>
      </c>
      <c r="G10" s="1">
        <f>Tutong!G10+Tutong!H10+Tutong!I10</f>
        <v>0</v>
      </c>
      <c r="H10" s="1">
        <f>Lambak!G10+Lambak!H10+Lambak!I10</f>
        <v>500</v>
      </c>
      <c r="I10" s="98">
        <f t="shared" si="0"/>
        <v>1606.02</v>
      </c>
    </row>
    <row r="11" spans="2:9" ht="14.25">
      <c r="B11" s="115"/>
      <c r="C11" t="s">
        <v>38</v>
      </c>
      <c r="D11" s="1">
        <f>Tungku!G11+Tungku!H11+Tungku!I11</f>
        <v>479.4</v>
      </c>
      <c r="E11" s="1">
        <f>Salar!G11+Salar!H11+Salar!I11</f>
        <v>0</v>
      </c>
      <c r="F11" s="1">
        <f>Bengkurong!G11+Bengkurong!H11+Bengkurong!I11</f>
        <v>51</v>
      </c>
      <c r="G11" s="1">
        <f>Tutong!G11+Tutong!H11+Tutong!I11</f>
        <v>0</v>
      </c>
      <c r="H11" s="1">
        <f>Lambak!G11+Lambak!H11+Lambak!I11</f>
        <v>0</v>
      </c>
      <c r="I11" s="98">
        <f t="shared" si="0"/>
        <v>530.4</v>
      </c>
    </row>
    <row r="12" spans="2:9" ht="14.25">
      <c r="B12" s="23"/>
      <c r="C12" s="21" t="s">
        <v>39</v>
      </c>
      <c r="D12" s="22">
        <f>SUM(D4:D11)</f>
        <v>16128.949999999999</v>
      </c>
      <c r="E12" s="22">
        <f t="shared" ref="E12:H12" si="1">SUM(E4:E11)</f>
        <v>8220.5600000000013</v>
      </c>
      <c r="F12" s="22">
        <f t="shared" si="1"/>
        <v>7714.67</v>
      </c>
      <c r="G12" s="22">
        <f t="shared" si="1"/>
        <v>8448.1500000000015</v>
      </c>
      <c r="H12" s="22">
        <f t="shared" si="1"/>
        <v>6854.7</v>
      </c>
      <c r="I12" s="22">
        <f>SUM(D12:H12)</f>
        <v>47367.03</v>
      </c>
    </row>
    <row r="13" spans="2:9" ht="14.25">
      <c r="B13" s="105"/>
      <c r="C13" s="106" t="s">
        <v>40</v>
      </c>
      <c r="D13" s="107">
        <f>Tungku!G13+Tungku!H13+Tungku!I13</f>
        <v>14942.739999999998</v>
      </c>
      <c r="E13" s="107">
        <f>Salar!G13+Salar!H13+Salar!I13</f>
        <v>6803.9199999999992</v>
      </c>
      <c r="F13" s="107">
        <f>Bengkurong!G13+Bengkurong!H13+Bengkurong!I13</f>
        <v>10455.34</v>
      </c>
      <c r="G13" s="107">
        <f>Tutong!G13+Tutong!H13+Tutong!I13</f>
        <v>4728.59</v>
      </c>
      <c r="H13" s="107">
        <f>Lambak!G13+Lambak!H13+Lambak!I13</f>
        <v>632.30000000000018</v>
      </c>
      <c r="I13" s="107">
        <f t="shared" ref="I13" si="2">SUM(D13:H13)</f>
        <v>37562.89</v>
      </c>
    </row>
    <row r="14" spans="2:9" ht="15" customHeight="1">
      <c r="B14" s="116" t="s">
        <v>41</v>
      </c>
      <c r="C14" t="s">
        <v>42</v>
      </c>
      <c r="D14" s="1">
        <f>Tungku!G14+Tungku!H14+Tungku!I14</f>
        <v>9900</v>
      </c>
      <c r="E14" s="1">
        <f>Salar!G14+Salar!H14+Salar!I14</f>
        <v>6600</v>
      </c>
      <c r="F14" s="1">
        <f>Bengkurong!G14+Bengkurong!H14+Bengkurong!I14</f>
        <v>3000</v>
      </c>
      <c r="G14" s="1">
        <f>Tutong!G14+Tutong!H14+Tutong!I14</f>
        <v>1950</v>
      </c>
      <c r="H14" s="1">
        <f>Lambak!G14+Lambak!H14+Lambak!I14</f>
        <v>3000</v>
      </c>
      <c r="I14" s="1">
        <f t="shared" si="0"/>
        <v>24450</v>
      </c>
    </row>
    <row r="15" spans="2:9" ht="14.25">
      <c r="B15" s="116"/>
      <c r="C15" t="s">
        <v>43</v>
      </c>
      <c r="D15" s="1">
        <f>Tungku!G15+Tungku!H15+Tungku!I15</f>
        <v>60</v>
      </c>
      <c r="E15" s="1">
        <f>Salar!G15+Salar!H15+Salar!I15</f>
        <v>60</v>
      </c>
      <c r="F15" s="1">
        <f>Bengkurong!G15+Bengkurong!H15+Bengkurong!I15</f>
        <v>60</v>
      </c>
      <c r="G15" s="1">
        <f>Tutong!G15+Tutong!H15+Tutong!I15</f>
        <v>60</v>
      </c>
      <c r="H15" s="1">
        <f>Lambak!G15+Lambak!H15+Lambak!I15</f>
        <v>60</v>
      </c>
      <c r="I15" s="1">
        <f t="shared" si="0"/>
        <v>300</v>
      </c>
    </row>
    <row r="16" spans="2:9" ht="14.25">
      <c r="B16" s="116"/>
      <c r="C16" t="s">
        <v>44</v>
      </c>
      <c r="D16" s="1">
        <f>Tungku!G16+Tungku!H16+Tungku!I16</f>
        <v>174</v>
      </c>
      <c r="E16" s="1">
        <f>Salar!G16+Salar!H16+Salar!I16</f>
        <v>114</v>
      </c>
      <c r="F16" s="1">
        <f>Bengkurong!G16+Bengkurong!H16+Bengkurong!I16</f>
        <v>114</v>
      </c>
      <c r="G16" s="1">
        <f>Tutong!G16+Tutong!H16+Tutong!I16</f>
        <v>114</v>
      </c>
      <c r="H16" s="1">
        <f>Lambak!G16+Lambak!H16+Lambak!I16</f>
        <v>119</v>
      </c>
      <c r="I16" s="1">
        <f t="shared" si="0"/>
        <v>635</v>
      </c>
    </row>
    <row r="17" spans="2:9" ht="14.25">
      <c r="B17" s="116"/>
      <c r="C17" t="s">
        <v>45</v>
      </c>
      <c r="D17" s="1">
        <f>Tungku!G17+Tungku!H17+Tungku!I17</f>
        <v>806.26</v>
      </c>
      <c r="E17" s="1">
        <f>Salar!G17+Salar!H17+Salar!I17</f>
        <v>345.54</v>
      </c>
      <c r="F17" s="1">
        <f>Bengkurong!G17+Bengkurong!H17+Bengkurong!I17</f>
        <v>518.31000000000006</v>
      </c>
      <c r="G17" s="1">
        <f>Tutong!G17+Tutong!H17+Tutong!I17</f>
        <v>691.08</v>
      </c>
      <c r="H17" s="1">
        <f>Lambak!G17+Lambak!H17+Lambak!I17</f>
        <v>172.69</v>
      </c>
      <c r="I17" s="1">
        <f t="shared" si="0"/>
        <v>2533.88</v>
      </c>
    </row>
    <row r="18" spans="2:9" ht="14.25">
      <c r="B18" s="116"/>
      <c r="C18" t="s">
        <v>46</v>
      </c>
      <c r="D18" s="1">
        <f>Tungku!G18+Tungku!H18+Tungku!I18</f>
        <v>166.39</v>
      </c>
      <c r="E18" s="1">
        <f>Salar!G18+Salar!H18+Salar!I18</f>
        <v>166.39</v>
      </c>
      <c r="F18" s="1">
        <f>Bengkurong!G18+Bengkurong!H18+Bengkurong!I18</f>
        <v>166.39</v>
      </c>
      <c r="G18" s="1">
        <f>Tutong!G18+Tutong!H18+Tutong!I18</f>
        <v>166.39</v>
      </c>
      <c r="H18" s="1">
        <f>Lambak!G18+Lambak!H18+Lambak!I18</f>
        <v>166.39</v>
      </c>
      <c r="I18" s="1">
        <f t="shared" si="0"/>
        <v>831.94999999999993</v>
      </c>
    </row>
    <row r="19" spans="2:9" ht="14.25">
      <c r="B19" s="116"/>
      <c r="C19" t="s">
        <v>47</v>
      </c>
      <c r="D19" s="1">
        <f>Tungku!G19+Tungku!H19+Tungku!I19</f>
        <v>84.8</v>
      </c>
      <c r="E19" s="1">
        <f>Salar!G19+Salar!H19+Salar!I19</f>
        <v>62.989999999999995</v>
      </c>
      <c r="F19" s="1">
        <f>Bengkurong!G19+Bengkurong!H19+Bengkurong!I19</f>
        <v>39.5</v>
      </c>
      <c r="G19" s="1">
        <f>Tutong!G19+Tutong!H19+Tutong!I19</f>
        <v>1.6</v>
      </c>
      <c r="H19" s="1">
        <f>Lambak!G19+Lambak!H19+Lambak!I19</f>
        <v>13.4</v>
      </c>
      <c r="I19" s="1">
        <f t="shared" si="0"/>
        <v>202.29</v>
      </c>
    </row>
    <row r="20" spans="2:9" ht="14.25">
      <c r="B20" s="116"/>
      <c r="C20" t="s">
        <v>48</v>
      </c>
      <c r="D20" s="1">
        <f>Tungku!G20+Tungku!H20+Tungku!I20</f>
        <v>0</v>
      </c>
      <c r="E20" s="1">
        <f>Salar!G20+Salar!H20+Salar!I20</f>
        <v>0</v>
      </c>
      <c r="F20" s="1">
        <f>Bengkurong!G20+Bengkurong!H20+Bengkurong!I20</f>
        <v>0</v>
      </c>
      <c r="G20" s="1">
        <f>Tutong!G20+Tutong!H20+Tutong!I20</f>
        <v>0</v>
      </c>
      <c r="H20" s="1">
        <f>Lambak!G20+Lambak!H20+Lambak!I20</f>
        <v>0</v>
      </c>
      <c r="I20" s="1">
        <f t="shared" si="0"/>
        <v>0</v>
      </c>
    </row>
    <row r="21" spans="2:9" ht="14.25">
      <c r="B21" s="89"/>
      <c r="C21" t="s">
        <v>49</v>
      </c>
      <c r="D21" s="1">
        <f>Tungku!G21+Tungku!H21+Tungku!I21</f>
        <v>750</v>
      </c>
      <c r="E21" s="1">
        <f>Salar!G21+Salar!H21+Salar!I21</f>
        <v>750</v>
      </c>
      <c r="F21" s="1">
        <f>Bengkurong!G21+Bengkurong!H21+Bengkurong!I21</f>
        <v>750</v>
      </c>
      <c r="G21" s="1">
        <f>Tutong!G21+Tutong!H21+Tutong!I21</f>
        <v>750</v>
      </c>
      <c r="H21" s="1">
        <f>Lambak!G21+Lambak!H21+Lambak!I21</f>
        <v>750</v>
      </c>
      <c r="I21" s="1">
        <f t="shared" si="0"/>
        <v>3750</v>
      </c>
    </row>
    <row r="22" spans="2:9" ht="14.25">
      <c r="B22" s="21"/>
      <c r="C22" s="21" t="s">
        <v>50</v>
      </c>
      <c r="D22" s="22">
        <f>SUM(D14:D21)</f>
        <v>11941.449999999999</v>
      </c>
      <c r="E22" s="22">
        <f t="shared" ref="E22:H22" si="3">SUM(E14:E21)</f>
        <v>8098.92</v>
      </c>
      <c r="F22" s="22">
        <f t="shared" si="3"/>
        <v>4648.2</v>
      </c>
      <c r="G22" s="22">
        <f t="shared" si="3"/>
        <v>3733.0699999999997</v>
      </c>
      <c r="H22" s="22">
        <f t="shared" si="3"/>
        <v>4281.4799999999996</v>
      </c>
      <c r="I22" s="22">
        <f>SUM(D22:H22)</f>
        <v>32703.119999999999</v>
      </c>
    </row>
    <row r="23" spans="2:9" ht="14.25">
      <c r="B23" s="83"/>
      <c r="C23" s="84" t="s">
        <v>51</v>
      </c>
      <c r="D23" s="85">
        <f>SUM(D12,D22)</f>
        <v>28070.399999999998</v>
      </c>
      <c r="E23" s="85">
        <f t="shared" ref="E23:H23" si="4">SUM(E12,E22)</f>
        <v>16319.480000000001</v>
      </c>
      <c r="F23" s="85">
        <f t="shared" si="4"/>
        <v>12362.869999999999</v>
      </c>
      <c r="G23" s="85">
        <f t="shared" si="4"/>
        <v>12181.220000000001</v>
      </c>
      <c r="H23" s="85">
        <f t="shared" si="4"/>
        <v>11136.18</v>
      </c>
      <c r="I23" s="85">
        <f>SUM(I12,I22)</f>
        <v>80070.149999999994</v>
      </c>
    </row>
    <row r="24" spans="2:9" ht="14.25">
      <c r="B24" s="108"/>
      <c r="C24" s="109" t="s">
        <v>52</v>
      </c>
      <c r="D24" s="110">
        <f>Tungku!G24+Tungku!H24+Tungku!I24</f>
        <v>3001.2899999999991</v>
      </c>
      <c r="E24" s="110">
        <f>Salar!G24+Salar!H24+Salar!I24</f>
        <v>-1295</v>
      </c>
      <c r="F24" s="110">
        <f>Bengkurong!G24+Bengkurong!H24+Bengkurong!I24</f>
        <v>5807.1399999999994</v>
      </c>
      <c r="G24" s="110">
        <f>Tutong!G24+Tutong!H24+Tutong!I24</f>
        <v>1495.5199999999995</v>
      </c>
      <c r="H24" s="110">
        <f>Lambak!G24+Lambak!H24+Lambak!I24</f>
        <v>-3649.1799999999994</v>
      </c>
      <c r="I24" s="110">
        <f t="shared" ref="I24:I26" si="5">SUM(D24:H24)</f>
        <v>5359.7699999999977</v>
      </c>
    </row>
    <row r="25" spans="2:9" ht="14.25">
      <c r="C25" s="3" t="s">
        <v>53</v>
      </c>
      <c r="D25" s="4">
        <f>Tungku!D25+Tungku!E25+Tungku!F25</f>
        <v>425.01</v>
      </c>
      <c r="E25" s="4">
        <f>Salar!D25+Salar!E25+Salar!F25</f>
        <v>425.01</v>
      </c>
      <c r="F25" s="4">
        <f>Bengkurong!D25+Bengkurong!E25+Bengkurong!F25</f>
        <v>425.01</v>
      </c>
      <c r="G25" s="4">
        <f>Tutong!D25+Tutong!E25+Tutong!F25</f>
        <v>425.01</v>
      </c>
      <c r="H25" s="4">
        <f>Lambak!D25+Lambak!E25+Lambak!F25</f>
        <v>425.01</v>
      </c>
      <c r="I25" s="4">
        <f t="shared" si="5"/>
        <v>2125.0500000000002</v>
      </c>
    </row>
    <row r="26" spans="2:9" ht="14.25">
      <c r="B26" s="112"/>
      <c r="C26" s="113" t="s">
        <v>54</v>
      </c>
      <c r="D26" s="114">
        <f>Tungku!G26+Tungku!H26+Tungku!I26</f>
        <v>2576.2799999999988</v>
      </c>
      <c r="E26" s="114">
        <f>Salar!G26+Salar!H26+Salar!I26</f>
        <v>-1720.0100000000002</v>
      </c>
      <c r="F26" s="114">
        <f>Bengkurong!G26+Bengkurong!H26+Bengkurong!I26</f>
        <v>5382.1299999999992</v>
      </c>
      <c r="G26" s="114">
        <f>Tutong!G26+Tutong!H26+Tutong!I26</f>
        <v>1070.5099999999995</v>
      </c>
      <c r="H26" s="114">
        <f>Lambak!G26+Lambak!H26+Lambak!I26</f>
        <v>-4074.1899999999996</v>
      </c>
      <c r="I26" s="114">
        <f t="shared" si="5"/>
        <v>3234.7199999999975</v>
      </c>
    </row>
    <row r="27" spans="2:9" ht="14.25">
      <c r="C27" s="3"/>
      <c r="D27" s="4"/>
      <c r="E27" s="4"/>
      <c r="F27" s="4"/>
      <c r="G27" s="4"/>
      <c r="H27" s="4"/>
      <c r="I27" s="4"/>
    </row>
    <row r="28" spans="2:9" ht="14.25">
      <c r="B28" s="21"/>
      <c r="C28" s="21" t="s">
        <v>55</v>
      </c>
      <c r="D28" s="26">
        <f>D26/D3</f>
        <v>8.2914060998935016E-2</v>
      </c>
      <c r="E28" s="26">
        <f t="shared" ref="E28:I28" si="6">E26/E3</f>
        <v>-0.11448050115544767</v>
      </c>
      <c r="F28" s="26">
        <f t="shared" si="6"/>
        <v>0.29620952327489081</v>
      </c>
      <c r="G28" s="26">
        <f t="shared" si="6"/>
        <v>8.1242401383043131E-2</v>
      </c>
      <c r="H28" s="26">
        <f t="shared" si="6"/>
        <v>-0.54416855883531445</v>
      </c>
      <c r="I28" s="26">
        <f t="shared" si="6"/>
        <v>3.8086930966142407E-2</v>
      </c>
    </row>
    <row r="29" spans="2:9" ht="14.25">
      <c r="D29" s="1"/>
      <c r="E29" s="1"/>
      <c r="F29" s="1"/>
      <c r="G29" s="1"/>
      <c r="H29" s="1"/>
      <c r="I29" s="94"/>
    </row>
    <row r="30" spans="2:9" ht="14.25">
      <c r="D30" s="1"/>
      <c r="E30" s="1"/>
      <c r="F30" s="1"/>
      <c r="G30" s="1"/>
      <c r="H30" s="1"/>
      <c r="I30" s="1"/>
    </row>
    <row r="32" spans="2:9" ht="14.25">
      <c r="D32" s="1"/>
      <c r="E32" s="1"/>
      <c r="F32" s="1"/>
      <c r="G32" s="1"/>
      <c r="H32" s="1"/>
      <c r="I32" s="1"/>
    </row>
    <row r="44" spans="4:9" ht="14.25">
      <c r="D44" s="1"/>
      <c r="E44" s="1"/>
      <c r="F44" s="1"/>
      <c r="G44" s="1"/>
      <c r="H44" s="1"/>
      <c r="I44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CFB1-4F8B-4A5E-BDE1-95C2F9CCCB76}">
  <sheetPr>
    <tabColor rgb="FF7030A0"/>
  </sheetPr>
  <dimension ref="B1:Q43"/>
  <sheetViews>
    <sheetView tabSelected="1" topLeftCell="B1" zoomScale="67" zoomScaleNormal="115" workbookViewId="0">
      <selection activeCell="G11" sqref="G11"/>
    </sheetView>
  </sheetViews>
  <sheetFormatPr defaultRowHeight="14.25"/>
  <cols>
    <col min="1" max="1" width="3.7109375" customWidth="1"/>
    <col min="2" max="2" width="12.140625" customWidth="1"/>
    <col min="3" max="3" width="28.42578125" customWidth="1"/>
    <col min="4" max="5" width="15.7109375" bestFit="1" customWidth="1"/>
    <col min="6" max="6" width="16.28515625" bestFit="1" customWidth="1"/>
    <col min="7" max="7" width="11.85546875" bestFit="1" customWidth="1"/>
    <col min="8" max="9" width="10.85546875" bestFit="1" customWidth="1"/>
    <col min="10" max="15" width="10.5703125" bestFit="1" customWidth="1"/>
    <col min="16" max="16" width="17.42578125" bestFit="1" customWidth="1"/>
  </cols>
  <sheetData>
    <row r="1" spans="2:17">
      <c r="B1" t="s">
        <v>56</v>
      </c>
      <c r="C1" t="s">
        <v>57</v>
      </c>
      <c r="D1" s="2"/>
      <c r="E1" s="2"/>
      <c r="F1" s="2"/>
      <c r="G1" s="2">
        <v>202.3</v>
      </c>
      <c r="H1" s="2">
        <v>124.4</v>
      </c>
      <c r="I1" s="2">
        <v>107.6</v>
      </c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87">
        <v>8175.1</v>
      </c>
      <c r="E3" s="87">
        <v>9010.34</v>
      </c>
      <c r="F3" s="87">
        <v>17390.89</v>
      </c>
      <c r="G3" s="87">
        <f>12524.55+202.3</f>
        <v>12726.849999999999</v>
      </c>
      <c r="H3" s="87">
        <f>9056.42+H1</f>
        <v>9180.82</v>
      </c>
      <c r="I3" s="87">
        <f>9056.42+I1</f>
        <v>9164.02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f t="shared" ref="P3:P14" si="0">SUM(D3:O3)</f>
        <v>65648.02</v>
      </c>
    </row>
    <row r="4" spans="2:17" ht="15" customHeight="1">
      <c r="B4" s="115" t="s">
        <v>30</v>
      </c>
      <c r="C4" t="s">
        <v>31</v>
      </c>
      <c r="D4" s="1">
        <v>150</v>
      </c>
      <c r="E4" s="1">
        <v>100</v>
      </c>
      <c r="F4" s="1">
        <v>200</v>
      </c>
      <c r="G4" s="1">
        <v>200</v>
      </c>
      <c r="H4" s="1">
        <v>200</v>
      </c>
      <c r="I4" s="1">
        <v>200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 t="shared" si="0"/>
        <v>1050</v>
      </c>
    </row>
    <row r="5" spans="2:17">
      <c r="B5" s="115"/>
      <c r="C5" t="s">
        <v>32</v>
      </c>
      <c r="D5" s="1">
        <v>200</v>
      </c>
      <c r="E5" s="1">
        <v>0</v>
      </c>
      <c r="F5" s="1">
        <v>120</v>
      </c>
      <c r="G5" s="1">
        <v>170</v>
      </c>
      <c r="H5" s="1">
        <v>100</v>
      </c>
      <c r="I5" s="1">
        <v>150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 t="shared" si="0"/>
        <v>740</v>
      </c>
    </row>
    <row r="6" spans="2:17">
      <c r="B6" s="115"/>
      <c r="C6" t="s">
        <v>33</v>
      </c>
      <c r="D6" s="1">
        <v>475</v>
      </c>
      <c r="E6" s="1">
        <v>239.2</v>
      </c>
      <c r="F6" s="1">
        <v>592.6</v>
      </c>
      <c r="G6" s="1">
        <v>506</v>
      </c>
      <c r="H6" s="1">
        <v>399.2</v>
      </c>
      <c r="I6" s="1">
        <v>344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 t="shared" si="0"/>
        <v>2556</v>
      </c>
    </row>
    <row r="7" spans="2:17">
      <c r="B7" s="115"/>
      <c r="C7" t="s">
        <v>34</v>
      </c>
      <c r="D7" s="1">
        <v>2453.6</v>
      </c>
      <c r="E7" s="1">
        <v>2530.5500000000002</v>
      </c>
      <c r="F7" s="1">
        <v>2604.75</v>
      </c>
      <c r="G7" s="1">
        <v>2936.2</v>
      </c>
      <c r="H7" s="1">
        <v>3496.34</v>
      </c>
      <c r="I7" s="1">
        <v>3623.27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 t="shared" si="0"/>
        <v>17644.71</v>
      </c>
    </row>
    <row r="8" spans="2:17">
      <c r="B8" s="115"/>
      <c r="C8" t="s">
        <v>35</v>
      </c>
      <c r="D8" s="1">
        <v>863</v>
      </c>
      <c r="E8" s="1">
        <v>673</v>
      </c>
      <c r="F8" s="1">
        <v>1094</v>
      </c>
      <c r="G8" s="1">
        <v>1253</v>
      </c>
      <c r="H8" s="1">
        <v>595</v>
      </c>
      <c r="I8" s="1">
        <v>385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 t="shared" si="0"/>
        <v>4863</v>
      </c>
    </row>
    <row r="9" spans="2:17">
      <c r="B9" s="115"/>
      <c r="C9" t="s">
        <v>36</v>
      </c>
      <c r="D9" s="1">
        <v>25</v>
      </c>
      <c r="E9" s="1">
        <v>25</v>
      </c>
      <c r="F9" s="1">
        <v>1472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</row>
    <row r="10" spans="2:17">
      <c r="B10" s="115"/>
      <c r="C10" t="s">
        <v>37</v>
      </c>
      <c r="D10" s="1">
        <v>0</v>
      </c>
      <c r="E10" s="1">
        <v>35</v>
      </c>
      <c r="F10" s="1">
        <v>80</v>
      </c>
      <c r="G10" s="1">
        <v>465.04</v>
      </c>
      <c r="H10" s="1">
        <v>0</v>
      </c>
      <c r="I10" s="1">
        <v>626.5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</row>
    <row r="11" spans="2:17">
      <c r="B11" s="115"/>
      <c r="C11" t="s">
        <v>38</v>
      </c>
      <c r="D11" s="1">
        <v>0</v>
      </c>
      <c r="E11" s="1">
        <v>0</v>
      </c>
      <c r="F11" s="1">
        <v>130</v>
      </c>
      <c r="G11" s="1">
        <v>479.4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</row>
    <row r="12" spans="2:17">
      <c r="B12" s="23"/>
      <c r="C12" s="21" t="s">
        <v>39</v>
      </c>
      <c r="D12" s="22">
        <f>SUM(D4:D11)</f>
        <v>4166.6000000000004</v>
      </c>
      <c r="E12" s="22">
        <f t="shared" ref="E12:O12" si="1">SUM(E4:E11)</f>
        <v>3602.75</v>
      </c>
      <c r="F12" s="22">
        <f t="shared" si="1"/>
        <v>6293.35</v>
      </c>
      <c r="G12" s="22">
        <f t="shared" si="1"/>
        <v>6009.6399999999994</v>
      </c>
      <c r="H12" s="22">
        <f t="shared" si="1"/>
        <v>4790.54</v>
      </c>
      <c r="I12" s="22">
        <f t="shared" si="1"/>
        <v>5328.77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0"/>
        <v>30191.65</v>
      </c>
    </row>
    <row r="13" spans="2:17">
      <c r="B13" s="105"/>
      <c r="C13" s="106" t="s">
        <v>40</v>
      </c>
      <c r="D13" s="107">
        <f>D3-D12</f>
        <v>4008.5</v>
      </c>
      <c r="E13" s="107">
        <f t="shared" ref="E13:O13" si="2">E3-E12</f>
        <v>5407.59</v>
      </c>
      <c r="F13" s="107">
        <f t="shared" si="2"/>
        <v>11097.539999999999</v>
      </c>
      <c r="G13" s="107">
        <f t="shared" si="2"/>
        <v>6717.2099999999991</v>
      </c>
      <c r="H13" s="107">
        <f t="shared" si="2"/>
        <v>4390.28</v>
      </c>
      <c r="I13" s="107">
        <f t="shared" si="2"/>
        <v>3835.25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35456.369999999995</v>
      </c>
    </row>
    <row r="14" spans="2:17">
      <c r="B14" s="115" t="s">
        <v>41</v>
      </c>
      <c r="C14" t="s">
        <v>42</v>
      </c>
      <c r="D14" s="1">
        <v>3300</v>
      </c>
      <c r="E14" s="1">
        <v>3300</v>
      </c>
      <c r="F14" s="1">
        <v>3300</v>
      </c>
      <c r="G14" s="1">
        <v>3300</v>
      </c>
      <c r="H14" s="1">
        <v>3300</v>
      </c>
      <c r="I14" s="1">
        <v>3300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 t="shared" si="0"/>
        <v>19800</v>
      </c>
    </row>
    <row r="15" spans="2:17">
      <c r="B15" s="115"/>
      <c r="C15" t="s">
        <v>43</v>
      </c>
      <c r="D15" s="1">
        <v>30</v>
      </c>
      <c r="E15" s="1">
        <v>30</v>
      </c>
      <c r="F15" s="1">
        <v>30</v>
      </c>
      <c r="G15" s="1">
        <v>30</v>
      </c>
      <c r="H15" s="1">
        <v>30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 t="shared" ref="P15:P21" si="3">SUM(D15:O15)</f>
        <v>150</v>
      </c>
      <c r="Q15" s="1"/>
    </row>
    <row r="16" spans="2:17">
      <c r="B16" s="115"/>
      <c r="C16" t="s">
        <v>44</v>
      </c>
      <c r="D16" s="1">
        <v>0</v>
      </c>
      <c r="E16" s="1">
        <v>38</v>
      </c>
      <c r="F16" s="1">
        <v>86</v>
      </c>
      <c r="G16" s="1">
        <v>33</v>
      </c>
      <c r="H16" s="1">
        <v>63</v>
      </c>
      <c r="I16" s="1">
        <v>78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 t="shared" si="3"/>
        <v>298</v>
      </c>
      <c r="Q16" s="1"/>
    </row>
    <row r="17" spans="2:16">
      <c r="B17" s="115"/>
      <c r="C17" t="s">
        <v>45</v>
      </c>
      <c r="D17" s="1">
        <v>172.77</v>
      </c>
      <c r="E17" s="1">
        <v>172.77</v>
      </c>
      <c r="F17" s="1">
        <v>230.36</v>
      </c>
      <c r="G17" s="1">
        <v>230.36</v>
      </c>
      <c r="H17" s="1">
        <v>287.95</v>
      </c>
      <c r="I17" s="1">
        <v>287.95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 t="shared" si="3"/>
        <v>1382.16</v>
      </c>
    </row>
    <row r="18" spans="2:16">
      <c r="B18" s="115"/>
      <c r="C18" t="s">
        <v>46</v>
      </c>
      <c r="D18" s="1">
        <v>55</v>
      </c>
      <c r="E18" s="1">
        <v>55</v>
      </c>
      <c r="F18" s="1">
        <v>55</v>
      </c>
      <c r="G18" s="1">
        <f>278.05/5</f>
        <v>55.61</v>
      </c>
      <c r="H18" s="1">
        <v>54.37</v>
      </c>
      <c r="I18" s="1">
        <v>56.41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 t="shared" si="3"/>
        <v>331.39</v>
      </c>
    </row>
    <row r="19" spans="2:16">
      <c r="B19" s="115"/>
      <c r="C19" t="s">
        <v>47</v>
      </c>
      <c r="D19" s="1">
        <v>5.9</v>
      </c>
      <c r="E19" s="1">
        <v>11.2</v>
      </c>
      <c r="F19" s="1">
        <v>20</v>
      </c>
      <c r="G19" s="1">
        <v>58.8</v>
      </c>
      <c r="H19" s="1">
        <v>14</v>
      </c>
      <c r="I19" s="1">
        <v>12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 t="shared" si="3"/>
        <v>121.9</v>
      </c>
    </row>
    <row r="20" spans="2:16">
      <c r="B20" s="115"/>
      <c r="C20" t="s">
        <v>48</v>
      </c>
      <c r="D20" s="1">
        <v>0</v>
      </c>
      <c r="E20" s="1">
        <v>98</v>
      </c>
      <c r="F20" s="1">
        <v>101.37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 t="shared" si="3"/>
        <v>199.37</v>
      </c>
    </row>
    <row r="21" spans="2:16">
      <c r="B21" s="89"/>
      <c r="C21" t="s">
        <v>49</v>
      </c>
      <c r="D21" s="1">
        <v>250</v>
      </c>
      <c r="E21" s="1">
        <v>250</v>
      </c>
      <c r="F21" s="1">
        <v>250</v>
      </c>
      <c r="G21" s="1">
        <v>250</v>
      </c>
      <c r="H21" s="1">
        <v>250</v>
      </c>
      <c r="I21" s="1">
        <v>250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si="3"/>
        <v>1500</v>
      </c>
    </row>
    <row r="22" spans="2:16">
      <c r="B22" s="21"/>
      <c r="C22" s="21" t="s">
        <v>50</v>
      </c>
      <c r="D22" s="22">
        <f>SUM(D14:D21)</f>
        <v>3813.67</v>
      </c>
      <c r="E22" s="22">
        <f>SUM(E14:E21)</f>
        <v>3954.97</v>
      </c>
      <c r="F22" s="22">
        <f>SUM(F14:F21)</f>
        <v>4072.73</v>
      </c>
      <c r="G22" s="22">
        <f t="shared" ref="G22:O22" si="4">SUM(G14:G21)</f>
        <v>3957.7700000000004</v>
      </c>
      <c r="H22" s="22">
        <f t="shared" si="4"/>
        <v>3999.3199999999997</v>
      </c>
      <c r="I22" s="22">
        <f t="shared" si="4"/>
        <v>3984.3599999999997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>SUM(D22:O22)</f>
        <v>23782.82</v>
      </c>
    </row>
    <row r="23" spans="2:16">
      <c r="B23" s="83"/>
      <c r="C23" s="84" t="s">
        <v>51</v>
      </c>
      <c r="D23" s="85">
        <f>SUM(D12,D22)</f>
        <v>7980.27</v>
      </c>
      <c r="E23" s="85">
        <f>SUM(E12,E22)</f>
        <v>7557.7199999999993</v>
      </c>
      <c r="F23" s="85">
        <f>SUM(F12,F22)</f>
        <v>10366.08</v>
      </c>
      <c r="G23" s="85">
        <f t="shared" ref="G23:O23" si="5">SUM(G12,G22)</f>
        <v>9967.41</v>
      </c>
      <c r="H23" s="85">
        <f t="shared" si="5"/>
        <v>8789.86</v>
      </c>
      <c r="I23" s="85">
        <f t="shared" si="5"/>
        <v>9313.130000000001</v>
      </c>
      <c r="J23" s="85">
        <f t="shared" si="5"/>
        <v>0</v>
      </c>
      <c r="K23" s="85">
        <f t="shared" si="5"/>
        <v>0</v>
      </c>
      <c r="L23" s="85">
        <f t="shared" si="5"/>
        <v>0</v>
      </c>
      <c r="M23" s="85">
        <f t="shared" si="5"/>
        <v>0</v>
      </c>
      <c r="N23" s="85">
        <f t="shared" si="5"/>
        <v>0</v>
      </c>
      <c r="O23" s="85">
        <f t="shared" si="5"/>
        <v>0</v>
      </c>
      <c r="P23" s="85">
        <f>SUM(P12,P22)</f>
        <v>53974.47</v>
      </c>
    </row>
    <row r="24" spans="2:16">
      <c r="B24" s="108"/>
      <c r="C24" s="109" t="s">
        <v>52</v>
      </c>
      <c r="D24" s="110">
        <f>D3-D12-D22</f>
        <v>194.82999999999993</v>
      </c>
      <c r="E24" s="110">
        <f>E3-E12-E22</f>
        <v>1452.6200000000003</v>
      </c>
      <c r="F24" s="110">
        <f>F3-F12-F22</f>
        <v>7024.8099999999995</v>
      </c>
      <c r="G24" s="110">
        <f t="shared" ref="G24:O24" si="6">G3-G12-G22</f>
        <v>2759.4399999999987</v>
      </c>
      <c r="H24" s="110">
        <f t="shared" si="6"/>
        <v>390.96000000000004</v>
      </c>
      <c r="I24" s="110">
        <f t="shared" si="6"/>
        <v>-149.10999999999967</v>
      </c>
      <c r="J24" s="110">
        <f t="shared" si="6"/>
        <v>0</v>
      </c>
      <c r="K24" s="110">
        <f t="shared" si="6"/>
        <v>0</v>
      </c>
      <c r="L24" s="110">
        <f t="shared" si="6"/>
        <v>0</v>
      </c>
      <c r="M24" s="110">
        <f t="shared" si="6"/>
        <v>0</v>
      </c>
      <c r="N24" s="110">
        <f t="shared" si="6"/>
        <v>0</v>
      </c>
      <c r="O24" s="110">
        <f t="shared" si="6"/>
        <v>0</v>
      </c>
      <c r="P24" s="111">
        <f>SUM(D24:O24)</f>
        <v>11673.55</v>
      </c>
    </row>
    <row r="25" spans="2:16">
      <c r="C25" s="3" t="s">
        <v>53</v>
      </c>
      <c r="D25" s="4">
        <v>141.66999999999999</v>
      </c>
      <c r="E25" s="4">
        <v>141.66999999999999</v>
      </c>
      <c r="F25" s="4">
        <v>141.66999999999999</v>
      </c>
      <c r="G25" s="4">
        <v>141.66999999999999</v>
      </c>
      <c r="H25" s="4">
        <v>141.66999999999999</v>
      </c>
      <c r="I25" s="4">
        <v>141.66999999999999</v>
      </c>
      <c r="J25" s="4"/>
      <c r="K25" s="4"/>
      <c r="L25" s="4"/>
      <c r="M25" s="4"/>
      <c r="N25" s="4"/>
      <c r="O25" s="4"/>
      <c r="P25" s="1">
        <f>SUM(D25:O25)</f>
        <v>850.01999999999987</v>
      </c>
    </row>
    <row r="26" spans="2:16">
      <c r="B26" s="112"/>
      <c r="C26" s="113" t="s">
        <v>54</v>
      </c>
      <c r="D26" s="114">
        <f>D24-D25</f>
        <v>53.15999999999994</v>
      </c>
      <c r="E26" s="114">
        <f t="shared" ref="E26:P26" si="7">E24-E25</f>
        <v>1310.9500000000003</v>
      </c>
      <c r="F26" s="114">
        <f t="shared" si="7"/>
        <v>6883.1399999999994</v>
      </c>
      <c r="G26" s="114">
        <f t="shared" si="7"/>
        <v>2617.7699999999986</v>
      </c>
      <c r="H26" s="114">
        <f t="shared" si="7"/>
        <v>249.29000000000005</v>
      </c>
      <c r="I26" s="114">
        <f t="shared" si="7"/>
        <v>-290.77999999999963</v>
      </c>
      <c r="J26" s="114">
        <f t="shared" si="7"/>
        <v>0</v>
      </c>
      <c r="K26" s="114">
        <f t="shared" si="7"/>
        <v>0</v>
      </c>
      <c r="L26" s="114">
        <f t="shared" si="7"/>
        <v>0</v>
      </c>
      <c r="M26" s="114">
        <f t="shared" si="7"/>
        <v>0</v>
      </c>
      <c r="N26" s="114">
        <f t="shared" si="7"/>
        <v>0</v>
      </c>
      <c r="O26" s="114">
        <f t="shared" si="7"/>
        <v>0</v>
      </c>
      <c r="P26" s="114">
        <f t="shared" si="7"/>
        <v>10823.529999999999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>
      <c r="B28" s="21"/>
      <c r="C28" s="21" t="s">
        <v>69</v>
      </c>
      <c r="D28" s="26">
        <f>D26/D3</f>
        <v>6.5026727501804179E-3</v>
      </c>
      <c r="E28" s="26">
        <f t="shared" ref="E28:P28" si="8">E26/E3</f>
        <v>0.14549395472312923</v>
      </c>
      <c r="F28" s="26">
        <f t="shared" si="8"/>
        <v>0.39578997969626623</v>
      </c>
      <c r="G28" s="26">
        <f t="shared" si="8"/>
        <v>0.20568876037668385</v>
      </c>
      <c r="H28" s="26">
        <f t="shared" si="8"/>
        <v>2.7153347958025542E-2</v>
      </c>
      <c r="I28" s="26">
        <f t="shared" si="8"/>
        <v>-3.1730616039685598E-2</v>
      </c>
      <c r="J28" s="26" t="e">
        <f t="shared" si="8"/>
        <v>#DIV/0!</v>
      </c>
      <c r="K28" s="26" t="e">
        <f t="shared" si="8"/>
        <v>#DIV/0!</v>
      </c>
      <c r="L28" s="26" t="e">
        <f t="shared" si="8"/>
        <v>#DIV/0!</v>
      </c>
      <c r="M28" s="26" t="e">
        <f t="shared" si="8"/>
        <v>#DIV/0!</v>
      </c>
      <c r="N28" s="26" t="e">
        <f t="shared" si="8"/>
        <v>#DIV/0!</v>
      </c>
      <c r="O28" s="26" t="e">
        <f t="shared" si="8"/>
        <v>#DIV/0!</v>
      </c>
      <c r="P28" s="26">
        <f t="shared" si="8"/>
        <v>0.16487214694365493</v>
      </c>
    </row>
    <row r="29" spans="2:16" ht="137.25">
      <c r="C29" t="s">
        <v>70</v>
      </c>
      <c r="D29" s="93" t="s">
        <v>71</v>
      </c>
      <c r="E29" s="93" t="s">
        <v>71</v>
      </c>
      <c r="F29" s="93" t="s">
        <v>72</v>
      </c>
      <c r="G29" s="93" t="s">
        <v>73</v>
      </c>
      <c r="H29" s="93" t="s">
        <v>74</v>
      </c>
      <c r="I29" s="93" t="s">
        <v>74</v>
      </c>
      <c r="J29" s="1"/>
      <c r="K29" s="1"/>
      <c r="L29" s="93"/>
      <c r="M29" s="1"/>
      <c r="N29" s="1"/>
      <c r="O29" s="1"/>
    </row>
    <row r="31" spans="2:16">
      <c r="D31" s="1"/>
      <c r="E31" s="1"/>
      <c r="F31" s="1"/>
      <c r="G31" s="1"/>
      <c r="H31" s="1"/>
      <c r="I31" s="1"/>
      <c r="J31" s="1"/>
      <c r="K31" s="1"/>
      <c r="L31" s="1"/>
    </row>
    <row r="43" spans="4:9">
      <c r="D43" s="1"/>
      <c r="E43" s="1"/>
      <c r="F43" s="1"/>
      <c r="G43" s="1"/>
      <c r="H43" s="1"/>
      <c r="I43" s="1"/>
    </row>
  </sheetData>
  <mergeCells count="2">
    <mergeCell ref="B14:B20"/>
    <mergeCell ref="B4:B11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2A91-EC56-4B7B-B09F-A5C35129C3B3}">
  <sheetPr>
    <tabColor rgb="FF7030A0"/>
  </sheetPr>
  <dimension ref="B1:Q45"/>
  <sheetViews>
    <sheetView zoomScale="67" zoomScaleNormal="115" workbookViewId="0"/>
  </sheetViews>
  <sheetFormatPr defaultRowHeight="14.25"/>
  <cols>
    <col min="1" max="1" width="3.7109375" customWidth="1"/>
    <col min="2" max="2" width="11.140625" customWidth="1"/>
    <col min="3" max="3" width="20.85546875" customWidth="1"/>
    <col min="4" max="6" width="15.7109375" bestFit="1" customWidth="1"/>
    <col min="7" max="8" width="11.5703125" bestFit="1" customWidth="1"/>
    <col min="9" max="9" width="12.7109375" bestFit="1" customWidth="1"/>
    <col min="10" max="13" width="11.5703125" bestFit="1" customWidth="1"/>
    <col min="14" max="14" width="11.28515625" bestFit="1" customWidth="1"/>
    <col min="15" max="15" width="11.85546875" bestFit="1" customWidth="1"/>
    <col min="16" max="16" width="16.7109375" bestFit="1" customWidth="1"/>
  </cols>
  <sheetData>
    <row r="1" spans="2:17">
      <c r="B1" t="s">
        <v>75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87">
        <v>4650.92</v>
      </c>
      <c r="E3" s="87">
        <v>5570.84</v>
      </c>
      <c r="F3" s="87">
        <v>10266.02</v>
      </c>
      <c r="G3" s="87">
        <v>6067.29</v>
      </c>
      <c r="H3" s="87">
        <v>4179.24</v>
      </c>
      <c r="I3" s="87">
        <v>4777.95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f t="shared" ref="P3:P20" si="0">SUM(D3:O3)</f>
        <v>35512.259999999995</v>
      </c>
    </row>
    <row r="4" spans="2:17" ht="15" customHeight="1">
      <c r="B4" s="115" t="s">
        <v>30</v>
      </c>
      <c r="C4" t="s">
        <v>31</v>
      </c>
      <c r="D4" s="1">
        <v>150</v>
      </c>
      <c r="E4" s="1">
        <v>100</v>
      </c>
      <c r="F4" s="1">
        <v>0</v>
      </c>
      <c r="G4" s="1">
        <v>100</v>
      </c>
      <c r="H4" s="1">
        <v>100</v>
      </c>
      <c r="I4" s="1">
        <v>100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 t="shared" si="0"/>
        <v>550</v>
      </c>
    </row>
    <row r="5" spans="2:17">
      <c r="B5" s="115"/>
      <c r="C5" t="s">
        <v>32</v>
      </c>
      <c r="D5" s="1">
        <v>100</v>
      </c>
      <c r="E5" s="1">
        <v>80</v>
      </c>
      <c r="F5" s="1">
        <v>80</v>
      </c>
      <c r="G5" s="1">
        <v>80</v>
      </c>
      <c r="H5" s="1">
        <v>100</v>
      </c>
      <c r="I5" s="1">
        <v>50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 t="shared" si="0"/>
        <v>490</v>
      </c>
    </row>
    <row r="6" spans="2:17">
      <c r="B6" s="115"/>
      <c r="C6" t="s">
        <v>33</v>
      </c>
      <c r="D6" s="1">
        <v>407</v>
      </c>
      <c r="E6" s="1">
        <v>149.5</v>
      </c>
      <c r="F6" s="1">
        <v>606.29999999999995</v>
      </c>
      <c r="G6" s="1">
        <v>405.9</v>
      </c>
      <c r="H6" s="1">
        <v>245.4</v>
      </c>
      <c r="I6" s="1">
        <v>304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 t="shared" si="0"/>
        <v>2118.1</v>
      </c>
    </row>
    <row r="7" spans="2:17">
      <c r="B7" s="115"/>
      <c r="C7" t="s">
        <v>34</v>
      </c>
      <c r="D7" s="1">
        <v>833.93</v>
      </c>
      <c r="E7" s="1">
        <v>221.12</v>
      </c>
      <c r="F7" s="1">
        <v>345.19</v>
      </c>
      <c r="G7" s="1">
        <v>1060.1300000000001</v>
      </c>
      <c r="H7" s="1">
        <v>1085.22</v>
      </c>
      <c r="I7" s="1">
        <v>1621.43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 t="shared" si="0"/>
        <v>5167.0200000000004</v>
      </c>
    </row>
    <row r="8" spans="2:17">
      <c r="B8" s="115"/>
      <c r="C8" t="s">
        <v>35</v>
      </c>
      <c r="D8" s="1">
        <v>1041</v>
      </c>
      <c r="E8" s="1">
        <v>1487</v>
      </c>
      <c r="F8" s="1">
        <v>1652</v>
      </c>
      <c r="G8" s="1">
        <v>1223</v>
      </c>
      <c r="H8" s="1">
        <v>1215</v>
      </c>
      <c r="I8" s="1">
        <v>511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 t="shared" si="0"/>
        <v>7129</v>
      </c>
    </row>
    <row r="9" spans="2:17">
      <c r="B9" s="115"/>
      <c r="C9" t="s">
        <v>36</v>
      </c>
      <c r="D9" s="1">
        <v>20</v>
      </c>
      <c r="E9" s="1">
        <v>0</v>
      </c>
      <c r="F9" s="1">
        <v>930</v>
      </c>
      <c r="G9" s="1">
        <v>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</row>
    <row r="10" spans="2:17">
      <c r="B10" s="115"/>
      <c r="C10" t="s">
        <v>37</v>
      </c>
      <c r="D10" s="1">
        <v>0</v>
      </c>
      <c r="E10" s="1">
        <v>89</v>
      </c>
      <c r="F10" s="1">
        <v>13</v>
      </c>
      <c r="G10" s="1">
        <f>4</f>
        <v>4</v>
      </c>
      <c r="H10" s="1">
        <v>10.48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</row>
    <row r="11" spans="2:17">
      <c r="B11" s="115"/>
      <c r="C11" t="s">
        <v>38</v>
      </c>
      <c r="D11" s="1">
        <v>0</v>
      </c>
      <c r="E11" s="1">
        <v>694.4</v>
      </c>
      <c r="F11" s="1">
        <v>160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</row>
    <row r="12" spans="2:17">
      <c r="B12" s="23"/>
      <c r="C12" s="21" t="s">
        <v>39</v>
      </c>
      <c r="D12" s="22">
        <f>SUM(D4:D11)</f>
        <v>2551.9299999999998</v>
      </c>
      <c r="E12" s="22">
        <f t="shared" ref="E12:O12" si="1">SUM(E4:E11)</f>
        <v>2821.02</v>
      </c>
      <c r="F12" s="22">
        <f t="shared" si="1"/>
        <v>3786.49</v>
      </c>
      <c r="G12" s="22">
        <f t="shared" si="1"/>
        <v>2878.03</v>
      </c>
      <c r="H12" s="22">
        <f t="shared" si="1"/>
        <v>2756.1</v>
      </c>
      <c r="I12" s="22">
        <f t="shared" si="1"/>
        <v>2586.4300000000003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0"/>
        <v>17380</v>
      </c>
    </row>
    <row r="13" spans="2:17">
      <c r="B13" s="105"/>
      <c r="C13" s="106" t="s">
        <v>40</v>
      </c>
      <c r="D13" s="107">
        <f>D3-D12</f>
        <v>2098.9900000000002</v>
      </c>
      <c r="E13" s="107">
        <f t="shared" ref="E13:O13" si="2">E3-E12</f>
        <v>2749.82</v>
      </c>
      <c r="F13" s="107">
        <f t="shared" si="2"/>
        <v>6479.5300000000007</v>
      </c>
      <c r="G13" s="107">
        <f t="shared" si="2"/>
        <v>3189.2599999999998</v>
      </c>
      <c r="H13" s="107">
        <f t="shared" si="2"/>
        <v>1423.1399999999999</v>
      </c>
      <c r="I13" s="107">
        <f t="shared" si="2"/>
        <v>2191.5199999999995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18132.259999999998</v>
      </c>
    </row>
    <row r="14" spans="2:17">
      <c r="B14" s="116" t="s">
        <v>41</v>
      </c>
      <c r="C14" t="s">
        <v>42</v>
      </c>
      <c r="D14" s="1">
        <v>2200</v>
      </c>
      <c r="E14" s="1">
        <v>2200</v>
      </c>
      <c r="F14" s="1">
        <v>2200</v>
      </c>
      <c r="G14" s="1">
        <v>2200</v>
      </c>
      <c r="H14" s="1">
        <v>2200</v>
      </c>
      <c r="I14" s="1">
        <v>2200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 t="shared" si="0"/>
        <v>13200</v>
      </c>
    </row>
    <row r="15" spans="2:17">
      <c r="B15" s="116"/>
      <c r="C15" t="s">
        <v>43</v>
      </c>
      <c r="D15" s="1">
        <v>30</v>
      </c>
      <c r="E15" s="1">
        <v>30</v>
      </c>
      <c r="F15" s="1">
        <v>30</v>
      </c>
      <c r="G15" s="1">
        <v>30</v>
      </c>
      <c r="H15" s="1">
        <v>30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 t="shared" si="0"/>
        <v>150</v>
      </c>
      <c r="Q15" s="1"/>
    </row>
    <row r="16" spans="2:17">
      <c r="B16" s="116"/>
      <c r="C16" t="s">
        <v>44</v>
      </c>
      <c r="D16" s="1">
        <v>0</v>
      </c>
      <c r="E16" s="1">
        <v>38</v>
      </c>
      <c r="F16" s="1">
        <v>86</v>
      </c>
      <c r="G16" s="1">
        <v>33</v>
      </c>
      <c r="H16" s="1">
        <v>38</v>
      </c>
      <c r="I16" s="1">
        <v>43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 t="shared" si="0"/>
        <v>238</v>
      </c>
      <c r="Q16" s="1"/>
    </row>
    <row r="17" spans="2:16">
      <c r="B17" s="116"/>
      <c r="C17" t="s">
        <v>45</v>
      </c>
      <c r="D17" s="1">
        <v>57.59</v>
      </c>
      <c r="E17" s="1">
        <v>57.59</v>
      </c>
      <c r="F17" s="1">
        <v>57.59</v>
      </c>
      <c r="G17" s="1">
        <f>57.59*2</f>
        <v>115.18</v>
      </c>
      <c r="H17" s="1">
        <v>115.18</v>
      </c>
      <c r="I17" s="1">
        <v>115.18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 t="shared" si="0"/>
        <v>518.31000000000006</v>
      </c>
    </row>
    <row r="18" spans="2:16">
      <c r="B18" s="116"/>
      <c r="C18" t="s">
        <v>46</v>
      </c>
      <c r="D18" s="1">
        <v>55</v>
      </c>
      <c r="E18" s="1">
        <v>55</v>
      </c>
      <c r="F18" s="1">
        <v>55</v>
      </c>
      <c r="G18" s="1">
        <f>278.05/5</f>
        <v>55.61</v>
      </c>
      <c r="H18" s="1">
        <v>54.37</v>
      </c>
      <c r="I18" s="1">
        <v>56.41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 t="shared" si="0"/>
        <v>331.39</v>
      </c>
    </row>
    <row r="19" spans="2:16">
      <c r="B19" s="116"/>
      <c r="C19" t="s">
        <v>47</v>
      </c>
      <c r="D19" s="1">
        <v>0</v>
      </c>
      <c r="E19" s="1">
        <v>8.99</v>
      </c>
      <c r="F19" s="1">
        <v>33</v>
      </c>
      <c r="G19" s="1">
        <v>11.99</v>
      </c>
      <c r="H19" s="1">
        <v>16.7</v>
      </c>
      <c r="I19" s="1">
        <v>34.299999999999997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 t="shared" si="0"/>
        <v>104.98</v>
      </c>
    </row>
    <row r="20" spans="2:16">
      <c r="B20" s="116"/>
      <c r="C20" t="s">
        <v>48</v>
      </c>
      <c r="D20" s="1">
        <v>0</v>
      </c>
      <c r="E20" s="1">
        <v>0</v>
      </c>
      <c r="F20" s="1">
        <v>96.68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 t="shared" si="0"/>
        <v>96.68</v>
      </c>
    </row>
    <row r="21" spans="2:16">
      <c r="B21" s="89"/>
      <c r="C21" t="s">
        <v>49</v>
      </c>
      <c r="D21" s="1">
        <v>250</v>
      </c>
      <c r="E21" s="1">
        <v>250</v>
      </c>
      <c r="F21" s="1">
        <v>250</v>
      </c>
      <c r="G21" s="1">
        <v>250</v>
      </c>
      <c r="H21" s="1">
        <v>250</v>
      </c>
      <c r="I21" s="1">
        <v>250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ref="P21" si="3">SUM(D21:O21)</f>
        <v>1500</v>
      </c>
    </row>
    <row r="22" spans="2:16">
      <c r="B22" s="21"/>
      <c r="C22" s="21" t="s">
        <v>50</v>
      </c>
      <c r="D22" s="22">
        <f>SUM(D14:D21)</f>
        <v>2592.59</v>
      </c>
      <c r="E22" s="22">
        <f t="shared" ref="E22:O22" si="4">SUM(E14:E21)</f>
        <v>2639.58</v>
      </c>
      <c r="F22" s="22">
        <f t="shared" si="4"/>
        <v>2808.27</v>
      </c>
      <c r="G22" s="22">
        <f t="shared" si="4"/>
        <v>2695.7799999999997</v>
      </c>
      <c r="H22" s="22">
        <f t="shared" si="4"/>
        <v>2704.2499999999995</v>
      </c>
      <c r="I22" s="22">
        <f t="shared" si="4"/>
        <v>2698.89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>SUM(D22:O22)</f>
        <v>16139.36</v>
      </c>
    </row>
    <row r="23" spans="2:16">
      <c r="B23" s="83"/>
      <c r="C23" s="84" t="s">
        <v>51</v>
      </c>
      <c r="D23" s="85">
        <f t="shared" ref="D23:P23" si="5">SUM(D12,D22)</f>
        <v>5144.5200000000004</v>
      </c>
      <c r="E23" s="85">
        <f t="shared" si="5"/>
        <v>5460.6</v>
      </c>
      <c r="F23" s="85">
        <f t="shared" si="5"/>
        <v>6594.76</v>
      </c>
      <c r="G23" s="85">
        <f t="shared" si="5"/>
        <v>5573.8099999999995</v>
      </c>
      <c r="H23" s="85">
        <f t="shared" si="5"/>
        <v>5460.3499999999995</v>
      </c>
      <c r="I23" s="85">
        <f t="shared" si="5"/>
        <v>5285.32</v>
      </c>
      <c r="J23" s="85">
        <f t="shared" si="5"/>
        <v>0</v>
      </c>
      <c r="K23" s="85">
        <f t="shared" si="5"/>
        <v>0</v>
      </c>
      <c r="L23" s="85">
        <f t="shared" si="5"/>
        <v>0</v>
      </c>
      <c r="M23" s="85">
        <f t="shared" si="5"/>
        <v>0</v>
      </c>
      <c r="N23" s="85">
        <f t="shared" si="5"/>
        <v>0</v>
      </c>
      <c r="O23" s="85">
        <f t="shared" si="5"/>
        <v>0</v>
      </c>
      <c r="P23" s="85">
        <f t="shared" si="5"/>
        <v>33519.360000000001</v>
      </c>
    </row>
    <row r="24" spans="2:16">
      <c r="B24" s="108"/>
      <c r="C24" s="109" t="s">
        <v>52</v>
      </c>
      <c r="D24" s="110">
        <f>D3-D12-D22</f>
        <v>-493.59999999999991</v>
      </c>
      <c r="E24" s="110">
        <f>E3-E12-E22</f>
        <v>110.24000000000024</v>
      </c>
      <c r="F24" s="110">
        <f>F3-F12-F22</f>
        <v>3671.2600000000007</v>
      </c>
      <c r="G24" s="110">
        <f t="shared" ref="G24:O24" si="6">G3-G12-G22</f>
        <v>493.48</v>
      </c>
      <c r="H24" s="110">
        <f t="shared" si="6"/>
        <v>-1281.1099999999997</v>
      </c>
      <c r="I24" s="110">
        <f t="shared" si="6"/>
        <v>-507.37000000000035</v>
      </c>
      <c r="J24" s="110">
        <f t="shared" si="6"/>
        <v>0</v>
      </c>
      <c r="K24" s="110">
        <f t="shared" si="6"/>
        <v>0</v>
      </c>
      <c r="L24" s="110">
        <f t="shared" si="6"/>
        <v>0</v>
      </c>
      <c r="M24" s="110">
        <f t="shared" si="6"/>
        <v>0</v>
      </c>
      <c r="N24" s="110">
        <f t="shared" si="6"/>
        <v>0</v>
      </c>
      <c r="O24" s="110">
        <f t="shared" si="6"/>
        <v>0</v>
      </c>
      <c r="P24" s="111">
        <f>SUM(D24:O24)</f>
        <v>1992.900000000001</v>
      </c>
    </row>
    <row r="25" spans="2:16">
      <c r="C25" s="3" t="s">
        <v>53</v>
      </c>
      <c r="D25" s="4">
        <v>141.66999999999999</v>
      </c>
      <c r="E25" s="4">
        <v>141.66999999999999</v>
      </c>
      <c r="F25" s="4">
        <v>141.66999999999999</v>
      </c>
      <c r="G25" s="4">
        <v>141.66999999999999</v>
      </c>
      <c r="H25" s="4">
        <v>141.66999999999999</v>
      </c>
      <c r="I25" s="4">
        <v>141.66999999999999</v>
      </c>
      <c r="J25" s="4"/>
      <c r="K25" s="4"/>
      <c r="L25" s="4"/>
      <c r="M25" s="4"/>
      <c r="N25" s="4"/>
      <c r="O25" s="4"/>
      <c r="P25" s="1">
        <f>SUM(D25:O25)</f>
        <v>850.01999999999987</v>
      </c>
    </row>
    <row r="26" spans="2:16">
      <c r="B26" s="112"/>
      <c r="C26" s="113" t="s">
        <v>54</v>
      </c>
      <c r="D26" s="114">
        <f>D24-D25</f>
        <v>-635.26999999999987</v>
      </c>
      <c r="E26" s="114">
        <f t="shared" ref="E26:P26" si="7">E24-E25</f>
        <v>-31.429999999999751</v>
      </c>
      <c r="F26" s="114">
        <f t="shared" si="7"/>
        <v>3529.5900000000006</v>
      </c>
      <c r="G26" s="114">
        <f t="shared" si="7"/>
        <v>351.81000000000006</v>
      </c>
      <c r="H26" s="114">
        <f t="shared" si="7"/>
        <v>-1422.7799999999997</v>
      </c>
      <c r="I26" s="114">
        <f t="shared" si="7"/>
        <v>-649.0400000000003</v>
      </c>
      <c r="J26" s="114">
        <f t="shared" si="7"/>
        <v>0</v>
      </c>
      <c r="K26" s="114">
        <f t="shared" si="7"/>
        <v>0</v>
      </c>
      <c r="L26" s="114">
        <f t="shared" si="7"/>
        <v>0</v>
      </c>
      <c r="M26" s="114">
        <f t="shared" si="7"/>
        <v>0</v>
      </c>
      <c r="N26" s="114">
        <f t="shared" si="7"/>
        <v>0</v>
      </c>
      <c r="O26" s="114">
        <f t="shared" si="7"/>
        <v>0</v>
      </c>
      <c r="P26" s="114">
        <f t="shared" si="7"/>
        <v>1142.880000000001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>
      <c r="B28" s="21"/>
      <c r="C28" s="21" t="s">
        <v>69</v>
      </c>
      <c r="D28" s="26">
        <f>D26/D3</f>
        <v>-0.13659018000739637</v>
      </c>
      <c r="E28" s="26">
        <f t="shared" ref="E28:P28" si="8">E26/E3</f>
        <v>-5.6418780650673416E-3</v>
      </c>
      <c r="F28" s="26">
        <f t="shared" si="8"/>
        <v>0.34381288951317068</v>
      </c>
      <c r="G28" s="26">
        <f t="shared" si="8"/>
        <v>5.7984701571871473E-2</v>
      </c>
      <c r="H28" s="26">
        <f t="shared" si="8"/>
        <v>-0.34043988859218416</v>
      </c>
      <c r="I28" s="26">
        <f t="shared" si="8"/>
        <v>-0.13584068481252426</v>
      </c>
      <c r="J28" s="26" t="e">
        <f t="shared" si="8"/>
        <v>#DIV/0!</v>
      </c>
      <c r="K28" s="26" t="e">
        <f t="shared" si="8"/>
        <v>#DIV/0!</v>
      </c>
      <c r="L28" s="26" t="e">
        <f t="shared" si="8"/>
        <v>#DIV/0!</v>
      </c>
      <c r="M28" s="26" t="e">
        <f t="shared" si="8"/>
        <v>#DIV/0!</v>
      </c>
      <c r="N28" s="26" t="e">
        <f t="shared" si="8"/>
        <v>#DIV/0!</v>
      </c>
      <c r="O28" s="26" t="e">
        <f t="shared" si="8"/>
        <v>#DIV/0!</v>
      </c>
      <c r="P28" s="26">
        <f t="shared" si="8"/>
        <v>3.2182688457451064E-2</v>
      </c>
    </row>
    <row r="29" spans="2:16" ht="99.75">
      <c r="C29" t="s">
        <v>70</v>
      </c>
      <c r="D29" s="93" t="s">
        <v>71</v>
      </c>
      <c r="E29" s="93" t="s">
        <v>71</v>
      </c>
      <c r="F29" s="93" t="s">
        <v>72</v>
      </c>
      <c r="G29" s="1"/>
      <c r="H29" s="1"/>
      <c r="I29" s="1"/>
      <c r="J29" s="1"/>
      <c r="K29" s="1"/>
      <c r="L29" s="93"/>
      <c r="M29" s="1"/>
      <c r="N29" s="1"/>
      <c r="O29" s="1"/>
    </row>
    <row r="30" spans="2:16"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  <c r="O30" s="1"/>
    </row>
    <row r="31" spans="2:16"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  <c r="O31" s="1"/>
    </row>
    <row r="33" spans="4:12">
      <c r="D33" s="1"/>
      <c r="E33" s="1"/>
      <c r="F33" s="1"/>
      <c r="G33" s="1"/>
      <c r="H33" s="1"/>
      <c r="I33" s="1"/>
      <c r="J33" s="1"/>
      <c r="K33" s="1"/>
      <c r="L33" s="1"/>
    </row>
    <row r="45" spans="4:12">
      <c r="D45" s="1"/>
      <c r="E45" s="1"/>
      <c r="F45" s="1"/>
      <c r="G45" s="1"/>
      <c r="H45" s="1"/>
      <c r="I45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E157-63C6-4F01-994F-420A55CAFE36}">
  <sheetPr>
    <tabColor rgb="FF7030A0"/>
  </sheetPr>
  <dimension ref="B1:Q45"/>
  <sheetViews>
    <sheetView zoomScale="67" zoomScaleNormal="115" workbookViewId="0">
      <selection activeCell="G3" sqref="G3"/>
    </sheetView>
  </sheetViews>
  <sheetFormatPr defaultRowHeight="14.25"/>
  <cols>
    <col min="1" max="1" width="3.7109375" customWidth="1"/>
    <col min="2" max="2" width="11.140625" customWidth="1"/>
    <col min="3" max="3" width="20.85546875" customWidth="1"/>
    <col min="4" max="6" width="15.7109375" bestFit="1" customWidth="1"/>
    <col min="7" max="8" width="11.5703125" bestFit="1" customWidth="1"/>
    <col min="9" max="9" width="12.7109375" bestFit="1" customWidth="1"/>
    <col min="10" max="13" width="11.5703125" bestFit="1" customWidth="1"/>
    <col min="14" max="14" width="11.28515625" bestFit="1" customWidth="1"/>
    <col min="15" max="15" width="11.85546875" bestFit="1" customWidth="1"/>
    <col min="16" max="16" width="16.7109375" bestFit="1" customWidth="1"/>
  </cols>
  <sheetData>
    <row r="1" spans="2:17">
      <c r="B1" t="s">
        <v>76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96">
        <v>5047.04</v>
      </c>
      <c r="E3" s="96">
        <v>5153.58</v>
      </c>
      <c r="F3" s="96">
        <v>10649.57</v>
      </c>
      <c r="G3" s="96">
        <v>7222.28</v>
      </c>
      <c r="H3" s="96">
        <v>5128.01</v>
      </c>
      <c r="I3" s="96">
        <v>5819.72</v>
      </c>
      <c r="J3" s="96">
        <v>0</v>
      </c>
      <c r="K3" s="96">
        <v>0</v>
      </c>
      <c r="L3" s="96">
        <v>0</v>
      </c>
      <c r="M3" s="96">
        <v>0</v>
      </c>
      <c r="N3" s="96">
        <v>0</v>
      </c>
      <c r="O3" s="96">
        <v>0</v>
      </c>
      <c r="P3" s="87">
        <f t="shared" ref="P3:P21" si="0">SUM(D3:O3)</f>
        <v>39020.199999999997</v>
      </c>
    </row>
    <row r="4" spans="2:17" ht="15" customHeight="1">
      <c r="B4" s="115" t="s">
        <v>30</v>
      </c>
      <c r="C4" t="s">
        <v>31</v>
      </c>
      <c r="D4" s="95">
        <v>100</v>
      </c>
      <c r="E4" s="95">
        <v>80</v>
      </c>
      <c r="F4" s="95">
        <v>114</v>
      </c>
      <c r="G4" s="95">
        <v>100</v>
      </c>
      <c r="H4" s="95">
        <v>100</v>
      </c>
      <c r="I4" s="95">
        <v>50</v>
      </c>
      <c r="J4" s="95">
        <v>0</v>
      </c>
      <c r="K4" s="95">
        <v>0</v>
      </c>
      <c r="L4" s="95">
        <v>0</v>
      </c>
      <c r="M4" s="95">
        <v>0</v>
      </c>
      <c r="N4" s="95">
        <v>0</v>
      </c>
      <c r="O4" s="95">
        <v>0</v>
      </c>
      <c r="P4" s="1">
        <f t="shared" si="0"/>
        <v>544</v>
      </c>
    </row>
    <row r="5" spans="2:17">
      <c r="B5" s="115"/>
      <c r="C5" t="s">
        <v>32</v>
      </c>
      <c r="D5" s="95">
        <v>100</v>
      </c>
      <c r="E5" s="95">
        <v>110</v>
      </c>
      <c r="F5" s="95">
        <v>90</v>
      </c>
      <c r="G5" s="95">
        <v>100</v>
      </c>
      <c r="H5" s="95">
        <v>100</v>
      </c>
      <c r="I5" s="95">
        <v>100</v>
      </c>
      <c r="J5" s="95">
        <v>0</v>
      </c>
      <c r="K5" s="95">
        <v>0</v>
      </c>
      <c r="L5" s="95">
        <v>0</v>
      </c>
      <c r="M5" s="95">
        <v>0</v>
      </c>
      <c r="N5" s="95">
        <v>0</v>
      </c>
      <c r="O5" s="95">
        <v>0</v>
      </c>
      <c r="P5" s="1">
        <f t="shared" si="0"/>
        <v>600</v>
      </c>
    </row>
    <row r="6" spans="2:17">
      <c r="B6" s="115"/>
      <c r="C6" t="s">
        <v>33</v>
      </c>
      <c r="D6" s="95">
        <v>429</v>
      </c>
      <c r="E6" s="95">
        <v>179.4</v>
      </c>
      <c r="F6" s="95">
        <v>559</v>
      </c>
      <c r="G6" s="95">
        <v>403</v>
      </c>
      <c r="H6" s="95">
        <v>201.4</v>
      </c>
      <c r="I6" s="95">
        <v>304</v>
      </c>
      <c r="J6" s="95">
        <v>0</v>
      </c>
      <c r="K6" s="95">
        <v>0</v>
      </c>
      <c r="L6" s="95">
        <v>0</v>
      </c>
      <c r="M6" s="95">
        <v>0</v>
      </c>
      <c r="N6" s="95">
        <v>0</v>
      </c>
      <c r="O6" s="95">
        <v>0</v>
      </c>
      <c r="P6" s="1">
        <f t="shared" si="0"/>
        <v>2075.8000000000002</v>
      </c>
    </row>
    <row r="7" spans="2:17">
      <c r="B7" s="115"/>
      <c r="C7" t="s">
        <v>34</v>
      </c>
      <c r="D7" s="95">
        <v>1795.53</v>
      </c>
      <c r="E7" s="95">
        <v>1683.61</v>
      </c>
      <c r="F7" s="95">
        <v>1827.44</v>
      </c>
      <c r="G7" s="95">
        <v>1966.56</v>
      </c>
      <c r="H7" s="95">
        <v>2064.96</v>
      </c>
      <c r="I7" s="95">
        <v>2094.75</v>
      </c>
      <c r="J7" s="95">
        <v>0</v>
      </c>
      <c r="K7" s="95">
        <v>0</v>
      </c>
      <c r="L7" s="95">
        <v>0</v>
      </c>
      <c r="M7" s="95">
        <v>0</v>
      </c>
      <c r="N7" s="95">
        <v>0</v>
      </c>
      <c r="O7" s="95">
        <v>0</v>
      </c>
      <c r="P7" s="1">
        <f t="shared" si="0"/>
        <v>11432.849999999999</v>
      </c>
    </row>
    <row r="8" spans="2:17">
      <c r="B8" s="115"/>
      <c r="C8" t="s">
        <v>35</v>
      </c>
      <c r="D8" s="95">
        <v>0</v>
      </c>
      <c r="E8" s="95">
        <v>0</v>
      </c>
      <c r="F8" s="95">
        <v>189</v>
      </c>
      <c r="G8" s="95">
        <v>79</v>
      </c>
      <c r="H8" s="95">
        <v>0</v>
      </c>
      <c r="I8" s="95">
        <v>0</v>
      </c>
      <c r="J8" s="95">
        <v>0</v>
      </c>
      <c r="K8" s="95">
        <v>0</v>
      </c>
      <c r="L8" s="95">
        <v>0</v>
      </c>
      <c r="M8" s="95">
        <v>0</v>
      </c>
      <c r="N8" s="95">
        <v>0</v>
      </c>
      <c r="O8" s="95">
        <v>0</v>
      </c>
      <c r="P8" s="1">
        <f t="shared" si="0"/>
        <v>268</v>
      </c>
    </row>
    <row r="9" spans="2:17">
      <c r="B9" s="115"/>
      <c r="C9" t="s">
        <v>36</v>
      </c>
      <c r="D9" s="95">
        <v>15</v>
      </c>
      <c r="E9" s="95">
        <v>0</v>
      </c>
      <c r="F9" s="99">
        <v>1258</v>
      </c>
      <c r="G9" s="95">
        <v>0</v>
      </c>
      <c r="H9" s="95">
        <v>0</v>
      </c>
      <c r="I9" s="95">
        <v>0</v>
      </c>
      <c r="J9" s="95">
        <v>0</v>
      </c>
      <c r="K9" s="95">
        <v>0</v>
      </c>
      <c r="L9" s="95">
        <v>0</v>
      </c>
      <c r="M9" s="95">
        <v>0</v>
      </c>
      <c r="N9" s="95">
        <v>0</v>
      </c>
      <c r="O9" s="95">
        <v>0</v>
      </c>
      <c r="P9" s="1"/>
    </row>
    <row r="10" spans="2:17">
      <c r="B10" s="115"/>
      <c r="C10" t="s">
        <v>37</v>
      </c>
      <c r="D10" s="95">
        <v>0</v>
      </c>
      <c r="E10" s="95">
        <v>0</v>
      </c>
      <c r="F10" s="95">
        <v>178</v>
      </c>
      <c r="G10" s="1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95">
        <v>0</v>
      </c>
      <c r="N10" s="95">
        <v>0</v>
      </c>
      <c r="O10" s="95">
        <v>0</v>
      </c>
      <c r="P10" s="1"/>
    </row>
    <row r="11" spans="2:17">
      <c r="B11" s="115"/>
      <c r="C11" t="s">
        <v>38</v>
      </c>
      <c r="D11" s="95"/>
      <c r="E11" s="95">
        <v>0</v>
      </c>
      <c r="F11" s="95">
        <v>18</v>
      </c>
      <c r="G11" s="95">
        <v>49</v>
      </c>
      <c r="H11" s="95">
        <v>2</v>
      </c>
      <c r="I11" s="95">
        <v>0</v>
      </c>
      <c r="J11" s="95">
        <v>0</v>
      </c>
      <c r="K11" s="95">
        <v>0</v>
      </c>
      <c r="L11" s="95">
        <v>0</v>
      </c>
      <c r="M11" s="95">
        <v>0</v>
      </c>
      <c r="N11" s="95">
        <v>0</v>
      </c>
      <c r="O11" s="95">
        <v>0</v>
      </c>
      <c r="P11" s="1"/>
    </row>
    <row r="12" spans="2:17">
      <c r="B12" s="23"/>
      <c r="C12" s="21" t="s">
        <v>39</v>
      </c>
      <c r="D12" s="97">
        <f>SUM(D4:D11)</f>
        <v>2439.5299999999997</v>
      </c>
      <c r="E12" s="97">
        <f t="shared" ref="E12:O12" si="1">SUM(E4:E11)</f>
        <v>2053.0099999999998</v>
      </c>
      <c r="F12" s="97">
        <f t="shared" si="1"/>
        <v>4233.4400000000005</v>
      </c>
      <c r="G12" s="97">
        <f t="shared" si="1"/>
        <v>2697.56</v>
      </c>
      <c r="H12" s="97">
        <f t="shared" si="1"/>
        <v>2468.36</v>
      </c>
      <c r="I12" s="97">
        <f t="shared" si="1"/>
        <v>2548.75</v>
      </c>
      <c r="J12" s="97">
        <f t="shared" si="1"/>
        <v>0</v>
      </c>
      <c r="K12" s="97">
        <f t="shared" si="1"/>
        <v>0</v>
      </c>
      <c r="L12" s="97">
        <f t="shared" si="1"/>
        <v>0</v>
      </c>
      <c r="M12" s="97">
        <f t="shared" si="1"/>
        <v>0</v>
      </c>
      <c r="N12" s="97">
        <f t="shared" si="1"/>
        <v>0</v>
      </c>
      <c r="O12" s="97">
        <f t="shared" si="1"/>
        <v>0</v>
      </c>
      <c r="P12" s="22">
        <f t="shared" si="0"/>
        <v>16440.650000000001</v>
      </c>
    </row>
    <row r="13" spans="2:17">
      <c r="B13" s="105"/>
      <c r="C13" s="106" t="s">
        <v>40</v>
      </c>
      <c r="D13" s="107">
        <f>D3-D12</f>
        <v>2607.5100000000002</v>
      </c>
      <c r="E13" s="107">
        <f t="shared" ref="E13:O13" si="2">E3-E12</f>
        <v>3100.57</v>
      </c>
      <c r="F13" s="107">
        <f t="shared" si="2"/>
        <v>6416.1299999999992</v>
      </c>
      <c r="G13" s="107">
        <f t="shared" si="2"/>
        <v>4524.7199999999993</v>
      </c>
      <c r="H13" s="107">
        <f t="shared" si="2"/>
        <v>2659.65</v>
      </c>
      <c r="I13" s="107">
        <f t="shared" si="2"/>
        <v>3270.9700000000003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22579.550000000003</v>
      </c>
    </row>
    <row r="14" spans="2:17">
      <c r="B14" s="116" t="s">
        <v>41</v>
      </c>
      <c r="C14" t="s">
        <v>42</v>
      </c>
      <c r="D14" s="95">
        <v>1000</v>
      </c>
      <c r="E14" s="95">
        <v>1000</v>
      </c>
      <c r="F14" s="95">
        <v>1000</v>
      </c>
      <c r="G14" s="95">
        <v>1000</v>
      </c>
      <c r="H14" s="95">
        <v>1000</v>
      </c>
      <c r="I14" s="95">
        <v>1000</v>
      </c>
      <c r="J14" s="95"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1">
        <f t="shared" si="0"/>
        <v>6000</v>
      </c>
    </row>
    <row r="15" spans="2:17">
      <c r="B15" s="116"/>
      <c r="C15" t="s">
        <v>43</v>
      </c>
      <c r="D15" s="95">
        <v>30</v>
      </c>
      <c r="E15" s="95">
        <v>30</v>
      </c>
      <c r="F15" s="95">
        <v>30</v>
      </c>
      <c r="G15" s="95">
        <v>30</v>
      </c>
      <c r="H15" s="95">
        <v>30</v>
      </c>
      <c r="I15" s="95">
        <v>0</v>
      </c>
      <c r="J15" s="95">
        <v>0</v>
      </c>
      <c r="K15" s="95">
        <v>0</v>
      </c>
      <c r="L15" s="95">
        <v>0</v>
      </c>
      <c r="M15" s="95">
        <v>0</v>
      </c>
      <c r="N15" s="95">
        <v>0</v>
      </c>
      <c r="O15" s="95">
        <v>0</v>
      </c>
      <c r="P15" s="1">
        <f t="shared" si="0"/>
        <v>150</v>
      </c>
      <c r="Q15" s="1"/>
    </row>
    <row r="16" spans="2:17">
      <c r="B16" s="116"/>
      <c r="C16" t="s">
        <v>44</v>
      </c>
      <c r="D16" s="95">
        <v>0</v>
      </c>
      <c r="E16" s="95">
        <v>0</v>
      </c>
      <c r="F16" s="95">
        <v>124</v>
      </c>
      <c r="G16" s="95">
        <v>33</v>
      </c>
      <c r="H16" s="95">
        <v>38</v>
      </c>
      <c r="I16" s="95">
        <v>43</v>
      </c>
      <c r="J16" s="95">
        <v>0</v>
      </c>
      <c r="K16" s="95">
        <v>0</v>
      </c>
      <c r="L16" s="95">
        <v>0</v>
      </c>
      <c r="M16" s="95">
        <v>0</v>
      </c>
      <c r="N16" s="95">
        <v>0</v>
      </c>
      <c r="O16" s="95">
        <v>0</v>
      </c>
      <c r="P16" s="1">
        <f t="shared" si="0"/>
        <v>238</v>
      </c>
      <c r="Q16" s="1"/>
    </row>
    <row r="17" spans="2:16">
      <c r="B17" s="116"/>
      <c r="C17" t="s">
        <v>45</v>
      </c>
      <c r="D17" s="95">
        <v>172.77</v>
      </c>
      <c r="E17" s="95">
        <v>172.77</v>
      </c>
      <c r="F17" s="95">
        <v>172.77</v>
      </c>
      <c r="G17" s="95">
        <v>172.77</v>
      </c>
      <c r="H17" s="95">
        <v>172.77</v>
      </c>
      <c r="I17" s="95">
        <v>172.77</v>
      </c>
      <c r="J17" s="95">
        <v>0</v>
      </c>
      <c r="K17" s="95">
        <v>0</v>
      </c>
      <c r="L17" s="95">
        <v>0</v>
      </c>
      <c r="M17" s="95">
        <v>0</v>
      </c>
      <c r="N17" s="95">
        <v>0</v>
      </c>
      <c r="O17" s="95">
        <v>0</v>
      </c>
      <c r="P17" s="1">
        <f t="shared" si="0"/>
        <v>1036.6200000000001</v>
      </c>
    </row>
    <row r="18" spans="2:16">
      <c r="B18" s="116"/>
      <c r="C18" t="s">
        <v>46</v>
      </c>
      <c r="D18" s="95">
        <v>55</v>
      </c>
      <c r="E18" s="95">
        <v>55</v>
      </c>
      <c r="F18" s="95">
        <v>55</v>
      </c>
      <c r="G18" s="1">
        <f>278.05/5</f>
        <v>55.61</v>
      </c>
      <c r="H18" s="95">
        <v>54.37</v>
      </c>
      <c r="I18" s="95">
        <v>56.41</v>
      </c>
      <c r="J18" s="95">
        <v>0</v>
      </c>
      <c r="K18" s="95">
        <v>0</v>
      </c>
      <c r="L18" s="95">
        <v>0</v>
      </c>
      <c r="M18" s="95">
        <v>0</v>
      </c>
      <c r="N18" s="95">
        <v>0</v>
      </c>
      <c r="O18" s="95">
        <v>0</v>
      </c>
      <c r="P18" s="1">
        <f t="shared" si="0"/>
        <v>331.39</v>
      </c>
    </row>
    <row r="19" spans="2:16">
      <c r="B19" s="116"/>
      <c r="C19" t="s">
        <v>47</v>
      </c>
      <c r="D19" s="95">
        <v>6</v>
      </c>
      <c r="E19" s="95">
        <v>7</v>
      </c>
      <c r="F19" s="95">
        <v>24</v>
      </c>
      <c r="G19" s="95">
        <v>0</v>
      </c>
      <c r="H19" s="95">
        <v>33</v>
      </c>
      <c r="I19" s="95">
        <v>6.5</v>
      </c>
      <c r="J19" s="95">
        <v>0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1">
        <f t="shared" si="0"/>
        <v>76.5</v>
      </c>
    </row>
    <row r="20" spans="2:16">
      <c r="B20" s="116"/>
      <c r="C20" t="s">
        <v>48</v>
      </c>
      <c r="D20" s="95"/>
      <c r="E20" s="95"/>
      <c r="F20" s="95">
        <v>92</v>
      </c>
      <c r="G20" s="95">
        <v>0</v>
      </c>
      <c r="H20" s="95">
        <v>0</v>
      </c>
      <c r="I20" s="95">
        <v>0</v>
      </c>
      <c r="J20" s="95">
        <v>0</v>
      </c>
      <c r="K20" s="95">
        <v>0</v>
      </c>
      <c r="L20" s="95">
        <v>0</v>
      </c>
      <c r="M20" s="95">
        <v>0</v>
      </c>
      <c r="N20" s="95">
        <v>0</v>
      </c>
      <c r="O20" s="95">
        <v>0</v>
      </c>
      <c r="P20" s="1">
        <f t="shared" si="0"/>
        <v>92</v>
      </c>
    </row>
    <row r="21" spans="2:16">
      <c r="B21" s="89"/>
      <c r="C21" t="s">
        <v>49</v>
      </c>
      <c r="D21" s="1">
        <v>250</v>
      </c>
      <c r="E21" s="1">
        <v>250</v>
      </c>
      <c r="F21" s="1">
        <v>250</v>
      </c>
      <c r="G21" s="1">
        <v>250</v>
      </c>
      <c r="H21" s="1">
        <v>250</v>
      </c>
      <c r="I21" s="1">
        <v>250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si="0"/>
        <v>1500</v>
      </c>
    </row>
    <row r="22" spans="2:16">
      <c r="B22" s="21"/>
      <c r="C22" s="21" t="s">
        <v>50</v>
      </c>
      <c r="D22" s="22">
        <f>SUM(D14:D21)</f>
        <v>1513.77</v>
      </c>
      <c r="E22" s="22">
        <f t="shared" ref="E22:O22" si="3">SUM(E14:E21)</f>
        <v>1514.77</v>
      </c>
      <c r="F22" s="22">
        <f t="shared" si="3"/>
        <v>1747.77</v>
      </c>
      <c r="G22" s="22">
        <f t="shared" si="3"/>
        <v>1541.3799999999999</v>
      </c>
      <c r="H22" s="22">
        <f t="shared" si="3"/>
        <v>1578.1399999999999</v>
      </c>
      <c r="I22" s="22">
        <f t="shared" si="3"/>
        <v>1528.68</v>
      </c>
      <c r="J22" s="22">
        <f t="shared" si="3"/>
        <v>0</v>
      </c>
      <c r="K22" s="22">
        <f t="shared" si="3"/>
        <v>0</v>
      </c>
      <c r="L22" s="22">
        <f t="shared" si="3"/>
        <v>0</v>
      </c>
      <c r="M22" s="22">
        <f t="shared" si="3"/>
        <v>0</v>
      </c>
      <c r="N22" s="22">
        <f t="shared" si="3"/>
        <v>0</v>
      </c>
      <c r="O22" s="22">
        <f t="shared" si="3"/>
        <v>0</v>
      </c>
      <c r="P22" s="22">
        <f>SUM(D22:O22)</f>
        <v>9424.51</v>
      </c>
    </row>
    <row r="23" spans="2:16">
      <c r="B23" s="83"/>
      <c r="C23" s="84" t="s">
        <v>51</v>
      </c>
      <c r="D23" s="85">
        <f t="shared" ref="D23:P23" si="4">SUM(D12,D22)</f>
        <v>3953.2999999999997</v>
      </c>
      <c r="E23" s="85">
        <f t="shared" si="4"/>
        <v>3567.7799999999997</v>
      </c>
      <c r="F23" s="85">
        <f t="shared" si="4"/>
        <v>5981.2100000000009</v>
      </c>
      <c r="G23" s="85">
        <f t="shared" si="4"/>
        <v>4238.9399999999996</v>
      </c>
      <c r="H23" s="85">
        <f t="shared" si="4"/>
        <v>4046.5</v>
      </c>
      <c r="I23" s="85">
        <f t="shared" si="4"/>
        <v>4077.4300000000003</v>
      </c>
      <c r="J23" s="85">
        <f t="shared" si="4"/>
        <v>0</v>
      </c>
      <c r="K23" s="85">
        <f t="shared" si="4"/>
        <v>0</v>
      </c>
      <c r="L23" s="85">
        <f t="shared" si="4"/>
        <v>0</v>
      </c>
      <c r="M23" s="85">
        <f t="shared" si="4"/>
        <v>0</v>
      </c>
      <c r="N23" s="85">
        <f t="shared" si="4"/>
        <v>0</v>
      </c>
      <c r="O23" s="85">
        <f t="shared" si="4"/>
        <v>0</v>
      </c>
      <c r="P23" s="85">
        <f t="shared" si="4"/>
        <v>25865.160000000003</v>
      </c>
    </row>
    <row r="24" spans="2:16">
      <c r="B24" s="108"/>
      <c r="C24" s="109" t="s">
        <v>52</v>
      </c>
      <c r="D24" s="110">
        <f>D3-D12-D22</f>
        <v>1093.7400000000002</v>
      </c>
      <c r="E24" s="110">
        <f>E3-E12-E22</f>
        <v>1585.8000000000002</v>
      </c>
      <c r="F24" s="110">
        <f>F3-F12-F22</f>
        <v>4668.3599999999988</v>
      </c>
      <c r="G24" s="110">
        <f>G3-G12-G22</f>
        <v>2983.3399999999992</v>
      </c>
      <c r="H24" s="110">
        <f t="shared" ref="H24:O24" si="5">H3-H12-H22</f>
        <v>1081.5100000000002</v>
      </c>
      <c r="I24" s="110">
        <f t="shared" si="5"/>
        <v>1742.2900000000002</v>
      </c>
      <c r="J24" s="110">
        <f t="shared" si="5"/>
        <v>0</v>
      </c>
      <c r="K24" s="110">
        <f t="shared" si="5"/>
        <v>0</v>
      </c>
      <c r="L24" s="110">
        <f t="shared" si="5"/>
        <v>0</v>
      </c>
      <c r="M24" s="110">
        <f t="shared" si="5"/>
        <v>0</v>
      </c>
      <c r="N24" s="110">
        <f t="shared" si="5"/>
        <v>0</v>
      </c>
      <c r="O24" s="110">
        <f t="shared" si="5"/>
        <v>0</v>
      </c>
      <c r="P24" s="111">
        <f>SUM(D24:O24)</f>
        <v>13155.039999999999</v>
      </c>
    </row>
    <row r="25" spans="2:16">
      <c r="C25" s="3" t="s">
        <v>53</v>
      </c>
      <c r="D25" s="4">
        <v>141.66999999999999</v>
      </c>
      <c r="E25" s="4">
        <v>141.66999999999999</v>
      </c>
      <c r="F25" s="4">
        <v>141.66999999999999</v>
      </c>
      <c r="G25" s="4">
        <v>141.66999999999999</v>
      </c>
      <c r="H25" s="4">
        <v>141.66999999999999</v>
      </c>
      <c r="I25" s="4">
        <v>141.66999999999999</v>
      </c>
      <c r="J25" s="4"/>
      <c r="K25" s="4"/>
      <c r="L25" s="4"/>
      <c r="M25" s="4"/>
      <c r="N25" s="4"/>
      <c r="O25" s="4"/>
      <c r="P25" s="1">
        <f>SUM(D25:O25)</f>
        <v>850.01999999999987</v>
      </c>
    </row>
    <row r="26" spans="2:16">
      <c r="B26" s="112"/>
      <c r="C26" s="113" t="s">
        <v>54</v>
      </c>
      <c r="D26" s="114">
        <f>D24-D25</f>
        <v>952.07000000000028</v>
      </c>
      <c r="E26" s="114">
        <f t="shared" ref="E26:P26" si="6">E24-E25</f>
        <v>1444.13</v>
      </c>
      <c r="F26" s="114">
        <f t="shared" si="6"/>
        <v>4526.6899999999987</v>
      </c>
      <c r="G26" s="114">
        <f t="shared" si="6"/>
        <v>2841.6699999999992</v>
      </c>
      <c r="H26" s="114">
        <f t="shared" si="6"/>
        <v>939.84000000000026</v>
      </c>
      <c r="I26" s="114">
        <f t="shared" si="6"/>
        <v>1600.6200000000001</v>
      </c>
      <c r="J26" s="114">
        <f t="shared" si="6"/>
        <v>0</v>
      </c>
      <c r="K26" s="114">
        <f t="shared" si="6"/>
        <v>0</v>
      </c>
      <c r="L26" s="114">
        <f t="shared" si="6"/>
        <v>0</v>
      </c>
      <c r="M26" s="114">
        <f t="shared" si="6"/>
        <v>0</v>
      </c>
      <c r="N26" s="114">
        <f t="shared" si="6"/>
        <v>0</v>
      </c>
      <c r="O26" s="114">
        <f t="shared" si="6"/>
        <v>0</v>
      </c>
      <c r="P26" s="114">
        <f t="shared" si="6"/>
        <v>12305.019999999999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>
      <c r="B28" s="21"/>
      <c r="C28" s="21" t="s">
        <v>69</v>
      </c>
      <c r="D28" s="26">
        <f>D26/D3</f>
        <v>0.18863928163834651</v>
      </c>
      <c r="E28" s="26">
        <f t="shared" ref="E28:P28" si="7">E26/E3</f>
        <v>0.28021879935889227</v>
      </c>
      <c r="F28" s="26">
        <f t="shared" si="7"/>
        <v>0.42505847653942824</v>
      </c>
      <c r="G28" s="26">
        <f t="shared" si="7"/>
        <v>0.39345885232918126</v>
      </c>
      <c r="H28" s="26">
        <f t="shared" si="7"/>
        <v>0.18327577364318717</v>
      </c>
      <c r="I28" s="26">
        <f t="shared" si="7"/>
        <v>0.2750338504257937</v>
      </c>
      <c r="J28" s="26" t="e">
        <f t="shared" si="7"/>
        <v>#DIV/0!</v>
      </c>
      <c r="K28" s="26" t="e">
        <f t="shared" si="7"/>
        <v>#DIV/0!</v>
      </c>
      <c r="L28" s="26" t="e">
        <f t="shared" si="7"/>
        <v>#DIV/0!</v>
      </c>
      <c r="M28" s="26" t="e">
        <f t="shared" si="7"/>
        <v>#DIV/0!</v>
      </c>
      <c r="N28" s="26" t="e">
        <f t="shared" si="7"/>
        <v>#DIV/0!</v>
      </c>
      <c r="O28" s="26" t="e">
        <f t="shared" si="7"/>
        <v>#DIV/0!</v>
      </c>
      <c r="P28" s="26">
        <f t="shared" si="7"/>
        <v>0.31534999820605736</v>
      </c>
    </row>
    <row r="29" spans="2:16" ht="99.75">
      <c r="C29" t="s">
        <v>70</v>
      </c>
      <c r="D29" s="93" t="s">
        <v>71</v>
      </c>
      <c r="E29" s="93" t="s">
        <v>71</v>
      </c>
      <c r="F29" s="93" t="s">
        <v>72</v>
      </c>
      <c r="G29" s="1"/>
      <c r="H29" s="1"/>
      <c r="I29" s="1"/>
      <c r="J29" s="1"/>
      <c r="K29" s="1"/>
      <c r="L29" s="93"/>
      <c r="M29" s="1"/>
      <c r="N29" s="1"/>
      <c r="O29" s="1"/>
    </row>
    <row r="30" spans="2:16"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  <c r="O30" s="1"/>
    </row>
    <row r="31" spans="2:16"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  <c r="O31" s="1"/>
    </row>
    <row r="33" spans="4:12">
      <c r="D33" s="1"/>
      <c r="E33" s="1"/>
      <c r="F33" s="1"/>
      <c r="G33" s="1"/>
      <c r="H33" s="1"/>
      <c r="I33" s="1"/>
      <c r="J33" s="1"/>
      <c r="K33" s="1"/>
      <c r="L33" s="1"/>
    </row>
    <row r="45" spans="4:12">
      <c r="D45" s="1"/>
      <c r="E45" s="1"/>
      <c r="F45" s="1"/>
      <c r="G45" s="1"/>
      <c r="H45" s="1"/>
      <c r="I45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CCBA-346F-413B-8F77-C563D2B80A62}">
  <sheetPr>
    <tabColor rgb="FF7030A0"/>
  </sheetPr>
  <dimension ref="B1:Q45"/>
  <sheetViews>
    <sheetView topLeftCell="A2" zoomScale="67" zoomScaleNormal="115" workbookViewId="0">
      <selection activeCell="G10" sqref="G10"/>
    </sheetView>
  </sheetViews>
  <sheetFormatPr defaultRowHeight="14.25"/>
  <cols>
    <col min="1" max="1" width="3.7109375" customWidth="1"/>
    <col min="2" max="2" width="11.140625" customWidth="1"/>
    <col min="3" max="3" width="20.85546875" customWidth="1"/>
    <col min="4" max="6" width="15.7109375" bestFit="1" customWidth="1"/>
    <col min="7" max="8" width="11.5703125" bestFit="1" customWidth="1"/>
    <col min="9" max="9" width="12.7109375" bestFit="1" customWidth="1"/>
    <col min="10" max="13" width="11.5703125" bestFit="1" customWidth="1"/>
    <col min="14" max="14" width="11.28515625" bestFit="1" customWidth="1"/>
    <col min="15" max="15" width="11.85546875" bestFit="1" customWidth="1"/>
    <col min="16" max="16" width="16.7109375" bestFit="1" customWidth="1"/>
  </cols>
  <sheetData>
    <row r="1" spans="2:17">
      <c r="B1" t="s">
        <v>77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87">
        <v>4375.18</v>
      </c>
      <c r="E3" s="87">
        <v>4308</v>
      </c>
      <c r="F3" s="87">
        <v>10011.52</v>
      </c>
      <c r="G3" s="87">
        <v>5768.44</v>
      </c>
      <c r="H3" s="87">
        <v>3492.5</v>
      </c>
      <c r="I3" s="87">
        <v>3915.8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f t="shared" ref="P3:P21" si="0">SUM(D3:O3)</f>
        <v>31871.439999999999</v>
      </c>
    </row>
    <row r="4" spans="2:17" ht="15" customHeight="1">
      <c r="B4" s="115" t="s">
        <v>30</v>
      </c>
      <c r="C4" t="s">
        <v>31</v>
      </c>
      <c r="D4" s="1">
        <v>90</v>
      </c>
      <c r="E4" s="1">
        <v>30</v>
      </c>
      <c r="F4" s="1">
        <v>80</v>
      </c>
      <c r="G4" s="1">
        <v>100</v>
      </c>
      <c r="H4" s="1">
        <v>100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 t="shared" si="0"/>
        <v>400</v>
      </c>
    </row>
    <row r="5" spans="2:17">
      <c r="B5" s="115"/>
      <c r="C5" t="s">
        <v>32</v>
      </c>
      <c r="D5" s="1">
        <v>100</v>
      </c>
      <c r="E5" s="1">
        <v>50</v>
      </c>
      <c r="F5" s="1">
        <v>90</v>
      </c>
      <c r="G5" s="1">
        <v>80</v>
      </c>
      <c r="H5" s="1">
        <v>100</v>
      </c>
      <c r="I5" s="1">
        <v>100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 t="shared" si="0"/>
        <v>520</v>
      </c>
    </row>
    <row r="6" spans="2:17">
      <c r="B6" s="115"/>
      <c r="C6" t="s">
        <v>33</v>
      </c>
      <c r="D6" s="1">
        <v>108</v>
      </c>
      <c r="E6" s="1">
        <v>179.4</v>
      </c>
      <c r="F6" s="1">
        <v>536</v>
      </c>
      <c r="G6" s="1">
        <v>400</v>
      </c>
      <c r="H6" s="1">
        <v>383.4</v>
      </c>
      <c r="I6" s="1">
        <v>244.2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 t="shared" si="0"/>
        <v>1851.0000000000002</v>
      </c>
    </row>
    <row r="7" spans="2:17">
      <c r="B7" s="115"/>
      <c r="C7" t="s">
        <v>34</v>
      </c>
      <c r="D7" s="1">
        <v>1780.67</v>
      </c>
      <c r="E7" s="1">
        <v>1751.34</v>
      </c>
      <c r="F7" s="1">
        <v>1785.3</v>
      </c>
      <c r="G7" s="1">
        <v>2273.73</v>
      </c>
      <c r="H7" s="1">
        <v>2179.88</v>
      </c>
      <c r="I7" s="1">
        <v>2155.94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 t="shared" si="0"/>
        <v>11926.860000000002</v>
      </c>
    </row>
    <row r="8" spans="2:17">
      <c r="B8" s="115"/>
      <c r="C8" t="s">
        <v>35</v>
      </c>
      <c r="D8" s="1">
        <v>335</v>
      </c>
      <c r="E8" s="1">
        <v>78</v>
      </c>
      <c r="F8" s="1">
        <v>395</v>
      </c>
      <c r="G8" s="1">
        <v>112</v>
      </c>
      <c r="H8" s="1">
        <v>84</v>
      </c>
      <c r="I8" s="1">
        <v>135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 t="shared" si="0"/>
        <v>1139</v>
      </c>
    </row>
    <row r="9" spans="2:17">
      <c r="B9" s="115"/>
      <c r="C9" t="s">
        <v>36</v>
      </c>
      <c r="D9" s="1">
        <v>10</v>
      </c>
      <c r="E9" s="1">
        <v>1.9</v>
      </c>
      <c r="F9" s="1">
        <v>1075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/>
    </row>
    <row r="10" spans="2:17">
      <c r="B10" s="115"/>
      <c r="C10" t="s">
        <v>37</v>
      </c>
      <c r="D10" s="1">
        <v>0</v>
      </c>
      <c r="E10" s="1">
        <v>0</v>
      </c>
      <c r="F10" s="1">
        <v>160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/>
    </row>
    <row r="11" spans="2:17">
      <c r="B11" s="115"/>
      <c r="C11" t="s">
        <v>38</v>
      </c>
      <c r="D11" s="1"/>
      <c r="E11" s="1">
        <v>0</v>
      </c>
      <c r="F11" s="1">
        <v>80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/>
    </row>
    <row r="12" spans="2:17">
      <c r="B12" s="23"/>
      <c r="C12" s="21" t="s">
        <v>39</v>
      </c>
      <c r="D12" s="22">
        <f>SUM(D4:D11)</f>
        <v>2423.67</v>
      </c>
      <c r="E12" s="22">
        <f t="shared" ref="E12:O12" si="1">SUM(E4:E11)</f>
        <v>2090.64</v>
      </c>
      <c r="F12" s="22">
        <f t="shared" si="1"/>
        <v>4201.3</v>
      </c>
      <c r="G12" s="22">
        <f t="shared" si="1"/>
        <v>2965.73</v>
      </c>
      <c r="H12" s="22">
        <f t="shared" si="1"/>
        <v>2847.28</v>
      </c>
      <c r="I12" s="22">
        <f t="shared" si="1"/>
        <v>2635.14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0"/>
        <v>17163.760000000002</v>
      </c>
    </row>
    <row r="13" spans="2:17">
      <c r="B13" s="105"/>
      <c r="C13" s="106" t="s">
        <v>40</v>
      </c>
      <c r="D13" s="107">
        <f>D3-D12</f>
        <v>1951.5100000000002</v>
      </c>
      <c r="E13" s="107">
        <f t="shared" ref="E13:O13" si="2">E3-E12</f>
        <v>2217.36</v>
      </c>
      <c r="F13" s="107">
        <f t="shared" si="2"/>
        <v>5810.22</v>
      </c>
      <c r="G13" s="107">
        <f t="shared" si="2"/>
        <v>2802.7099999999996</v>
      </c>
      <c r="H13" s="107">
        <f t="shared" si="2"/>
        <v>645.2199999999998</v>
      </c>
      <c r="I13" s="107">
        <f t="shared" si="2"/>
        <v>1280.6600000000003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14707.679999999998</v>
      </c>
    </row>
    <row r="14" spans="2:17">
      <c r="B14" s="116" t="s">
        <v>41</v>
      </c>
      <c r="C14" t="s">
        <v>42</v>
      </c>
      <c r="D14" s="1">
        <v>650</v>
      </c>
      <c r="E14" s="1">
        <v>650</v>
      </c>
      <c r="F14" s="1">
        <v>650</v>
      </c>
      <c r="G14" s="1">
        <v>650</v>
      </c>
      <c r="H14" s="1">
        <v>650</v>
      </c>
      <c r="I14" s="1">
        <v>650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 t="shared" si="0"/>
        <v>3900</v>
      </c>
    </row>
    <row r="15" spans="2:17">
      <c r="B15" s="116"/>
      <c r="C15" t="s">
        <v>43</v>
      </c>
      <c r="D15" s="1">
        <v>30</v>
      </c>
      <c r="E15" s="1">
        <v>30</v>
      </c>
      <c r="F15" s="1">
        <v>30</v>
      </c>
      <c r="G15" s="1">
        <v>30</v>
      </c>
      <c r="H15" s="1">
        <v>30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 t="shared" si="0"/>
        <v>150</v>
      </c>
      <c r="Q15" s="1"/>
    </row>
    <row r="16" spans="2:17">
      <c r="B16" s="116"/>
      <c r="C16" t="s">
        <v>44</v>
      </c>
      <c r="D16" s="1">
        <v>0</v>
      </c>
      <c r="E16" s="1">
        <v>0</v>
      </c>
      <c r="F16" s="1">
        <v>124</v>
      </c>
      <c r="G16" s="1">
        <v>33</v>
      </c>
      <c r="H16" s="1">
        <v>38</v>
      </c>
      <c r="I16" s="1">
        <v>43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 t="shared" si="0"/>
        <v>238</v>
      </c>
      <c r="Q16" s="1"/>
    </row>
    <row r="17" spans="2:16">
      <c r="B17" s="116"/>
      <c r="C17" t="s">
        <v>45</v>
      </c>
      <c r="D17" s="1">
        <v>230.36</v>
      </c>
      <c r="E17" s="1">
        <v>230.36</v>
      </c>
      <c r="F17" s="1">
        <v>230.36</v>
      </c>
      <c r="G17" s="1">
        <v>230.36</v>
      </c>
      <c r="H17" s="1">
        <v>230.36</v>
      </c>
      <c r="I17" s="1">
        <v>230.36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 t="shared" si="0"/>
        <v>1382.1600000000003</v>
      </c>
    </row>
    <row r="18" spans="2:16">
      <c r="B18" s="116"/>
      <c r="C18" t="s">
        <v>46</v>
      </c>
      <c r="D18" s="1">
        <v>55</v>
      </c>
      <c r="E18" s="1">
        <v>55</v>
      </c>
      <c r="F18" s="1">
        <v>55</v>
      </c>
      <c r="G18" s="1">
        <f>278.05/5</f>
        <v>55.61</v>
      </c>
      <c r="H18" s="1">
        <v>54.37</v>
      </c>
      <c r="I18" s="1">
        <v>56.41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 t="shared" si="0"/>
        <v>331.39</v>
      </c>
    </row>
    <row r="19" spans="2:16">
      <c r="B19" s="116"/>
      <c r="C19" t="s">
        <v>47</v>
      </c>
      <c r="D19" s="1">
        <v>0</v>
      </c>
      <c r="E19" s="1">
        <v>10.6</v>
      </c>
      <c r="F19" s="1">
        <v>16.5</v>
      </c>
      <c r="G19" s="1">
        <v>1.6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 t="shared" si="0"/>
        <v>28.700000000000003</v>
      </c>
    </row>
    <row r="20" spans="2:16">
      <c r="B20" s="116"/>
      <c r="C20" t="s">
        <v>48</v>
      </c>
      <c r="D20" s="1"/>
      <c r="E20" s="1"/>
      <c r="F20" s="1">
        <v>79.739999999999995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 t="shared" si="0"/>
        <v>79.739999999999995</v>
      </c>
    </row>
    <row r="21" spans="2:16">
      <c r="B21" s="89"/>
      <c r="C21" t="s">
        <v>49</v>
      </c>
      <c r="D21" s="1">
        <v>250</v>
      </c>
      <c r="E21" s="1">
        <v>250</v>
      </c>
      <c r="F21" s="1">
        <v>250</v>
      </c>
      <c r="G21" s="1">
        <v>250</v>
      </c>
      <c r="H21" s="1">
        <v>250</v>
      </c>
      <c r="I21" s="1">
        <v>250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si="0"/>
        <v>1500</v>
      </c>
    </row>
    <row r="22" spans="2:16">
      <c r="B22" s="21"/>
      <c r="C22" s="21" t="s">
        <v>50</v>
      </c>
      <c r="D22" s="22">
        <f t="shared" ref="D22:O22" si="3">SUM(D14:D20)</f>
        <v>965.36</v>
      </c>
      <c r="E22" s="22">
        <f t="shared" si="3"/>
        <v>975.96</v>
      </c>
      <c r="F22" s="22">
        <f t="shared" si="3"/>
        <v>1185.6000000000001</v>
      </c>
      <c r="G22" s="22">
        <f>SUM(G14:G21)</f>
        <v>1250.5700000000002</v>
      </c>
      <c r="H22" s="22">
        <f t="shared" si="3"/>
        <v>1002.73</v>
      </c>
      <c r="I22" s="22">
        <f t="shared" si="3"/>
        <v>979.77</v>
      </c>
      <c r="J22" s="22">
        <f t="shared" si="3"/>
        <v>0</v>
      </c>
      <c r="K22" s="22">
        <f t="shared" si="3"/>
        <v>0</v>
      </c>
      <c r="L22" s="22">
        <f t="shared" si="3"/>
        <v>0</v>
      </c>
      <c r="M22" s="22">
        <f t="shared" si="3"/>
        <v>0</v>
      </c>
      <c r="N22" s="22">
        <f t="shared" si="3"/>
        <v>0</v>
      </c>
      <c r="O22" s="22">
        <f t="shared" si="3"/>
        <v>0</v>
      </c>
      <c r="P22" s="22">
        <f>SUM(D22:O22)</f>
        <v>6359.99</v>
      </c>
    </row>
    <row r="23" spans="2:16">
      <c r="B23" s="83"/>
      <c r="C23" s="84" t="s">
        <v>51</v>
      </c>
      <c r="D23" s="85">
        <f t="shared" ref="D23:P23" si="4">SUM(D12,D22)</f>
        <v>3389.03</v>
      </c>
      <c r="E23" s="85">
        <f t="shared" si="4"/>
        <v>3066.6</v>
      </c>
      <c r="F23" s="85">
        <f t="shared" si="4"/>
        <v>5386.9000000000005</v>
      </c>
      <c r="G23" s="85">
        <f t="shared" si="4"/>
        <v>4216.3</v>
      </c>
      <c r="H23" s="85">
        <f t="shared" si="4"/>
        <v>3850.01</v>
      </c>
      <c r="I23" s="85">
        <f t="shared" si="4"/>
        <v>3614.91</v>
      </c>
      <c r="J23" s="85">
        <f t="shared" si="4"/>
        <v>0</v>
      </c>
      <c r="K23" s="85">
        <f t="shared" si="4"/>
        <v>0</v>
      </c>
      <c r="L23" s="85">
        <f t="shared" si="4"/>
        <v>0</v>
      </c>
      <c r="M23" s="85">
        <f t="shared" si="4"/>
        <v>0</v>
      </c>
      <c r="N23" s="85">
        <f t="shared" si="4"/>
        <v>0</v>
      </c>
      <c r="O23" s="85">
        <f t="shared" si="4"/>
        <v>0</v>
      </c>
      <c r="P23" s="85">
        <f t="shared" si="4"/>
        <v>23523.75</v>
      </c>
    </row>
    <row r="24" spans="2:16">
      <c r="B24" s="108"/>
      <c r="C24" s="109" t="s">
        <v>52</v>
      </c>
      <c r="D24" s="110">
        <f>D3-D12-D22</f>
        <v>986.1500000000002</v>
      </c>
      <c r="E24" s="110">
        <f>E3-E12-E22</f>
        <v>1241.4000000000001</v>
      </c>
      <c r="F24" s="110">
        <f>F3-F12-F22</f>
        <v>4624.62</v>
      </c>
      <c r="G24" s="110">
        <f t="shared" ref="G24:O24" si="5">G3-G12-G22</f>
        <v>1552.1399999999994</v>
      </c>
      <c r="H24" s="110">
        <f t="shared" si="5"/>
        <v>-357.51000000000022</v>
      </c>
      <c r="I24" s="110">
        <f t="shared" si="5"/>
        <v>300.89000000000033</v>
      </c>
      <c r="J24" s="110">
        <f t="shared" si="5"/>
        <v>0</v>
      </c>
      <c r="K24" s="110">
        <f t="shared" si="5"/>
        <v>0</v>
      </c>
      <c r="L24" s="110">
        <f t="shared" si="5"/>
        <v>0</v>
      </c>
      <c r="M24" s="110">
        <f t="shared" si="5"/>
        <v>0</v>
      </c>
      <c r="N24" s="110">
        <f t="shared" si="5"/>
        <v>0</v>
      </c>
      <c r="O24" s="110">
        <f t="shared" si="5"/>
        <v>0</v>
      </c>
      <c r="P24" s="111">
        <f>SUM(D24:O24)</f>
        <v>8347.6899999999987</v>
      </c>
    </row>
    <row r="25" spans="2:16">
      <c r="C25" s="3" t="s">
        <v>53</v>
      </c>
      <c r="D25" s="4">
        <v>141.66999999999999</v>
      </c>
      <c r="E25" s="4">
        <v>141.66999999999999</v>
      </c>
      <c r="F25" s="4">
        <v>141.66999999999999</v>
      </c>
      <c r="G25" s="4">
        <v>141.66999999999999</v>
      </c>
      <c r="H25" s="4">
        <v>141.66999999999999</v>
      </c>
      <c r="I25" s="4">
        <v>141.66999999999999</v>
      </c>
      <c r="J25" s="4"/>
      <c r="K25" s="4"/>
      <c r="L25" s="4"/>
      <c r="M25" s="4"/>
      <c r="N25" s="4"/>
      <c r="O25" s="4"/>
      <c r="P25" s="1">
        <f>SUM(D25:O25)</f>
        <v>850.01999999999987</v>
      </c>
    </row>
    <row r="26" spans="2:16">
      <c r="B26" s="112"/>
      <c r="C26" s="113" t="s">
        <v>54</v>
      </c>
      <c r="D26" s="114">
        <f>D24-D25</f>
        <v>844.48000000000025</v>
      </c>
      <c r="E26" s="114">
        <f t="shared" ref="E26:P26" si="6">E24-E25</f>
        <v>1099.73</v>
      </c>
      <c r="F26" s="114">
        <f t="shared" si="6"/>
        <v>4482.95</v>
      </c>
      <c r="G26" s="114">
        <f t="shared" si="6"/>
        <v>1410.4699999999993</v>
      </c>
      <c r="H26" s="114">
        <f t="shared" si="6"/>
        <v>-499.18000000000018</v>
      </c>
      <c r="I26" s="114">
        <f t="shared" si="6"/>
        <v>159.22000000000034</v>
      </c>
      <c r="J26" s="114">
        <f t="shared" si="6"/>
        <v>0</v>
      </c>
      <c r="K26" s="114">
        <f t="shared" si="6"/>
        <v>0</v>
      </c>
      <c r="L26" s="114">
        <f t="shared" si="6"/>
        <v>0</v>
      </c>
      <c r="M26" s="114">
        <f t="shared" si="6"/>
        <v>0</v>
      </c>
      <c r="N26" s="114">
        <f t="shared" si="6"/>
        <v>0</v>
      </c>
      <c r="O26" s="114">
        <f t="shared" si="6"/>
        <v>0</v>
      </c>
      <c r="P26" s="114">
        <f t="shared" si="6"/>
        <v>7497.6699999999992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>
      <c r="B28" s="21"/>
      <c r="C28" s="21" t="s">
        <v>69</v>
      </c>
      <c r="D28" s="26">
        <f>D26/D3</f>
        <v>0.19301605876786787</v>
      </c>
      <c r="E28" s="26">
        <f t="shared" ref="E28:P28" si="7">E26/E3</f>
        <v>0.25527623026926649</v>
      </c>
      <c r="F28" s="26">
        <f t="shared" si="7"/>
        <v>0.44777915840951221</v>
      </c>
      <c r="G28" s="26">
        <f t="shared" si="7"/>
        <v>0.2445149815201336</v>
      </c>
      <c r="H28" s="26">
        <f t="shared" si="7"/>
        <v>-0.14292913385826778</v>
      </c>
      <c r="I28" s="26">
        <f t="shared" si="7"/>
        <v>4.0660912201849003E-2</v>
      </c>
      <c r="J28" s="26" t="e">
        <f t="shared" si="7"/>
        <v>#DIV/0!</v>
      </c>
      <c r="K28" s="26" t="e">
        <f t="shared" si="7"/>
        <v>#DIV/0!</v>
      </c>
      <c r="L28" s="26" t="e">
        <f t="shared" si="7"/>
        <v>#DIV/0!</v>
      </c>
      <c r="M28" s="26" t="e">
        <f t="shared" si="7"/>
        <v>#DIV/0!</v>
      </c>
      <c r="N28" s="26" t="e">
        <f t="shared" si="7"/>
        <v>#DIV/0!</v>
      </c>
      <c r="O28" s="26" t="e">
        <f t="shared" si="7"/>
        <v>#DIV/0!</v>
      </c>
      <c r="P28" s="26">
        <f t="shared" si="7"/>
        <v>0.23524729350164283</v>
      </c>
    </row>
    <row r="29" spans="2:16" ht="99.75">
      <c r="C29" t="s">
        <v>70</v>
      </c>
      <c r="D29" s="93" t="s">
        <v>71</v>
      </c>
      <c r="E29" s="93" t="s">
        <v>71</v>
      </c>
      <c r="F29" s="93" t="s">
        <v>72</v>
      </c>
      <c r="G29" s="1"/>
      <c r="H29" s="1"/>
      <c r="I29" s="1"/>
      <c r="J29" s="1"/>
      <c r="K29" s="1"/>
      <c r="L29" s="93"/>
      <c r="M29" s="1"/>
      <c r="N29" s="1"/>
      <c r="O29" s="1"/>
    </row>
    <row r="30" spans="2:16"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  <c r="O30" s="1"/>
    </row>
    <row r="31" spans="2:16"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  <c r="O31" s="1"/>
    </row>
    <row r="33" spans="4:12">
      <c r="D33" s="1"/>
      <c r="E33" s="1"/>
      <c r="F33" s="1"/>
      <c r="G33" s="1"/>
      <c r="H33" s="1"/>
      <c r="I33" s="1"/>
      <c r="J33" s="1"/>
      <c r="K33" s="1"/>
      <c r="L33" s="1"/>
    </row>
    <row r="45" spans="4:12">
      <c r="D45" s="1"/>
      <c r="E45" s="1"/>
      <c r="F45" s="1"/>
      <c r="G45" s="1"/>
      <c r="H45" s="1"/>
      <c r="I45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6CB1-ADA2-4123-A9D6-E4A0AA659F29}">
  <sheetPr>
    <tabColor rgb="FF7030A0"/>
  </sheetPr>
  <dimension ref="B1:Q45"/>
  <sheetViews>
    <sheetView zoomScale="67" zoomScaleNormal="115" workbookViewId="0">
      <selection activeCell="B1" sqref="B1"/>
    </sheetView>
  </sheetViews>
  <sheetFormatPr defaultRowHeight="14.25"/>
  <cols>
    <col min="1" max="1" width="2" bestFit="1" customWidth="1"/>
    <col min="2" max="2" width="24.7109375" bestFit="1" customWidth="1"/>
    <col min="3" max="3" width="23" customWidth="1"/>
    <col min="4" max="5" width="16.140625" bestFit="1" customWidth="1"/>
    <col min="6" max="6" width="15.7109375" bestFit="1" customWidth="1"/>
    <col min="7" max="9" width="10.85546875" bestFit="1" customWidth="1"/>
    <col min="10" max="11" width="10.5703125" bestFit="1" customWidth="1"/>
    <col min="12" max="12" width="11.42578125" bestFit="1" customWidth="1"/>
    <col min="13" max="15" width="10.5703125" bestFit="1" customWidth="1"/>
    <col min="16" max="16" width="15.7109375" bestFit="1" customWidth="1"/>
  </cols>
  <sheetData>
    <row r="1" spans="2:17">
      <c r="B1" t="s">
        <v>78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87">
        <v>1504</v>
      </c>
      <c r="E3" s="87">
        <v>1560</v>
      </c>
      <c r="F3" s="87">
        <v>3975.7</v>
      </c>
      <c r="G3" s="87">
        <v>2862</v>
      </c>
      <c r="H3" s="87">
        <v>2199</v>
      </c>
      <c r="I3" s="87">
        <v>2426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  <c r="P3" s="87">
        <f t="shared" ref="P3:P21" si="0">SUM(D3:O3)</f>
        <v>14526.7</v>
      </c>
    </row>
    <row r="4" spans="2:17" ht="15" customHeight="1">
      <c r="B4" s="115" t="s">
        <v>30</v>
      </c>
      <c r="C4" t="s">
        <v>31</v>
      </c>
      <c r="D4" s="95">
        <v>0</v>
      </c>
      <c r="E4" s="95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f t="shared" si="0"/>
        <v>0</v>
      </c>
    </row>
    <row r="5" spans="2:17">
      <c r="B5" s="115"/>
      <c r="C5" t="s">
        <v>32</v>
      </c>
      <c r="D5" s="95">
        <v>60</v>
      </c>
      <c r="E5" s="95">
        <v>80</v>
      </c>
      <c r="F5" s="1">
        <v>30</v>
      </c>
      <c r="G5" s="1">
        <v>140</v>
      </c>
      <c r="H5" s="1">
        <v>100</v>
      </c>
      <c r="I5" s="1">
        <v>100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f t="shared" si="0"/>
        <v>510</v>
      </c>
    </row>
    <row r="6" spans="2:17">
      <c r="B6" s="115"/>
      <c r="C6" t="s">
        <v>33</v>
      </c>
      <c r="D6" s="95">
        <v>45</v>
      </c>
      <c r="E6" s="95">
        <v>149.5</v>
      </c>
      <c r="F6" s="95">
        <v>239.6</v>
      </c>
      <c r="G6" s="1">
        <v>427.9</v>
      </c>
      <c r="H6" s="1">
        <v>149.5</v>
      </c>
      <c r="I6" s="1">
        <v>140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f t="shared" si="0"/>
        <v>1151.5</v>
      </c>
    </row>
    <row r="7" spans="2:17">
      <c r="B7" s="115"/>
      <c r="C7" t="s">
        <v>34</v>
      </c>
      <c r="D7" s="95">
        <v>1004.77</v>
      </c>
      <c r="E7" s="95">
        <v>1225.55</v>
      </c>
      <c r="F7" s="1">
        <v>1244.3</v>
      </c>
      <c r="G7" s="1">
        <v>1518.69</v>
      </c>
      <c r="H7" s="1">
        <v>1617.34</v>
      </c>
      <c r="I7" s="1">
        <v>1414.57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 t="shared" si="0"/>
        <v>8025.2199999999993</v>
      </c>
    </row>
    <row r="8" spans="2:17">
      <c r="B8" s="115"/>
      <c r="C8" t="s">
        <v>35</v>
      </c>
      <c r="D8" s="95">
        <v>566</v>
      </c>
      <c r="E8" s="95">
        <v>207</v>
      </c>
      <c r="F8" s="1">
        <v>399</v>
      </c>
      <c r="G8" s="1">
        <v>333.7</v>
      </c>
      <c r="H8" s="1">
        <v>148</v>
      </c>
      <c r="I8" s="1">
        <v>265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 t="shared" si="0"/>
        <v>1918.7</v>
      </c>
    </row>
    <row r="9" spans="2:17">
      <c r="B9" s="115"/>
      <c r="C9" t="s">
        <v>36</v>
      </c>
      <c r="D9" s="95">
        <v>0</v>
      </c>
      <c r="E9" s="95">
        <v>0</v>
      </c>
      <c r="F9" s="1">
        <v>730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 t="shared" si="0"/>
        <v>730</v>
      </c>
    </row>
    <row r="10" spans="2:17">
      <c r="B10" s="115"/>
      <c r="C10" t="s">
        <v>37</v>
      </c>
      <c r="D10" s="95">
        <v>0</v>
      </c>
      <c r="E10" s="95">
        <v>0</v>
      </c>
      <c r="F10" s="1">
        <v>0</v>
      </c>
      <c r="G10" s="1">
        <v>500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 t="shared" si="0"/>
        <v>500</v>
      </c>
    </row>
    <row r="11" spans="2:17">
      <c r="B11" s="115"/>
      <c r="C11" t="s">
        <v>38</v>
      </c>
      <c r="D11" s="95">
        <v>0</v>
      </c>
      <c r="E11" s="95">
        <v>0</v>
      </c>
      <c r="F11" s="1">
        <v>550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 t="shared" si="0"/>
        <v>550</v>
      </c>
    </row>
    <row r="12" spans="2:17">
      <c r="B12" s="23"/>
      <c r="C12" s="21" t="s">
        <v>39</v>
      </c>
      <c r="D12" s="22">
        <f>SUM(D4:D11)</f>
        <v>1675.77</v>
      </c>
      <c r="E12" s="22">
        <f t="shared" ref="E12:O12" si="1">SUM(E4:E11)</f>
        <v>1662.05</v>
      </c>
      <c r="F12" s="22">
        <f t="shared" si="1"/>
        <v>3192.9</v>
      </c>
      <c r="G12" s="22">
        <f t="shared" si="1"/>
        <v>2920.29</v>
      </c>
      <c r="H12" s="22">
        <f t="shared" si="1"/>
        <v>2014.84</v>
      </c>
      <c r="I12" s="22">
        <f t="shared" si="1"/>
        <v>1919.57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0"/>
        <v>13385.419999999998</v>
      </c>
    </row>
    <row r="13" spans="2:17">
      <c r="B13" s="105"/>
      <c r="C13" s="106" t="s">
        <v>40</v>
      </c>
      <c r="D13" s="107">
        <f>D3-D12</f>
        <v>-171.76999999999998</v>
      </c>
      <c r="E13" s="107">
        <f t="shared" ref="E13:O13" si="2">E3-E12</f>
        <v>-102.04999999999995</v>
      </c>
      <c r="F13" s="107">
        <f t="shared" si="2"/>
        <v>782.79999999999973</v>
      </c>
      <c r="G13" s="107">
        <f t="shared" si="2"/>
        <v>-58.289999999999964</v>
      </c>
      <c r="H13" s="107">
        <f t="shared" si="2"/>
        <v>184.16000000000008</v>
      </c>
      <c r="I13" s="107">
        <f t="shared" si="2"/>
        <v>506.43000000000006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1141.28</v>
      </c>
    </row>
    <row r="14" spans="2:17">
      <c r="B14" s="116" t="s">
        <v>41</v>
      </c>
      <c r="C14" t="s">
        <v>42</v>
      </c>
      <c r="D14" s="95">
        <v>1000</v>
      </c>
      <c r="E14" s="95">
        <v>1000</v>
      </c>
      <c r="F14" s="95">
        <v>1000</v>
      </c>
      <c r="G14" s="1">
        <v>1000</v>
      </c>
      <c r="H14" s="1">
        <v>1000</v>
      </c>
      <c r="I14" s="1">
        <v>1000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 t="shared" si="0"/>
        <v>6000</v>
      </c>
    </row>
    <row r="15" spans="2:17">
      <c r="B15" s="116"/>
      <c r="C15" t="s">
        <v>43</v>
      </c>
      <c r="D15" s="95">
        <v>30</v>
      </c>
      <c r="E15" s="95">
        <v>30</v>
      </c>
      <c r="F15" s="95">
        <v>30</v>
      </c>
      <c r="G15" s="1">
        <v>30</v>
      </c>
      <c r="H15" s="1">
        <v>30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 t="shared" si="0"/>
        <v>150</v>
      </c>
      <c r="Q15" s="1"/>
    </row>
    <row r="16" spans="2:17">
      <c r="B16" s="116"/>
      <c r="C16" t="s">
        <v>44</v>
      </c>
      <c r="D16" s="95">
        <v>0</v>
      </c>
      <c r="E16" s="95">
        <v>43</v>
      </c>
      <c r="F16" s="95">
        <v>28</v>
      </c>
      <c r="G16" s="1">
        <v>38</v>
      </c>
      <c r="H16" s="1">
        <v>38</v>
      </c>
      <c r="I16" s="1">
        <v>43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 t="shared" si="0"/>
        <v>190</v>
      </c>
      <c r="Q16" s="1"/>
    </row>
    <row r="17" spans="2:16">
      <c r="B17" s="116"/>
      <c r="C17" t="s">
        <v>45</v>
      </c>
      <c r="D17" s="95">
        <v>57.59</v>
      </c>
      <c r="E17" s="95">
        <v>57.59</v>
      </c>
      <c r="F17" s="95">
        <v>57.59</v>
      </c>
      <c r="G17" s="1">
        <v>57.59</v>
      </c>
      <c r="H17" s="1">
        <v>57.55</v>
      </c>
      <c r="I17" s="1">
        <v>57.55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 t="shared" si="0"/>
        <v>345.46000000000004</v>
      </c>
    </row>
    <row r="18" spans="2:16">
      <c r="B18" s="116"/>
      <c r="C18" t="s">
        <v>46</v>
      </c>
      <c r="D18" s="95">
        <v>55</v>
      </c>
      <c r="E18" s="95">
        <v>55</v>
      </c>
      <c r="F18" s="95">
        <v>55</v>
      </c>
      <c r="G18" s="1">
        <f>278.05/5</f>
        <v>55.61</v>
      </c>
      <c r="H18" s="1">
        <v>54.37</v>
      </c>
      <c r="I18" s="1">
        <v>56.41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 t="shared" si="0"/>
        <v>331.39</v>
      </c>
    </row>
    <row r="19" spans="2:16">
      <c r="B19" s="116"/>
      <c r="C19" t="s">
        <v>47</v>
      </c>
      <c r="D19" s="95">
        <v>6.7</v>
      </c>
      <c r="E19" s="95">
        <v>0</v>
      </c>
      <c r="F19" s="95">
        <v>146.1</v>
      </c>
      <c r="G19" s="1">
        <v>7.5</v>
      </c>
      <c r="H19" s="1">
        <v>0</v>
      </c>
      <c r="I19" s="1">
        <v>5.9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 t="shared" si="0"/>
        <v>166.2</v>
      </c>
    </row>
    <row r="20" spans="2:16">
      <c r="B20" s="116"/>
      <c r="C20" t="s">
        <v>48</v>
      </c>
      <c r="D20" s="95">
        <v>0</v>
      </c>
      <c r="E20" s="95">
        <v>0</v>
      </c>
      <c r="F20" s="95">
        <v>28.3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 t="shared" si="0"/>
        <v>28.3</v>
      </c>
    </row>
    <row r="21" spans="2:16">
      <c r="B21" s="89"/>
      <c r="C21" t="s">
        <v>49</v>
      </c>
      <c r="D21" s="1">
        <v>250</v>
      </c>
      <c r="E21" s="1">
        <v>250</v>
      </c>
      <c r="F21" s="1">
        <v>250</v>
      </c>
      <c r="G21" s="1">
        <v>250</v>
      </c>
      <c r="H21" s="1">
        <v>250</v>
      </c>
      <c r="I21" s="1">
        <v>250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si="0"/>
        <v>1500</v>
      </c>
    </row>
    <row r="22" spans="2:16">
      <c r="B22" s="21"/>
      <c r="C22" s="21" t="s">
        <v>50</v>
      </c>
      <c r="D22" s="22">
        <f>SUM(D14:D21)</f>
        <v>1399.29</v>
      </c>
      <c r="E22" s="22">
        <f t="shared" ref="E22:O22" si="3">SUM(E14:E21)</f>
        <v>1435.59</v>
      </c>
      <c r="F22" s="22">
        <f t="shared" si="3"/>
        <v>1594.9899999999998</v>
      </c>
      <c r="G22" s="22">
        <f t="shared" si="3"/>
        <v>1438.6999999999998</v>
      </c>
      <c r="H22" s="22">
        <f t="shared" si="3"/>
        <v>1429.9199999999998</v>
      </c>
      <c r="I22" s="22">
        <f t="shared" si="3"/>
        <v>1412.8600000000001</v>
      </c>
      <c r="J22" s="22">
        <f t="shared" si="3"/>
        <v>0</v>
      </c>
      <c r="K22" s="22">
        <f t="shared" si="3"/>
        <v>0</v>
      </c>
      <c r="L22" s="22">
        <f t="shared" si="3"/>
        <v>0</v>
      </c>
      <c r="M22" s="22">
        <f t="shared" si="3"/>
        <v>0</v>
      </c>
      <c r="N22" s="22">
        <f t="shared" si="3"/>
        <v>0</v>
      </c>
      <c r="O22" s="22">
        <f t="shared" si="3"/>
        <v>0</v>
      </c>
      <c r="P22" s="22">
        <f>SUM(D22:O22)</f>
        <v>8711.35</v>
      </c>
    </row>
    <row r="23" spans="2:16">
      <c r="B23" s="83"/>
      <c r="C23" s="84" t="s">
        <v>51</v>
      </c>
      <c r="D23" s="85">
        <f t="shared" ref="D23:P23" si="4">SUM(D12,D22)</f>
        <v>3075.06</v>
      </c>
      <c r="E23" s="85">
        <f t="shared" si="4"/>
        <v>3097.64</v>
      </c>
      <c r="F23" s="85">
        <f t="shared" si="4"/>
        <v>4787.8899999999994</v>
      </c>
      <c r="G23" s="85">
        <f t="shared" si="4"/>
        <v>4358.99</v>
      </c>
      <c r="H23" s="85">
        <f t="shared" si="4"/>
        <v>3444.7599999999998</v>
      </c>
      <c r="I23" s="85">
        <f t="shared" si="4"/>
        <v>3332.4300000000003</v>
      </c>
      <c r="J23" s="85">
        <f t="shared" si="4"/>
        <v>0</v>
      </c>
      <c r="K23" s="85">
        <f t="shared" si="4"/>
        <v>0</v>
      </c>
      <c r="L23" s="85">
        <f t="shared" si="4"/>
        <v>0</v>
      </c>
      <c r="M23" s="85">
        <f t="shared" si="4"/>
        <v>0</v>
      </c>
      <c r="N23" s="85">
        <f t="shared" si="4"/>
        <v>0</v>
      </c>
      <c r="O23" s="85">
        <f t="shared" si="4"/>
        <v>0</v>
      </c>
      <c r="P23" s="85">
        <f t="shared" si="4"/>
        <v>22096.769999999997</v>
      </c>
    </row>
    <row r="24" spans="2:16">
      <c r="B24" s="108"/>
      <c r="C24" s="109" t="s">
        <v>52</v>
      </c>
      <c r="D24" s="110">
        <f>D3-D12-D22</f>
        <v>-1571.06</v>
      </c>
      <c r="E24" s="110">
        <f>E3-E12-E22</f>
        <v>-1537.6399999999999</v>
      </c>
      <c r="F24" s="110">
        <f>F3-F12-F22</f>
        <v>-812.19</v>
      </c>
      <c r="G24" s="110">
        <f t="shared" ref="G24:O24" si="5">G3-G12-G22</f>
        <v>-1496.9899999999998</v>
      </c>
      <c r="H24" s="110">
        <f t="shared" si="5"/>
        <v>-1245.7599999999998</v>
      </c>
      <c r="I24" s="110">
        <f t="shared" si="5"/>
        <v>-906.43000000000006</v>
      </c>
      <c r="J24" s="110">
        <f t="shared" si="5"/>
        <v>0</v>
      </c>
      <c r="K24" s="110">
        <f t="shared" si="5"/>
        <v>0</v>
      </c>
      <c r="L24" s="110">
        <f t="shared" si="5"/>
        <v>0</v>
      </c>
      <c r="M24" s="110">
        <f t="shared" si="5"/>
        <v>0</v>
      </c>
      <c r="N24" s="110">
        <f t="shared" si="5"/>
        <v>0</v>
      </c>
      <c r="O24" s="110">
        <f t="shared" si="5"/>
        <v>0</v>
      </c>
      <c r="P24" s="111">
        <f>SUM(D24:O24)</f>
        <v>-7570.07</v>
      </c>
    </row>
    <row r="25" spans="2:16">
      <c r="C25" s="3" t="s">
        <v>53</v>
      </c>
      <c r="D25" s="4">
        <v>141.66999999999999</v>
      </c>
      <c r="E25" s="4">
        <v>141.66999999999999</v>
      </c>
      <c r="F25" s="4">
        <v>141.66999999999999</v>
      </c>
      <c r="G25" s="4">
        <v>141.66999999999999</v>
      </c>
      <c r="H25" s="4">
        <v>141.66999999999999</v>
      </c>
      <c r="I25" s="4">
        <v>141.66999999999999</v>
      </c>
      <c r="J25" s="4"/>
      <c r="K25" s="4"/>
      <c r="L25" s="4"/>
      <c r="M25" s="4"/>
      <c r="N25" s="4"/>
      <c r="O25" s="4"/>
      <c r="P25" s="1">
        <f>SUM(D25:O25)</f>
        <v>850.01999999999987</v>
      </c>
    </row>
    <row r="26" spans="2:16">
      <c r="B26" s="112"/>
      <c r="C26" s="113" t="s">
        <v>54</v>
      </c>
      <c r="D26" s="114">
        <f>D24-D25</f>
        <v>-1712.73</v>
      </c>
      <c r="E26" s="114">
        <f t="shared" ref="E26:P26" si="6">E24-E25</f>
        <v>-1679.31</v>
      </c>
      <c r="F26" s="114">
        <f t="shared" si="6"/>
        <v>-953.86</v>
      </c>
      <c r="G26" s="114">
        <f t="shared" si="6"/>
        <v>-1638.6599999999999</v>
      </c>
      <c r="H26" s="114">
        <f t="shared" si="6"/>
        <v>-1387.4299999999998</v>
      </c>
      <c r="I26" s="114">
        <f t="shared" si="6"/>
        <v>-1048.1000000000001</v>
      </c>
      <c r="J26" s="114">
        <f t="shared" si="6"/>
        <v>0</v>
      </c>
      <c r="K26" s="114">
        <f t="shared" si="6"/>
        <v>0</v>
      </c>
      <c r="L26" s="114">
        <f t="shared" si="6"/>
        <v>0</v>
      </c>
      <c r="M26" s="114">
        <f t="shared" si="6"/>
        <v>0</v>
      </c>
      <c r="N26" s="114">
        <f t="shared" si="6"/>
        <v>0</v>
      </c>
      <c r="O26" s="114">
        <f t="shared" si="6"/>
        <v>0</v>
      </c>
      <c r="P26" s="114">
        <f t="shared" si="6"/>
        <v>-8420.09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>
      <c r="B28" s="21"/>
      <c r="C28" s="21" t="s">
        <v>69</v>
      </c>
      <c r="D28" s="26">
        <f>D26/D3</f>
        <v>-1.138783244680851</v>
      </c>
      <c r="E28" s="26">
        <f t="shared" ref="E28:P28" si="7">E26/E3</f>
        <v>-1.0764807692307692</v>
      </c>
      <c r="F28" s="26">
        <f t="shared" si="7"/>
        <v>-0.23992252936589784</v>
      </c>
      <c r="G28" s="26">
        <f t="shared" si="7"/>
        <v>-0.57255765199161424</v>
      </c>
      <c r="H28" s="26">
        <f t="shared" si="7"/>
        <v>-0.63093678944974985</v>
      </c>
      <c r="I28" s="26">
        <f t="shared" si="7"/>
        <v>-0.43202802967848314</v>
      </c>
      <c r="J28" s="26" t="e">
        <f t="shared" si="7"/>
        <v>#DIV/0!</v>
      </c>
      <c r="K28" s="26" t="e">
        <f t="shared" si="7"/>
        <v>#DIV/0!</v>
      </c>
      <c r="L28" s="26" t="e">
        <f t="shared" si="7"/>
        <v>#DIV/0!</v>
      </c>
      <c r="M28" s="26" t="e">
        <f t="shared" si="7"/>
        <v>#DIV/0!</v>
      </c>
      <c r="N28" s="26" t="e">
        <f t="shared" si="7"/>
        <v>#DIV/0!</v>
      </c>
      <c r="O28" s="26" t="e">
        <f t="shared" si="7"/>
        <v>#DIV/0!</v>
      </c>
      <c r="P28" s="26">
        <f t="shared" si="7"/>
        <v>-0.57962854605657166</v>
      </c>
    </row>
    <row r="29" spans="2:16" ht="142.5">
      <c r="C29" t="s">
        <v>70</v>
      </c>
      <c r="D29" s="93" t="s">
        <v>71</v>
      </c>
      <c r="E29" s="93" t="s">
        <v>71</v>
      </c>
      <c r="F29" s="93" t="s">
        <v>72</v>
      </c>
      <c r="G29" s="93" t="s">
        <v>79</v>
      </c>
      <c r="H29" s="1"/>
      <c r="I29" s="1"/>
      <c r="J29" s="1"/>
      <c r="K29" s="1"/>
      <c r="L29" s="93"/>
      <c r="M29" s="1"/>
      <c r="N29" s="1"/>
      <c r="O29" s="1"/>
    </row>
    <row r="30" spans="2:16"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  <c r="O30" s="1"/>
    </row>
    <row r="31" spans="2:16"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  <c r="O31" s="1"/>
    </row>
    <row r="33" spans="4:12">
      <c r="D33" s="1"/>
      <c r="E33" s="1"/>
      <c r="F33" s="1"/>
      <c r="G33" s="1"/>
      <c r="H33" s="1"/>
      <c r="I33" s="1"/>
      <c r="J33" s="1"/>
      <c r="K33" s="1"/>
      <c r="L33" s="1"/>
    </row>
    <row r="45" spans="4:12">
      <c r="D45" s="1"/>
      <c r="E45" s="1"/>
      <c r="F45" s="1"/>
      <c r="G45" s="1"/>
      <c r="H45" s="1"/>
      <c r="I45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6BA0-AC50-4FB6-A140-F75997704917}">
  <dimension ref="B2:F35"/>
  <sheetViews>
    <sheetView showGridLines="0" showRowColHeaders="0" workbookViewId="0">
      <selection activeCell="G8" sqref="G8"/>
    </sheetView>
  </sheetViews>
  <sheetFormatPr defaultRowHeight="14.25"/>
  <cols>
    <col min="1" max="1" width="4.5703125" customWidth="1"/>
    <col min="2" max="2" width="6" customWidth="1"/>
    <col min="3" max="5" width="14" style="6" customWidth="1"/>
  </cols>
  <sheetData>
    <row r="2" spans="2:6">
      <c r="B2" s="8" t="s">
        <v>80</v>
      </c>
      <c r="C2" s="8" t="s">
        <v>20</v>
      </c>
      <c r="D2" s="8" t="s">
        <v>21</v>
      </c>
      <c r="E2" s="8" t="s">
        <v>10</v>
      </c>
      <c r="F2" s="1"/>
    </row>
    <row r="3" spans="2:6">
      <c r="B3" s="7" t="s">
        <v>81</v>
      </c>
      <c r="C3" s="9">
        <v>0</v>
      </c>
      <c r="D3" s="9">
        <v>10</v>
      </c>
      <c r="E3" s="9">
        <v>17</v>
      </c>
      <c r="F3" s="1"/>
    </row>
    <row r="4" spans="2:6">
      <c r="B4" s="7" t="s">
        <v>82</v>
      </c>
      <c r="C4" s="9">
        <v>0</v>
      </c>
      <c r="D4" s="9">
        <v>7</v>
      </c>
      <c r="E4" s="9">
        <v>10</v>
      </c>
      <c r="F4" s="1"/>
    </row>
    <row r="5" spans="2:6">
      <c r="B5" s="7" t="s">
        <v>83</v>
      </c>
      <c r="C5" s="9">
        <v>6</v>
      </c>
      <c r="D5" s="9">
        <v>10</v>
      </c>
      <c r="E5" s="9">
        <v>10</v>
      </c>
    </row>
    <row r="6" spans="2:6">
      <c r="B6" s="7" t="s">
        <v>84</v>
      </c>
      <c r="C6" s="9">
        <v>0</v>
      </c>
      <c r="D6" s="9">
        <v>17</v>
      </c>
      <c r="E6" s="9">
        <v>17</v>
      </c>
    </row>
    <row r="7" spans="2:6">
      <c r="B7" s="7" t="s">
        <v>85</v>
      </c>
      <c r="C7" s="9">
        <v>0</v>
      </c>
      <c r="D7" s="9">
        <v>17</v>
      </c>
      <c r="E7" s="9">
        <v>10</v>
      </c>
    </row>
    <row r="8" spans="2:6">
      <c r="B8" s="7" t="s">
        <v>86</v>
      </c>
      <c r="C8" s="9">
        <v>0</v>
      </c>
      <c r="D8" s="9">
        <v>17</v>
      </c>
      <c r="E8" s="9">
        <v>17</v>
      </c>
    </row>
    <row r="9" spans="2:6">
      <c r="B9" s="7" t="s">
        <v>87</v>
      </c>
      <c r="C9" s="9">
        <v>0</v>
      </c>
      <c r="D9" s="9">
        <v>17</v>
      </c>
      <c r="E9" s="9">
        <v>7</v>
      </c>
    </row>
    <row r="10" spans="2:6">
      <c r="B10" s="7" t="s">
        <v>88</v>
      </c>
      <c r="C10" s="9">
        <v>0</v>
      </c>
      <c r="D10" s="9">
        <v>10</v>
      </c>
      <c r="E10" s="9">
        <v>17</v>
      </c>
    </row>
    <row r="11" spans="2:6">
      <c r="B11" s="7" t="s">
        <v>89</v>
      </c>
      <c r="C11" s="9">
        <v>0</v>
      </c>
      <c r="D11" s="9">
        <v>17</v>
      </c>
      <c r="E11" s="9">
        <v>10</v>
      </c>
    </row>
    <row r="12" spans="2:6">
      <c r="B12" s="7" t="s">
        <v>90</v>
      </c>
      <c r="C12" s="9">
        <v>7</v>
      </c>
      <c r="D12" s="9">
        <v>17</v>
      </c>
      <c r="E12" s="9">
        <v>17</v>
      </c>
    </row>
    <row r="13" spans="2:6">
      <c r="B13" s="7" t="s">
        <v>91</v>
      </c>
      <c r="C13" s="9">
        <v>10</v>
      </c>
      <c r="D13" s="9">
        <v>7</v>
      </c>
      <c r="E13" s="9">
        <v>10</v>
      </c>
    </row>
    <row r="14" spans="2:6">
      <c r="B14" s="7" t="s">
        <v>92</v>
      </c>
      <c r="C14" s="9">
        <v>17</v>
      </c>
      <c r="D14" s="9">
        <v>17</v>
      </c>
      <c r="E14" s="9">
        <v>17</v>
      </c>
    </row>
    <row r="15" spans="2:6">
      <c r="B15" s="7" t="s">
        <v>93</v>
      </c>
      <c r="C15" s="9">
        <v>17</v>
      </c>
      <c r="D15" s="9">
        <v>10</v>
      </c>
      <c r="E15" s="9">
        <v>0</v>
      </c>
    </row>
    <row r="16" spans="2:6">
      <c r="B16" s="7" t="s">
        <v>94</v>
      </c>
      <c r="C16" s="9">
        <v>17</v>
      </c>
      <c r="D16" s="9">
        <v>17</v>
      </c>
      <c r="E16" s="9">
        <v>17</v>
      </c>
    </row>
    <row r="17" spans="2:5">
      <c r="B17" s="7" t="s">
        <v>95</v>
      </c>
      <c r="C17" s="9">
        <v>17</v>
      </c>
      <c r="D17" s="9">
        <v>7</v>
      </c>
      <c r="E17" s="9">
        <v>10</v>
      </c>
    </row>
    <row r="18" spans="2:5">
      <c r="B18" s="7" t="s">
        <v>96</v>
      </c>
      <c r="C18" s="9">
        <v>17</v>
      </c>
      <c r="D18" s="9">
        <v>17</v>
      </c>
      <c r="E18" s="9">
        <v>7</v>
      </c>
    </row>
    <row r="19" spans="2:5">
      <c r="B19" s="7" t="s">
        <v>97</v>
      </c>
      <c r="C19" s="9">
        <v>17</v>
      </c>
      <c r="D19" s="9">
        <v>10</v>
      </c>
      <c r="E19" s="9">
        <v>20</v>
      </c>
    </row>
    <row r="20" spans="2:5">
      <c r="B20" s="7" t="s">
        <v>98</v>
      </c>
      <c r="C20" s="9">
        <v>17</v>
      </c>
      <c r="D20" s="9">
        <v>0</v>
      </c>
      <c r="E20" s="9">
        <v>17</v>
      </c>
    </row>
    <row r="21" spans="2:5">
      <c r="B21" s="7" t="s">
        <v>99</v>
      </c>
      <c r="C21" s="9">
        <v>17</v>
      </c>
      <c r="D21" s="9">
        <v>10</v>
      </c>
      <c r="E21" s="9">
        <v>20</v>
      </c>
    </row>
    <row r="22" spans="2:5">
      <c r="B22" s="7" t="s">
        <v>100</v>
      </c>
      <c r="C22" s="9">
        <v>7</v>
      </c>
      <c r="D22" s="9">
        <v>17</v>
      </c>
      <c r="E22" s="9">
        <v>17</v>
      </c>
    </row>
    <row r="23" spans="2:5">
      <c r="B23" s="7" t="s">
        <v>101</v>
      </c>
      <c r="C23" s="9">
        <v>17</v>
      </c>
      <c r="D23" s="9">
        <v>0</v>
      </c>
      <c r="E23" s="9">
        <v>17</v>
      </c>
    </row>
    <row r="24" spans="2:5">
      <c r="B24" s="7" t="s">
        <v>102</v>
      </c>
      <c r="C24" s="9">
        <v>17</v>
      </c>
      <c r="D24" s="9">
        <v>7</v>
      </c>
      <c r="E24" s="9">
        <v>27</v>
      </c>
    </row>
    <row r="25" spans="2:5">
      <c r="B25" s="7" t="s">
        <v>103</v>
      </c>
      <c r="C25" s="9">
        <v>17</v>
      </c>
      <c r="D25" s="9">
        <v>7</v>
      </c>
      <c r="E25" s="9">
        <v>27</v>
      </c>
    </row>
    <row r="26" spans="2:5">
      <c r="B26" s="7" t="s">
        <v>104</v>
      </c>
      <c r="C26" s="9">
        <v>10</v>
      </c>
      <c r="D26" s="9">
        <v>7</v>
      </c>
      <c r="E26" s="9">
        <v>17</v>
      </c>
    </row>
    <row r="27" spans="2:5">
      <c r="B27" s="7" t="s">
        <v>105</v>
      </c>
      <c r="C27" s="9">
        <v>7</v>
      </c>
      <c r="D27" s="9">
        <v>10</v>
      </c>
      <c r="E27" s="9">
        <v>20</v>
      </c>
    </row>
    <row r="28" spans="2:5">
      <c r="B28" s="7" t="s">
        <v>106</v>
      </c>
      <c r="C28" s="9">
        <v>17</v>
      </c>
      <c r="D28" s="9">
        <v>7</v>
      </c>
      <c r="E28" s="9">
        <v>17</v>
      </c>
    </row>
    <row r="29" spans="2:5">
      <c r="B29" s="7" t="s">
        <v>107</v>
      </c>
      <c r="C29" s="9">
        <v>17</v>
      </c>
      <c r="D29" s="9">
        <v>17</v>
      </c>
      <c r="E29" s="9">
        <v>7</v>
      </c>
    </row>
    <row r="30" spans="2:5">
      <c r="B30" s="7" t="s">
        <v>108</v>
      </c>
      <c r="C30" s="9">
        <v>17</v>
      </c>
      <c r="D30" s="9">
        <v>0</v>
      </c>
      <c r="E30" s="9">
        <v>17</v>
      </c>
    </row>
    <row r="31" spans="2:5">
      <c r="B31" s="7" t="s">
        <v>109</v>
      </c>
      <c r="C31" s="9">
        <v>17</v>
      </c>
      <c r="D31" s="9">
        <v>7</v>
      </c>
      <c r="E31" s="9">
        <v>10</v>
      </c>
    </row>
    <row r="32" spans="2:5">
      <c r="B32" s="7" t="s">
        <v>110</v>
      </c>
      <c r="C32" s="9">
        <v>17</v>
      </c>
      <c r="D32" s="9">
        <v>0</v>
      </c>
      <c r="E32" s="9">
        <v>17</v>
      </c>
    </row>
    <row r="33" spans="2:5" ht="14.65" thickBot="1">
      <c r="B33" s="7" t="s">
        <v>111</v>
      </c>
      <c r="C33" s="10">
        <v>7</v>
      </c>
      <c r="D33" s="10">
        <v>0</v>
      </c>
      <c r="E33" s="10">
        <v>27</v>
      </c>
    </row>
    <row r="34" spans="2:5" ht="14.65" thickBot="1">
      <c r="C34" s="11">
        <f>SUM(C3:C33)</f>
        <v>326</v>
      </c>
      <c r="D34" s="11">
        <f>SUM(D3:D33)</f>
        <v>313</v>
      </c>
      <c r="E34" s="11">
        <f>SUM(E3:E33)</f>
        <v>470</v>
      </c>
    </row>
    <row r="35" spans="2:5" ht="14.65" thickTop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472B-0503-4C77-B374-393128C407A4}">
  <sheetPr>
    <tabColor theme="5" tint="-0.249977111117893"/>
  </sheetPr>
  <dimension ref="B1:X45"/>
  <sheetViews>
    <sheetView zoomScale="67" zoomScaleNormal="115" workbookViewId="0">
      <selection activeCell="K30" sqref="K30"/>
    </sheetView>
  </sheetViews>
  <sheetFormatPr defaultRowHeight="14.25"/>
  <cols>
    <col min="1" max="1" width="3.7109375" customWidth="1"/>
    <col min="2" max="2" width="24.7109375" bestFit="1" customWidth="1"/>
    <col min="3" max="3" width="20.85546875" customWidth="1"/>
    <col min="4" max="4" width="16.7109375" bestFit="1" customWidth="1"/>
    <col min="5" max="6" width="17.42578125" bestFit="1" customWidth="1"/>
    <col min="7" max="7" width="16.140625" bestFit="1" customWidth="1"/>
    <col min="8" max="8" width="11.5703125" customWidth="1"/>
    <col min="9" max="9" width="12.7109375" customWidth="1"/>
    <col min="10" max="13" width="11.5703125" customWidth="1"/>
    <col min="14" max="14" width="11.28515625" customWidth="1"/>
    <col min="15" max="15" width="11.85546875" customWidth="1"/>
    <col min="16" max="16" width="19.7109375" customWidth="1"/>
  </cols>
  <sheetData>
    <row r="1" spans="2:17">
      <c r="B1" t="s">
        <v>112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7">
      <c r="D2" s="5" t="s">
        <v>58</v>
      </c>
      <c r="E2" s="5" t="s">
        <v>59</v>
      </c>
      <c r="F2" s="5" t="s">
        <v>60</v>
      </c>
      <c r="G2" s="5" t="s">
        <v>61</v>
      </c>
      <c r="H2" s="5" t="s">
        <v>17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28</v>
      </c>
    </row>
    <row r="3" spans="2:17">
      <c r="B3" s="86"/>
      <c r="C3" s="86" t="s">
        <v>29</v>
      </c>
      <c r="D3" s="87">
        <f>Tungku!D3+Salar!D3+Bengkurong!D3+Tutong!D3+Lambak!D3</f>
        <v>23752.240000000002</v>
      </c>
      <c r="E3" s="87">
        <f>Tungku!E3+Salar!E3+Bengkurong!E3+Tutong!E3+Lambak!E3</f>
        <v>25602.760000000002</v>
      </c>
      <c r="F3" s="87">
        <f>Tungku!F3+Salar!F3+Bengkurong!F3+Tutong!F3+Lambak!F3</f>
        <v>52293.7</v>
      </c>
      <c r="G3" s="87">
        <f>Tungku!G3+Salar!G3+Bengkurong!G3+Tutong!G3+Lambak!G3</f>
        <v>34646.86</v>
      </c>
      <c r="H3" s="87">
        <f>Tungku!H3+Salar!H3+Bengkurong!H3+Tutong!H3+Lambak!H3</f>
        <v>24179.57</v>
      </c>
      <c r="I3" s="87">
        <f>Tungku!I3+Salar!I3+Bengkurong!I3+Tutong!I3+Lambak!I3</f>
        <v>26103.49</v>
      </c>
      <c r="J3" s="87">
        <f>Tungku!J3+Salar!J3+Bengkurong!J3+Tutong!J3+Lambak!J3</f>
        <v>0</v>
      </c>
      <c r="K3" s="87">
        <f>Tungku!K3+Salar!K3+Bengkurong!K3+Tutong!K3+Lambak!K3</f>
        <v>0</v>
      </c>
      <c r="L3" s="87">
        <f>Tungku!L3+Salar!L3+Bengkurong!L3+Tutong!L3+Lambak!L3</f>
        <v>0</v>
      </c>
      <c r="M3" s="87">
        <f>Tungku!M3+Salar!M3+Bengkurong!M3+Tutong!M3+Lambak!M3</f>
        <v>0</v>
      </c>
      <c r="N3" s="87">
        <f>Tungku!N3+Salar!N3+Bengkurong!N3+Tutong!N3+Lambak!N3</f>
        <v>0</v>
      </c>
      <c r="O3" s="87">
        <f>Tungku!O3+Salar!O3+Bengkurong!O3+Tutong!O3+Lambak!O3</f>
        <v>0</v>
      </c>
      <c r="P3" s="87">
        <f t="shared" ref="P3:P20" si="0">SUM(D3:O3)</f>
        <v>186578.62</v>
      </c>
    </row>
    <row r="4" spans="2:17" ht="15" customHeight="1">
      <c r="B4" s="115" t="s">
        <v>30</v>
      </c>
      <c r="C4" t="s">
        <v>31</v>
      </c>
      <c r="D4" s="1">
        <f>Tungku!D4+Salar!D4+Bengkurong!D4+Tutong!D4+Lambak!D4</f>
        <v>490</v>
      </c>
      <c r="E4" s="1">
        <f>Tungku!E4+Salar!E4+Bengkurong!E4+Tutong!E4+Lambak!E4</f>
        <v>310</v>
      </c>
      <c r="F4" s="1">
        <f>Tungku!F4+Salar!F4+Bengkurong!F4+Tutong!F4+Lambak!F4</f>
        <v>394</v>
      </c>
      <c r="G4" s="1">
        <f>Tungku!G4+Salar!G4+Bengkurong!G4+Tutong!G4+Lambak!G4</f>
        <v>500</v>
      </c>
      <c r="H4" s="1">
        <f>Tungku!H4+Salar!H4+Bengkurong!H4+Tutong!H4+Lambak!H4</f>
        <v>500</v>
      </c>
      <c r="I4" s="1">
        <f>Tungku!I4+Salar!I4+Bengkurong!I4+Tutong!I4+Lambak!I4</f>
        <v>350</v>
      </c>
      <c r="J4" s="1">
        <f>Tungku!J4+Salar!J4+Bengkurong!J4+Tutong!J4+Lambak!J4</f>
        <v>0</v>
      </c>
      <c r="K4" s="1">
        <f>Tungku!K4+Salar!K4+Bengkurong!K4+Tutong!K4+Lambak!K4</f>
        <v>0</v>
      </c>
      <c r="L4" s="1">
        <f>Tungku!L4+Salar!L4+Bengkurong!L4+Tutong!L4+Lambak!L4</f>
        <v>0</v>
      </c>
      <c r="M4" s="1">
        <f>Tungku!M4+Salar!M4+Bengkurong!M4+Tutong!M4+Lambak!M4</f>
        <v>0</v>
      </c>
      <c r="N4" s="1">
        <f>Tungku!N4+Salar!N4+Bengkurong!N4+Tutong!N4+Lambak!N4</f>
        <v>0</v>
      </c>
      <c r="O4" s="1">
        <f>Tungku!O4+Salar!O4+Bengkurong!O4+Tutong!O4+Lambak!O4</f>
        <v>0</v>
      </c>
      <c r="P4" s="1">
        <f t="shared" si="0"/>
        <v>2544</v>
      </c>
    </row>
    <row r="5" spans="2:17">
      <c r="B5" s="115"/>
      <c r="C5" t="s">
        <v>32</v>
      </c>
      <c r="D5" s="1">
        <f>Tungku!D5+Salar!D5+Bengkurong!D5+Tutong!D5+Lambak!D5</f>
        <v>560</v>
      </c>
      <c r="E5" s="1">
        <f>Tungku!E5+Salar!E5+Bengkurong!E5+Tutong!E5+Lambak!E5</f>
        <v>320</v>
      </c>
      <c r="F5" s="1">
        <f>Tungku!F5+Salar!F5+Bengkurong!F5+Tutong!F5+Lambak!F5</f>
        <v>410</v>
      </c>
      <c r="G5" s="1">
        <f>Tungku!G5+Salar!G5+Bengkurong!G5+Tutong!G5+Lambak!G5</f>
        <v>570</v>
      </c>
      <c r="H5" s="1">
        <f>Tungku!H5+Salar!H5+Bengkurong!H5+Tutong!H5+Lambak!H5</f>
        <v>500</v>
      </c>
      <c r="I5" s="1">
        <f>Tungku!I5+Salar!I5+Bengkurong!I5+Tutong!I5+Lambak!I5</f>
        <v>500</v>
      </c>
      <c r="J5" s="1">
        <f>Tungku!J5+Salar!J5+Bengkurong!J5+Tutong!J5+Lambak!J5</f>
        <v>0</v>
      </c>
      <c r="K5" s="1">
        <f>Tungku!K5+Salar!K5+Bengkurong!K5+Tutong!K5+Lambak!K5</f>
        <v>0</v>
      </c>
      <c r="L5" s="1">
        <f>Tungku!L5+Salar!L5+Bengkurong!L5+Tutong!L5+Lambak!L5</f>
        <v>0</v>
      </c>
      <c r="M5" s="1">
        <f>Tungku!M5+Salar!M5+Bengkurong!M5+Tutong!M5+Lambak!M5</f>
        <v>0</v>
      </c>
      <c r="N5" s="1">
        <f>Tungku!N5+Salar!N5+Bengkurong!N5+Tutong!N5+Lambak!N5</f>
        <v>0</v>
      </c>
      <c r="O5" s="1">
        <f>Tungku!O5+Salar!O5+Bengkurong!O5+Tutong!O5+Lambak!O5</f>
        <v>0</v>
      </c>
      <c r="P5" s="1">
        <f t="shared" si="0"/>
        <v>2860</v>
      </c>
    </row>
    <row r="6" spans="2:17">
      <c r="B6" s="115"/>
      <c r="C6" t="s">
        <v>33</v>
      </c>
      <c r="D6" s="1">
        <f>Tungku!D6+Salar!D6+Bengkurong!D6+Tutong!D6+Lambak!D6</f>
        <v>1464</v>
      </c>
      <c r="E6" s="1">
        <f>Tungku!E6+Salar!E6+Bengkurong!E6+Tutong!E6+Lambak!E6</f>
        <v>897</v>
      </c>
      <c r="F6" s="1">
        <f>Tungku!F6+Salar!F6+Bengkurong!F6+Tutong!F6+Lambak!F6</f>
        <v>2533.5</v>
      </c>
      <c r="G6" s="1">
        <f>Tungku!G6+Salar!G6+Bengkurong!G6+Tutong!G6+Lambak!G6</f>
        <v>2142.8000000000002</v>
      </c>
      <c r="H6" s="1">
        <f>Tungku!H6+Salar!H6+Bengkurong!H6+Tutong!H6+Lambak!H6</f>
        <v>1378.9</v>
      </c>
      <c r="I6" s="1">
        <f>Tungku!I6+Salar!I6+Bengkurong!I6+Tutong!I6+Lambak!I6</f>
        <v>1336.2</v>
      </c>
      <c r="J6" s="1">
        <f>Tungku!J6+Salar!J6+Bengkurong!J6+Tutong!J6+Lambak!J6</f>
        <v>0</v>
      </c>
      <c r="K6" s="1">
        <f>Tungku!K6+Salar!K6+Bengkurong!K6+Tutong!K6+Lambak!K6</f>
        <v>0</v>
      </c>
      <c r="L6" s="1">
        <f>Tungku!L6+Salar!L6+Bengkurong!L6+Tutong!L6+Lambak!L6</f>
        <v>0</v>
      </c>
      <c r="M6" s="1">
        <f>Tungku!M6+Salar!M6+Bengkurong!M6+Tutong!M6+Lambak!M6</f>
        <v>0</v>
      </c>
      <c r="N6" s="1">
        <f>Tungku!N6+Salar!N6+Bengkurong!N6+Tutong!N6+Lambak!N6</f>
        <v>0</v>
      </c>
      <c r="O6" s="1">
        <f>Tungku!O6+Salar!O6+Bengkurong!O6+Tutong!O6+Lambak!O6</f>
        <v>0</v>
      </c>
      <c r="P6" s="1">
        <f t="shared" si="0"/>
        <v>9752.4000000000015</v>
      </c>
    </row>
    <row r="7" spans="2:17">
      <c r="B7" s="115"/>
      <c r="C7" t="s">
        <v>34</v>
      </c>
      <c r="D7" s="1">
        <f>Tungku!D7+Salar!D7+Bengkurong!D7+Tutong!D7+Lambak!D7</f>
        <v>7868.5</v>
      </c>
      <c r="E7" s="1">
        <f>Tungku!E7+Salar!E7+Bengkurong!E7+Tutong!E7+Lambak!E7</f>
        <v>7412.17</v>
      </c>
      <c r="F7" s="1">
        <f>Tungku!F7+Salar!F7+Bengkurong!F7+Tutong!F7+Lambak!F7</f>
        <v>7806.9800000000005</v>
      </c>
      <c r="G7" s="1">
        <f>Tungku!G7+Salar!G7+Bengkurong!G7+Tutong!G7+Lambak!G7</f>
        <v>9755.31</v>
      </c>
      <c r="H7" s="1">
        <f>Tungku!H7+Salar!H7+Bengkurong!H7+Tutong!H7+Lambak!H7</f>
        <v>10443.740000000002</v>
      </c>
      <c r="I7" s="1">
        <f>Tungku!I7+Salar!I7+Bengkurong!I7+Tutong!I7+Lambak!I7</f>
        <v>10909.96</v>
      </c>
      <c r="J7" s="1">
        <f>Tungku!J7+Salar!J7+Bengkurong!J7+Tutong!J7+Lambak!J7</f>
        <v>0</v>
      </c>
      <c r="K7" s="1">
        <f>Tungku!K7+Salar!K7+Bengkurong!K7+Tutong!K7+Lambak!K7</f>
        <v>0</v>
      </c>
      <c r="L7" s="1">
        <f>Tungku!L7+Salar!L7+Bengkurong!L7+Tutong!L7+Lambak!L7</f>
        <v>0</v>
      </c>
      <c r="M7" s="1">
        <f>Tungku!M7+Salar!M7+Bengkurong!M7+Tutong!M7+Lambak!M7</f>
        <v>0</v>
      </c>
      <c r="N7" s="1">
        <f>Tungku!N7+Salar!N7+Bengkurong!N7+Tutong!N7+Lambak!N7</f>
        <v>0</v>
      </c>
      <c r="O7" s="1">
        <f>Tungku!O7+Salar!O7+Bengkurong!O7+Tutong!O7+Lambak!O7</f>
        <v>0</v>
      </c>
      <c r="P7" s="1">
        <f t="shared" si="0"/>
        <v>54196.659999999996</v>
      </c>
    </row>
    <row r="8" spans="2:17">
      <c r="B8" s="115"/>
      <c r="C8" t="s">
        <v>35</v>
      </c>
      <c r="D8" s="1">
        <f>Tungku!D8+Salar!D8+Bengkurong!D8+Tutong!D8+Lambak!D8</f>
        <v>2805</v>
      </c>
      <c r="E8" s="1">
        <f>Tungku!E8+Salar!E8+Bengkurong!E8+Tutong!E8+Lambak!E8</f>
        <v>2445</v>
      </c>
      <c r="F8" s="1">
        <f>Tungku!F8+Salar!F8+Bengkurong!F8+Tutong!F8+Lambak!F8</f>
        <v>3729</v>
      </c>
      <c r="G8" s="1">
        <f>Tungku!G8+Salar!G8+Bengkurong!G8+Tutong!G8+Lambak!G8</f>
        <v>3000.7</v>
      </c>
      <c r="H8" s="1">
        <f>Tungku!H8+Salar!H8+Bengkurong!H8+Tutong!H8+Lambak!H8</f>
        <v>2042</v>
      </c>
      <c r="I8" s="1">
        <f>Tungku!I8+Salar!I8+Bengkurong!I8+Tutong!I8+Lambak!I8</f>
        <v>1296</v>
      </c>
      <c r="J8" s="1">
        <f>Tungku!J8+Salar!J8+Bengkurong!J8+Tutong!J8+Lambak!J8</f>
        <v>0</v>
      </c>
      <c r="K8" s="1">
        <f>Tungku!K8+Salar!K8+Bengkurong!K8+Tutong!K8+Lambak!K8</f>
        <v>0</v>
      </c>
      <c r="L8" s="1">
        <f>Tungku!L8+Salar!L8+Bengkurong!L8+Tutong!L8+Lambak!L8</f>
        <v>0</v>
      </c>
      <c r="M8" s="1">
        <f>Tungku!M8+Salar!M8+Bengkurong!M8+Tutong!M8+Lambak!M8</f>
        <v>0</v>
      </c>
      <c r="N8" s="1">
        <f>Tungku!N8+Salar!N8+Bengkurong!N8+Tutong!N8+Lambak!N8</f>
        <v>0</v>
      </c>
      <c r="O8" s="1">
        <f>Tungku!O8+Salar!O8+Bengkurong!O8+Tutong!O8+Lambak!O8</f>
        <v>0</v>
      </c>
      <c r="P8" s="1">
        <f t="shared" si="0"/>
        <v>15317.7</v>
      </c>
    </row>
    <row r="9" spans="2:17">
      <c r="B9" s="115"/>
      <c r="C9" t="s">
        <v>36</v>
      </c>
      <c r="D9" s="1">
        <f>Tungku!D9+Salar!D9+Bengkurong!D9+Tutong!D9+Lambak!D9</f>
        <v>70</v>
      </c>
      <c r="E9" s="1">
        <f>Tungku!E9+Salar!E9+Bengkurong!E9+Tutong!E9+Lambak!E9</f>
        <v>26.9</v>
      </c>
      <c r="F9" s="1">
        <f>Tungku!F9+Salar!F9+Bengkurong!F9+Tutong!F9+Lambak!F9</f>
        <v>5465</v>
      </c>
      <c r="G9" s="1">
        <f>Tungku!G9+Salar!G9+Bengkurong!G9+Tutong!G9+Lambak!G9</f>
        <v>5</v>
      </c>
      <c r="H9" s="1">
        <f>Tungku!H9+Salar!H9+Bengkurong!H9+Tutong!H9+Lambak!H9</f>
        <v>0</v>
      </c>
      <c r="I9" s="1">
        <f>Tungku!I9+Salar!I9+Bengkurong!I9+Tutong!I9+Lambak!I9</f>
        <v>0</v>
      </c>
      <c r="J9" s="1">
        <f>Tungku!J9+Salar!J9+Bengkurong!J9+Tutong!J9+Lambak!J9</f>
        <v>0</v>
      </c>
      <c r="K9" s="1">
        <f>Tungku!K9+Salar!K9+Bengkurong!K9+Tutong!K9+Lambak!K9</f>
        <v>0</v>
      </c>
      <c r="L9" s="1">
        <f>Tungku!L9+Salar!L9+Bengkurong!L9+Tutong!L9+Lambak!L9</f>
        <v>0</v>
      </c>
      <c r="M9" s="1">
        <f>Tungku!M9+Salar!M9+Bengkurong!M9+Tutong!M9+Lambak!M9</f>
        <v>0</v>
      </c>
      <c r="N9" s="1">
        <f>Tungku!N9+Salar!N9+Bengkurong!N9+Tutong!N9+Lambak!N9</f>
        <v>0</v>
      </c>
      <c r="O9" s="1">
        <f>Tungku!O9+Salar!O9+Bengkurong!O9+Tutong!O9+Lambak!O9</f>
        <v>0</v>
      </c>
      <c r="P9" s="1">
        <f t="shared" si="0"/>
        <v>5566.9</v>
      </c>
    </row>
    <row r="10" spans="2:17">
      <c r="B10" s="115"/>
      <c r="C10" t="s">
        <v>37</v>
      </c>
      <c r="D10" s="1">
        <f>Tungku!D10+Salar!D10+Bengkurong!D10+Tutong!D10+Lambak!D10</f>
        <v>0</v>
      </c>
      <c r="E10" s="1">
        <f>Tungku!E10+Salar!E10+Bengkurong!E10+Tutong!E10+Lambak!E10</f>
        <v>124</v>
      </c>
      <c r="F10" s="1">
        <f>Tungku!F10+Salar!F10+Bengkurong!F10+Tutong!F10+Lambak!F10</f>
        <v>431</v>
      </c>
      <c r="G10" s="1">
        <f>Tungku!G10+Salar!G10+Bengkurong!G10+Tutong!G10+Lambak!G10</f>
        <v>969.04</v>
      </c>
      <c r="H10" s="1">
        <f>Tungku!H10+Salar!H10+Bengkurong!H10+Tutong!H10+Lambak!H10</f>
        <v>10.48</v>
      </c>
      <c r="I10" s="1">
        <f>Tungku!I10+Salar!I10+Bengkurong!I10+Tutong!I10+Lambak!I10</f>
        <v>626.5</v>
      </c>
      <c r="J10" s="1">
        <f>Tungku!J10+Salar!J10+Bengkurong!J10+Tutong!J10+Lambak!J10</f>
        <v>0</v>
      </c>
      <c r="K10" s="1">
        <f>Tungku!K10+Salar!K10+Bengkurong!K10+Tutong!K10+Lambak!K10</f>
        <v>0</v>
      </c>
      <c r="L10" s="1">
        <f>Tungku!L10+Salar!L10+Bengkurong!L10+Tutong!L10+Lambak!L10</f>
        <v>0</v>
      </c>
      <c r="M10" s="1">
        <f>Tungku!M10+Salar!M10+Bengkurong!M10+Tutong!M10+Lambak!M10</f>
        <v>0</v>
      </c>
      <c r="N10" s="1">
        <f>Tungku!N10+Salar!N10+Bengkurong!N10+Tutong!N10+Lambak!N10</f>
        <v>0</v>
      </c>
      <c r="O10" s="1">
        <f>Tungku!O10+Salar!O10+Bengkurong!O10+Tutong!O10+Lambak!O10</f>
        <v>0</v>
      </c>
      <c r="P10" s="1">
        <f t="shared" si="0"/>
        <v>2161.02</v>
      </c>
    </row>
    <row r="11" spans="2:17">
      <c r="B11" s="115"/>
      <c r="C11" t="s">
        <v>38</v>
      </c>
      <c r="D11" s="1">
        <f>Tungku!D11+Salar!D11+Bengkurong!D11+Tutong!D11+Lambak!D11</f>
        <v>0</v>
      </c>
      <c r="E11" s="1">
        <f>Tungku!E11+Salar!E11+Bengkurong!E11+Tutong!E11+Lambak!E11</f>
        <v>694.4</v>
      </c>
      <c r="F11" s="1">
        <f>Tungku!F11+Salar!F11+Bengkurong!F11+Tutong!F11+Lambak!F11</f>
        <v>938</v>
      </c>
      <c r="G11" s="1">
        <f>Tungku!G11+Salar!G11+Bengkurong!G11+Tutong!G11+Lambak!G11</f>
        <v>528.4</v>
      </c>
      <c r="H11" s="1">
        <f>Tungku!H11+Salar!H11+Bengkurong!H11+Tutong!H11+Lambak!H11</f>
        <v>2</v>
      </c>
      <c r="I11" s="1">
        <f>Tungku!I11+Salar!I11+Bengkurong!I11+Tutong!I11+Lambak!I11</f>
        <v>0</v>
      </c>
      <c r="J11" s="1">
        <f>Tungku!J11+Salar!J11+Bengkurong!J11+Tutong!J11+Lambak!J11</f>
        <v>0</v>
      </c>
      <c r="K11" s="1">
        <f>Tungku!K11+Salar!K11+Bengkurong!K11+Tutong!K11+Lambak!K11</f>
        <v>0</v>
      </c>
      <c r="L11" s="1">
        <f>Tungku!L11+Salar!L11+Bengkurong!L11+Tutong!L11+Lambak!L11</f>
        <v>0</v>
      </c>
      <c r="M11" s="1">
        <f>Tungku!M11+Salar!M11+Bengkurong!M11+Tutong!M11+Lambak!M11</f>
        <v>0</v>
      </c>
      <c r="N11" s="1">
        <f>Tungku!N11+Salar!N11+Bengkurong!N11+Tutong!N11+Lambak!N11</f>
        <v>0</v>
      </c>
      <c r="O11" s="1">
        <f>Tungku!O11+Salar!O11+Bengkurong!O11+Tutong!O11+Lambak!O11</f>
        <v>0</v>
      </c>
      <c r="P11" s="1">
        <f t="shared" si="0"/>
        <v>2162.8000000000002</v>
      </c>
    </row>
    <row r="12" spans="2:17">
      <c r="B12" s="23"/>
      <c r="C12" s="21" t="s">
        <v>39</v>
      </c>
      <c r="D12" s="22">
        <f>SUM(D4:D11)</f>
        <v>13257.5</v>
      </c>
      <c r="E12" s="22">
        <f t="shared" ref="E12:O12" si="1">SUM(E4:E11)</f>
        <v>12229.47</v>
      </c>
      <c r="F12" s="22">
        <f t="shared" si="1"/>
        <v>21707.48</v>
      </c>
      <c r="G12" s="22">
        <f t="shared" si="1"/>
        <v>17471.250000000004</v>
      </c>
      <c r="H12" s="22">
        <f t="shared" si="1"/>
        <v>14877.12</v>
      </c>
      <c r="I12" s="22">
        <f t="shared" si="1"/>
        <v>15018.66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N12" s="22">
        <f t="shared" si="1"/>
        <v>0</v>
      </c>
      <c r="O12" s="22">
        <f t="shared" si="1"/>
        <v>0</v>
      </c>
      <c r="P12" s="22">
        <f t="shared" si="0"/>
        <v>94561.48</v>
      </c>
    </row>
    <row r="13" spans="2:17">
      <c r="B13" s="105"/>
      <c r="C13" s="106" t="s">
        <v>40</v>
      </c>
      <c r="D13" s="107">
        <f>D3-D12</f>
        <v>10494.740000000002</v>
      </c>
      <c r="E13" s="107">
        <f t="shared" ref="E13:O13" si="2">E3-E12</f>
        <v>13373.290000000003</v>
      </c>
      <c r="F13" s="107">
        <f t="shared" si="2"/>
        <v>30586.219999999998</v>
      </c>
      <c r="G13" s="107">
        <f t="shared" si="2"/>
        <v>17175.609999999997</v>
      </c>
      <c r="H13" s="107">
        <f t="shared" si="2"/>
        <v>9302.4499999999989</v>
      </c>
      <c r="I13" s="107">
        <f t="shared" si="2"/>
        <v>11084.830000000002</v>
      </c>
      <c r="J13" s="107">
        <f t="shared" si="2"/>
        <v>0</v>
      </c>
      <c r="K13" s="107">
        <f t="shared" si="2"/>
        <v>0</v>
      </c>
      <c r="L13" s="107">
        <f t="shared" si="2"/>
        <v>0</v>
      </c>
      <c r="M13" s="107">
        <f t="shared" si="2"/>
        <v>0</v>
      </c>
      <c r="N13" s="107">
        <f t="shared" si="2"/>
        <v>0</v>
      </c>
      <c r="O13" s="107">
        <f t="shared" si="2"/>
        <v>0</v>
      </c>
      <c r="P13" s="107">
        <f t="shared" si="0"/>
        <v>92017.14</v>
      </c>
    </row>
    <row r="14" spans="2:17">
      <c r="B14" s="116" t="s">
        <v>41</v>
      </c>
      <c r="C14" t="s">
        <v>42</v>
      </c>
      <c r="D14" s="1">
        <f>Tungku!D14+Salar!D14+Bengkurong!D14+Tutong!D14+Lambak!D14</f>
        <v>8150</v>
      </c>
      <c r="E14" s="1">
        <f>Tungku!E14+Salar!E14+Bengkurong!E14+Tutong!E14+Lambak!E14</f>
        <v>8150</v>
      </c>
      <c r="F14" s="1">
        <f>Tungku!F14+Salar!F14+Bengkurong!F14+Tutong!F14+Lambak!F14</f>
        <v>8150</v>
      </c>
      <c r="G14" s="1">
        <f>Tungku!G14+Salar!G14+Bengkurong!G14+Tutong!G14+Lambak!G14</f>
        <v>8150</v>
      </c>
      <c r="H14" s="1">
        <f>Tungku!H14+Salar!H14+Bengkurong!H14+Tutong!H14+Lambak!H14</f>
        <v>8150</v>
      </c>
      <c r="I14" s="1">
        <f>Tungku!I14+Salar!I14+Bengkurong!I14+Tutong!I14+Lambak!I14</f>
        <v>8150</v>
      </c>
      <c r="J14" s="1">
        <f>Tungku!J14+Salar!J14+Bengkurong!J14+Tutong!J14+Lambak!J14</f>
        <v>0</v>
      </c>
      <c r="K14" s="1">
        <f>Tungku!K14+Salar!K14+Bengkurong!K14+Tutong!K14+Lambak!K14</f>
        <v>0</v>
      </c>
      <c r="L14" s="1">
        <f>Tungku!L14+Salar!L14+Bengkurong!L14+Tutong!L14+Lambak!L14</f>
        <v>0</v>
      </c>
      <c r="M14" s="1">
        <f>Tungku!M14+Salar!M14+Bengkurong!M14+Tutong!M14+Lambak!M14</f>
        <v>0</v>
      </c>
      <c r="N14" s="1">
        <f>Tungku!N14+Salar!N14+Bengkurong!N14+Tutong!N14+Lambak!N14</f>
        <v>0</v>
      </c>
      <c r="O14" s="1">
        <f>Tungku!O14+Salar!O14+Bengkurong!O14+Tutong!O14+Lambak!O14</f>
        <v>0</v>
      </c>
      <c r="P14" s="1">
        <f t="shared" si="0"/>
        <v>48900</v>
      </c>
    </row>
    <row r="15" spans="2:17">
      <c r="B15" s="116"/>
      <c r="C15" t="s">
        <v>43</v>
      </c>
      <c r="D15" s="1">
        <f>Tungku!D15+Salar!D15+Bengkurong!D15+Tutong!D15+Lambak!D15</f>
        <v>150</v>
      </c>
      <c r="E15" s="1">
        <f>Tungku!E15+Salar!E15+Bengkurong!E15+Tutong!E15+Lambak!E15</f>
        <v>150</v>
      </c>
      <c r="F15" s="1">
        <f>Tungku!F15+Salar!F15+Bengkurong!F15+Tutong!F15+Lambak!F15</f>
        <v>150</v>
      </c>
      <c r="G15" s="1">
        <f>Tungku!G15+Salar!G15+Bengkurong!G15+Tutong!G15+Lambak!G15</f>
        <v>150</v>
      </c>
      <c r="H15" s="1">
        <f>Tungku!H15+Salar!H15+Bengkurong!H15+Tutong!H15+Lambak!H15</f>
        <v>150</v>
      </c>
      <c r="I15" s="1">
        <f>Tungku!I15+Salar!I15+Bengkurong!I15+Tutong!I15+Lambak!I15</f>
        <v>0</v>
      </c>
      <c r="J15" s="1">
        <f>Tungku!J15+Salar!J15+Bengkurong!J15+Tutong!J15+Lambak!J15</f>
        <v>0</v>
      </c>
      <c r="K15" s="1">
        <f>Tungku!K15+Salar!K15+Bengkurong!K15+Tutong!K15+Lambak!K15</f>
        <v>0</v>
      </c>
      <c r="L15" s="1">
        <f>Tungku!L15+Salar!L15+Bengkurong!L15+Tutong!L15+Lambak!L15</f>
        <v>0</v>
      </c>
      <c r="M15" s="1">
        <f>Tungku!M15+Salar!M15+Bengkurong!M15+Tutong!M15+Lambak!M15</f>
        <v>0</v>
      </c>
      <c r="N15" s="1">
        <f>Tungku!N15+Salar!N15+Bengkurong!N15+Tutong!N15+Lambak!N15</f>
        <v>0</v>
      </c>
      <c r="O15" s="1">
        <f>Tungku!O15+Salar!O15+Bengkurong!O15+Tutong!O15+Lambak!O15</f>
        <v>0</v>
      </c>
      <c r="P15" s="1">
        <f t="shared" si="0"/>
        <v>750</v>
      </c>
      <c r="Q15" s="1"/>
    </row>
    <row r="16" spans="2:17">
      <c r="B16" s="116"/>
      <c r="C16" t="s">
        <v>44</v>
      </c>
      <c r="D16" s="1">
        <f>Tungku!D16+Salar!D16+Bengkurong!D16+Tutong!D16+Lambak!D16</f>
        <v>0</v>
      </c>
      <c r="E16" s="1">
        <f>Tungku!E16+Salar!E16+Bengkurong!E16+Tutong!E16+Lambak!E16</f>
        <v>119</v>
      </c>
      <c r="F16" s="1">
        <f>Tungku!F16+Salar!F16+Bengkurong!F16+Tutong!F16+Lambak!F16</f>
        <v>448</v>
      </c>
      <c r="G16" s="1">
        <f>Tungku!G16+Salar!G16+Bengkurong!G16+Tutong!G16+Lambak!G16</f>
        <v>170</v>
      </c>
      <c r="H16" s="1">
        <f>Tungku!H16+Salar!H16+Bengkurong!H16+Tutong!H16+Lambak!H16</f>
        <v>215</v>
      </c>
      <c r="I16" s="1">
        <f>Tungku!I16+Salar!I16+Bengkurong!I16+Tutong!I16+Lambak!I16</f>
        <v>250</v>
      </c>
      <c r="J16" s="1">
        <f>Tungku!J16+Salar!J16+Bengkurong!J16+Tutong!J16+Lambak!J16</f>
        <v>0</v>
      </c>
      <c r="K16" s="1">
        <f>Tungku!K16+Salar!K16+Bengkurong!K16+Tutong!K16+Lambak!K16</f>
        <v>0</v>
      </c>
      <c r="L16" s="1">
        <f>Tungku!L16+Salar!L16+Bengkurong!L16+Tutong!L16+Lambak!L16</f>
        <v>0</v>
      </c>
      <c r="M16" s="1">
        <f>Tungku!M16+Salar!M16+Bengkurong!M16+Tutong!M16+Lambak!M16</f>
        <v>0</v>
      </c>
      <c r="N16" s="1">
        <f>Tungku!N16+Salar!N16+Bengkurong!N16+Tutong!N16+Lambak!N16</f>
        <v>0</v>
      </c>
      <c r="O16" s="1">
        <f>Tungku!O16+Salar!O16+Bengkurong!O16+Tutong!O16+Lambak!O16</f>
        <v>0</v>
      </c>
      <c r="P16" s="1">
        <f t="shared" si="0"/>
        <v>1202</v>
      </c>
      <c r="Q16" s="1"/>
    </row>
    <row r="17" spans="2:16">
      <c r="B17" s="116"/>
      <c r="C17" t="s">
        <v>45</v>
      </c>
      <c r="D17" s="1">
        <f>Tungku!D17+Salar!D17+Bengkurong!D17+Tutong!D17+Lambak!D17</f>
        <v>691.08</v>
      </c>
      <c r="E17" s="1">
        <f>Tungku!E17+Salar!E17+Bengkurong!E17+Tutong!E17+Lambak!E17</f>
        <v>691.08</v>
      </c>
      <c r="F17" s="1">
        <f>Tungku!F17+Salar!F17+Bengkurong!F17+Tutong!F17+Lambak!F17</f>
        <v>748.67000000000007</v>
      </c>
      <c r="G17" s="1">
        <f>Tungku!G17+Salar!G17+Bengkurong!G17+Tutong!G17+Lambak!G17</f>
        <v>806.2600000000001</v>
      </c>
      <c r="H17" s="1">
        <f>Tungku!H17+Salar!H17+Bengkurong!H17+Tutong!H17+Lambak!H17</f>
        <v>863.81</v>
      </c>
      <c r="I17" s="1">
        <f>Tungku!I17+Salar!I17+Bengkurong!I17+Tutong!I17+Lambak!I17</f>
        <v>863.81</v>
      </c>
      <c r="J17" s="1">
        <f>Tungku!J17+Salar!J17+Bengkurong!J17+Tutong!J17+Lambak!J17</f>
        <v>0</v>
      </c>
      <c r="K17" s="1">
        <f>Tungku!K17+Salar!K17+Bengkurong!K17+Tutong!K17+Lambak!K17</f>
        <v>0</v>
      </c>
      <c r="L17" s="1">
        <f>Tungku!L17+Salar!L17+Bengkurong!L17+Tutong!L17+Lambak!L17</f>
        <v>0</v>
      </c>
      <c r="M17" s="1">
        <f>Tungku!M17+Salar!M17+Bengkurong!M17+Tutong!M17+Lambak!M17</f>
        <v>0</v>
      </c>
      <c r="N17" s="1">
        <f>Tungku!N17+Salar!N17+Bengkurong!N17+Tutong!N17+Lambak!N17</f>
        <v>0</v>
      </c>
      <c r="O17" s="1">
        <f>Tungku!O17+Salar!O17+Bengkurong!O17+Tutong!O17+Lambak!O17</f>
        <v>0</v>
      </c>
      <c r="P17" s="1">
        <f t="shared" si="0"/>
        <v>4664.71</v>
      </c>
    </row>
    <row r="18" spans="2:16">
      <c r="B18" s="116"/>
      <c r="C18" t="s">
        <v>46</v>
      </c>
      <c r="D18" s="1">
        <f>Tungku!D18+Salar!D18+Bengkurong!D18+Tutong!D18+Lambak!D18</f>
        <v>275</v>
      </c>
      <c r="E18" s="1">
        <f>Tungku!E18+Salar!E18+Bengkurong!E18+Tutong!E18+Lambak!E18</f>
        <v>275</v>
      </c>
      <c r="F18" s="1">
        <f>Tungku!F18+Salar!F18+Bengkurong!F18+Tutong!F18+Lambak!F18</f>
        <v>275</v>
      </c>
      <c r="G18" s="1">
        <f>Tungku!G18+Salar!G18+Bengkurong!G18+Tutong!G18+Lambak!G18</f>
        <v>278.05</v>
      </c>
      <c r="H18" s="1">
        <f>Tungku!H18+Salar!H18+Bengkurong!H18+Tutong!H18+Lambak!H18</f>
        <v>271.84999999999997</v>
      </c>
      <c r="I18" s="1">
        <f>Tungku!I18+Salar!I18+Bengkurong!I18+Tutong!I18+Lambak!I18</f>
        <v>282.04999999999995</v>
      </c>
      <c r="J18" s="1">
        <f>Tungku!J18+Salar!J18+Bengkurong!J18+Tutong!J18+Lambak!J18</f>
        <v>0</v>
      </c>
      <c r="K18" s="1">
        <f>Tungku!K18+Salar!K18+Bengkurong!K18+Tutong!K18+Lambak!K18</f>
        <v>0</v>
      </c>
      <c r="L18" s="1">
        <f>Tungku!L18+Salar!L18+Bengkurong!L18+Tutong!L18+Lambak!L18</f>
        <v>0</v>
      </c>
      <c r="M18" s="1">
        <f>Tungku!M18+Salar!M18+Bengkurong!M18+Tutong!M18+Lambak!M18</f>
        <v>0</v>
      </c>
      <c r="N18" s="1">
        <f>Tungku!N18+Salar!N18+Bengkurong!N18+Tutong!N18+Lambak!N18</f>
        <v>0</v>
      </c>
      <c r="O18" s="1">
        <f>Tungku!O18+Salar!O18+Bengkurong!O18+Tutong!O18+Lambak!O18</f>
        <v>0</v>
      </c>
      <c r="P18" s="1">
        <f t="shared" si="0"/>
        <v>1656.9499999999998</v>
      </c>
    </row>
    <row r="19" spans="2:16">
      <c r="B19" s="116"/>
      <c r="C19" t="s">
        <v>47</v>
      </c>
      <c r="D19" s="1">
        <f>Tungku!D19+Salar!D19+Bengkurong!D19+Tutong!D19+Lambak!D19</f>
        <v>18.600000000000001</v>
      </c>
      <c r="E19" s="1">
        <f>Tungku!E19+Salar!E19+Bengkurong!E19+Tutong!E19+Lambak!E19</f>
        <v>37.79</v>
      </c>
      <c r="F19" s="1">
        <f>Tungku!F19+Salar!F19+Bengkurong!F19+Tutong!F19+Lambak!F19</f>
        <v>239.6</v>
      </c>
      <c r="G19" s="1">
        <f>Tungku!G19+Salar!G19+Bengkurong!G19+Tutong!G19+Lambak!G19</f>
        <v>79.889999999999986</v>
      </c>
      <c r="H19" s="1">
        <f>Tungku!H19+Salar!H19+Bengkurong!H19+Tutong!H19+Lambak!H19</f>
        <v>63.7</v>
      </c>
      <c r="I19" s="1">
        <f>Tungku!I19+Salar!I19+Bengkurong!I19+Tutong!I19+Lambak!I19</f>
        <v>58.699999999999996</v>
      </c>
      <c r="J19" s="1">
        <f>Tungku!J19+Salar!J19+Bengkurong!J19+Tutong!J19+Lambak!J19</f>
        <v>0</v>
      </c>
      <c r="K19" s="1">
        <f>Tungku!K19+Salar!K19+Bengkurong!K19+Tutong!K19+Lambak!K19</f>
        <v>0</v>
      </c>
      <c r="L19" s="1">
        <f>Tungku!L19+Salar!L19+Bengkurong!L19+Tutong!L19+Lambak!L19</f>
        <v>0</v>
      </c>
      <c r="M19" s="1">
        <f>Tungku!M19+Salar!M19+Bengkurong!M19+Tutong!M19+Lambak!M19</f>
        <v>0</v>
      </c>
      <c r="N19" s="1">
        <f>Tungku!N19+Salar!N19+Bengkurong!N19+Tutong!N19+Lambak!N19</f>
        <v>0</v>
      </c>
      <c r="O19" s="1">
        <f>Tungku!O19+Salar!O19+Bengkurong!O19+Tutong!O19+Lambak!O19</f>
        <v>0</v>
      </c>
      <c r="P19" s="1">
        <f t="shared" si="0"/>
        <v>498.28</v>
      </c>
    </row>
    <row r="20" spans="2:16">
      <c r="B20" s="116"/>
      <c r="C20" t="s">
        <v>48</v>
      </c>
      <c r="D20" s="1">
        <f>Tungku!D20+Salar!D20+Bengkurong!D20+Tutong!D20+Lambak!D20</f>
        <v>0</v>
      </c>
      <c r="E20" s="1">
        <f>Tungku!E20+Salar!E20+Bengkurong!E20+Tutong!E20+Lambak!E20</f>
        <v>98</v>
      </c>
      <c r="F20" s="1">
        <f>Tungku!F20+Salar!F20+Bengkurong!F20+Tutong!F20+Lambak!F20</f>
        <v>398.09000000000003</v>
      </c>
      <c r="G20" s="1">
        <f>Tungku!G20+Salar!G20+Bengkurong!G20+Tutong!G20+Lambak!G20</f>
        <v>0</v>
      </c>
      <c r="H20" s="1">
        <f>Tungku!H20+Salar!H20+Bengkurong!H20+Tutong!H20+Lambak!H20</f>
        <v>0</v>
      </c>
      <c r="I20" s="1">
        <f>Tungku!I20+Salar!I20+Bengkurong!I20+Tutong!I20+Lambak!I20</f>
        <v>0</v>
      </c>
      <c r="J20" s="1">
        <f>Tungku!J20+Salar!J20+Bengkurong!J20+Tutong!J20+Lambak!J20</f>
        <v>0</v>
      </c>
      <c r="K20" s="1">
        <f>Tungku!K20+Salar!K20+Bengkurong!K20+Tutong!K20+Lambak!K20</f>
        <v>0</v>
      </c>
      <c r="L20" s="1">
        <f>Tungku!L20+Salar!L20+Bengkurong!L20+Tutong!L20+Lambak!L20</f>
        <v>0</v>
      </c>
      <c r="M20" s="1">
        <f>Tungku!M20+Salar!M20+Bengkurong!M20+Tutong!M20+Lambak!M20</f>
        <v>0</v>
      </c>
      <c r="N20" s="1">
        <f>Tungku!N20+Salar!N20+Bengkurong!N20+Tutong!N20+Lambak!N20</f>
        <v>0</v>
      </c>
      <c r="O20" s="1">
        <f>Tungku!O20+Salar!O20+Bengkurong!O20+Tutong!O20+Lambak!O20</f>
        <v>0</v>
      </c>
      <c r="P20" s="1">
        <f t="shared" si="0"/>
        <v>496.09000000000003</v>
      </c>
    </row>
    <row r="21" spans="2:16">
      <c r="B21" s="89"/>
      <c r="C21" t="s">
        <v>49</v>
      </c>
      <c r="D21" s="1">
        <f>Tungku!D21+Salar!D21+Bengkurong!D21+Tutong!D21+Lambak!D21</f>
        <v>1250</v>
      </c>
      <c r="E21" s="1">
        <f>Tungku!E21+Salar!E21+Bengkurong!E21+Tutong!E21+Lambak!E21</f>
        <v>1250</v>
      </c>
      <c r="F21" s="1">
        <f>Tungku!F21+Salar!F21+Bengkurong!F21+Tutong!F21+Lambak!F21</f>
        <v>1250</v>
      </c>
      <c r="G21" s="1">
        <f>Tungku!G21+Salar!G21+Bengkurong!G21+Tutong!G21+Lambak!G21</f>
        <v>1250</v>
      </c>
      <c r="H21" s="1">
        <f>Tungku!H21+Salar!H21+Bengkurong!H21+Tutong!H21+Lambak!H21</f>
        <v>1250</v>
      </c>
      <c r="I21" s="1">
        <f>Tungku!I21+Salar!I21+Bengkurong!I21+Tutong!I21+Lambak!I21</f>
        <v>1250</v>
      </c>
      <c r="J21" s="1">
        <f>Tungku!J21+Salar!J21+Bengkurong!J21+Tutong!J21+Lambak!J21</f>
        <v>0</v>
      </c>
      <c r="K21" s="1">
        <f>Tungku!K21+Salar!K21+Bengkurong!K21+Tutong!K21+Lambak!K21</f>
        <v>0</v>
      </c>
      <c r="L21" s="1">
        <f>Tungku!L21+Salar!L21+Bengkurong!L21+Tutong!L21+Lambak!L21</f>
        <v>0</v>
      </c>
      <c r="M21" s="1">
        <f>Tungku!M21+Salar!M21+Bengkurong!M21+Tutong!M21+Lambak!M21</f>
        <v>0</v>
      </c>
      <c r="N21" s="1">
        <f>Tungku!N21+Salar!N21+Bengkurong!N21+Tutong!N21+Lambak!N21</f>
        <v>0</v>
      </c>
      <c r="O21" s="1">
        <f>Tungku!O21+Salar!O21+Bengkurong!O21+Tutong!O21+Lambak!O21</f>
        <v>0</v>
      </c>
      <c r="P21" s="1">
        <f t="shared" ref="P21:P23" si="3">SUM(D21:O21)</f>
        <v>7500</v>
      </c>
    </row>
    <row r="22" spans="2:16">
      <c r="B22" s="21"/>
      <c r="C22" s="21" t="s">
        <v>50</v>
      </c>
      <c r="D22" s="22">
        <f>SUM(D14:D21)</f>
        <v>10534.68</v>
      </c>
      <c r="E22" s="22">
        <f t="shared" ref="E22:O22" si="4">SUM(E14:E21)</f>
        <v>10770.87</v>
      </c>
      <c r="F22" s="22">
        <f t="shared" si="4"/>
        <v>11659.36</v>
      </c>
      <c r="G22" s="22">
        <f t="shared" si="4"/>
        <v>10884.199999999999</v>
      </c>
      <c r="H22" s="22">
        <f t="shared" si="4"/>
        <v>10964.36</v>
      </c>
      <c r="I22" s="22">
        <f t="shared" si="4"/>
        <v>10854.56</v>
      </c>
      <c r="J22" s="22">
        <f t="shared" si="4"/>
        <v>0</v>
      </c>
      <c r="K22" s="22">
        <f t="shared" si="4"/>
        <v>0</v>
      </c>
      <c r="L22" s="22">
        <f t="shared" si="4"/>
        <v>0</v>
      </c>
      <c r="M22" s="22">
        <f t="shared" si="4"/>
        <v>0</v>
      </c>
      <c r="N22" s="22">
        <f t="shared" si="4"/>
        <v>0</v>
      </c>
      <c r="O22" s="22">
        <f t="shared" si="4"/>
        <v>0</v>
      </c>
      <c r="P22" s="22">
        <f t="shared" si="3"/>
        <v>65668.03</v>
      </c>
    </row>
    <row r="23" spans="2:16">
      <c r="B23" s="83"/>
      <c r="C23" s="84" t="s">
        <v>51</v>
      </c>
      <c r="D23" s="85">
        <f>SUM(D12,D22)</f>
        <v>23792.18</v>
      </c>
      <c r="E23" s="85">
        <f t="shared" ref="E23:O23" si="5">SUM(E12,E22)</f>
        <v>23000.34</v>
      </c>
      <c r="F23" s="85">
        <f t="shared" si="5"/>
        <v>33366.839999999997</v>
      </c>
      <c r="G23" s="85">
        <f t="shared" si="5"/>
        <v>28355.450000000004</v>
      </c>
      <c r="H23" s="85">
        <f t="shared" si="5"/>
        <v>25841.480000000003</v>
      </c>
      <c r="I23" s="85">
        <f t="shared" si="5"/>
        <v>25873.22</v>
      </c>
      <c r="J23" s="85">
        <f t="shared" si="5"/>
        <v>0</v>
      </c>
      <c r="K23" s="85">
        <f t="shared" si="5"/>
        <v>0</v>
      </c>
      <c r="L23" s="85">
        <f t="shared" si="5"/>
        <v>0</v>
      </c>
      <c r="M23" s="85">
        <f t="shared" si="5"/>
        <v>0</v>
      </c>
      <c r="N23" s="85">
        <f t="shared" si="5"/>
        <v>0</v>
      </c>
      <c r="O23" s="85">
        <f t="shared" si="5"/>
        <v>0</v>
      </c>
      <c r="P23" s="85">
        <f t="shared" si="3"/>
        <v>160229.51</v>
      </c>
    </row>
    <row r="24" spans="2:16">
      <c r="B24" s="108"/>
      <c r="C24" s="109" t="s">
        <v>52</v>
      </c>
      <c r="D24" s="110">
        <f>Tungku!D24+Salar!D24+Bengkurong!D24+Tutong!D24+Lambak!D24</f>
        <v>210.0600000000004</v>
      </c>
      <c r="E24" s="110">
        <f>Tungku!E24+Salar!E24+Bengkurong!E24+Tutong!E24+Lambak!E24</f>
        <v>2852.4200000000014</v>
      </c>
      <c r="F24" s="110">
        <f>Tungku!F24+Salar!F24+Bengkurong!F24+Tutong!F24+Lambak!F24</f>
        <v>19176.86</v>
      </c>
      <c r="G24" s="110">
        <f>Tungku!G24+Salar!G24+Bengkurong!G24+Tutong!G24+Lambak!G24</f>
        <v>6291.409999999998</v>
      </c>
      <c r="H24" s="110">
        <f>Tungku!H24+Salar!H24+Bengkurong!H24+Tutong!H24+Lambak!H24</f>
        <v>-1411.9099999999994</v>
      </c>
      <c r="I24" s="110">
        <f>Tungku!I24+Salar!I24+Bengkurong!I24+Tutong!I24+Lambak!I24</f>
        <v>480.27000000000044</v>
      </c>
      <c r="J24" s="110">
        <f t="shared" ref="G24:O24" si="6">J3-J12-J22</f>
        <v>0</v>
      </c>
      <c r="K24" s="110">
        <f t="shared" si="6"/>
        <v>0</v>
      </c>
      <c r="L24" s="110">
        <f t="shared" si="6"/>
        <v>0</v>
      </c>
      <c r="M24" s="110">
        <f t="shared" si="6"/>
        <v>0</v>
      </c>
      <c r="N24" s="110">
        <f t="shared" si="6"/>
        <v>0</v>
      </c>
      <c r="O24" s="110">
        <f t="shared" si="6"/>
        <v>0</v>
      </c>
      <c r="P24" s="111">
        <f>SUM(D24:O24)</f>
        <v>27599.11</v>
      </c>
    </row>
    <row r="25" spans="2:16">
      <c r="C25" s="3" t="s">
        <v>53</v>
      </c>
      <c r="D25" s="4">
        <f>Tungku!D25+Salar!D25+Bengkurong!D25+Tutong!D25+Lambak!D25</f>
        <v>708.34999999999991</v>
      </c>
      <c r="E25" s="4">
        <f>Tungku!E25+Salar!E25+Bengkurong!E25+Tutong!E25+Lambak!E25</f>
        <v>708.34999999999991</v>
      </c>
      <c r="F25" s="4">
        <f>Tungku!F25+Salar!F25+Bengkurong!F25+Tutong!F25+Lambak!F25</f>
        <v>708.34999999999991</v>
      </c>
      <c r="G25" s="4">
        <f>Tungku!G25+Salar!G25+Bengkurong!G25+Tutong!G25+Lambak!G25</f>
        <v>708.34999999999991</v>
      </c>
      <c r="H25" s="4">
        <f>Tungku!H25+Salar!H25+Bengkurong!H25+Tutong!H25+Lambak!H25</f>
        <v>708.34999999999991</v>
      </c>
      <c r="I25" s="4">
        <f>Tungku!I25+Salar!I25+Bengkurong!I25+Tutong!I25+Lambak!I25</f>
        <v>708.34999999999991</v>
      </c>
      <c r="J25" s="4">
        <f>Tungku!J25+Salar!J25+Bengkurong!J25+Tutong!J25+Lambak!J25</f>
        <v>0</v>
      </c>
      <c r="K25" s="4">
        <f>Tungku!K25+Salar!K25+Bengkurong!K25+Tutong!K25+Lambak!K25</f>
        <v>0</v>
      </c>
      <c r="L25" s="4">
        <f>Tungku!L25+Salar!L25+Bengkurong!L25+Tutong!L25+Lambak!L25</f>
        <v>0</v>
      </c>
      <c r="M25" s="4">
        <f>Tungku!M25+Salar!M25+Bengkurong!M25+Tutong!M25+Lambak!M25</f>
        <v>0</v>
      </c>
      <c r="N25" s="4">
        <f>Tungku!N25+Salar!N25+Bengkurong!N25+Tutong!N25+Lambak!N25</f>
        <v>0</v>
      </c>
      <c r="O25" s="4">
        <f>Tungku!O25+Salar!O25+Bengkurong!O25+Tutong!O25+Lambak!O25</f>
        <v>0</v>
      </c>
      <c r="P25" s="1">
        <f>SUM(D25:O25)</f>
        <v>4250.0999999999995</v>
      </c>
    </row>
    <row r="26" spans="2:16">
      <c r="B26" s="112"/>
      <c r="C26" s="113" t="s">
        <v>54</v>
      </c>
      <c r="D26" s="114">
        <f>D24-D25</f>
        <v>-498.28999999999951</v>
      </c>
      <c r="E26" s="114">
        <f t="shared" ref="E26:P26" si="7">E24-E25</f>
        <v>2144.0700000000015</v>
      </c>
      <c r="F26" s="114">
        <f t="shared" si="7"/>
        <v>18468.510000000002</v>
      </c>
      <c r="G26" s="114">
        <f t="shared" si="7"/>
        <v>5583.0599999999977</v>
      </c>
      <c r="H26" s="114">
        <f t="shared" si="7"/>
        <v>-2120.2599999999993</v>
      </c>
      <c r="I26" s="114">
        <f t="shared" si="7"/>
        <v>-228.07999999999947</v>
      </c>
      <c r="J26" s="114">
        <f t="shared" si="7"/>
        <v>0</v>
      </c>
      <c r="K26" s="114">
        <f t="shared" si="7"/>
        <v>0</v>
      </c>
      <c r="L26" s="114">
        <f t="shared" si="7"/>
        <v>0</v>
      </c>
      <c r="M26" s="114">
        <f t="shared" si="7"/>
        <v>0</v>
      </c>
      <c r="N26" s="114">
        <f t="shared" si="7"/>
        <v>0</v>
      </c>
      <c r="O26" s="114">
        <f t="shared" si="7"/>
        <v>0</v>
      </c>
      <c r="P26" s="114">
        <f t="shared" si="7"/>
        <v>23349.010000000002</v>
      </c>
    </row>
    <row r="27" spans="2:16"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/>
    </row>
    <row r="28" spans="2:16" ht="15">
      <c r="B28" s="21"/>
      <c r="C28" s="21" t="s">
        <v>69</v>
      </c>
      <c r="D28" s="26">
        <f>D26/D3</f>
        <v>-2.0978652960731259E-2</v>
      </c>
      <c r="E28" s="26">
        <f t="shared" ref="E28:P28" si="8">E26/E3</f>
        <v>8.3743705756723158E-2</v>
      </c>
      <c r="F28" s="26">
        <f t="shared" si="8"/>
        <v>0.35316892857074567</v>
      </c>
      <c r="G28" s="26">
        <f t="shared" si="8"/>
        <v>0.16114187548308845</v>
      </c>
      <c r="H28" s="26">
        <f t="shared" si="8"/>
        <v>-8.7688077165971073E-2</v>
      </c>
      <c r="I28" s="26">
        <f t="shared" si="8"/>
        <v>-8.7375289664332039E-3</v>
      </c>
      <c r="J28" s="26" t="e">
        <f t="shared" si="8"/>
        <v>#DIV/0!</v>
      </c>
      <c r="K28" s="26" t="e">
        <f t="shared" si="8"/>
        <v>#DIV/0!</v>
      </c>
      <c r="L28" s="26" t="e">
        <f t="shared" si="8"/>
        <v>#DIV/0!</v>
      </c>
      <c r="M28" s="26" t="e">
        <f t="shared" si="8"/>
        <v>#DIV/0!</v>
      </c>
      <c r="N28" s="26" t="e">
        <f t="shared" si="8"/>
        <v>#DIV/0!</v>
      </c>
      <c r="O28" s="26" t="e">
        <f t="shared" si="8"/>
        <v>#DIV/0!</v>
      </c>
      <c r="P28" s="26">
        <f t="shared" si="8"/>
        <v>0.12514300941876408</v>
      </c>
    </row>
    <row r="29" spans="2:16" ht="15" customHeight="1">
      <c r="B29" s="117"/>
      <c r="C29" s="103" t="s">
        <v>1</v>
      </c>
      <c r="D29" s="100" t="s">
        <v>13</v>
      </c>
      <c r="E29" s="100" t="s">
        <v>14</v>
      </c>
      <c r="F29" s="101" t="s">
        <v>15</v>
      </c>
      <c r="G29" s="101" t="s">
        <v>16</v>
      </c>
      <c r="H29" s="101" t="s">
        <v>17</v>
      </c>
      <c r="I29" s="101" t="s">
        <v>18</v>
      </c>
      <c r="J29" s="1"/>
      <c r="K29" s="1"/>
      <c r="L29" s="93"/>
      <c r="M29" s="1"/>
      <c r="N29" s="1"/>
      <c r="O29" s="1"/>
    </row>
    <row r="30" spans="2:16" ht="97.5" customHeight="1">
      <c r="B30" s="117"/>
      <c r="C30" s="104" t="s">
        <v>113</v>
      </c>
      <c r="D30" s="102" t="s">
        <v>71</v>
      </c>
      <c r="E30" s="102" t="s">
        <v>71</v>
      </c>
      <c r="F30" s="102" t="s">
        <v>72</v>
      </c>
      <c r="G30" s="102" t="s">
        <v>114</v>
      </c>
      <c r="H30" s="102" t="s">
        <v>115</v>
      </c>
      <c r="I30" s="102" t="s">
        <v>116</v>
      </c>
      <c r="J30" s="1"/>
      <c r="K30" s="1"/>
      <c r="L30" s="1"/>
      <c r="M30" s="1"/>
      <c r="N30" s="14"/>
      <c r="O30" s="1"/>
    </row>
    <row r="31" spans="2:16" ht="15">
      <c r="D31" s="1"/>
      <c r="E31" s="1"/>
      <c r="F31" s="1"/>
      <c r="G31" s="1"/>
      <c r="H31" s="1"/>
      <c r="I31" s="1"/>
      <c r="J31" s="1"/>
      <c r="K31" s="1"/>
      <c r="L31" s="1"/>
      <c r="M31" s="1"/>
      <c r="N31" s="14"/>
      <c r="O31" s="1"/>
    </row>
    <row r="33" spans="4:24">
      <c r="D33" s="1"/>
      <c r="E33" s="1"/>
      <c r="F33" s="1"/>
      <c r="G33" s="1"/>
      <c r="H33" s="1"/>
      <c r="I33" s="1"/>
      <c r="J33" s="1"/>
      <c r="K33" s="1"/>
      <c r="L33" s="1"/>
    </row>
    <row r="34" spans="4:24">
      <c r="X34" t="s">
        <v>117</v>
      </c>
    </row>
    <row r="45" spans="4:24">
      <c r="D45" s="1"/>
      <c r="E45" s="1"/>
      <c r="F45" s="1"/>
      <c r="G45" s="1"/>
      <c r="H45" s="1"/>
      <c r="I45" s="1"/>
    </row>
  </sheetData>
  <mergeCells count="3">
    <mergeCell ref="B4:B11"/>
    <mergeCell ref="B14:B20"/>
    <mergeCell ref="B29:B30"/>
  </mergeCells>
  <pageMargins left="0.7" right="0.7" top="0.75" bottom="0.75" header="0.3" footer="0.3"/>
  <pageSetup orientation="portrait" horizontalDpi="1200" verticalDpi="12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3470-3E4D-4F26-A529-ECFEBB11A93C}">
  <dimension ref="B1:I34"/>
  <sheetViews>
    <sheetView zoomScaleNormal="100" workbookViewId="0">
      <selection activeCell="F4" sqref="F4"/>
    </sheetView>
  </sheetViews>
  <sheetFormatPr defaultRowHeight="14.25"/>
  <cols>
    <col min="1" max="1" width="1.85546875" customWidth="1"/>
    <col min="2" max="2" width="4.5703125" customWidth="1"/>
    <col min="3" max="3" width="5.140625" bestFit="1" customWidth="1"/>
    <col min="4" max="5" width="10.5703125" bestFit="1" customWidth="1"/>
    <col min="6" max="6" width="12.28515625" bestFit="1" customWidth="1"/>
    <col min="7" max="7" width="3.7109375" customWidth="1"/>
    <col min="8" max="8" width="13.28515625" customWidth="1"/>
    <col min="9" max="9" width="10" bestFit="1" customWidth="1"/>
  </cols>
  <sheetData>
    <row r="1" spans="2:9" ht="14.65" thickBot="1"/>
    <row r="2" spans="2:9" ht="15" thickTop="1" thickBot="1">
      <c r="C2" s="118" t="s">
        <v>118</v>
      </c>
      <c r="D2" s="40">
        <v>31</v>
      </c>
      <c r="E2" s="41"/>
      <c r="F2" s="41"/>
      <c r="H2" s="120" t="s">
        <v>119</v>
      </c>
      <c r="I2" s="121"/>
    </row>
    <row r="3" spans="2:9" ht="15" thickTop="1" thickBot="1">
      <c r="C3" s="119"/>
      <c r="D3" s="42" t="s">
        <v>29</v>
      </c>
      <c r="E3" s="43" t="s">
        <v>120</v>
      </c>
      <c r="F3" s="43" t="s">
        <v>121</v>
      </c>
      <c r="H3" s="45" t="s">
        <v>122</v>
      </c>
      <c r="I3" s="14">
        <f>D2/31</f>
        <v>1</v>
      </c>
    </row>
    <row r="4" spans="2:9" ht="14.65" thickTop="1">
      <c r="B4" s="27" t="s">
        <v>123</v>
      </c>
      <c r="C4" s="28" t="s">
        <v>124</v>
      </c>
      <c r="D4" s="38">
        <v>334</v>
      </c>
      <c r="E4" s="39">
        <v>677.39166666666665</v>
      </c>
      <c r="F4" s="39">
        <f>SUM($D$4:D4)-17397.85</f>
        <v>-17063.849999999999</v>
      </c>
      <c r="H4" s="46" t="s">
        <v>125</v>
      </c>
      <c r="I4" s="14" t="e">
        <f>#REF!/#REF!</f>
        <v>#REF!</v>
      </c>
    </row>
    <row r="5" spans="2:9">
      <c r="B5" s="27" t="s">
        <v>126</v>
      </c>
      <c r="C5" s="28" t="s">
        <v>127</v>
      </c>
      <c r="D5" s="38">
        <v>1035</v>
      </c>
      <c r="E5" s="39">
        <v>677.39166666666665</v>
      </c>
      <c r="F5" s="39">
        <f>SUM($D$4:D5)-17397.85</f>
        <v>-16028.849999999999</v>
      </c>
      <c r="H5" s="46" t="s">
        <v>128</v>
      </c>
      <c r="I5" s="14" t="e">
        <f>(Tungku!O3/Tungku!N3)-I3</f>
        <v>#DIV/0!</v>
      </c>
    </row>
    <row r="6" spans="2:9">
      <c r="B6" s="27" t="s">
        <v>129</v>
      </c>
      <c r="C6" s="28" t="s">
        <v>130</v>
      </c>
      <c r="D6" s="38">
        <v>1283</v>
      </c>
      <c r="E6" s="39">
        <v>677.39166666666665</v>
      </c>
      <c r="F6" s="39">
        <f>SUM($D$4:D6)-17397.85</f>
        <v>-14745.849999999999</v>
      </c>
      <c r="H6" s="46" t="s">
        <v>24</v>
      </c>
      <c r="I6" s="14" t="e">
        <f>(#REF!/#REF!)-I3</f>
        <v>#REF!</v>
      </c>
    </row>
    <row r="7" spans="2:9">
      <c r="B7" s="27" t="s">
        <v>131</v>
      </c>
      <c r="C7" s="28" t="s">
        <v>132</v>
      </c>
      <c r="D7" s="38">
        <v>611</v>
      </c>
      <c r="E7" s="39">
        <v>677.39166666666665</v>
      </c>
      <c r="F7" s="39">
        <f>SUM($D$4:D7)-17397.85</f>
        <v>-14134.849999999999</v>
      </c>
      <c r="H7" s="21" t="s">
        <v>133</v>
      </c>
      <c r="I7" s="81" t="e">
        <f>#REF!/#REF!</f>
        <v>#REF!</v>
      </c>
    </row>
    <row r="8" spans="2:9">
      <c r="B8" s="27" t="s">
        <v>134</v>
      </c>
      <c r="C8" s="28" t="s">
        <v>135</v>
      </c>
      <c r="D8" s="38">
        <v>725</v>
      </c>
      <c r="E8" s="39">
        <v>677.39166666666665</v>
      </c>
      <c r="F8" s="39">
        <f>SUM($D$4:D8)-17397.85</f>
        <v>-13409.849999999999</v>
      </c>
    </row>
    <row r="9" spans="2:9">
      <c r="B9" s="27" t="s">
        <v>136</v>
      </c>
      <c r="C9" s="28" t="s">
        <v>137</v>
      </c>
      <c r="D9" s="38">
        <v>615</v>
      </c>
      <c r="E9" s="39">
        <v>677.39166666666665</v>
      </c>
      <c r="F9" s="39">
        <f>SUM($D$4:D9)-17397.85</f>
        <v>-12794.849999999999</v>
      </c>
    </row>
    <row r="10" spans="2:9">
      <c r="B10" s="27" t="s">
        <v>138</v>
      </c>
      <c r="C10" s="28" t="s">
        <v>139</v>
      </c>
      <c r="D10" s="38">
        <v>588</v>
      </c>
      <c r="E10" s="39">
        <v>677.39166666666665</v>
      </c>
      <c r="F10" s="39">
        <f>SUM($D$4:D10)-17397.85</f>
        <v>-12206.849999999999</v>
      </c>
    </row>
    <row r="11" spans="2:9">
      <c r="B11" s="27" t="s">
        <v>123</v>
      </c>
      <c r="C11" s="28" t="s">
        <v>140</v>
      </c>
      <c r="D11" s="38">
        <v>570</v>
      </c>
      <c r="E11" s="39">
        <v>677.39166666666665</v>
      </c>
      <c r="F11" s="39">
        <f>SUM($D$4:D11)-17397.85</f>
        <v>-11636.849999999999</v>
      </c>
    </row>
    <row r="12" spans="2:9">
      <c r="B12" s="27" t="s">
        <v>126</v>
      </c>
      <c r="C12" s="28" t="s">
        <v>141</v>
      </c>
      <c r="D12" s="38">
        <v>1072</v>
      </c>
      <c r="E12" s="39">
        <v>677.39166666666665</v>
      </c>
      <c r="F12" s="39">
        <f>SUM($D$4:D12)-17397.85</f>
        <v>-10564.849999999999</v>
      </c>
    </row>
    <row r="13" spans="2:9">
      <c r="B13" s="27" t="s">
        <v>129</v>
      </c>
      <c r="C13" s="28" t="s">
        <v>142</v>
      </c>
      <c r="D13" s="38">
        <v>1126</v>
      </c>
      <c r="E13" s="39">
        <v>677.39166666666665</v>
      </c>
      <c r="F13" s="39">
        <f>SUM($D$4:D13)-17397.85</f>
        <v>-9438.8499999999985</v>
      </c>
      <c r="H13" s="1"/>
    </row>
    <row r="14" spans="2:9">
      <c r="B14" s="27" t="s">
        <v>131</v>
      </c>
      <c r="C14" s="28" t="s">
        <v>143</v>
      </c>
      <c r="D14" s="38">
        <v>720</v>
      </c>
      <c r="E14" s="39">
        <v>677.39166666666665</v>
      </c>
      <c r="F14" s="39">
        <f>SUM($D$4:D14)-17397.85</f>
        <v>-8718.8499999999985</v>
      </c>
    </row>
    <row r="15" spans="2:9">
      <c r="B15" s="27" t="s">
        <v>134</v>
      </c>
      <c r="C15" s="28" t="s">
        <v>144</v>
      </c>
      <c r="D15" s="38">
        <v>830</v>
      </c>
      <c r="E15" s="39">
        <v>677.39166666666665</v>
      </c>
      <c r="F15" s="39">
        <f>SUM($D$4:D15)-17397.85</f>
        <v>-7888.8499999999985</v>
      </c>
      <c r="G15" s="1"/>
    </row>
    <row r="16" spans="2:9">
      <c r="B16" s="27" t="s">
        <v>136</v>
      </c>
      <c r="C16" s="28" t="s">
        <v>145</v>
      </c>
      <c r="D16" s="38">
        <v>690</v>
      </c>
      <c r="E16" s="39">
        <v>677.39166666666665</v>
      </c>
      <c r="F16" s="39">
        <f>SUM($D$4:D16)-17397.85</f>
        <v>-7198.8499999999985</v>
      </c>
    </row>
    <row r="17" spans="2:6">
      <c r="B17" s="27" t="s">
        <v>138</v>
      </c>
      <c r="C17" s="28" t="s">
        <v>146</v>
      </c>
      <c r="D17" s="38">
        <v>869</v>
      </c>
      <c r="E17" s="39">
        <v>677.39166666666665</v>
      </c>
      <c r="F17" s="39">
        <f>SUM($D$4:D17)-17397.85</f>
        <v>-6329.8499999999985</v>
      </c>
    </row>
    <row r="18" spans="2:6">
      <c r="B18" s="27" t="s">
        <v>123</v>
      </c>
      <c r="C18" s="28" t="s">
        <v>147</v>
      </c>
      <c r="D18" s="38">
        <v>367</v>
      </c>
      <c r="E18" s="39">
        <v>677.39166666666665</v>
      </c>
      <c r="F18" s="39">
        <f>SUM($D$4:D18)-17397.85</f>
        <v>-5962.8499999999985</v>
      </c>
    </row>
    <row r="19" spans="2:6">
      <c r="B19" s="27" t="s">
        <v>126</v>
      </c>
      <c r="C19" s="28" t="s">
        <v>148</v>
      </c>
      <c r="D19" s="38">
        <v>1137</v>
      </c>
      <c r="E19" s="39">
        <v>677.39166666666665</v>
      </c>
      <c r="F19" s="39">
        <f>SUM($D$4:D19)-17397.85</f>
        <v>-4825.8499999999985</v>
      </c>
    </row>
    <row r="20" spans="2:6">
      <c r="B20" s="27" t="s">
        <v>129</v>
      </c>
      <c r="C20" s="28" t="s">
        <v>149</v>
      </c>
      <c r="D20" s="38">
        <v>1179</v>
      </c>
      <c r="E20" s="39">
        <v>677.39166666666665</v>
      </c>
      <c r="F20" s="39">
        <f>SUM($D$4:D20)-17397.85</f>
        <v>-3646.8499999999985</v>
      </c>
    </row>
    <row r="21" spans="2:6">
      <c r="B21" s="27" t="s">
        <v>131</v>
      </c>
      <c r="C21" s="28" t="s">
        <v>150</v>
      </c>
      <c r="D21" s="38">
        <v>846</v>
      </c>
      <c r="E21" s="39">
        <v>677.39166666666665</v>
      </c>
      <c r="F21" s="39">
        <f>SUM($D$4:D21)-17397.85</f>
        <v>-2800.8499999999985</v>
      </c>
    </row>
    <row r="22" spans="2:6">
      <c r="B22" s="27" t="s">
        <v>134</v>
      </c>
      <c r="C22" s="28" t="s">
        <v>151</v>
      </c>
      <c r="D22" s="38">
        <v>409</v>
      </c>
      <c r="E22" s="39">
        <v>677.39166666666665</v>
      </c>
      <c r="F22" s="39">
        <f>SUM($D$4:D22)-17397.85</f>
        <v>-2391.8499999999985</v>
      </c>
    </row>
    <row r="23" spans="2:6">
      <c r="B23" s="27" t="s">
        <v>136</v>
      </c>
      <c r="C23" s="28" t="s">
        <v>152</v>
      </c>
      <c r="D23" s="38">
        <v>798</v>
      </c>
      <c r="E23" s="39">
        <v>677.39166666666665</v>
      </c>
      <c r="F23" s="39">
        <f>SUM($D$4:D23)-17397.85</f>
        <v>-1593.8499999999985</v>
      </c>
    </row>
    <row r="24" spans="2:6">
      <c r="B24" s="27" t="s">
        <v>138</v>
      </c>
      <c r="C24" s="28" t="s">
        <v>153</v>
      </c>
      <c r="D24" s="38">
        <v>818</v>
      </c>
      <c r="E24" s="39">
        <v>677.39166666666665</v>
      </c>
      <c r="F24" s="39">
        <f>SUM($D$4:D24)-17397.85</f>
        <v>-775.84999999999854</v>
      </c>
    </row>
    <row r="25" spans="2:6">
      <c r="B25" s="27" t="s">
        <v>123</v>
      </c>
      <c r="C25" s="28" t="s">
        <v>154</v>
      </c>
      <c r="D25" s="38">
        <v>558</v>
      </c>
      <c r="E25" s="39">
        <v>677.39166666666665</v>
      </c>
      <c r="F25" s="39">
        <f>SUM($D$4:D25)-17397.85</f>
        <v>-217.84999999999854</v>
      </c>
    </row>
    <row r="26" spans="2:6">
      <c r="B26" s="27" t="s">
        <v>126</v>
      </c>
      <c r="C26" s="28" t="s">
        <v>155</v>
      </c>
      <c r="D26" s="38">
        <v>682</v>
      </c>
      <c r="E26" s="39">
        <v>677.39166666666665</v>
      </c>
      <c r="F26" s="39">
        <f>SUM($D$4:D26)-17397.85</f>
        <v>464.15000000000146</v>
      </c>
    </row>
    <row r="27" spans="2:6">
      <c r="B27" s="27" t="s">
        <v>129</v>
      </c>
      <c r="C27" s="28" t="s">
        <v>156</v>
      </c>
      <c r="D27" s="38">
        <v>850</v>
      </c>
      <c r="E27" s="39">
        <v>677.39166666666665</v>
      </c>
      <c r="F27" s="39">
        <f>SUM($D$4:D27)-17397.85</f>
        <v>1314.1500000000015</v>
      </c>
    </row>
    <row r="28" spans="2:6">
      <c r="B28" s="27" t="s">
        <v>131</v>
      </c>
      <c r="C28" s="28" t="s">
        <v>157</v>
      </c>
      <c r="D28" s="38">
        <v>1214</v>
      </c>
      <c r="E28" s="39">
        <v>677.39166666666665</v>
      </c>
      <c r="F28" s="39">
        <f>SUM($D$4:D28)-17397.85</f>
        <v>2528.1500000000015</v>
      </c>
    </row>
    <row r="29" spans="2:6">
      <c r="B29" s="27" t="s">
        <v>134</v>
      </c>
      <c r="C29" s="28" t="s">
        <v>158</v>
      </c>
      <c r="D29" s="38">
        <v>581</v>
      </c>
      <c r="E29" s="39">
        <v>677.39166666666665</v>
      </c>
      <c r="F29" s="39">
        <f>SUM($D$4:D29)-17397.85</f>
        <v>3109.1500000000015</v>
      </c>
    </row>
    <row r="30" spans="2:6">
      <c r="B30" s="27" t="s">
        <v>136</v>
      </c>
      <c r="C30" s="28" t="s">
        <v>159</v>
      </c>
      <c r="D30" s="38">
        <v>1243</v>
      </c>
      <c r="E30" s="39">
        <v>677.39166666666665</v>
      </c>
      <c r="F30" s="39">
        <f>SUM($D$4:D30)-17397.85</f>
        <v>4352.1500000000015</v>
      </c>
    </row>
    <row r="31" spans="2:6">
      <c r="B31" s="27" t="s">
        <v>138</v>
      </c>
      <c r="C31" s="28" t="s">
        <v>160</v>
      </c>
      <c r="D31" s="38">
        <v>1351</v>
      </c>
      <c r="E31" s="39">
        <v>677.39166666666665</v>
      </c>
      <c r="F31" s="39">
        <f>SUM($D$4:D31)-17397.85</f>
        <v>5703.1500000000015</v>
      </c>
    </row>
    <row r="32" spans="2:6">
      <c r="B32" s="27" t="s">
        <v>123</v>
      </c>
      <c r="C32" s="28" t="s">
        <v>161</v>
      </c>
      <c r="D32" s="38">
        <v>753</v>
      </c>
      <c r="E32" s="39">
        <v>677.39166666666665</v>
      </c>
      <c r="F32" s="39">
        <f>SUM($D$4:D32)-17397.85</f>
        <v>6456.1500000000015</v>
      </c>
    </row>
    <row r="33" spans="2:6">
      <c r="B33" s="27" t="s">
        <v>126</v>
      </c>
      <c r="C33" s="28" t="s">
        <v>162</v>
      </c>
      <c r="D33" s="38">
        <v>1030</v>
      </c>
      <c r="E33" s="39">
        <v>677.39166666666665</v>
      </c>
      <c r="F33" s="39">
        <f>SUM($D$4:D33)-17397.85</f>
        <v>7486.1500000000015</v>
      </c>
    </row>
    <row r="34" spans="2:6">
      <c r="B34" s="27" t="s">
        <v>129</v>
      </c>
      <c r="C34" s="28" t="s">
        <v>163</v>
      </c>
      <c r="D34" s="38">
        <v>615</v>
      </c>
      <c r="E34" s="39">
        <v>677.39166666666665</v>
      </c>
      <c r="F34" s="39">
        <f>SUM($D$4:D34)-17397.85</f>
        <v>8101.1500000000015</v>
      </c>
    </row>
  </sheetData>
  <mergeCells count="2">
    <mergeCell ref="C2:C3"/>
    <mergeCell ref="H2:I2"/>
  </mergeCells>
  <phoneticPr fontId="4" type="noConversion"/>
  <conditionalFormatting sqref="F4:F34">
    <cfRule type="cellIs" dxfId="4" priority="2" operator="lessThan">
      <formula>1</formula>
    </cfRule>
    <cfRule type="cellIs" dxfId="3" priority="3" operator="greaterThan">
      <formula>1</formula>
    </cfRule>
    <cfRule type="cellIs" dxfId="2" priority="4" operator="greaterThan">
      <formula>550.61</formula>
    </cfRule>
    <cfRule type="cellIs" dxfId="1" priority="5" operator="greaterThan">
      <formula>1</formula>
    </cfRule>
    <cfRule type="cellIs" dxfId="0" priority="6" operator="greaterThan">
      <formula>"$"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A756-E153-4C28-9791-F357DA5EF20E}">
  <dimension ref="B1:N16"/>
  <sheetViews>
    <sheetView zoomScale="115" zoomScaleNormal="115" workbookViewId="0">
      <selection activeCell="D17" sqref="D17"/>
    </sheetView>
  </sheetViews>
  <sheetFormatPr defaultRowHeight="14.25"/>
  <cols>
    <col min="1" max="1" width="2.28515625" customWidth="1"/>
    <col min="2" max="2" width="6.7109375" customWidth="1"/>
    <col min="3" max="3" width="13.28515625" bestFit="1" customWidth="1"/>
    <col min="4" max="4" width="11" customWidth="1"/>
    <col min="5" max="5" width="2.5703125" customWidth="1"/>
    <col min="6" max="6" width="6.140625" bestFit="1" customWidth="1"/>
    <col min="7" max="7" width="10.85546875" bestFit="1" customWidth="1"/>
    <col min="8" max="8" width="11.28515625" customWidth="1"/>
    <col min="9" max="9" width="3.140625" customWidth="1"/>
    <col min="10" max="10" width="13.7109375" customWidth="1"/>
    <col min="13" max="13" width="8.140625" bestFit="1" customWidth="1"/>
    <col min="14" max="14" width="11.140625" bestFit="1" customWidth="1"/>
  </cols>
  <sheetData>
    <row r="1" spans="2:14" ht="14.65" thickBot="1">
      <c r="J1" s="12"/>
      <c r="K1" s="12"/>
      <c r="L1" s="12"/>
      <c r="M1" s="12"/>
      <c r="N1" s="12"/>
    </row>
    <row r="2" spans="2:14" ht="15" thickTop="1" thickBot="1">
      <c r="B2" s="53" t="s">
        <v>1</v>
      </c>
      <c r="C2" s="53" t="s">
        <v>164</v>
      </c>
      <c r="D2" s="53" t="s">
        <v>165</v>
      </c>
      <c r="F2" s="48" t="s">
        <v>1</v>
      </c>
      <c r="G2" s="49" t="s">
        <v>166</v>
      </c>
      <c r="H2" s="50" t="s">
        <v>167</v>
      </c>
      <c r="J2" s="51" t="s">
        <v>168</v>
      </c>
      <c r="K2" s="61" t="e">
        <f>SUM(C3:C13)</f>
        <v>#REF!</v>
      </c>
      <c r="L2" s="12"/>
      <c r="M2" s="12"/>
      <c r="N2" s="12"/>
    </row>
    <row r="3" spans="2:14" ht="15" thickTop="1" thickBot="1">
      <c r="B3" s="28" t="s">
        <v>58</v>
      </c>
      <c r="C3" s="15" t="e">
        <f>#REF!/9.45</f>
        <v>#REF!</v>
      </c>
      <c r="D3" s="54"/>
      <c r="F3" s="59" t="s">
        <v>58</v>
      </c>
      <c r="G3" s="35">
        <f>268+160+112</f>
        <v>540</v>
      </c>
      <c r="H3" s="34" t="e">
        <f t="shared" ref="H3:H14" si="0">G3/C3</f>
        <v>#REF!</v>
      </c>
      <c r="J3" s="52" t="s">
        <v>169</v>
      </c>
      <c r="K3" s="62" t="e">
        <f>AVERAGE(C3:C14)</f>
        <v>#REF!</v>
      </c>
      <c r="L3" s="12"/>
      <c r="M3" s="12"/>
      <c r="N3" s="12"/>
    </row>
    <row r="4" spans="2:14" ht="15" thickTop="1" thickBot="1">
      <c r="B4" s="32" t="s">
        <v>59</v>
      </c>
      <c r="C4" s="17" t="e">
        <f>#REF!/9.42</f>
        <v>#REF!</v>
      </c>
      <c r="D4" s="54"/>
      <c r="F4" s="60" t="s">
        <v>59</v>
      </c>
      <c r="G4" s="35">
        <f>242+65+11</f>
        <v>318</v>
      </c>
      <c r="H4" s="34" t="e">
        <f t="shared" si="0"/>
        <v>#REF!</v>
      </c>
      <c r="J4" s="12"/>
      <c r="K4" s="12"/>
      <c r="L4" s="12"/>
      <c r="M4" s="12"/>
      <c r="N4" s="12"/>
    </row>
    <row r="5" spans="2:14" ht="15" thickTop="1" thickBot="1">
      <c r="B5" s="33" t="s">
        <v>60</v>
      </c>
      <c r="C5" s="16" t="e">
        <f>#REF!/9.41</f>
        <v>#REF!</v>
      </c>
      <c r="D5" s="57" t="s">
        <v>170</v>
      </c>
      <c r="F5" s="60" t="s">
        <v>60</v>
      </c>
      <c r="G5" s="35">
        <f>387+78+36+18</f>
        <v>519</v>
      </c>
      <c r="H5" s="34" t="e">
        <f t="shared" si="0"/>
        <v>#REF!</v>
      </c>
      <c r="J5" s="122" t="s">
        <v>166</v>
      </c>
      <c r="K5" s="58" t="s">
        <v>10</v>
      </c>
      <c r="L5" s="58" t="s">
        <v>12</v>
      </c>
      <c r="M5" s="58" t="s">
        <v>171</v>
      </c>
      <c r="N5" s="47" t="s">
        <v>172</v>
      </c>
    </row>
    <row r="6" spans="2:14" ht="14.65" thickTop="1">
      <c r="B6" s="32" t="s">
        <v>61</v>
      </c>
      <c r="C6" s="17" t="e">
        <f>#REF!/9.67</f>
        <v>#REF!</v>
      </c>
      <c r="D6" s="54"/>
      <c r="F6" s="60" t="s">
        <v>61</v>
      </c>
      <c r="G6" s="35">
        <f>447+168+106+88+6</f>
        <v>815</v>
      </c>
      <c r="H6" s="34" t="e">
        <f t="shared" si="0"/>
        <v>#REF!</v>
      </c>
      <c r="J6" s="122"/>
      <c r="K6" s="35">
        <v>519</v>
      </c>
      <c r="L6" s="63">
        <v>519</v>
      </c>
      <c r="M6" s="30" t="s">
        <v>128</v>
      </c>
      <c r="N6" s="29">
        <f>L6/K6</f>
        <v>1</v>
      </c>
    </row>
    <row r="7" spans="2:14">
      <c r="B7" s="28" t="s">
        <v>17</v>
      </c>
      <c r="C7" s="82" t="e">
        <f>#REF!/9.53</f>
        <v>#REF!</v>
      </c>
      <c r="D7" s="56" t="s">
        <v>173</v>
      </c>
      <c r="F7" s="60" t="s">
        <v>17</v>
      </c>
      <c r="G7" s="35">
        <f>417+84+29+16</f>
        <v>546</v>
      </c>
      <c r="H7" s="34" t="e">
        <f t="shared" si="0"/>
        <v>#REF!</v>
      </c>
      <c r="J7" s="122"/>
      <c r="K7" s="35">
        <v>289</v>
      </c>
      <c r="L7" s="63">
        <v>341</v>
      </c>
      <c r="M7" s="30" t="s">
        <v>125</v>
      </c>
      <c r="N7" s="36">
        <f>L7/K7</f>
        <v>1.179930795847751</v>
      </c>
    </row>
    <row r="8" spans="2:14" ht="14.65" thickBot="1">
      <c r="B8" s="28" t="s">
        <v>62</v>
      </c>
      <c r="C8" s="15" t="e">
        <f>#REF!/9.71</f>
        <v>#REF!</v>
      </c>
      <c r="D8" s="54"/>
      <c r="F8" s="60" t="s">
        <v>62</v>
      </c>
      <c r="G8" s="35">
        <f>349+138+36+12</f>
        <v>535</v>
      </c>
      <c r="H8" s="34" t="e">
        <f t="shared" si="0"/>
        <v>#REF!</v>
      </c>
      <c r="J8" s="122"/>
      <c r="K8" s="64">
        <v>205</v>
      </c>
      <c r="L8" s="65">
        <v>198</v>
      </c>
      <c r="M8" s="31" t="s">
        <v>24</v>
      </c>
      <c r="N8" s="37">
        <f>L8/K8</f>
        <v>0.96585365853658534</v>
      </c>
    </row>
    <row r="9" spans="2:14" ht="14.65" thickTop="1">
      <c r="B9" s="28" t="s">
        <v>63</v>
      </c>
      <c r="C9" s="15" t="e">
        <f>#REF!/9.65</f>
        <v>#REF!</v>
      </c>
      <c r="D9" s="54"/>
      <c r="F9" s="60" t="s">
        <v>63</v>
      </c>
      <c r="G9" s="35">
        <f>293+186+142+37+11</f>
        <v>669</v>
      </c>
      <c r="H9" s="34" t="e">
        <f t="shared" si="0"/>
        <v>#REF!</v>
      </c>
      <c r="J9" s="44" t="s">
        <v>174</v>
      </c>
      <c r="K9" s="35">
        <f>SUM(K6:K8)</f>
        <v>1013</v>
      </c>
      <c r="L9" s="66">
        <f>SUM(L6:L8)</f>
        <v>1058</v>
      </c>
      <c r="M9" s="67">
        <f>L9/K9-1</f>
        <v>4.4422507403751199E-2</v>
      </c>
      <c r="N9" s="29">
        <f>L9/K9</f>
        <v>1.0444225074037512</v>
      </c>
    </row>
    <row r="10" spans="2:14">
      <c r="B10" s="28" t="s">
        <v>64</v>
      </c>
      <c r="C10" s="15" t="e">
        <f>#REF!/9.73</f>
        <v>#REF!</v>
      </c>
      <c r="D10" s="55" t="e">
        <f>C10/K3-1</f>
        <v>#REF!</v>
      </c>
      <c r="F10" s="60" t="s">
        <v>64</v>
      </c>
      <c r="G10" s="35">
        <f>369+223+189+31+6</f>
        <v>818</v>
      </c>
      <c r="H10" s="34" t="e">
        <f t="shared" si="0"/>
        <v>#REF!</v>
      </c>
      <c r="J10" s="12"/>
      <c r="K10" s="12"/>
      <c r="L10" s="12"/>
      <c r="M10" s="12"/>
      <c r="N10" s="12"/>
    </row>
    <row r="11" spans="2:14">
      <c r="B11" s="28" t="s">
        <v>65</v>
      </c>
      <c r="C11" s="18" t="e">
        <f>#REF!/9.85</f>
        <v>#REF!</v>
      </c>
      <c r="D11" s="55" t="e">
        <f>C11/K3-1</f>
        <v>#REF!</v>
      </c>
      <c r="F11" s="60" t="s">
        <v>65</v>
      </c>
      <c r="G11" s="35">
        <v>803</v>
      </c>
      <c r="H11" s="34" t="e">
        <f t="shared" si="0"/>
        <v>#REF!</v>
      </c>
      <c r="J11" s="12"/>
      <c r="K11" s="12"/>
      <c r="L11" s="12"/>
      <c r="M11" s="12"/>
      <c r="N11" s="12"/>
    </row>
    <row r="12" spans="2:14">
      <c r="B12" s="28" t="s">
        <v>66</v>
      </c>
      <c r="C12" s="15" t="e">
        <f>#REF!/10.06</f>
        <v>#REF!</v>
      </c>
      <c r="D12" s="55" t="e">
        <f>C12/K3-1</f>
        <v>#REF!</v>
      </c>
      <c r="F12" s="60" t="s">
        <v>66</v>
      </c>
      <c r="G12" s="35">
        <v>1013</v>
      </c>
      <c r="H12" s="34" t="e">
        <f t="shared" si="0"/>
        <v>#REF!</v>
      </c>
      <c r="J12" s="12"/>
      <c r="K12" s="12"/>
      <c r="L12" s="12"/>
      <c r="M12" s="12"/>
      <c r="N12" s="12"/>
    </row>
    <row r="13" spans="2:14">
      <c r="B13" s="28" t="s">
        <v>67</v>
      </c>
      <c r="C13" s="15" t="e">
        <f>#REF!/10</f>
        <v>#REF!</v>
      </c>
      <c r="D13" s="55" t="e">
        <f>C13/K3-1</f>
        <v>#REF!</v>
      </c>
      <c r="F13" s="60" t="s">
        <v>67</v>
      </c>
      <c r="G13" s="35">
        <v>760</v>
      </c>
      <c r="H13" s="34" t="e">
        <f t="shared" si="0"/>
        <v>#REF!</v>
      </c>
    </row>
    <row r="14" spans="2:14">
      <c r="B14" s="28" t="s">
        <v>68</v>
      </c>
      <c r="C14" s="15" t="e">
        <f>#REF!/10.22</f>
        <v>#REF!</v>
      </c>
      <c r="D14" s="55" t="e">
        <f>C14/K3-1</f>
        <v>#REF!</v>
      </c>
      <c r="F14" s="60" t="s">
        <v>68</v>
      </c>
      <c r="G14" s="35">
        <f>L9</f>
        <v>1058</v>
      </c>
      <c r="H14" s="34" t="e">
        <f t="shared" si="0"/>
        <v>#REF!</v>
      </c>
    </row>
    <row r="15" spans="2:14">
      <c r="H15" s="13"/>
      <c r="I15" s="13"/>
    </row>
    <row r="16" spans="2:14">
      <c r="F16" s="19"/>
      <c r="G16" s="19"/>
    </row>
  </sheetData>
  <dataConsolidate/>
  <mergeCells count="1">
    <mergeCell ref="J5:J8"/>
  </mergeCells>
  <phoneticPr fontId="4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7D02647A-B03E-468C-963F-E082BEE326CA}">
            <x14:iconSet iconSet="3Triangles">
              <x14:cfvo type="percent">
                <xm:f>0</xm:f>
              </x14:cfvo>
              <x14:cfvo type="num">
                <xm:f>$K$3</xm:f>
              </x14:cfvo>
              <x14:cfvo type="num">
                <xm:f>$K$3+1</xm:f>
              </x14:cfvo>
            </x14:iconSet>
          </x14:cfRule>
          <xm:sqref>C3:C14</xm:sqref>
        </x14:conditionalFormatting>
        <x14:conditionalFormatting xmlns:xm="http://schemas.microsoft.com/office/excel/2006/main">
          <x14:cfRule type="iconSet" priority="2" id="{144A1CD5-A47B-44E0-B97B-38E3FA674EC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H3:H14</xm:sqref>
        </x14:conditionalFormatting>
        <x14:conditionalFormatting xmlns:xm="http://schemas.microsoft.com/office/excel/2006/main">
          <x14:cfRule type="iconSet" priority="1" id="{E348D4E3-1A20-4AB1-A41F-D363A97A366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N6:N8</xm:sqref>
        </x14:conditionalFormatting>
        <x14:conditionalFormatting xmlns:xm="http://schemas.microsoft.com/office/excel/2006/main">
          <x14:cfRule type="iconSet" priority="3" id="{925C6E3F-9B97-458C-897B-1AB805D69E16}">
            <x14:iconSet iconSet="3Triangles">
              <x14:cfvo type="percent">
                <xm:f>0</xm:f>
              </x14:cfvo>
              <x14:cfvo type="percent">
                <xm:f>0</xm:f>
              </x14:cfvo>
              <x14:cfvo type="percent">
                <xm:f>0.02</xm:f>
              </x14:cfvo>
            </x14:iconSet>
          </x14:cfRule>
          <xm:sqref>N9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D4C8-5835-4CB3-88AF-7407E94F1826}">
  <sheetPr>
    <tabColor rgb="FF7030A0"/>
  </sheetPr>
  <dimension ref="B4:P40"/>
  <sheetViews>
    <sheetView zoomScale="85" zoomScaleNormal="85" workbookViewId="0">
      <pane xSplit="3" ySplit="26" topLeftCell="D42" activePane="bottomRight" state="frozen"/>
      <selection pane="bottomRight" activeCell="H45" sqref="H45"/>
      <selection pane="bottomLeft" activeCell="A27" sqref="A27"/>
      <selection pane="topRight" activeCell="D1" sqref="D1"/>
    </sheetView>
  </sheetViews>
  <sheetFormatPr defaultRowHeight="14.25"/>
  <cols>
    <col min="1" max="1" width="3.7109375" customWidth="1"/>
    <col min="2" max="2" width="11.140625" customWidth="1"/>
    <col min="3" max="3" width="18.28515625" bestFit="1" customWidth="1"/>
    <col min="4" max="4" width="11.5703125" bestFit="1" customWidth="1"/>
    <col min="5" max="5" width="11.28515625" bestFit="1" customWidth="1"/>
    <col min="6" max="12" width="11.5703125" bestFit="1" customWidth="1"/>
    <col min="13" max="15" width="11.28515625" bestFit="1" customWidth="1"/>
    <col min="16" max="16" width="13.85546875" customWidth="1"/>
  </cols>
  <sheetData>
    <row r="4" spans="2:16">
      <c r="B4" t="s">
        <v>77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2:16">
      <c r="D5" s="5" t="s">
        <v>58</v>
      </c>
      <c r="E5" s="5" t="s">
        <v>59</v>
      </c>
      <c r="F5" s="5" t="s">
        <v>60</v>
      </c>
      <c r="G5" s="5" t="s">
        <v>61</v>
      </c>
      <c r="H5" s="5" t="s">
        <v>17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5" t="s">
        <v>67</v>
      </c>
      <c r="O5" s="5" t="s">
        <v>68</v>
      </c>
      <c r="P5" s="5" t="s">
        <v>28</v>
      </c>
    </row>
    <row r="6" spans="2:16">
      <c r="B6" s="88"/>
      <c r="C6" s="86" t="s">
        <v>175</v>
      </c>
      <c r="D6" s="87">
        <v>0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  <c r="P6" s="87">
        <f t="shared" ref="P6:P13" si="0">SUM(D6:O6)</f>
        <v>0</v>
      </c>
    </row>
    <row r="7" spans="2:16" ht="15" customHeight="1">
      <c r="B7" s="116" t="s">
        <v>176</v>
      </c>
      <c r="C7" t="s">
        <v>177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f t="shared" si="0"/>
        <v>0</v>
      </c>
    </row>
    <row r="8" spans="2:16">
      <c r="B8" s="116"/>
      <c r="C8" t="s">
        <v>178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f t="shared" si="0"/>
        <v>0</v>
      </c>
    </row>
    <row r="9" spans="2:16">
      <c r="B9" s="116"/>
      <c r="C9" t="s">
        <v>179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f t="shared" si="0"/>
        <v>0</v>
      </c>
    </row>
    <row r="10" spans="2:16">
      <c r="B10" s="116"/>
      <c r="C10" t="s">
        <v>180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f t="shared" si="0"/>
        <v>0</v>
      </c>
    </row>
    <row r="11" spans="2:16">
      <c r="B11" s="89"/>
      <c r="C11" t="s">
        <v>181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f t="shared" si="0"/>
        <v>0</v>
      </c>
    </row>
    <row r="12" spans="2:16">
      <c r="B12" s="25"/>
      <c r="C12" s="21" t="s">
        <v>182</v>
      </c>
      <c r="D12" s="22">
        <f>SUM(D7:D11)</f>
        <v>0</v>
      </c>
      <c r="E12" s="22">
        <f t="shared" ref="E12:L12" si="1">SUM(E7:E11)</f>
        <v>0</v>
      </c>
      <c r="F12" s="22">
        <f t="shared" si="1"/>
        <v>0</v>
      </c>
      <c r="G12" s="22">
        <f t="shared" si="1"/>
        <v>0</v>
      </c>
      <c r="H12" s="22">
        <f t="shared" si="1"/>
        <v>0</v>
      </c>
      <c r="I12" s="22">
        <f t="shared" si="1"/>
        <v>0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>SUM(M7:M11)</f>
        <v>0</v>
      </c>
      <c r="N12" s="22">
        <f>SUM(N7:N11)</f>
        <v>0</v>
      </c>
      <c r="O12" s="22">
        <f>SUM(O7:O11)</f>
        <v>0</v>
      </c>
      <c r="P12" s="22">
        <f t="shared" si="0"/>
        <v>0</v>
      </c>
    </row>
    <row r="13" spans="2:16">
      <c r="B13" s="116" t="s">
        <v>183</v>
      </c>
      <c r="C13" t="s">
        <v>184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f t="shared" si="0"/>
        <v>0</v>
      </c>
    </row>
    <row r="14" spans="2:16">
      <c r="B14" s="116"/>
      <c r="C14" t="s">
        <v>47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f t="shared" ref="P14:P22" si="2">SUM(D14:O14)</f>
        <v>0</v>
      </c>
    </row>
    <row r="15" spans="2:16">
      <c r="B15" s="116"/>
      <c r="C15" t="s">
        <v>185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f t="shared" si="2"/>
        <v>0</v>
      </c>
    </row>
    <row r="16" spans="2:16">
      <c r="B16" s="116"/>
      <c r="C16" t="s">
        <v>186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f t="shared" si="2"/>
        <v>0</v>
      </c>
    </row>
    <row r="17" spans="2:16">
      <c r="B17" s="116"/>
      <c r="C17" t="s">
        <v>187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f t="shared" si="2"/>
        <v>0</v>
      </c>
    </row>
    <row r="18" spans="2:16">
      <c r="B18" s="116"/>
      <c r="C18" t="s">
        <v>188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f t="shared" si="2"/>
        <v>0</v>
      </c>
    </row>
    <row r="19" spans="2:16">
      <c r="B19" s="116"/>
      <c r="C19" t="s">
        <v>189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f t="shared" si="2"/>
        <v>0</v>
      </c>
    </row>
    <row r="20" spans="2:16">
      <c r="B20" s="116"/>
      <c r="C20" t="s">
        <v>36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f t="shared" si="2"/>
        <v>0</v>
      </c>
    </row>
    <row r="21" spans="2:16">
      <c r="B21" s="116"/>
      <c r="C21" t="s">
        <v>45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f t="shared" si="2"/>
        <v>0</v>
      </c>
    </row>
    <row r="22" spans="2:16">
      <c r="B22" s="116"/>
      <c r="C22" t="s">
        <v>190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f t="shared" si="2"/>
        <v>0</v>
      </c>
    </row>
    <row r="23" spans="2:16">
      <c r="B23" s="24"/>
      <c r="C23" s="21" t="s">
        <v>191</v>
      </c>
      <c r="D23" s="22">
        <f t="shared" ref="D23:O23" si="3">SUM(D13:D22)</f>
        <v>0</v>
      </c>
      <c r="E23" s="22">
        <f t="shared" si="3"/>
        <v>0</v>
      </c>
      <c r="F23" s="22">
        <f t="shared" si="3"/>
        <v>0</v>
      </c>
      <c r="G23" s="22">
        <f t="shared" si="3"/>
        <v>0</v>
      </c>
      <c r="H23" s="22">
        <f t="shared" si="3"/>
        <v>0</v>
      </c>
      <c r="I23" s="22">
        <f t="shared" si="3"/>
        <v>0</v>
      </c>
      <c r="J23" s="22">
        <f t="shared" si="3"/>
        <v>0</v>
      </c>
      <c r="K23" s="22">
        <f t="shared" si="3"/>
        <v>0</v>
      </c>
      <c r="L23" s="22">
        <f t="shared" si="3"/>
        <v>0</v>
      </c>
      <c r="M23" s="22">
        <f t="shared" si="3"/>
        <v>0</v>
      </c>
      <c r="N23" s="22">
        <f t="shared" si="3"/>
        <v>0</v>
      </c>
      <c r="O23" s="22">
        <f t="shared" si="3"/>
        <v>0</v>
      </c>
      <c r="P23" s="22">
        <f>SUM(D23:O23)</f>
        <v>0</v>
      </c>
    </row>
    <row r="24" spans="2:16">
      <c r="B24" s="83"/>
      <c r="C24" s="84" t="s">
        <v>51</v>
      </c>
      <c r="D24" s="85">
        <f t="shared" ref="D24:P24" si="4">SUM(D12,D23)</f>
        <v>0</v>
      </c>
      <c r="E24" s="85">
        <f t="shared" si="4"/>
        <v>0</v>
      </c>
      <c r="F24" s="85">
        <f t="shared" si="4"/>
        <v>0</v>
      </c>
      <c r="G24" s="85">
        <f t="shared" si="4"/>
        <v>0</v>
      </c>
      <c r="H24" s="85">
        <f t="shared" si="4"/>
        <v>0</v>
      </c>
      <c r="I24" s="85">
        <f t="shared" si="4"/>
        <v>0</v>
      </c>
      <c r="J24" s="85">
        <f t="shared" si="4"/>
        <v>0</v>
      </c>
      <c r="K24" s="85">
        <f t="shared" si="4"/>
        <v>0</v>
      </c>
      <c r="L24" s="85">
        <f t="shared" si="4"/>
        <v>0</v>
      </c>
      <c r="M24" s="85">
        <f t="shared" si="4"/>
        <v>0</v>
      </c>
      <c r="N24" s="85">
        <f t="shared" si="4"/>
        <v>0</v>
      </c>
      <c r="O24" s="85">
        <f t="shared" si="4"/>
        <v>0</v>
      </c>
      <c r="P24" s="85">
        <f t="shared" si="4"/>
        <v>0</v>
      </c>
    </row>
    <row r="25" spans="2:16">
      <c r="C25" s="3" t="s">
        <v>192</v>
      </c>
      <c r="D25" s="4">
        <f t="shared" ref="D25:O25" si="5">D6-D12-D23</f>
        <v>0</v>
      </c>
      <c r="E25" s="4">
        <f t="shared" si="5"/>
        <v>0</v>
      </c>
      <c r="F25" s="4">
        <f t="shared" si="5"/>
        <v>0</v>
      </c>
      <c r="G25" s="4">
        <f t="shared" si="5"/>
        <v>0</v>
      </c>
      <c r="H25" s="4">
        <f t="shared" si="5"/>
        <v>0</v>
      </c>
      <c r="I25" s="4">
        <f t="shared" si="5"/>
        <v>0</v>
      </c>
      <c r="J25" s="4">
        <f t="shared" si="5"/>
        <v>0</v>
      </c>
      <c r="K25" s="4">
        <f t="shared" si="5"/>
        <v>0</v>
      </c>
      <c r="L25" s="4">
        <f t="shared" si="5"/>
        <v>0</v>
      </c>
      <c r="M25" s="4">
        <f t="shared" si="5"/>
        <v>0</v>
      </c>
      <c r="N25" s="4">
        <f t="shared" si="5"/>
        <v>0</v>
      </c>
      <c r="O25" s="4">
        <f t="shared" si="5"/>
        <v>0</v>
      </c>
      <c r="P25" s="1">
        <f>SUM(D25:O25)</f>
        <v>0</v>
      </c>
    </row>
    <row r="26" spans="2:16">
      <c r="B26" s="21"/>
      <c r="C26" s="21" t="s">
        <v>55</v>
      </c>
      <c r="D26" s="26" t="e">
        <f t="shared" ref="D26:P26" si="6">(D6-D24)/D6</f>
        <v>#DIV/0!</v>
      </c>
      <c r="E26" s="26" t="e">
        <f t="shared" si="6"/>
        <v>#DIV/0!</v>
      </c>
      <c r="F26" s="26" t="e">
        <f t="shared" si="6"/>
        <v>#DIV/0!</v>
      </c>
      <c r="G26" s="26" t="e">
        <f t="shared" si="6"/>
        <v>#DIV/0!</v>
      </c>
      <c r="H26" s="26" t="e">
        <f t="shared" si="6"/>
        <v>#DIV/0!</v>
      </c>
      <c r="I26" s="26" t="e">
        <f t="shared" si="6"/>
        <v>#DIV/0!</v>
      </c>
      <c r="J26" s="26" t="e">
        <f t="shared" si="6"/>
        <v>#DIV/0!</v>
      </c>
      <c r="K26" s="26" t="e">
        <f t="shared" si="6"/>
        <v>#DIV/0!</v>
      </c>
      <c r="L26" s="26" t="e">
        <f t="shared" si="6"/>
        <v>#DIV/0!</v>
      </c>
      <c r="M26" s="26" t="e">
        <f t="shared" si="6"/>
        <v>#DIV/0!</v>
      </c>
      <c r="N26" s="26" t="e">
        <f t="shared" si="6"/>
        <v>#DIV/0!</v>
      </c>
      <c r="O26" s="26" t="e">
        <f t="shared" si="6"/>
        <v>#DIV/0!</v>
      </c>
      <c r="P26" s="26" t="e">
        <f t="shared" si="6"/>
        <v>#DIV/0!</v>
      </c>
    </row>
    <row r="27" spans="2:16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>
      <c r="D28" s="1"/>
      <c r="E28" s="1"/>
      <c r="F28" s="1"/>
      <c r="G28" s="1"/>
      <c r="H28" s="1"/>
      <c r="I28" s="1"/>
      <c r="J28" s="1"/>
      <c r="K28" s="1"/>
      <c r="L28" s="1"/>
      <c r="M28" s="1"/>
      <c r="N28" s="14"/>
      <c r="O28" s="1"/>
    </row>
    <row r="29" spans="2:16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4"/>
      <c r="O29" s="1"/>
    </row>
    <row r="30" spans="2:16">
      <c r="C30" s="1"/>
      <c r="N30" s="14"/>
    </row>
    <row r="31" spans="2:16"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2:16">
      <c r="C32" s="1"/>
    </row>
    <row r="33" spans="3:9">
      <c r="C33" s="1"/>
      <c r="D33" s="1"/>
    </row>
    <row r="40" spans="3:9">
      <c r="D40" s="1"/>
      <c r="E40" s="1"/>
      <c r="F40" s="1"/>
      <c r="G40" s="1"/>
      <c r="H40" s="1"/>
      <c r="I40" s="1"/>
    </row>
  </sheetData>
  <mergeCells count="2">
    <mergeCell ref="B7:B10"/>
    <mergeCell ref="B13:B22"/>
  </mergeCells>
  <pageMargins left="0.7" right="0.7" top="0.75" bottom="0.75" header="0.3" footer="0.3"/>
  <pageSetup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C072-1E10-4935-B150-9C45B1FE5B59}">
  <dimension ref="B2:D18"/>
  <sheetViews>
    <sheetView topLeftCell="A11" workbookViewId="0">
      <selection activeCell="C18" sqref="C18"/>
    </sheetView>
  </sheetViews>
  <sheetFormatPr defaultRowHeight="14.25"/>
  <cols>
    <col min="1" max="1" width="4.140625" customWidth="1"/>
    <col min="2" max="2" width="17.85546875" customWidth="1"/>
    <col min="4" max="4" width="12.42578125" bestFit="1" customWidth="1"/>
  </cols>
  <sheetData>
    <row r="2" spans="2:4" ht="21" customHeight="1">
      <c r="B2" s="68" t="s">
        <v>193</v>
      </c>
      <c r="C2" s="70" t="s">
        <v>194</v>
      </c>
      <c r="D2" s="70" t="s">
        <v>172</v>
      </c>
    </row>
    <row r="3" spans="2:4" ht="21" customHeight="1">
      <c r="B3" s="69" t="s">
        <v>195</v>
      </c>
      <c r="C3" s="20">
        <v>3391</v>
      </c>
      <c r="D3" s="123">
        <f>C4/C3-1</f>
        <v>6.9006192863462212E-2</v>
      </c>
    </row>
    <row r="4" spans="2:4" ht="21" customHeight="1">
      <c r="B4" s="69" t="s">
        <v>196</v>
      </c>
      <c r="C4" s="20">
        <v>3625</v>
      </c>
      <c r="D4" s="124"/>
    </row>
    <row r="5" spans="2:4" ht="21" customHeight="1">
      <c r="B5" s="69" t="s">
        <v>197</v>
      </c>
      <c r="C5" s="20">
        <f>C4-C3</f>
        <v>234</v>
      </c>
      <c r="D5" s="125"/>
    </row>
    <row r="6" spans="2:4" ht="21" customHeight="1"/>
    <row r="7" spans="2:4" ht="21" customHeight="1">
      <c r="B7" s="68" t="s">
        <v>198</v>
      </c>
      <c r="C7" s="70" t="s">
        <v>194</v>
      </c>
      <c r="D7" s="70" t="s">
        <v>172</v>
      </c>
    </row>
    <row r="8" spans="2:4" ht="21" customHeight="1">
      <c r="B8" s="69" t="s">
        <v>195</v>
      </c>
      <c r="C8" s="20">
        <v>8054</v>
      </c>
      <c r="D8" s="123">
        <f>C9/C8-1</f>
        <v>7.9960268189719352E-2</v>
      </c>
    </row>
    <row r="9" spans="2:4" ht="21" customHeight="1">
      <c r="B9" s="69" t="s">
        <v>196</v>
      </c>
      <c r="C9" s="20">
        <v>8698</v>
      </c>
      <c r="D9" s="124"/>
    </row>
    <row r="10" spans="2:4" ht="21" customHeight="1">
      <c r="B10" s="69" t="s">
        <v>197</v>
      </c>
      <c r="C10" s="20">
        <f>C9-C8</f>
        <v>644</v>
      </c>
      <c r="D10" s="125"/>
    </row>
    <row r="11" spans="2:4" ht="21" customHeight="1"/>
    <row r="12" spans="2:4" ht="21" customHeight="1">
      <c r="B12" s="68" t="s">
        <v>199</v>
      </c>
      <c r="C12" s="70" t="s">
        <v>194</v>
      </c>
      <c r="D12" s="70" t="s">
        <v>172</v>
      </c>
    </row>
    <row r="13" spans="2:4" ht="21" customHeight="1">
      <c r="B13" s="69" t="s">
        <v>195</v>
      </c>
      <c r="C13" s="20">
        <v>514</v>
      </c>
      <c r="D13" s="123">
        <f>C14/C13-1</f>
        <v>1.3618677042801508E-2</v>
      </c>
    </row>
    <row r="14" spans="2:4" ht="21" customHeight="1">
      <c r="B14" s="69" t="s">
        <v>196</v>
      </c>
      <c r="C14" s="20">
        <v>521</v>
      </c>
      <c r="D14" s="124"/>
    </row>
    <row r="15" spans="2:4" ht="21" customHeight="1">
      <c r="B15" s="69" t="s">
        <v>197</v>
      </c>
      <c r="C15" s="20">
        <f>C14-C13</f>
        <v>7</v>
      </c>
      <c r="D15" s="125"/>
    </row>
    <row r="16" spans="2:4" ht="21" customHeight="1"/>
    <row r="17" spans="2:2" ht="21" customHeight="1">
      <c r="B17" t="s">
        <v>200</v>
      </c>
    </row>
    <row r="18" spans="2:2" ht="21" customHeight="1"/>
  </sheetData>
  <mergeCells count="3">
    <mergeCell ref="D3:D5"/>
    <mergeCell ref="D8:D10"/>
    <mergeCell ref="D13:D15"/>
  </mergeCells>
  <conditionalFormatting sqref="D3:D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8:D1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D13:D15">
    <cfRule type="iconSet" priority="1">
      <iconSet iconSet="3Arrows">
        <cfvo type="percent" val="0"/>
        <cfvo type="percent" val="0"/>
        <cfvo type="percent" val="1"/>
      </iconSet>
    </cfRule>
  </conditionalFormatting>
  <pageMargins left="0.7" right="0.7" top="0.75" bottom="0.75" header="0.3" footer="0.3"/>
  <pageSetup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E9FE-26C0-4FFD-A740-39F6FC745FA1}">
  <sheetPr>
    <tabColor rgb="FF7030A0"/>
  </sheetPr>
  <dimension ref="B2:L8"/>
  <sheetViews>
    <sheetView workbookViewId="0">
      <selection activeCell="J8" sqref="J8"/>
    </sheetView>
  </sheetViews>
  <sheetFormatPr defaultRowHeight="14.25"/>
  <cols>
    <col min="1" max="1" width="4" customWidth="1"/>
    <col min="2" max="2" width="17" customWidth="1"/>
    <col min="4" max="4" width="12.42578125" bestFit="1" customWidth="1"/>
    <col min="5" max="6" width="12.42578125" customWidth="1"/>
    <col min="7" max="7" width="10.85546875" bestFit="1" customWidth="1"/>
  </cols>
  <sheetData>
    <row r="2" spans="2:12" ht="21.75" customHeight="1">
      <c r="B2" s="80" t="s">
        <v>201</v>
      </c>
      <c r="C2" s="76" t="s">
        <v>202</v>
      </c>
      <c r="D2" s="76" t="s">
        <v>203</v>
      </c>
      <c r="E2" s="76"/>
      <c r="F2" s="76"/>
      <c r="L2" s="14"/>
    </row>
    <row r="3" spans="2:12" ht="21.75" customHeight="1">
      <c r="B3" s="71">
        <v>3640</v>
      </c>
      <c r="C3" s="75">
        <v>0.28999999999999998</v>
      </c>
      <c r="D3" s="72">
        <f>B3*C3</f>
        <v>1055.5999999999999</v>
      </c>
      <c r="E3" s="72"/>
      <c r="F3" s="72"/>
      <c r="L3" s="14"/>
    </row>
    <row r="4" spans="2:12" ht="21.75" customHeight="1">
      <c r="B4" s="77" t="s">
        <v>204</v>
      </c>
      <c r="C4" s="76" t="s">
        <v>167</v>
      </c>
      <c r="D4" s="78" t="s">
        <v>205</v>
      </c>
      <c r="E4" s="76" t="s">
        <v>206</v>
      </c>
      <c r="F4" s="76" t="s">
        <v>207</v>
      </c>
      <c r="G4" s="78" t="s">
        <v>203</v>
      </c>
      <c r="L4" s="14"/>
    </row>
    <row r="5" spans="2:12" ht="21.75" customHeight="1">
      <c r="B5" s="6" t="s">
        <v>208</v>
      </c>
      <c r="C5" s="73">
        <v>0.28999999999999998</v>
      </c>
      <c r="D5" s="74">
        <f>D8*$C$5</f>
        <v>7.5399999999999991</v>
      </c>
      <c r="E5" s="74">
        <f>D5-F5</f>
        <v>5.5399999999999991</v>
      </c>
      <c r="F5" s="74">
        <v>2</v>
      </c>
      <c r="G5" s="79">
        <f>($D$3/$D$8)*D5</f>
        <v>306.12399999999991</v>
      </c>
      <c r="L5" s="14"/>
    </row>
    <row r="6" spans="2:12" ht="21.75" customHeight="1">
      <c r="B6" s="2" t="s">
        <v>209</v>
      </c>
      <c r="C6" s="73">
        <v>0.52</v>
      </c>
      <c r="D6" s="74">
        <f>D8*C6</f>
        <v>13.52</v>
      </c>
      <c r="E6" s="74">
        <f>D6-F6</f>
        <v>13.52</v>
      </c>
      <c r="F6" s="74">
        <v>0</v>
      </c>
      <c r="G6" s="79">
        <f>($D$3/$D$8)*D6</f>
        <v>548.91199999999992</v>
      </c>
      <c r="L6" s="14"/>
    </row>
    <row r="7" spans="2:12" ht="21.75" customHeight="1">
      <c r="B7" s="2" t="s">
        <v>75</v>
      </c>
      <c r="C7" s="73">
        <v>0.19</v>
      </c>
      <c r="D7" s="74">
        <f>D8*C7</f>
        <v>4.9400000000000004</v>
      </c>
      <c r="E7" s="74">
        <f>D7-F7</f>
        <v>4.9400000000000004</v>
      </c>
      <c r="F7" s="74">
        <v>0</v>
      </c>
      <c r="G7" s="79">
        <f>($D$3/$D$8)*D7</f>
        <v>200.56399999999999</v>
      </c>
    </row>
    <row r="8" spans="2:12" ht="21.75" customHeight="1">
      <c r="C8" s="76" t="s">
        <v>210</v>
      </c>
      <c r="D8" s="76">
        <v>26</v>
      </c>
      <c r="E8" s="76"/>
      <c r="F8" s="76"/>
      <c r="G8" s="76"/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445A-8C8B-48ED-8616-9FC417B1D912}">
  <sheetPr>
    <tabColor rgb="FF7030A0"/>
  </sheetPr>
  <dimension ref="B1:I44"/>
  <sheetViews>
    <sheetView zoomScale="85" zoomScaleNormal="85" workbookViewId="0">
      <selection activeCell="D3" sqref="D3"/>
    </sheetView>
  </sheetViews>
  <sheetFormatPr defaultRowHeight="15" customHeight="1"/>
  <cols>
    <col min="1" max="1" width="3.7109375" customWidth="1"/>
    <col min="2" max="2" width="11.140625" customWidth="1"/>
    <col min="3" max="3" width="18.28515625" bestFit="1" customWidth="1"/>
    <col min="4" max="5" width="15.42578125" bestFit="1" customWidth="1"/>
    <col min="6" max="6" width="12.7109375" bestFit="1" customWidth="1"/>
    <col min="7" max="7" width="12.28515625" bestFit="1" customWidth="1"/>
    <col min="8" max="8" width="11.85546875" bestFit="1" customWidth="1"/>
    <col min="9" max="9" width="12.28515625" bestFit="1" customWidth="1"/>
  </cols>
  <sheetData>
    <row r="1" spans="2:9">
      <c r="B1" t="s">
        <v>211</v>
      </c>
      <c r="D1" s="2"/>
      <c r="E1" s="2"/>
      <c r="F1" s="2"/>
      <c r="G1" s="2"/>
      <c r="H1" s="2"/>
      <c r="I1" s="2"/>
    </row>
    <row r="2" spans="2:9">
      <c r="D2" s="5" t="s">
        <v>23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</row>
    <row r="3" spans="2:9">
      <c r="B3" s="86"/>
      <c r="C3" s="86" t="s">
        <v>29</v>
      </c>
      <c r="D3" s="87">
        <v>34576.33</v>
      </c>
      <c r="E3" s="87">
        <v>20487.78</v>
      </c>
      <c r="F3" s="87">
        <v>20850.189999999999</v>
      </c>
      <c r="G3" s="87">
        <v>18694.7</v>
      </c>
      <c r="H3" s="87">
        <v>7039.7</v>
      </c>
      <c r="I3" s="87">
        <f>SUM(D3:H3)</f>
        <v>101648.7</v>
      </c>
    </row>
    <row r="4" spans="2:9" ht="15" customHeight="1">
      <c r="B4" s="115" t="s">
        <v>30</v>
      </c>
      <c r="C4" t="s">
        <v>31</v>
      </c>
      <c r="D4" s="1">
        <v>450</v>
      </c>
      <c r="E4" s="1">
        <v>250</v>
      </c>
      <c r="F4" s="1">
        <v>294</v>
      </c>
      <c r="G4" s="1">
        <v>200</v>
      </c>
      <c r="H4" s="1">
        <v>0</v>
      </c>
      <c r="I4" s="98">
        <f t="shared" ref="I4:I21" si="0">SUM(D4:H4)</f>
        <v>1194</v>
      </c>
    </row>
    <row r="5" spans="2:9">
      <c r="B5" s="115"/>
      <c r="C5" t="s">
        <v>32</v>
      </c>
      <c r="D5" s="1">
        <v>320</v>
      </c>
      <c r="E5" s="1">
        <v>260</v>
      </c>
      <c r="F5" s="1">
        <v>300</v>
      </c>
      <c r="G5" s="1">
        <v>240</v>
      </c>
      <c r="H5" s="1">
        <v>170</v>
      </c>
      <c r="I5" s="98">
        <f t="shared" si="0"/>
        <v>1290</v>
      </c>
    </row>
    <row r="6" spans="2:9">
      <c r="B6" s="115"/>
      <c r="C6" t="s">
        <v>33</v>
      </c>
      <c r="D6" s="1">
        <v>1306.8000000000002</v>
      </c>
      <c r="E6" s="1">
        <v>1162.8</v>
      </c>
      <c r="F6" s="1">
        <v>1167.4000000000001</v>
      </c>
      <c r="G6" s="1">
        <v>823.4</v>
      </c>
      <c r="H6" s="1">
        <v>434.1</v>
      </c>
      <c r="I6" s="98">
        <f t="shared" si="0"/>
        <v>4894.5000000000009</v>
      </c>
    </row>
    <row r="7" spans="2:9">
      <c r="B7" s="115"/>
      <c r="C7" t="s">
        <v>34</v>
      </c>
      <c r="D7" s="1">
        <v>7588.9</v>
      </c>
      <c r="E7" s="1">
        <v>1400.24</v>
      </c>
      <c r="F7" s="1">
        <v>5306.58</v>
      </c>
      <c r="G7" s="1">
        <v>5317.31</v>
      </c>
      <c r="H7" s="1">
        <v>3474.62</v>
      </c>
      <c r="I7" s="98">
        <f t="shared" si="0"/>
        <v>23087.649999999998</v>
      </c>
    </row>
    <row r="8" spans="2:9">
      <c r="B8" s="115"/>
      <c r="C8" t="s">
        <v>35</v>
      </c>
      <c r="D8" s="1">
        <v>2630</v>
      </c>
      <c r="E8" s="1">
        <v>4180</v>
      </c>
      <c r="F8" s="1">
        <v>189</v>
      </c>
      <c r="G8" s="1">
        <v>808</v>
      </c>
      <c r="H8" s="1">
        <v>1172</v>
      </c>
      <c r="I8" s="98">
        <f t="shared" si="0"/>
        <v>8979</v>
      </c>
    </row>
    <row r="9" spans="2:9">
      <c r="B9" s="115"/>
      <c r="C9" t="s">
        <v>36</v>
      </c>
      <c r="D9" s="1">
        <v>1522</v>
      </c>
      <c r="E9" s="1">
        <v>950</v>
      </c>
      <c r="F9" s="1">
        <v>1273</v>
      </c>
      <c r="G9" s="1">
        <v>1086.9000000000001</v>
      </c>
      <c r="H9" s="1">
        <v>730</v>
      </c>
      <c r="I9" s="98">
        <f t="shared" si="0"/>
        <v>5561.9</v>
      </c>
    </row>
    <row r="10" spans="2:9" ht="15" customHeight="1">
      <c r="B10" s="115"/>
      <c r="C10" t="s">
        <v>37</v>
      </c>
      <c r="D10" s="1">
        <v>115</v>
      </c>
      <c r="E10" s="1">
        <v>102</v>
      </c>
      <c r="F10" s="1">
        <v>178</v>
      </c>
      <c r="G10" s="1">
        <v>160</v>
      </c>
      <c r="H10" s="1">
        <v>0</v>
      </c>
      <c r="I10" s="98">
        <f t="shared" si="0"/>
        <v>555</v>
      </c>
    </row>
    <row r="11" spans="2:9">
      <c r="B11" s="115"/>
      <c r="C11" t="s">
        <v>38</v>
      </c>
      <c r="D11" s="1">
        <v>130</v>
      </c>
      <c r="E11" s="1">
        <v>854.4</v>
      </c>
      <c r="F11" s="1">
        <v>18</v>
      </c>
      <c r="G11" s="1">
        <v>80</v>
      </c>
      <c r="H11" s="1">
        <v>550</v>
      </c>
      <c r="I11" s="98">
        <f t="shared" si="0"/>
        <v>1632.4</v>
      </c>
    </row>
    <row r="12" spans="2:9">
      <c r="B12" s="23"/>
      <c r="C12" s="21" t="s">
        <v>39</v>
      </c>
      <c r="D12" s="22">
        <f>SUM(D4:D11)</f>
        <v>14062.7</v>
      </c>
      <c r="E12" s="22">
        <f t="shared" ref="E12:H12" si="1">SUM(E4:E11)</f>
        <v>9159.44</v>
      </c>
      <c r="F12" s="22">
        <f t="shared" si="1"/>
        <v>8725.98</v>
      </c>
      <c r="G12" s="22">
        <f t="shared" si="1"/>
        <v>8715.61</v>
      </c>
      <c r="H12" s="22">
        <f t="shared" si="1"/>
        <v>6530.7199999999993</v>
      </c>
      <c r="I12" s="22">
        <f>SUM(D12:H12)</f>
        <v>47194.45</v>
      </c>
    </row>
    <row r="13" spans="2:9">
      <c r="B13" s="105"/>
      <c r="C13" s="106" t="s">
        <v>40</v>
      </c>
      <c r="D13" s="107">
        <v>20513.63</v>
      </c>
      <c r="E13" s="107">
        <v>11328.34</v>
      </c>
      <c r="F13" s="107">
        <v>12124.21</v>
      </c>
      <c r="G13" s="107">
        <v>9979.09</v>
      </c>
      <c r="H13" s="107">
        <v>508.97999999999973</v>
      </c>
      <c r="I13" s="107">
        <f t="shared" ref="I13" si="2">SUM(D13:H13)</f>
        <v>54454.250000000007</v>
      </c>
    </row>
    <row r="14" spans="2:9" ht="15" customHeight="1">
      <c r="B14" s="116" t="s">
        <v>41</v>
      </c>
      <c r="C14" t="s">
        <v>42</v>
      </c>
      <c r="D14" s="1">
        <v>9900</v>
      </c>
      <c r="E14" s="1">
        <v>6600</v>
      </c>
      <c r="F14" s="1">
        <v>3000</v>
      </c>
      <c r="G14" s="1">
        <v>1950</v>
      </c>
      <c r="H14" s="1">
        <v>3000</v>
      </c>
      <c r="I14" s="1">
        <f t="shared" si="0"/>
        <v>24450</v>
      </c>
    </row>
    <row r="15" spans="2:9">
      <c r="B15" s="116"/>
      <c r="C15" t="s">
        <v>43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f t="shared" si="0"/>
        <v>450</v>
      </c>
    </row>
    <row r="16" spans="2:9">
      <c r="B16" s="116"/>
      <c r="C16" t="s">
        <v>44</v>
      </c>
      <c r="D16" s="1">
        <v>124</v>
      </c>
      <c r="E16" s="1">
        <v>124</v>
      </c>
      <c r="F16" s="1">
        <v>124</v>
      </c>
      <c r="G16" s="1">
        <v>124</v>
      </c>
      <c r="H16" s="1">
        <v>71</v>
      </c>
      <c r="I16" s="1">
        <f t="shared" si="0"/>
        <v>567</v>
      </c>
    </row>
    <row r="17" spans="2:9">
      <c r="B17" s="116"/>
      <c r="C17" t="s">
        <v>45</v>
      </c>
      <c r="D17" s="1">
        <v>575.90000000000009</v>
      </c>
      <c r="E17" s="1">
        <v>172.77</v>
      </c>
      <c r="F17" s="1">
        <v>518.31000000000006</v>
      </c>
      <c r="G17" s="1">
        <v>691.08</v>
      </c>
      <c r="H17" s="1">
        <v>172.77</v>
      </c>
      <c r="I17" s="1">
        <f t="shared" si="0"/>
        <v>2130.83</v>
      </c>
    </row>
    <row r="18" spans="2:9">
      <c r="B18" s="116"/>
      <c r="C18" t="s">
        <v>46</v>
      </c>
      <c r="D18" s="1">
        <v>165</v>
      </c>
      <c r="E18" s="1">
        <v>165</v>
      </c>
      <c r="F18" s="1">
        <v>165</v>
      </c>
      <c r="G18" s="1">
        <v>165</v>
      </c>
      <c r="H18" s="1">
        <v>165</v>
      </c>
      <c r="I18" s="1">
        <f t="shared" si="0"/>
        <v>825</v>
      </c>
    </row>
    <row r="19" spans="2:9">
      <c r="B19" s="116"/>
      <c r="C19" t="s">
        <v>47</v>
      </c>
      <c r="D19" s="1">
        <v>37.1</v>
      </c>
      <c r="E19" s="1">
        <v>41.99</v>
      </c>
      <c r="F19" s="1">
        <v>37</v>
      </c>
      <c r="G19" s="1">
        <v>27.1</v>
      </c>
      <c r="H19" s="1">
        <v>152.79999999999998</v>
      </c>
      <c r="I19" s="1">
        <f t="shared" si="0"/>
        <v>295.99</v>
      </c>
    </row>
    <row r="20" spans="2:9">
      <c r="B20" s="116"/>
      <c r="C20" t="s">
        <v>48</v>
      </c>
      <c r="D20" s="1">
        <v>199.37</v>
      </c>
      <c r="E20" s="1">
        <v>96.68</v>
      </c>
      <c r="F20" s="1">
        <v>92</v>
      </c>
      <c r="G20" s="1">
        <v>79.739999999999995</v>
      </c>
      <c r="H20" s="1">
        <v>28.3</v>
      </c>
      <c r="I20" s="1">
        <f t="shared" si="0"/>
        <v>496.09000000000003</v>
      </c>
    </row>
    <row r="21" spans="2:9">
      <c r="B21" s="89"/>
      <c r="C21" t="s">
        <v>49</v>
      </c>
      <c r="D21" s="1">
        <v>750</v>
      </c>
      <c r="E21" s="1">
        <v>750</v>
      </c>
      <c r="F21" s="1">
        <v>750</v>
      </c>
      <c r="G21" s="1">
        <v>750</v>
      </c>
      <c r="H21" s="1">
        <v>750</v>
      </c>
      <c r="I21" s="1">
        <f t="shared" si="0"/>
        <v>3750</v>
      </c>
    </row>
    <row r="22" spans="2:9">
      <c r="B22" s="21"/>
      <c r="C22" s="21" t="s">
        <v>50</v>
      </c>
      <c r="D22" s="22">
        <f>SUM(D14:D21)</f>
        <v>11841.37</v>
      </c>
      <c r="E22" s="22">
        <f t="shared" ref="E22:H22" si="3">SUM(E14:E21)</f>
        <v>8040.4400000000005</v>
      </c>
      <c r="F22" s="22">
        <f t="shared" si="3"/>
        <v>4776.3099999999995</v>
      </c>
      <c r="G22" s="22">
        <f t="shared" si="3"/>
        <v>3876.9199999999996</v>
      </c>
      <c r="H22" s="22">
        <f t="shared" si="3"/>
        <v>4429.8700000000008</v>
      </c>
      <c r="I22" s="22">
        <f>SUM(D22:H22)</f>
        <v>32964.910000000003</v>
      </c>
    </row>
    <row r="23" spans="2:9">
      <c r="B23" s="83"/>
      <c r="C23" s="84" t="s">
        <v>51</v>
      </c>
      <c r="D23" s="85">
        <f>SUM(D12,D22)</f>
        <v>25904.07</v>
      </c>
      <c r="E23" s="85">
        <f t="shared" ref="E23:H23" si="4">SUM(E12,E22)</f>
        <v>17199.88</v>
      </c>
      <c r="F23" s="85">
        <f t="shared" si="4"/>
        <v>13502.289999999999</v>
      </c>
      <c r="G23" s="85">
        <f t="shared" si="4"/>
        <v>12592.53</v>
      </c>
      <c r="H23" s="85">
        <f t="shared" si="4"/>
        <v>10960.59</v>
      </c>
      <c r="I23" s="85">
        <f>SUM(I12,I22)</f>
        <v>80159.360000000001</v>
      </c>
    </row>
    <row r="24" spans="2:9">
      <c r="B24" s="108"/>
      <c r="C24" s="109" t="s">
        <v>52</v>
      </c>
      <c r="D24" s="110">
        <v>8672.26</v>
      </c>
      <c r="E24" s="110">
        <v>3287.9000000000015</v>
      </c>
      <c r="F24" s="110">
        <v>7347.8999999999978</v>
      </c>
      <c r="G24" s="110">
        <v>6852.17</v>
      </c>
      <c r="H24" s="110">
        <v>-3170.89</v>
      </c>
      <c r="I24" s="110">
        <f t="shared" ref="I24:I26" si="5">SUM(D24:H24)</f>
        <v>22989.339999999997</v>
      </c>
    </row>
    <row r="25" spans="2:9">
      <c r="C25" s="3" t="s">
        <v>53</v>
      </c>
      <c r="D25" s="4">
        <v>425.01</v>
      </c>
      <c r="E25" s="4">
        <v>425.01</v>
      </c>
      <c r="F25" s="4">
        <v>425.01</v>
      </c>
      <c r="G25" s="4">
        <v>425.01</v>
      </c>
      <c r="H25" s="4">
        <v>425.01</v>
      </c>
      <c r="I25" s="4">
        <f t="shared" si="5"/>
        <v>2125.0500000000002</v>
      </c>
    </row>
    <row r="26" spans="2:9">
      <c r="B26" s="112"/>
      <c r="C26" s="113" t="s">
        <v>54</v>
      </c>
      <c r="D26" s="114">
        <v>8247.25</v>
      </c>
      <c r="E26" s="114">
        <v>2862.8900000000012</v>
      </c>
      <c r="F26" s="114">
        <v>6922.8899999999976</v>
      </c>
      <c r="G26" s="114">
        <v>6427.16</v>
      </c>
      <c r="H26" s="114">
        <v>-3595.9</v>
      </c>
      <c r="I26" s="114">
        <f t="shared" si="5"/>
        <v>20864.289999999997</v>
      </c>
    </row>
    <row r="27" spans="2:9">
      <c r="C27" s="3"/>
      <c r="D27" s="4"/>
      <c r="E27" s="4"/>
      <c r="F27" s="4"/>
      <c r="G27" s="4"/>
      <c r="H27" s="4"/>
      <c r="I27" s="4"/>
    </row>
    <row r="28" spans="2:9">
      <c r="B28" s="21"/>
      <c r="C28" s="21" t="s">
        <v>55</v>
      </c>
      <c r="D28" s="26">
        <f>D26/D3</f>
        <v>0.23852300113979708</v>
      </c>
      <c r="E28" s="26">
        <f t="shared" ref="E28:I28" si="6">E26/E3</f>
        <v>0.13973646729904368</v>
      </c>
      <c r="F28" s="26">
        <f t="shared" si="6"/>
        <v>0.33203006783151606</v>
      </c>
      <c r="G28" s="26">
        <f t="shared" si="6"/>
        <v>0.34379583518323376</v>
      </c>
      <c r="H28" s="26">
        <f t="shared" si="6"/>
        <v>-0.51080301717402732</v>
      </c>
      <c r="I28" s="26">
        <f t="shared" si="6"/>
        <v>0.20525879819417264</v>
      </c>
    </row>
    <row r="29" spans="2:9">
      <c r="D29" s="1"/>
      <c r="E29" s="1"/>
      <c r="F29" s="1"/>
      <c r="G29" s="1"/>
      <c r="H29" s="1"/>
      <c r="I29" s="94"/>
    </row>
    <row r="30" spans="2:9">
      <c r="D30" s="1"/>
      <c r="E30" s="1"/>
      <c r="F30" s="1"/>
      <c r="G30" s="1"/>
      <c r="H30" s="1"/>
      <c r="I30" s="1"/>
    </row>
    <row r="32" spans="2:9">
      <c r="D32" s="1"/>
      <c r="E32" s="1"/>
      <c r="F32" s="1"/>
      <c r="G32" s="1"/>
      <c r="H32" s="1"/>
      <c r="I32" s="1"/>
    </row>
    <row r="44" spans="4:9">
      <c r="D44" s="1"/>
      <c r="E44" s="1"/>
      <c r="F44" s="1"/>
      <c r="G44" s="1"/>
      <c r="H44" s="1"/>
      <c r="I44" s="1"/>
    </row>
  </sheetData>
  <mergeCells count="2">
    <mergeCell ref="B4:B11"/>
    <mergeCell ref="B14:B20"/>
  </mergeCells>
  <pageMargins left="0.7" right="0.7" top="0.75" bottom="0.75" header="0.3" footer="0.3"/>
  <pageSetup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CuciXpress</dc:creator>
  <cp:keywords/>
  <dc:description/>
  <cp:lastModifiedBy/>
  <cp:revision/>
  <dcterms:created xsi:type="dcterms:W3CDTF">2023-10-06T10:58:08Z</dcterms:created>
  <dcterms:modified xsi:type="dcterms:W3CDTF">2026-07-06T10:55:50Z</dcterms:modified>
  <cp:category/>
  <cp:contentStatus/>
</cp:coreProperties>
</file>