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 tabRatio="839" activeTab="1"/>
  </bookViews>
  <sheets>
    <sheet name="pca引例" sheetId="2" r:id="rId1"/>
    <sheet name="二维例子" sheetId="4" r:id="rId2"/>
    <sheet name="二维例子 (数据向左平移7个位置)" sheetId="7" r:id="rId3"/>
    <sheet name="机算求特征值例子" sheetId="5" r:id="rId4"/>
    <sheet name="三维-例4.3" sheetId="1" r:id="rId5"/>
    <sheet name="乘幂法求解主特征值" sheetId="6" r:id="rId6"/>
    <sheet name="罗毅扬" sheetId="3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8" i="4" l="1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88" i="4"/>
  <c r="B114" i="4"/>
  <c r="A114" i="4"/>
  <c r="P87" i="7"/>
  <c r="O87" i="7"/>
  <c r="O87" i="7" a="1"/>
  <c r="P88" i="7" s="1"/>
  <c r="O84" i="7"/>
  <c r="P83" i="7"/>
  <c r="O83" i="7"/>
  <c r="O83" i="7" a="1"/>
  <c r="P84" i="7" s="1"/>
  <c r="B81" i="7"/>
  <c r="A81" i="7"/>
  <c r="B80" i="7"/>
  <c r="A80" i="7"/>
  <c r="B47" i="7"/>
  <c r="A47" i="7"/>
  <c r="B46" i="7"/>
  <c r="A46" i="7"/>
  <c r="A88" i="7" s="1" a="1"/>
  <c r="B33" i="7"/>
  <c r="A33" i="7"/>
  <c r="B32" i="7"/>
  <c r="A32" i="7"/>
  <c r="B28" i="7"/>
  <c r="A28" i="7"/>
  <c r="E24" i="7" s="1"/>
  <c r="B27" i="7"/>
  <c r="A27" i="7"/>
  <c r="E26" i="7"/>
  <c r="E22" i="7"/>
  <c r="E18" i="7"/>
  <c r="E14" i="7"/>
  <c r="E10" i="7"/>
  <c r="E6" i="7"/>
  <c r="E2" i="7"/>
  <c r="G117" i="7"/>
  <c r="G117" i="4"/>
  <c r="A111" i="7" l="1"/>
  <c r="A109" i="7"/>
  <c r="A107" i="7"/>
  <c r="A105" i="7"/>
  <c r="A103" i="7"/>
  <c r="A101" i="7"/>
  <c r="A99" i="7"/>
  <c r="A97" i="7"/>
  <c r="A95" i="7"/>
  <c r="A93" i="7"/>
  <c r="A91" i="7"/>
  <c r="A89" i="7"/>
  <c r="B112" i="7"/>
  <c r="B110" i="7"/>
  <c r="B108" i="7"/>
  <c r="B106" i="7"/>
  <c r="B104" i="7"/>
  <c r="B102" i="7"/>
  <c r="B100" i="7"/>
  <c r="B98" i="7"/>
  <c r="B96" i="7"/>
  <c r="B94" i="7"/>
  <c r="B92" i="7"/>
  <c r="B90" i="7"/>
  <c r="B88" i="7"/>
  <c r="A112" i="7"/>
  <c r="A110" i="7"/>
  <c r="A108" i="7"/>
  <c r="A106" i="7"/>
  <c r="B109" i="7"/>
  <c r="B103" i="7"/>
  <c r="B99" i="7"/>
  <c r="B95" i="7"/>
  <c r="B91" i="7"/>
  <c r="B111" i="7"/>
  <c r="A100" i="7"/>
  <c r="A96" i="7"/>
  <c r="A88" i="7"/>
  <c r="B107" i="7"/>
  <c r="A102" i="7"/>
  <c r="A98" i="7"/>
  <c r="A94" i="7"/>
  <c r="A90" i="7"/>
  <c r="B105" i="7"/>
  <c r="B101" i="7"/>
  <c r="B97" i="7"/>
  <c r="B93" i="7"/>
  <c r="B89" i="7"/>
  <c r="A104" i="7"/>
  <c r="A92" i="7"/>
  <c r="F25" i="7"/>
  <c r="F23" i="7"/>
  <c r="F21" i="7"/>
  <c r="F19" i="7"/>
  <c r="F17" i="7"/>
  <c r="F15" i="7"/>
  <c r="F13" i="7"/>
  <c r="F11" i="7"/>
  <c r="F9" i="7"/>
  <c r="F7" i="7"/>
  <c r="F5" i="7"/>
  <c r="F3" i="7"/>
  <c r="A50" i="7" a="1"/>
  <c r="E4" i="7"/>
  <c r="G1" i="7" s="1" a="1"/>
  <c r="E8" i="7"/>
  <c r="E12" i="7"/>
  <c r="E16" i="7"/>
  <c r="E20" i="7"/>
  <c r="E5" i="7"/>
  <c r="E25" i="7"/>
  <c r="E23" i="7"/>
  <c r="E21" i="7"/>
  <c r="E19" i="7"/>
  <c r="E17" i="7"/>
  <c r="E15" i="7"/>
  <c r="E13" i="7"/>
  <c r="E11" i="7"/>
  <c r="E9" i="7"/>
  <c r="E7" i="7"/>
  <c r="E3" i="7"/>
  <c r="F2" i="7"/>
  <c r="E88" i="7" s="1" a="1"/>
  <c r="F6" i="7"/>
  <c r="F10" i="7"/>
  <c r="F14" i="7"/>
  <c r="F18" i="7"/>
  <c r="F22" i="7"/>
  <c r="F26" i="7"/>
  <c r="F4" i="7"/>
  <c r="F8" i="7"/>
  <c r="F12" i="7"/>
  <c r="F16" i="7"/>
  <c r="F20" i="7"/>
  <c r="F24" i="7"/>
  <c r="O88" i="7"/>
  <c r="AE2" i="7" l="1"/>
  <c r="AA2" i="7"/>
  <c r="W2" i="7"/>
  <c r="S2" i="7"/>
  <c r="O2" i="7"/>
  <c r="K2" i="7"/>
  <c r="G2" i="7"/>
  <c r="AB1" i="7"/>
  <c r="X1" i="7"/>
  <c r="T1" i="7"/>
  <c r="P1" i="7"/>
  <c r="L1" i="7"/>
  <c r="H1" i="7"/>
  <c r="Z2" i="7"/>
  <c r="R2" i="7"/>
  <c r="N2" i="7"/>
  <c r="AE1" i="7"/>
  <c r="W1" i="7"/>
  <c r="O1" i="7"/>
  <c r="K1" i="7"/>
  <c r="AD2" i="7"/>
  <c r="V2" i="7"/>
  <c r="J2" i="7"/>
  <c r="AA1" i="7"/>
  <c r="S1" i="7"/>
  <c r="G1" i="7"/>
  <c r="AC2" i="7"/>
  <c r="U2" i="7"/>
  <c r="M2" i="7"/>
  <c r="AD1" i="7"/>
  <c r="V1" i="7"/>
  <c r="N1" i="7"/>
  <c r="Y2" i="7"/>
  <c r="Q2" i="7"/>
  <c r="I2" i="7"/>
  <c r="Z1" i="7"/>
  <c r="R1" i="7"/>
  <c r="J1" i="7"/>
  <c r="AB2" i="7"/>
  <c r="T2" i="7"/>
  <c r="L2" i="7"/>
  <c r="AC1" i="7"/>
  <c r="U1" i="7"/>
  <c r="M1" i="7"/>
  <c r="X2" i="7"/>
  <c r="P2" i="7"/>
  <c r="H2" i="7"/>
  <c r="Y1" i="7"/>
  <c r="Q1" i="7"/>
  <c r="I1" i="7"/>
  <c r="F112" i="7"/>
  <c r="F110" i="7"/>
  <c r="F108" i="7"/>
  <c r="F106" i="7"/>
  <c r="F104" i="7"/>
  <c r="F102" i="7"/>
  <c r="F100" i="7"/>
  <c r="F98" i="7"/>
  <c r="F96" i="7"/>
  <c r="F94" i="7"/>
  <c r="F92" i="7"/>
  <c r="F90" i="7"/>
  <c r="F88" i="7"/>
  <c r="F111" i="7"/>
  <c r="F105" i="7"/>
  <c r="F101" i="7"/>
  <c r="F95" i="7"/>
  <c r="F91" i="7"/>
  <c r="E112" i="7"/>
  <c r="E110" i="7"/>
  <c r="E108" i="7"/>
  <c r="E106" i="7"/>
  <c r="E104" i="7"/>
  <c r="E102" i="7"/>
  <c r="E100" i="7"/>
  <c r="E98" i="7"/>
  <c r="E96" i="7"/>
  <c r="E94" i="7"/>
  <c r="E92" i="7"/>
  <c r="E90" i="7"/>
  <c r="E88" i="7"/>
  <c r="F109" i="7"/>
  <c r="F107" i="7"/>
  <c r="F103" i="7"/>
  <c r="F99" i="7"/>
  <c r="F97" i="7"/>
  <c r="F93" i="7"/>
  <c r="F89" i="7"/>
  <c r="E107" i="7"/>
  <c r="E99" i="7"/>
  <c r="E91" i="7"/>
  <c r="E109" i="7"/>
  <c r="E101" i="7"/>
  <c r="E93" i="7"/>
  <c r="E105" i="7"/>
  <c r="E97" i="7"/>
  <c r="E89" i="7"/>
  <c r="E111" i="7"/>
  <c r="E103" i="7"/>
  <c r="E95" i="7"/>
  <c r="B50" i="7"/>
  <c r="A50" i="7"/>
  <c r="B51" i="7"/>
  <c r="A51" i="7"/>
  <c r="B116" i="7"/>
  <c r="B117" i="7"/>
  <c r="A113" i="7"/>
  <c r="C105" i="7" s="1"/>
  <c r="C101" i="7"/>
  <c r="C97" i="7"/>
  <c r="C96" i="7"/>
  <c r="C117" i="7"/>
  <c r="B113" i="7"/>
  <c r="D105" i="7" s="1"/>
  <c r="A46" i="4"/>
  <c r="D112" i="7" l="1"/>
  <c r="C94" i="7"/>
  <c r="C99" i="7"/>
  <c r="D107" i="7"/>
  <c r="C89" i="7"/>
  <c r="C108" i="7"/>
  <c r="C111" i="7"/>
  <c r="D104" i="7"/>
  <c r="D97" i="7"/>
  <c r="C91" i="7"/>
  <c r="C110" i="7"/>
  <c r="C90" i="7"/>
  <c r="D106" i="7"/>
  <c r="D99" i="7"/>
  <c r="C103" i="7"/>
  <c r="D96" i="7"/>
  <c r="C106" i="7"/>
  <c r="D101" i="7"/>
  <c r="D89" i="7"/>
  <c r="D110" i="7"/>
  <c r="D109" i="7"/>
  <c r="C92" i="7"/>
  <c r="A36" i="7" a="1"/>
  <c r="D94" i="7"/>
  <c r="D92" i="7"/>
  <c r="C98" i="7"/>
  <c r="C100" i="7"/>
  <c r="C93" i="7"/>
  <c r="C112" i="7"/>
  <c r="D108" i="7"/>
  <c r="D103" i="7"/>
  <c r="D93" i="7"/>
  <c r="D98" i="7"/>
  <c r="C102" i="7"/>
  <c r="C95" i="7"/>
  <c r="D88" i="7"/>
  <c r="D95" i="7"/>
  <c r="C104" i="7"/>
  <c r="C109" i="7"/>
  <c r="D102" i="7"/>
  <c r="D91" i="7"/>
  <c r="C88" i="7"/>
  <c r="C107" i="7"/>
  <c r="D100" i="7"/>
  <c r="D111" i="7"/>
  <c r="D90" i="7"/>
  <c r="F116" i="7"/>
  <c r="F117" i="7"/>
  <c r="J29" i="6"/>
  <c r="J30" i="6"/>
  <c r="J28" i="6"/>
  <c r="E22" i="6"/>
  <c r="E23" i="6"/>
  <c r="E21" i="6"/>
  <c r="E24" i="6"/>
  <c r="F18" i="6" s="1"/>
  <c r="E7" i="6"/>
  <c r="E8" i="6"/>
  <c r="E6" i="6"/>
  <c r="E9" i="6"/>
  <c r="F3" i="6" s="1"/>
  <c r="O87" i="4" a="1"/>
  <c r="O87" i="4" s="1"/>
  <c r="O83" i="4" a="1"/>
  <c r="O83" i="4" s="1"/>
  <c r="B81" i="4"/>
  <c r="A81" i="4"/>
  <c r="B80" i="4"/>
  <c r="A80" i="4"/>
  <c r="E35" i="1" a="1"/>
  <c r="E35" i="1" s="1"/>
  <c r="E2" i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D4" i="1"/>
  <c r="D5" i="1"/>
  <c r="D6" i="1"/>
  <c r="D7" i="1"/>
  <c r="D8" i="1"/>
  <c r="D9" i="1"/>
  <c r="D10" i="1"/>
  <c r="D11" i="1"/>
  <c r="D2" i="1"/>
  <c r="D3" i="1"/>
  <c r="C19" i="1"/>
  <c r="B35" i="1"/>
  <c r="C35" i="1"/>
  <c r="B36" i="1"/>
  <c r="C36" i="1"/>
  <c r="B37" i="1"/>
  <c r="C37" i="1"/>
  <c r="A37" i="1"/>
  <c r="A36" i="1"/>
  <c r="A35" i="1"/>
  <c r="A36" i="7" l="1"/>
  <c r="B37" i="7"/>
  <c r="A37" i="7"/>
  <c r="B36" i="7"/>
  <c r="P84" i="4"/>
  <c r="F23" i="6"/>
  <c r="F17" i="6"/>
  <c r="F19" i="6"/>
  <c r="F22" i="6"/>
  <c r="F2" i="6"/>
  <c r="F4" i="6"/>
  <c r="O84" i="4"/>
  <c r="P88" i="4"/>
  <c r="O88" i="4"/>
  <c r="P87" i="4"/>
  <c r="P83" i="4"/>
  <c r="E36" i="1"/>
  <c r="G35" i="1"/>
  <c r="G36" i="1"/>
  <c r="F35" i="1"/>
  <c r="F37" i="1"/>
  <c r="E37" i="1"/>
  <c r="G37" i="1"/>
  <c r="F36" i="1"/>
  <c r="B46" i="4"/>
  <c r="B47" i="4"/>
  <c r="A47" i="4"/>
  <c r="I33" i="5"/>
  <c r="J32" i="5"/>
  <c r="J33" i="5"/>
  <c r="I32" i="5"/>
  <c r="M33" i="5" s="1"/>
  <c r="I25" i="5"/>
  <c r="J25" i="5"/>
  <c r="J24" i="5"/>
  <c r="I24" i="5"/>
  <c r="M25" i="5" s="1"/>
  <c r="B28" i="4"/>
  <c r="A28" i="4"/>
  <c r="B33" i="4"/>
  <c r="B32" i="4"/>
  <c r="A33" i="4"/>
  <c r="A32" i="4"/>
  <c r="B27" i="4"/>
  <c r="A27" i="4"/>
  <c r="E38" i="7" l="1"/>
  <c r="E39" i="7"/>
  <c r="A88" i="4" a="1"/>
  <c r="E13" i="4"/>
  <c r="E25" i="4"/>
  <c r="E14" i="4"/>
  <c r="E26" i="4"/>
  <c r="E15" i="4"/>
  <c r="E16" i="4"/>
  <c r="E17" i="4"/>
  <c r="E6" i="4"/>
  <c r="E19" i="4"/>
  <c r="E2" i="4"/>
  <c r="E4" i="4"/>
  <c r="E5" i="4"/>
  <c r="E18" i="4"/>
  <c r="E7" i="4"/>
  <c r="E21" i="4"/>
  <c r="E10" i="4"/>
  <c r="E11" i="4"/>
  <c r="E3" i="4"/>
  <c r="E9" i="4"/>
  <c r="E22" i="4"/>
  <c r="E20" i="4"/>
  <c r="E23" i="4"/>
  <c r="E8" i="4"/>
  <c r="E24" i="4"/>
  <c r="E12" i="4"/>
  <c r="F11" i="4"/>
  <c r="F23" i="4"/>
  <c r="F24" i="4"/>
  <c r="F13" i="4"/>
  <c r="F25" i="4"/>
  <c r="F15" i="4"/>
  <c r="F18" i="4"/>
  <c r="F19" i="4"/>
  <c r="F8" i="4"/>
  <c r="F21" i="4"/>
  <c r="F10" i="4"/>
  <c r="F12" i="4"/>
  <c r="F26" i="4"/>
  <c r="F2" i="4"/>
  <c r="F3" i="4"/>
  <c r="F4" i="4"/>
  <c r="F5" i="4"/>
  <c r="F6" i="4"/>
  <c r="F9" i="4"/>
  <c r="F14" i="4"/>
  <c r="F22" i="4"/>
  <c r="F16" i="4"/>
  <c r="F17" i="4"/>
  <c r="F7" i="4"/>
  <c r="F20" i="4"/>
  <c r="A50" i="4" a="1"/>
  <c r="A50" i="4" s="1"/>
  <c r="F8" i="6"/>
  <c r="F6" i="6"/>
  <c r="F7" i="6"/>
  <c r="F21" i="6"/>
  <c r="B12" i="1"/>
  <c r="C12" i="1"/>
  <c r="B13" i="1"/>
  <c r="C13" i="1"/>
  <c r="A13" i="1"/>
  <c r="A12" i="1"/>
  <c r="S57" i="3"/>
  <c r="S56" i="3"/>
  <c r="M56" i="3"/>
  <c r="L56" i="3"/>
  <c r="K56" i="3"/>
  <c r="M55" i="3"/>
  <c r="L55" i="3"/>
  <c r="K55" i="3"/>
  <c r="M54" i="3"/>
  <c r="L54" i="3"/>
  <c r="K54" i="3"/>
  <c r="M53" i="3"/>
  <c r="L53" i="3"/>
  <c r="K53" i="3"/>
  <c r="K60" i="3" s="1" a="1"/>
  <c r="U46" i="3"/>
  <c r="Q52" i="3" s="1"/>
  <c r="O53" i="3" s="1"/>
  <c r="Q46" i="3"/>
  <c r="M46" i="3"/>
  <c r="T45" i="3"/>
  <c r="P45" i="3"/>
  <c r="L45" i="3"/>
  <c r="S44" i="3"/>
  <c r="O44" i="3"/>
  <c r="O48" i="3" s="1"/>
  <c r="K44" i="3"/>
  <c r="K48" i="3" s="1"/>
  <c r="C29" i="3"/>
  <c r="B29" i="3"/>
  <c r="J28" i="3"/>
  <c r="I28" i="3"/>
  <c r="H28" i="3"/>
  <c r="C28" i="3"/>
  <c r="B28" i="3"/>
  <c r="J27" i="3"/>
  <c r="I27" i="3"/>
  <c r="C27" i="3"/>
  <c r="E19" i="3" s="1"/>
  <c r="B27" i="3"/>
  <c r="D20" i="3" s="1"/>
  <c r="D16" i="3"/>
  <c r="L13" i="3"/>
  <c r="K13" i="3"/>
  <c r="I13" i="3"/>
  <c r="H13" i="3"/>
  <c r="L12" i="3"/>
  <c r="K12" i="3"/>
  <c r="K15" i="3" s="1"/>
  <c r="I12" i="3"/>
  <c r="N2" i="3" s="1"/>
  <c r="H12" i="3"/>
  <c r="D9" i="3"/>
  <c r="P2" i="3"/>
  <c r="N20" i="3" s="1"/>
  <c r="O2" i="3"/>
  <c r="H25" i="3" s="1"/>
  <c r="E88" i="4" l="1" a="1"/>
  <c r="E88" i="4" s="1"/>
  <c r="F101" i="4"/>
  <c r="E97" i="4"/>
  <c r="F93" i="4"/>
  <c r="E98" i="4"/>
  <c r="A88" i="4"/>
  <c r="A109" i="4"/>
  <c r="A105" i="4"/>
  <c r="B89" i="4"/>
  <c r="A100" i="4"/>
  <c r="A91" i="4"/>
  <c r="A111" i="4"/>
  <c r="B90" i="4"/>
  <c r="A93" i="4"/>
  <c r="B112" i="4"/>
  <c r="B106" i="4"/>
  <c r="A97" i="4"/>
  <c r="A104" i="4"/>
  <c r="B96" i="4"/>
  <c r="A96" i="4"/>
  <c r="B101" i="4"/>
  <c r="B105" i="4"/>
  <c r="A103" i="4"/>
  <c r="B110" i="4"/>
  <c r="A107" i="4"/>
  <c r="A94" i="4"/>
  <c r="B98" i="4"/>
  <c r="A101" i="4"/>
  <c r="A110" i="4"/>
  <c r="A95" i="4"/>
  <c r="A98" i="4"/>
  <c r="A89" i="4"/>
  <c r="A108" i="4"/>
  <c r="B104" i="4"/>
  <c r="B97" i="4"/>
  <c r="B92" i="4"/>
  <c r="B94" i="4"/>
  <c r="B95" i="4"/>
  <c r="B111" i="4"/>
  <c r="B99" i="4"/>
  <c r="A99" i="4"/>
  <c r="B109" i="4"/>
  <c r="A102" i="4"/>
  <c r="A90" i="4"/>
  <c r="B100" i="4"/>
  <c r="B107" i="4"/>
  <c r="B108" i="4"/>
  <c r="B88" i="4"/>
  <c r="B103" i="4"/>
  <c r="B93" i="4"/>
  <c r="B102" i="4"/>
  <c r="A92" i="4"/>
  <c r="A112" i="4"/>
  <c r="B91" i="4"/>
  <c r="A106" i="4"/>
  <c r="B50" i="4"/>
  <c r="A51" i="4"/>
  <c r="B51" i="4"/>
  <c r="F9" i="6"/>
  <c r="G3" i="6" s="1"/>
  <c r="G17" i="6"/>
  <c r="F24" i="6"/>
  <c r="N21" i="3"/>
  <c r="D7" i="3"/>
  <c r="D15" i="3"/>
  <c r="D21" i="3"/>
  <c r="D24" i="3"/>
  <c r="D26" i="3"/>
  <c r="D4" i="3"/>
  <c r="D11" i="3"/>
  <c r="D18" i="3"/>
  <c r="D22" i="3"/>
  <c r="D25" i="3"/>
  <c r="S48" i="3"/>
  <c r="K24" i="3"/>
  <c r="D23" i="3"/>
  <c r="D2" i="3"/>
  <c r="D5" i="3"/>
  <c r="H15" i="3"/>
  <c r="D13" i="3"/>
  <c r="E23" i="3"/>
  <c r="K25" i="3"/>
  <c r="G1" i="4" a="1"/>
  <c r="N1" i="4" s="1"/>
  <c r="H24" i="3"/>
  <c r="M20" i="3"/>
  <c r="P53" i="3"/>
  <c r="Q53" i="3" s="1"/>
  <c r="M62" i="3"/>
  <c r="L61" i="3"/>
  <c r="K60" i="3"/>
  <c r="L62" i="3"/>
  <c r="K61" i="3"/>
  <c r="K62" i="3"/>
  <c r="M60" i="3"/>
  <c r="L60" i="3"/>
  <c r="M61" i="3"/>
  <c r="E5" i="3"/>
  <c r="E9" i="3"/>
  <c r="E13" i="3"/>
  <c r="E7" i="3"/>
  <c r="E11" i="3"/>
  <c r="E15" i="3"/>
  <c r="E16" i="3"/>
  <c r="E18" i="3"/>
  <c r="E20" i="3"/>
  <c r="E2" i="3"/>
  <c r="D3" i="3"/>
  <c r="D29" i="3" s="1"/>
  <c r="E4" i="3"/>
  <c r="D6" i="3"/>
  <c r="D8" i="3"/>
  <c r="D10" i="3"/>
  <c r="D12" i="3"/>
  <c r="D14" i="3"/>
  <c r="D17" i="3"/>
  <c r="D19" i="3"/>
  <c r="E21" i="3"/>
  <c r="E22" i="3"/>
  <c r="E24" i="3"/>
  <c r="E25" i="3"/>
  <c r="E26" i="3"/>
  <c r="E3" i="3"/>
  <c r="E6" i="3"/>
  <c r="E8" i="3"/>
  <c r="E10" i="3"/>
  <c r="E12" i="3"/>
  <c r="E14" i="3"/>
  <c r="E17" i="3"/>
  <c r="M21" i="3"/>
  <c r="D102" i="4" l="1"/>
  <c r="D97" i="4"/>
  <c r="D96" i="4"/>
  <c r="D91" i="4"/>
  <c r="D95" i="4"/>
  <c r="D105" i="4"/>
  <c r="B117" i="4"/>
  <c r="B116" i="4"/>
  <c r="A113" i="4"/>
  <c r="C90" i="4" s="1"/>
  <c r="F106" i="4"/>
  <c r="F98" i="4"/>
  <c r="C112" i="4"/>
  <c r="D100" i="4"/>
  <c r="D94" i="4"/>
  <c r="C108" i="4"/>
  <c r="C110" i="4"/>
  <c r="D101" i="4"/>
  <c r="C97" i="4"/>
  <c r="D90" i="4"/>
  <c r="E104" i="4"/>
  <c r="E95" i="4"/>
  <c r="F88" i="4"/>
  <c r="F117" i="4" s="1"/>
  <c r="C92" i="4"/>
  <c r="C117" i="4"/>
  <c r="B113" i="4"/>
  <c r="D108" i="4" s="1"/>
  <c r="D88" i="4"/>
  <c r="C89" i="4"/>
  <c r="C101" i="4"/>
  <c r="D110" i="4"/>
  <c r="C96" i="4"/>
  <c r="D106" i="4"/>
  <c r="C111" i="4"/>
  <c r="C105" i="4"/>
  <c r="E92" i="4"/>
  <c r="F89" i="4"/>
  <c r="F109" i="4"/>
  <c r="E110" i="4"/>
  <c r="F100" i="4"/>
  <c r="E90" i="4"/>
  <c r="F116" i="4" s="1"/>
  <c r="F91" i="4"/>
  <c r="F110" i="4"/>
  <c r="E91" i="4"/>
  <c r="F112" i="4"/>
  <c r="F97" i="4"/>
  <c r="E103" i="4"/>
  <c r="F90" i="4"/>
  <c r="F99" i="4"/>
  <c r="F96" i="4"/>
  <c r="E106" i="4"/>
  <c r="F94" i="4"/>
  <c r="E93" i="4"/>
  <c r="F105" i="4"/>
  <c r="E102" i="4"/>
  <c r="E89" i="4"/>
  <c r="E111" i="4"/>
  <c r="E107" i="4"/>
  <c r="E96" i="4"/>
  <c r="E112" i="4"/>
  <c r="E105" i="4"/>
  <c r="E94" i="4"/>
  <c r="F104" i="4"/>
  <c r="F107" i="4"/>
  <c r="E108" i="4"/>
  <c r="F102" i="4"/>
  <c r="E100" i="4"/>
  <c r="F92" i="4"/>
  <c r="E99" i="4"/>
  <c r="E101" i="4"/>
  <c r="E109" i="4"/>
  <c r="F111" i="4"/>
  <c r="F103" i="4"/>
  <c r="F108" i="4"/>
  <c r="F95" i="4"/>
  <c r="G4" i="6"/>
  <c r="G21" i="6"/>
  <c r="G2" i="6"/>
  <c r="G18" i="6"/>
  <c r="G23" i="6" s="1"/>
  <c r="G19" i="6"/>
  <c r="G1" i="1" a="1"/>
  <c r="D27" i="3"/>
  <c r="L1" i="4"/>
  <c r="T1" i="4"/>
  <c r="J2" i="4"/>
  <c r="J1" i="4"/>
  <c r="S2" i="4"/>
  <c r="Y2" i="4"/>
  <c r="U1" i="4"/>
  <c r="P1" i="4"/>
  <c r="AB1" i="4"/>
  <c r="H2" i="4"/>
  <c r="AD2" i="4"/>
  <c r="Q2" i="4"/>
  <c r="AD1" i="4"/>
  <c r="O2" i="4"/>
  <c r="AC1" i="4"/>
  <c r="W1" i="4"/>
  <c r="AE2" i="4"/>
  <c r="T2" i="4"/>
  <c r="Q1" i="4"/>
  <c r="K1" i="4"/>
  <c r="M2" i="4"/>
  <c r="AB2" i="4"/>
  <c r="G2" i="4"/>
  <c r="P2" i="4"/>
  <c r="R2" i="4"/>
  <c r="AE1" i="4"/>
  <c r="R1" i="4"/>
  <c r="H1" i="4"/>
  <c r="W2" i="4"/>
  <c r="K2" i="4"/>
  <c r="X2" i="4"/>
  <c r="AA1" i="4"/>
  <c r="V2" i="4"/>
  <c r="O1" i="4"/>
  <c r="I2" i="4"/>
  <c r="AC2" i="4"/>
  <c r="V1" i="4"/>
  <c r="X1" i="4"/>
  <c r="L2" i="4"/>
  <c r="Y1" i="4"/>
  <c r="M1" i="4"/>
  <c r="I1" i="4"/>
  <c r="AA2" i="4"/>
  <c r="Z2" i="4"/>
  <c r="S1" i="4"/>
  <c r="N2" i="4"/>
  <c r="G1" i="4"/>
  <c r="Z1" i="4"/>
  <c r="U2" i="4"/>
  <c r="P20" i="3" a="1"/>
  <c r="K3" i="3"/>
  <c r="E29" i="3"/>
  <c r="L4" i="3"/>
  <c r="E27" i="3"/>
  <c r="E28" i="3"/>
  <c r="D28" i="3"/>
  <c r="D103" i="4" l="1"/>
  <c r="C100" i="4"/>
  <c r="C94" i="4"/>
  <c r="D109" i="4"/>
  <c r="C109" i="4"/>
  <c r="C103" i="4"/>
  <c r="D111" i="4"/>
  <c r="C106" i="4"/>
  <c r="C93" i="4"/>
  <c r="C95" i="4"/>
  <c r="D107" i="4"/>
  <c r="C91" i="4"/>
  <c r="D98" i="4"/>
  <c r="C102" i="4"/>
  <c r="D92" i="4"/>
  <c r="D99" i="4"/>
  <c r="D89" i="4"/>
  <c r="C107" i="4"/>
  <c r="C99" i="4"/>
  <c r="C88" i="4"/>
  <c r="C104" i="4"/>
  <c r="D104" i="4"/>
  <c r="D93" i="4"/>
  <c r="D112" i="4"/>
  <c r="C98" i="4"/>
  <c r="G22" i="6"/>
  <c r="G8" i="6"/>
  <c r="G6" i="6"/>
  <c r="G7" i="6"/>
  <c r="P2" i="1"/>
  <c r="L2" i="1"/>
  <c r="J1" i="1"/>
  <c r="J3" i="1"/>
  <c r="N1" i="1"/>
  <c r="N3" i="1"/>
  <c r="H2" i="1"/>
  <c r="M3" i="1"/>
  <c r="G2" i="1"/>
  <c r="L3" i="1"/>
  <c r="P1" i="1"/>
  <c r="K3" i="1"/>
  <c r="O1" i="1"/>
  <c r="I3" i="1"/>
  <c r="M1" i="1"/>
  <c r="H3" i="1"/>
  <c r="L1" i="1"/>
  <c r="G3" i="1"/>
  <c r="K1" i="1"/>
  <c r="O2" i="1"/>
  <c r="I1" i="1"/>
  <c r="N2" i="1"/>
  <c r="H1" i="1"/>
  <c r="M2" i="1"/>
  <c r="G1" i="1"/>
  <c r="K2" i="1"/>
  <c r="P3" i="1"/>
  <c r="J2" i="1"/>
  <c r="O3" i="1"/>
  <c r="I2" i="1"/>
  <c r="A36" i="4" a="1"/>
  <c r="P21" i="3"/>
  <c r="Q20" i="3"/>
  <c r="P20" i="3"/>
  <c r="Q21" i="3"/>
  <c r="B20" i="1"/>
  <c r="C18" i="1"/>
  <c r="A18" i="1"/>
  <c r="B18" i="1"/>
  <c r="A19" i="1" s="1"/>
  <c r="C20" i="1"/>
  <c r="B19" i="1"/>
  <c r="G9" i="6" l="1"/>
  <c r="H4" i="6" s="1"/>
  <c r="G24" i="6"/>
  <c r="A23" i="1" a="1"/>
  <c r="A23" i="1" s="1"/>
  <c r="A36" i="4"/>
  <c r="A37" i="4"/>
  <c r="B36" i="4"/>
  <c r="B37" i="4"/>
  <c r="A20" i="1"/>
  <c r="H3" i="6" l="1"/>
  <c r="H19" i="6"/>
  <c r="H17" i="6"/>
  <c r="H18" i="6"/>
  <c r="H22" i="6" s="1"/>
  <c r="H2" i="6"/>
  <c r="B25" i="1"/>
  <c r="C25" i="1"/>
  <c r="B24" i="1"/>
  <c r="B23" i="1"/>
  <c r="C23" i="1"/>
  <c r="A24" i="1"/>
  <c r="C24" i="1"/>
  <c r="A25" i="1"/>
  <c r="E38" i="4"/>
  <c r="E39" i="4"/>
  <c r="H21" i="6" l="1"/>
  <c r="H23" i="6"/>
  <c r="H7" i="6"/>
  <c r="H8" i="6"/>
  <c r="H6" i="6"/>
  <c r="H9" i="6" l="1"/>
  <c r="I4" i="6" s="1"/>
  <c r="H24" i="6"/>
  <c r="I18" i="6" s="1"/>
  <c r="I17" i="6" l="1"/>
  <c r="I19" i="6"/>
  <c r="I3" i="6"/>
  <c r="I2" i="6"/>
  <c r="I22" i="6" l="1"/>
  <c r="I23" i="6"/>
  <c r="I21" i="6"/>
  <c r="I6" i="6"/>
  <c r="I8" i="6"/>
  <c r="I7" i="6"/>
  <c r="I24" i="6" l="1"/>
  <c r="J18" i="6" s="1"/>
  <c r="J17" i="6"/>
  <c r="J19" i="6"/>
  <c r="I9" i="6"/>
  <c r="J2" i="6" s="1"/>
  <c r="J4" i="6" l="1"/>
  <c r="J3" i="6"/>
  <c r="J7" i="6" s="1"/>
  <c r="J23" i="6"/>
  <c r="J22" i="6"/>
  <c r="J21" i="6"/>
  <c r="J24" i="6" s="1"/>
  <c r="K17" i="6" s="1"/>
  <c r="K22" i="6" l="1"/>
  <c r="K18" i="6"/>
  <c r="K21" i="6" s="1"/>
  <c r="J6" i="6"/>
  <c r="J8" i="6"/>
  <c r="K19" i="6"/>
  <c r="K23" i="6" s="1"/>
  <c r="K24" i="6" l="1"/>
  <c r="L19" i="6" s="1"/>
  <c r="L17" i="6"/>
  <c r="J9" i="6"/>
  <c r="K3" i="6" s="1"/>
  <c r="L18" i="6"/>
  <c r="K2" i="6" l="1"/>
  <c r="K4" i="6"/>
  <c r="L22" i="6"/>
  <c r="L23" i="6"/>
  <c r="L21" i="6"/>
  <c r="L24" i="6" l="1"/>
  <c r="M18" i="6" s="1"/>
  <c r="K7" i="6"/>
  <c r="K8" i="6"/>
  <c r="K6" i="6"/>
  <c r="K9" i="6" l="1"/>
  <c r="L4" i="6" s="1"/>
  <c r="L2" i="6"/>
  <c r="M17" i="6"/>
  <c r="M19" i="6"/>
  <c r="L3" i="6"/>
  <c r="L7" i="6" s="1"/>
  <c r="M23" i="6" l="1"/>
  <c r="M21" i="6"/>
  <c r="M22" i="6"/>
  <c r="L8" i="6"/>
  <c r="L6" i="6"/>
  <c r="K29" i="6" l="1"/>
  <c r="K28" i="6"/>
  <c r="M24" i="6"/>
  <c r="L26" i="6" s="1"/>
  <c r="L9" i="6"/>
  <c r="M3" i="6" s="1"/>
  <c r="M2" i="6"/>
  <c r="K30" i="6"/>
  <c r="M4" i="6" l="1"/>
  <c r="M7" i="6" s="1"/>
  <c r="M6" i="6" l="1"/>
  <c r="M8" i="6"/>
  <c r="M9" i="6" l="1"/>
</calcChain>
</file>

<file path=xl/sharedStrings.xml><?xml version="1.0" encoding="utf-8"?>
<sst xmlns="http://schemas.openxmlformats.org/spreadsheetml/2006/main" count="298" uniqueCount="158">
  <si>
    <t>身高</t>
  </si>
  <si>
    <t>胸围</t>
  </si>
  <si>
    <t>体重</t>
  </si>
  <si>
    <t>pca引例2 - GeoGebra</t>
  </si>
  <si>
    <t>样本编号</t>
  </si>
  <si>
    <t>长度x1</t>
  </si>
  <si>
    <t>宽度x2</t>
  </si>
  <si>
    <t>x1标准化x1*</t>
  </si>
  <si>
    <t>x2标准化x2*</t>
  </si>
  <si>
    <t>相关系数</t>
  </si>
  <si>
    <t>协方差A</t>
  </si>
  <si>
    <t>e11</t>
  </si>
  <si>
    <t>e12</t>
  </si>
  <si>
    <t>e21</t>
  </si>
  <si>
    <t>e22</t>
  </si>
  <si>
    <t>列 1</t>
  </si>
  <si>
    <t>列 2</t>
  </si>
  <si>
    <t>求特征根方法：</t>
  </si>
  <si>
    <t>求解1误差：</t>
  </si>
  <si>
    <t>求解2误差：</t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</si>
  <si>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1</t>
    </r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</si>
  <si>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2</t>
    </r>
  </si>
  <si>
    <t>P正交矩阵</t>
  </si>
  <si>
    <t>D对角矩阵</t>
  </si>
  <si>
    <t>单位特征向量e1</t>
  </si>
  <si>
    <t>单位特征向量e2</t>
  </si>
  <si>
    <r>
      <t>特征值</t>
    </r>
    <r>
      <rPr>
        <sz val="11"/>
        <color theme="1"/>
        <rFont val="Microsoft YaHei"/>
        <charset val="134"/>
      </rPr>
      <t>λ</t>
    </r>
  </si>
  <si>
    <t>累计值</t>
  </si>
  <si>
    <t>贡献率</t>
  </si>
  <si>
    <t>累计贡献率</t>
  </si>
  <si>
    <t>均值</t>
  </si>
  <si>
    <t>方差</t>
  </si>
  <si>
    <t>标准差</t>
  </si>
  <si>
    <t>标准化公式</t>
  </si>
  <si>
    <t>X协方差矩阵</t>
  </si>
  <si>
    <t>求解过程：</t>
  </si>
  <si>
    <t>求解一：</t>
  </si>
  <si>
    <t>求解二：</t>
  </si>
  <si>
    <t>求解三：</t>
  </si>
  <si>
    <t>特征值λ1</t>
  </si>
  <si>
    <t>特征值λ2</t>
  </si>
  <si>
    <t>特征值λ3</t>
  </si>
  <si>
    <t>特征向量计算草稿区</t>
  </si>
  <si>
    <t>x1</t>
  </si>
  <si>
    <t>x2</t>
  </si>
  <si>
    <t>x3</t>
  </si>
  <si>
    <t>特征向量x1</t>
  </si>
  <si>
    <t>单位特征向量e3</t>
  </si>
  <si>
    <t>特征向量x2</t>
  </si>
  <si>
    <t>ps在计算特征向量x2时，发现两次算到的值不同那么可知x21与x22均为0，从而可得x23可为任意非零数</t>
  </si>
  <si>
    <t>特征向量x3</t>
  </si>
  <si>
    <t>贡献率：</t>
  </si>
  <si>
    <t>可知</t>
  </si>
  <si>
    <t>第一主成分的贡献率为</t>
  </si>
  <si>
    <t>前两大主成分的累计贡献率为</t>
  </si>
  <si>
    <t>由此</t>
  </si>
  <si>
    <t>若使用前两个主成分代替原来三个变量，其信息损失仅为2%左右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</si>
  <si>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</si>
  <si>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参考资料：</t>
    <phoneticPr fontId="1" type="noConversion"/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</si>
  <si>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</si>
  <si>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</si>
  <si>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</si>
  <si>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</si>
  <si>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</si>
  <si>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</si>
  <si>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</si>
  <si>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</si>
  <si>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长度</t>
    <phoneticPr fontId="1" type="noConversion"/>
  </si>
  <si>
    <t>宽度</t>
    <phoneticPr fontId="1" type="noConversion"/>
  </si>
  <si>
    <t>∑=C</t>
    <phoneticPr fontId="1" type="noConversion"/>
  </si>
  <si>
    <t>I：</t>
    <phoneticPr fontId="1" type="noConversion"/>
  </si>
  <si>
    <t xml:space="preserve">λ1*λ2=det (c) </t>
    <phoneticPr fontId="1" type="noConversion"/>
  </si>
  <si>
    <t>λ1</t>
    <phoneticPr fontId="1" type="noConversion"/>
  </si>
  <si>
    <t xml:space="preserve">λ1+λ2=trace (c) </t>
    <phoneticPr fontId="1" type="noConversion"/>
  </si>
  <si>
    <t>λ2</t>
    <phoneticPr fontId="1" type="noConversion"/>
  </si>
  <si>
    <t>手算特征值和特征向量：https://blog.csdn.net/landing_guy_/article/details/118498235</t>
    <phoneticPr fontId="1" type="noConversion"/>
  </si>
  <si>
    <t>(A−λI)x=0</t>
  </si>
  <si>
    <t>Det(A−λI)=0</t>
  </si>
  <si>
    <t>Ax=λx</t>
    <phoneticPr fontId="1" type="noConversion"/>
  </si>
  <si>
    <t>λ2</t>
    <phoneticPr fontId="1" type="noConversion"/>
  </si>
  <si>
    <t>https://www.mathportal.org/calculators/matrices-calculators/eigenvectors-calculator.php</t>
    <phoneticPr fontId="1" type="noConversion"/>
  </si>
  <si>
    <t>(A−λI)x=0</t>
    <phoneticPr fontId="1" type="noConversion"/>
  </si>
  <si>
    <t>λI</t>
    <phoneticPr fontId="1" type="noConversion"/>
  </si>
  <si>
    <t>I</t>
    <phoneticPr fontId="1" type="noConversion"/>
  </si>
  <si>
    <t>A-λI</t>
    <phoneticPr fontId="1" type="noConversion"/>
  </si>
  <si>
    <t>当λ=6.469</t>
    <phoneticPr fontId="1" type="noConversion"/>
  </si>
  <si>
    <t>y</t>
    <phoneticPr fontId="1" type="noConversion"/>
  </si>
  <si>
    <t>构造eigenvector</t>
    <phoneticPr fontId="1" type="noConversion"/>
  </si>
  <si>
    <t>当λ=37.868</t>
    <phoneticPr fontId="1" type="noConversion"/>
  </si>
  <si>
    <t>单位基</t>
    <phoneticPr fontId="1" type="noConversion"/>
  </si>
  <si>
    <t>λ3</t>
    <phoneticPr fontId="1" type="noConversion"/>
  </si>
  <si>
    <t>https://www.real-statistics.com/multivariate-statistics/factor-analysis/principal-component-analysis/</t>
    <phoneticPr fontId="1" type="noConversion"/>
  </si>
  <si>
    <t>https://www.intmath.com/matrices-determinants/eigenvalues-eigenvectors-calculator.php</t>
    <phoneticPr fontId="1" type="noConversion"/>
  </si>
  <si>
    <t>https://www.mathportal.org/calculators/matrices-calculators/eigenvectors-calculator.php</t>
    <phoneticPr fontId="1" type="noConversion"/>
  </si>
  <si>
    <t>eigenvector计算器</t>
    <phoneticPr fontId="1" type="noConversion"/>
  </si>
  <si>
    <t>https://www.wolframalpha.com/input/?i=eigenvector+calculator</t>
    <phoneticPr fontId="1" type="noConversion"/>
  </si>
  <si>
    <t>CG - 图形学中的基本变换（缩放、平移、旋转、剪切、镜像）[转] - AI备忘录 (aiuai.cn)</t>
  </si>
  <si>
    <t>★</t>
  </si>
  <si>
    <t>★</t>
    <phoneticPr fontId="1" type="noConversion"/>
  </si>
  <si>
    <t>★★</t>
    <phoneticPr fontId="1" type="noConversion"/>
  </si>
  <si>
    <t>★★★</t>
    <phoneticPr fontId="1" type="noConversion"/>
  </si>
  <si>
    <t>特征向量</t>
    <phoneticPr fontId="1" type="noConversion"/>
  </si>
  <si>
    <t>特征值</t>
    <phoneticPr fontId="1" type="noConversion"/>
  </si>
  <si>
    <t>可视化</t>
    <phoneticPr fontId="1" type="noConversion"/>
  </si>
  <si>
    <t>★★★★</t>
    <phoneticPr fontId="1" type="noConversion"/>
  </si>
  <si>
    <r>
      <t>∑=C</t>
    </r>
    <r>
      <rPr>
        <b/>
        <sz val="11"/>
        <color theme="1"/>
        <rFont val="等线"/>
        <family val="3"/>
        <charset val="134"/>
        <scheme val="minor"/>
      </rPr>
      <t>(标准化)</t>
    </r>
    <phoneticPr fontId="1" type="noConversion"/>
  </si>
  <si>
    <t>一文解释 矩阵特征分解 - 知乎 (zhihu.com)</t>
  </si>
  <si>
    <t>【线性代数】详解正定矩阵、实对称矩阵、矩阵特征值分解、矩阵 SVD 分解 - 知乎 (zhihu.com)</t>
  </si>
  <si>
    <t>验证</t>
    <phoneticPr fontId="1" type="noConversion"/>
  </si>
  <si>
    <t>单位基</t>
    <phoneticPr fontId="1" type="noConversion"/>
  </si>
  <si>
    <t>单位基转置</t>
    <phoneticPr fontId="1" type="noConversion"/>
  </si>
  <si>
    <t>单位基的逆</t>
    <phoneticPr fontId="1" type="noConversion"/>
  </si>
  <si>
    <t>特征向量是手算来的，因此略微有点不准</t>
    <phoneticPr fontId="1" type="noConversion"/>
  </si>
  <si>
    <t>实对称矩阵特性</t>
    <phoneticPr fontId="1" type="noConversion"/>
  </si>
  <si>
    <t>幂法求解矩阵特征值及特征向量_凯旋的皇阿玛的博客-CSDN博客_幂法求特征值</t>
  </si>
  <si>
    <t>x0</t>
    <phoneticPr fontId="1" type="noConversion"/>
  </si>
  <si>
    <t>y1</t>
    <phoneticPr fontId="1" type="noConversion"/>
  </si>
  <si>
    <t>x1</t>
    <phoneticPr fontId="1" type="noConversion"/>
  </si>
  <si>
    <t>max(m)</t>
    <phoneticPr fontId="1" type="noConversion"/>
  </si>
  <si>
    <t>y2</t>
    <phoneticPr fontId="1" type="noConversion"/>
  </si>
  <si>
    <t>y3</t>
    <phoneticPr fontId="1" type="noConversion"/>
  </si>
  <si>
    <t>x2</t>
    <phoneticPr fontId="1" type="noConversion"/>
  </si>
  <si>
    <t>x4</t>
  </si>
  <si>
    <t>x5</t>
  </si>
  <si>
    <t>x6</t>
  </si>
  <si>
    <t>x7</t>
  </si>
  <si>
    <t>x8</t>
  </si>
  <si>
    <t>y4</t>
  </si>
  <si>
    <t>y5</t>
  </si>
  <si>
    <t>y6</t>
  </si>
  <si>
    <t>y7</t>
  </si>
  <si>
    <t>y8</t>
  </si>
  <si>
    <t>y9</t>
  </si>
  <si>
    <t>λ1</t>
    <phoneticPr fontId="1" type="noConversion"/>
  </si>
  <si>
    <t>特征值</t>
    <phoneticPr fontId="1" type="noConversion"/>
  </si>
  <si>
    <t>单位基</t>
    <phoneticPr fontId="1" type="noConversion"/>
  </si>
  <si>
    <t>特征向量</t>
    <phoneticPr fontId="1" type="noConversion"/>
  </si>
  <si>
    <t>【机电田老师】数值分析：给各位表演个EXCEL做幂法求特征值_哔哩哔哩_bilibili</t>
    <phoneticPr fontId="1" type="noConversion"/>
  </si>
  <si>
    <t>视频讲解</t>
    <phoneticPr fontId="1" type="noConversion"/>
  </si>
  <si>
    <r>
      <t>有些实际问题往往不需要求出所有的特征值，只需要绝对值最大的主特征值。</t>
    </r>
    <r>
      <rPr>
        <sz val="10"/>
        <color rgb="FF121212"/>
        <rFont val="宋体"/>
        <family val="3"/>
        <charset val="134"/>
      </rPr>
      <t/>
    </r>
    <phoneticPr fontId="1" type="noConversion"/>
  </si>
  <si>
    <t>幂法是计算一个矩阵的主特征值及其特征向量的迭代法，特别适用于大型的稀疏矩阵。</t>
  </si>
  <si>
    <t>幂法与反幂法 - 知乎 (zhihu.com)</t>
  </si>
  <si>
    <t>v</t>
    <phoneticPr fontId="1" type="noConversion"/>
  </si>
  <si>
    <t>xk</t>
    <phoneticPr fontId="1" type="noConversion"/>
  </si>
  <si>
    <t>https://www.real-statistics.com/linear-algebra-matrix-topics/eigenvalues-eigenvectors/</t>
    <phoneticPr fontId="1" type="noConversion"/>
  </si>
  <si>
    <t>PCA-二维例子 – GeoGebra</t>
  </si>
  <si>
    <t>pca-二维例子（标准化数据） – GeoGebra</t>
  </si>
  <si>
    <t>y1</t>
    <phoneticPr fontId="1" type="noConversion"/>
  </si>
  <si>
    <t>y2</t>
    <phoneticPr fontId="1" type="noConversion"/>
  </si>
  <si>
    <t>y1</t>
    <phoneticPr fontId="1" type="noConversion"/>
  </si>
  <si>
    <t>y2</t>
    <phoneticPr fontId="1" type="noConversion"/>
  </si>
  <si>
    <t>原数据变换后</t>
    <phoneticPr fontId="1" type="noConversion"/>
  </si>
  <si>
    <t>变换后零均值</t>
    <phoneticPr fontId="1" type="noConversion"/>
  </si>
  <si>
    <t>y1</t>
    <phoneticPr fontId="1" type="noConversion"/>
  </si>
  <si>
    <t>y2</t>
    <phoneticPr fontId="1" type="noConversion"/>
  </si>
  <si>
    <t>变换后标准化</t>
    <phoneticPr fontId="1" type="noConversion"/>
  </si>
  <si>
    <t>y1</t>
    <phoneticPr fontId="1" type="noConversion"/>
  </si>
  <si>
    <r>
      <t>标准化后再变换</t>
    </r>
    <r>
      <rPr>
        <b/>
        <sz val="11"/>
        <color rgb="FFFF0000"/>
        <rFont val="等线"/>
        <family val="3"/>
        <charset val="134"/>
        <scheme val="minor"/>
      </rPr>
      <t>（最优变换）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</si>
</sst>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1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theme="1"/>
      <name val="Microsoft YaHei"/>
      <charset val="134"/>
    </font>
    <font>
      <sz val="12"/>
      <color rgb="FF333333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0"/>
      <color rgb="FF121212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4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5" fillId="0" borderId="0" xfId="2" applyNumberFormat="1" applyFont="1" applyFill="1" applyBorder="1" applyAlignment="1" applyProtection="1">
      <alignment vertical="center"/>
    </xf>
    <xf numFmtId="0" fontId="4" fillId="0" borderId="0" xfId="2">
      <alignment vertical="center"/>
    </xf>
    <xf numFmtId="0" fontId="4" fillId="0" borderId="4" xfId="2" applyFont="1" applyFill="1" applyBorder="1" applyAlignment="1">
      <alignment horizontal="center" vertical="center"/>
    </xf>
    <xf numFmtId="0" fontId="4" fillId="0" borderId="0" xfId="2" applyFill="1" applyBorder="1" applyAlignment="1">
      <alignment vertical="center"/>
    </xf>
    <xf numFmtId="0" fontId="4" fillId="0" borderId="5" xfId="2" applyFill="1" applyBorder="1" applyAlignment="1">
      <alignment vertical="center"/>
    </xf>
    <xf numFmtId="0" fontId="4" fillId="0" borderId="0" xfId="2" applyFont="1">
      <alignment vertical="center"/>
    </xf>
    <xf numFmtId="0" fontId="4" fillId="0" borderId="0" xfId="2" applyFont="1" applyFill="1" applyAlignment="1">
      <alignment vertical="center"/>
    </xf>
    <xf numFmtId="10" fontId="4" fillId="0" borderId="0" xfId="2" applyNumberFormat="1">
      <alignment vertical="center"/>
    </xf>
    <xf numFmtId="0" fontId="7" fillId="0" borderId="0" xfId="2" applyFont="1">
      <alignment vertical="center"/>
    </xf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7" xfId="0" applyFill="1" applyBorder="1" applyAlignment="1">
      <alignment horizontal="center" vertical="center"/>
    </xf>
    <xf numFmtId="0" fontId="5" fillId="0" borderId="1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ill="1" applyBorder="1" applyAlignment="1">
      <alignment horizontal="center"/>
    </xf>
    <xf numFmtId="176" fontId="0" fillId="0" borderId="1" xfId="0" applyNumberFormat="1" applyBorder="1"/>
    <xf numFmtId="177" fontId="0" fillId="0" borderId="0" xfId="0" applyNumberForma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2" fillId="0" borderId="0" xfId="0" applyFont="1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0" fillId="0" borderId="4" xfId="0" applyFont="1" applyFill="1" applyBorder="1" applyAlignment="1">
      <alignment horizontal="center"/>
    </xf>
    <xf numFmtId="0" fontId="9" fillId="0" borderId="0" xfId="0" applyFont="1" applyBorder="1"/>
    <xf numFmtId="0" fontId="9" fillId="0" borderId="1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4.png"/><Relationship Id="rId5" Type="http://schemas.openxmlformats.org/officeDocument/2006/relationships/image" Target="../media/image7.png"/><Relationship Id="rId10" Type="http://schemas.openxmlformats.org/officeDocument/2006/relationships/image" Target="../media/image13.png"/><Relationship Id="rId4" Type="http://schemas.openxmlformats.org/officeDocument/2006/relationships/image" Target="../media/image6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1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59268</xdr:colOff>
      <xdr:row>1</xdr:row>
      <xdr:rowOff>88901</xdr:rowOff>
    </xdr:from>
    <xdr:to>
      <xdr:col>11</xdr:col>
      <xdr:colOff>457200</xdr:colOff>
      <xdr:row>25</xdr:row>
      <xdr:rowOff>143297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68" y="265444"/>
          <a:ext cx="7568277" cy="4291417"/>
        </a:xfrm>
        <a:prstGeom prst="rect">
          <a:avLst/>
        </a:prstGeom>
      </xdr:spPr>
    </xdr:pic>
    <xdr:clientData/>
  </xdr:twoCellAnchor>
  <xdr:twoCellAnchor editAs="oneCell">
    <xdr:from>
      <xdr:col>11</xdr:col>
      <xdr:colOff>475309</xdr:colOff>
      <xdr:row>3</xdr:row>
      <xdr:rowOff>76955</xdr:rowOff>
    </xdr:from>
    <xdr:to>
      <xdr:col>21</xdr:col>
      <xdr:colOff>339505</xdr:colOff>
      <xdr:row>25</xdr:row>
      <xdr:rowOff>89769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5654" y="606583"/>
          <a:ext cx="6382691" cy="3896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6453" y="533403"/>
          <a:ext cx="4224497" cy="157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358361</xdr:colOff>
      <xdr:row>15</xdr:row>
      <xdr:rowOff>62006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154" y="2128262"/>
          <a:ext cx="5855007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1670" y="595980"/>
          <a:ext cx="3680609" cy="1423371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515199</xdr:colOff>
      <xdr:row>50</xdr:row>
      <xdr:rowOff>55033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48006" y="7161528"/>
          <a:ext cx="4159938" cy="1920901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10" name="文本框 9"/>
        <xdr:cNvSpPr txBox="1"/>
      </xdr:nvSpPr>
      <xdr:spPr>
        <a:xfrm>
          <a:off x="88264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0</xdr:col>
      <xdr:colOff>76200</xdr:colOff>
      <xdr:row>53</xdr:row>
      <xdr:rowOff>114299</xdr:rowOff>
    </xdr:from>
    <xdr:to>
      <xdr:col>6</xdr:col>
      <xdr:colOff>245078</xdr:colOff>
      <xdr:row>70</xdr:row>
      <xdr:rowOff>156634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643532"/>
          <a:ext cx="4855405" cy="3064935"/>
        </a:xfrm>
        <a:prstGeom prst="rect">
          <a:avLst/>
        </a:prstGeom>
      </xdr:spPr>
    </xdr:pic>
    <xdr:clientData/>
  </xdr:two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977" y="12897893"/>
          <a:ext cx="3292599" cy="2001119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5" name="文本框 14"/>
        <xdr:cNvSpPr txBox="1"/>
      </xdr:nvSpPr>
      <xdr:spPr>
        <a:xfrm>
          <a:off x="77724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1533" y="8568268"/>
          <a:ext cx="4488572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631902</xdr:colOff>
      <xdr:row>80</xdr:row>
      <xdr:rowOff>35834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3165667"/>
          <a:ext cx="4480000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8" name="文本框 17"/>
        <xdr:cNvSpPr txBox="1"/>
      </xdr:nvSpPr>
      <xdr:spPr>
        <a:xfrm>
          <a:off x="96393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9" name="左右箭头 18"/>
        <xdr:cNvSpPr/>
      </xdr:nvSpPr>
      <xdr:spPr>
        <a:xfrm rot="5400000">
          <a:off x="97917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5753" y="541870"/>
          <a:ext cx="4224497" cy="1581432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358360</xdr:colOff>
      <xdr:row>15</xdr:row>
      <xdr:rowOff>62006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1754" y="2128262"/>
          <a:ext cx="5855006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970" y="604447"/>
          <a:ext cx="3680608" cy="14277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39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530140</xdr:colOff>
      <xdr:row>50</xdr:row>
      <xdr:rowOff>55033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03398" y="7160192"/>
          <a:ext cx="4064976" cy="1890674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9" name="文本框 8"/>
        <xdr:cNvSpPr txBox="1"/>
      </xdr:nvSpPr>
      <xdr:spPr>
        <a:xfrm>
          <a:off x="91820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369" y="12808624"/>
          <a:ext cx="3221931" cy="1970891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2" name="文本框 11"/>
        <xdr:cNvSpPr txBox="1"/>
      </xdr:nvSpPr>
      <xdr:spPr>
        <a:xfrm>
          <a:off x="81280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33" y="8568268"/>
          <a:ext cx="4488574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631901</xdr:colOff>
      <xdr:row>80</xdr:row>
      <xdr:rowOff>35834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9900" y="13165667"/>
          <a:ext cx="4480001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5" name="文本框 14"/>
        <xdr:cNvSpPr txBox="1"/>
      </xdr:nvSpPr>
      <xdr:spPr>
        <a:xfrm>
          <a:off x="99949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6" name="左右箭头 15"/>
        <xdr:cNvSpPr/>
      </xdr:nvSpPr>
      <xdr:spPr>
        <a:xfrm rot="5400000">
          <a:off x="101473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29197</xdr:colOff>
      <xdr:row>53</xdr:row>
      <xdr:rowOff>37954</xdr:rowOff>
    </xdr:from>
    <xdr:to>
      <xdr:col>6</xdr:col>
      <xdr:colOff>518407</xdr:colOff>
      <xdr:row>70</xdr:row>
      <xdr:rowOff>96344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97" y="9549816"/>
          <a:ext cx="5183831" cy="308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42334</xdr:rowOff>
    </xdr:from>
    <xdr:to>
      <xdr:col>3</xdr:col>
      <xdr:colOff>607705</xdr:colOff>
      <xdr:row>25</xdr:row>
      <xdr:rowOff>42333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60" r="4743"/>
        <a:stretch/>
      </xdr:blipFill>
      <xdr:spPr>
        <a:xfrm>
          <a:off x="0" y="397934"/>
          <a:ext cx="2538105" cy="4089399"/>
        </a:xfrm>
        <a:prstGeom prst="rect">
          <a:avLst/>
        </a:prstGeom>
      </xdr:spPr>
    </xdr:pic>
    <xdr:clientData/>
  </xdr:twoCellAnchor>
  <xdr:twoCellAnchor editAs="oneCell">
    <xdr:from>
      <xdr:col>4</xdr:col>
      <xdr:colOff>97691</xdr:colOff>
      <xdr:row>2</xdr:row>
      <xdr:rowOff>156309</xdr:rowOff>
    </xdr:from>
    <xdr:to>
      <xdr:col>12</xdr:col>
      <xdr:colOff>167704</xdr:colOff>
      <xdr:row>8</xdr:row>
      <xdr:rowOff>125587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768" y="514514"/>
          <a:ext cx="5228167" cy="1043894"/>
        </a:xfrm>
        <a:prstGeom prst="rect">
          <a:avLst/>
        </a:prstGeom>
      </xdr:spPr>
    </xdr:pic>
    <xdr:clientData/>
  </xdr:twoCellAnchor>
  <xdr:twoCellAnchor editAs="oneCell">
    <xdr:from>
      <xdr:col>4</xdr:col>
      <xdr:colOff>198641</xdr:colOff>
      <xdr:row>11</xdr:row>
      <xdr:rowOff>3256</xdr:rowOff>
    </xdr:from>
    <xdr:to>
      <xdr:col>12</xdr:col>
      <xdr:colOff>371915</xdr:colOff>
      <xdr:row>17</xdr:row>
      <xdr:rowOff>2926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7718" y="1973384"/>
          <a:ext cx="5331428" cy="1074286"/>
        </a:xfrm>
        <a:prstGeom prst="rect">
          <a:avLst/>
        </a:prstGeom>
      </xdr:spPr>
    </xdr:pic>
    <xdr:clientData/>
  </xdr:twoCellAnchor>
  <xdr:oneCellAnchor>
    <xdr:from>
      <xdr:col>0</xdr:col>
      <xdr:colOff>557173</xdr:colOff>
      <xdr:row>25</xdr:row>
      <xdr:rowOff>151748</xdr:rowOff>
    </xdr:from>
    <xdr:ext cx="1435751" cy="9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14:m>
                <m:oMath xmlns:m="http://schemas.openxmlformats.org/officeDocument/2006/math">
                  <m:d>
                    <m:dPr>
                      <m:begChr m:val="["/>
                      <m:endChr m:val="]"/>
                      <m:ctrlPr>
                        <a:rPr lang="en-US" altLang="zh-CN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2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</m:mr>
                      </m:m>
                    </m:e>
                  </m:d>
                  <m:d>
                    <m:dPr>
                      <m:begChr m:val="["/>
                      <m:endChr m:val="]"/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mr>
                      </m:m>
                    </m:e>
                  </m:d>
                  <m:r>
                    <a:rPr lang="en-US" altLang="zh-CN" sz="11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14:m>
                <m:oMath xmlns:m="http://schemas.openxmlformats.org/officeDocument/2006/math">
                  <m:m>
                    <m:mPr>
                      <m:mcs>
                        <m:mc>
                          <m:mcPr>
                            <m:count m:val="1"/>
                            <m:mcJc m:val="center"/>
                          </m:mcPr>
                        </m:mc>
                      </m:mcs>
                      <m:ctrlPr>
                        <a:rPr lang="en-US" altLang="zh-CN" sz="11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mPr>
                    <m:mr>
                      <m:e>
                        <m:r>
                          <m:rPr>
                            <m:brk m:alnAt="7"/>
                          </m:rP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e>
                    </m:mr>
                    <m:m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</m:mr>
                  </m:m>
                </m:oMath>
              </a14:m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:r>
                <a:rPr lang="en-US" altLang="zh-CN" sz="1100" i="0">
                  <a:latin typeface="Cambria Math" panose="02040503050406030204" pitchFamily="18" charset="0"/>
                </a:rPr>
                <a:t>[■8(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𝑎&amp;𝑏@𝑐&amp;𝑑)][■8(1@𝑦)]=</a:t>
              </a:r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[■8(1@𝑦)]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13</xdr:row>
          <xdr:rowOff>169333</xdr:rowOff>
        </xdr:from>
        <xdr:to>
          <xdr:col>2</xdr:col>
          <xdr:colOff>618067</xdr:colOff>
          <xdr:row>15</xdr:row>
          <xdr:rowOff>135467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62231</xdr:colOff>
      <xdr:row>13</xdr:row>
      <xdr:rowOff>116527</xdr:rowOff>
    </xdr:from>
    <xdr:to>
      <xdr:col>5</xdr:col>
      <xdr:colOff>541334</xdr:colOff>
      <xdr:row>15</xdr:row>
      <xdr:rowOff>135385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840" y="2413570"/>
          <a:ext cx="1767509" cy="3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16</xdr:row>
      <xdr:rowOff>10192</xdr:rowOff>
    </xdr:from>
    <xdr:to>
      <xdr:col>5</xdr:col>
      <xdr:colOff>519043</xdr:colOff>
      <xdr:row>17</xdr:row>
      <xdr:rowOff>171480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484" y="2837322"/>
          <a:ext cx="1726574" cy="33798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154617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5103" y="530090"/>
          <a:ext cx="4229651" cy="1568179"/>
        </a:xfrm>
        <a:prstGeom prst="rect">
          <a:avLst/>
        </a:prstGeom>
      </xdr:spPr>
    </xdr:pic>
    <xdr:clientData/>
  </xdr:twoCellAnchor>
  <xdr:twoCellAnchor editAs="oneCell">
    <xdr:from>
      <xdr:col>18</xdr:col>
      <xdr:colOff>2454</xdr:colOff>
      <xdr:row>18</xdr:row>
      <xdr:rowOff>7362</xdr:rowOff>
    </xdr:from>
    <xdr:to>
      <xdr:col>27</xdr:col>
      <xdr:colOff>66261</xdr:colOff>
      <xdr:row>21</xdr:row>
      <xdr:rowOff>133973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8425" y="3187884"/>
          <a:ext cx="5861633" cy="656698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434379</xdr:colOff>
      <xdr:row>11</xdr:row>
      <xdr:rowOff>63551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087" y="592667"/>
          <a:ext cx="3684842" cy="1414536"/>
        </a:xfrm>
        <a:prstGeom prst="rect">
          <a:avLst/>
        </a:prstGeom>
      </xdr:spPr>
    </xdr:pic>
    <xdr:clientData/>
  </xdr:twoCellAnchor>
  <xdr:twoCellAnchor editAs="oneCell">
    <xdr:from>
      <xdr:col>10</xdr:col>
      <xdr:colOff>570579</xdr:colOff>
      <xdr:row>12</xdr:row>
      <xdr:rowOff>139883</xdr:rowOff>
    </xdr:from>
    <xdr:to>
      <xdr:col>16</xdr:col>
      <xdr:colOff>600862</xdr:colOff>
      <xdr:row>37</xdr:row>
      <xdr:rowOff>159494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2927" y="2260231"/>
          <a:ext cx="3895500" cy="443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143567</xdr:rowOff>
    </xdr:from>
    <xdr:to>
      <xdr:col>3</xdr:col>
      <xdr:colOff>452782</xdr:colOff>
      <xdr:row>59</xdr:row>
      <xdr:rowOff>81981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1306"/>
          <a:ext cx="2385391" cy="3825718"/>
        </a:xfrm>
        <a:prstGeom prst="rect">
          <a:avLst/>
        </a:prstGeom>
      </xdr:spPr>
    </xdr:pic>
    <xdr:clientData/>
  </xdr:twoCellAnchor>
  <xdr:twoCellAnchor editAs="oneCell">
    <xdr:from>
      <xdr:col>3</xdr:col>
      <xdr:colOff>519043</xdr:colOff>
      <xdr:row>37</xdr:row>
      <xdr:rowOff>69941</xdr:rowOff>
    </xdr:from>
    <xdr:to>
      <xdr:col>7</xdr:col>
      <xdr:colOff>110803</xdr:colOff>
      <xdr:row>60</xdr:row>
      <xdr:rowOff>34512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1652" y="6607680"/>
          <a:ext cx="2168571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121479</xdr:colOff>
      <xdr:row>37</xdr:row>
      <xdr:rowOff>80986</xdr:rowOff>
    </xdr:from>
    <xdr:to>
      <xdr:col>10</xdr:col>
      <xdr:colOff>595694</xdr:colOff>
      <xdr:row>58</xdr:row>
      <xdr:rowOff>130377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0899" y="6618725"/>
          <a:ext cx="2657143" cy="37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491066</xdr:colOff>
      <xdr:row>9</xdr:row>
      <xdr:rowOff>111200</xdr:rowOff>
    </xdr:from>
    <xdr:to>
      <xdr:col>13</xdr:col>
      <xdr:colOff>21166</xdr:colOff>
      <xdr:row>14</xdr:row>
      <xdr:rowOff>54574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799" y="1711400"/>
          <a:ext cx="2747434" cy="832374"/>
        </a:xfrm>
        <a:prstGeom prst="rect">
          <a:avLst/>
        </a:prstGeom>
      </xdr:spPr>
    </xdr:pic>
    <xdr:clientData/>
  </xdr:twoCellAnchor>
  <xdr:twoCellAnchor editAs="oneCell">
    <xdr:from>
      <xdr:col>11</xdr:col>
      <xdr:colOff>613834</xdr:colOff>
      <xdr:row>25</xdr:row>
      <xdr:rowOff>31299</xdr:rowOff>
    </xdr:from>
    <xdr:to>
      <xdr:col>14</xdr:col>
      <xdr:colOff>194734</xdr:colOff>
      <xdr:row>30</xdr:row>
      <xdr:rowOff>64356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1967" y="4476299"/>
          <a:ext cx="1511300" cy="922057"/>
        </a:xfrm>
        <a:prstGeom prst="rect">
          <a:avLst/>
        </a:prstGeom>
      </xdr:spPr>
    </xdr:pic>
    <xdr:clientData/>
  </xdr:twoCellAnchor>
  <xdr:twoCellAnchor editAs="oneCell">
    <xdr:from>
      <xdr:col>14</xdr:col>
      <xdr:colOff>613835</xdr:colOff>
      <xdr:row>24</xdr:row>
      <xdr:rowOff>171526</xdr:rowOff>
    </xdr:from>
    <xdr:to>
      <xdr:col>17</xdr:col>
      <xdr:colOff>609601</xdr:colOff>
      <xdr:row>30</xdr:row>
      <xdr:rowOff>20956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368" y="4438726"/>
          <a:ext cx="1926166" cy="916230"/>
        </a:xfrm>
        <a:prstGeom prst="rect">
          <a:avLst/>
        </a:prstGeom>
      </xdr:spPr>
    </xdr:pic>
    <xdr:clientData/>
  </xdr:twoCellAnchor>
  <xdr:twoCellAnchor>
    <xdr:from>
      <xdr:col>14</xdr:col>
      <xdr:colOff>71967</xdr:colOff>
      <xdr:row>26</xdr:row>
      <xdr:rowOff>84667</xdr:rowOff>
    </xdr:from>
    <xdr:to>
      <xdr:col>15</xdr:col>
      <xdr:colOff>42333</xdr:colOff>
      <xdr:row>29</xdr:row>
      <xdr:rowOff>76200</xdr:rowOff>
    </xdr:to>
    <xdr:sp macro="" textlink="">
      <xdr:nvSpPr>
        <xdr:cNvPr id="5" name="右箭头 4"/>
        <xdr:cNvSpPr/>
      </xdr:nvSpPr>
      <xdr:spPr>
        <a:xfrm rot="10800000">
          <a:off x="9080500" y="4707467"/>
          <a:ext cx="613833" cy="5249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596900</xdr:colOff>
      <xdr:row>11</xdr:row>
      <xdr:rowOff>38101</xdr:rowOff>
    </xdr:from>
    <xdr:to>
      <xdr:col>14</xdr:col>
      <xdr:colOff>309033</xdr:colOff>
      <xdr:row>13</xdr:row>
      <xdr:rowOff>21167</xdr:rowOff>
    </xdr:to>
    <xdr:sp macro="" textlink="">
      <xdr:nvSpPr>
        <xdr:cNvPr id="6" name="左右箭头 5"/>
        <xdr:cNvSpPr/>
      </xdr:nvSpPr>
      <xdr:spPr>
        <a:xfrm>
          <a:off x="8318500" y="1993901"/>
          <a:ext cx="999066" cy="3386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372534</xdr:colOff>
      <xdr:row>10</xdr:row>
      <xdr:rowOff>143933</xdr:rowOff>
    </xdr:from>
    <xdr:ext cx="2561165" cy="405432"/>
    <xdr:sp macro="" textlink="">
      <xdr:nvSpPr>
        <xdr:cNvPr id="7" name="文本框 6"/>
        <xdr:cNvSpPr txBox="1"/>
      </xdr:nvSpPr>
      <xdr:spPr>
        <a:xfrm>
          <a:off x="9381067" y="1921933"/>
          <a:ext cx="256116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2000"/>
            <a:t>x</a:t>
          </a:r>
          <a:r>
            <a:rPr lang="en-US" altLang="zh-CN" sz="2000" baseline="-25000"/>
            <a:t>k</a:t>
          </a:r>
          <a:r>
            <a:rPr lang="en-US" altLang="zh-CN" sz="2000"/>
            <a:t> = 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x</a:t>
          </a:r>
          <a:r>
            <a:rPr lang="en-US" altLang="zh-CN" sz="20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k-1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2000"/>
            <a:t>/ max( A x</a:t>
          </a:r>
          <a:r>
            <a:rPr lang="en-US" altLang="zh-CN" sz="2000" baseline="-25000"/>
            <a:t>k-1</a:t>
          </a:r>
          <a:r>
            <a:rPr lang="en-US" altLang="zh-CN" sz="2000"/>
            <a:t>)</a:t>
          </a:r>
          <a:endParaRPr lang="zh-CN" altLang="en-US" sz="2000"/>
        </a:p>
      </xdr:txBody>
    </xdr:sp>
    <xdr:clientData/>
  </xdr:oneCellAnchor>
  <xdr:twoCellAnchor editAs="oneCell">
    <xdr:from>
      <xdr:col>5</xdr:col>
      <xdr:colOff>601134</xdr:colOff>
      <xdr:row>9</xdr:row>
      <xdr:rowOff>49434</xdr:rowOff>
    </xdr:from>
    <xdr:to>
      <xdr:col>7</xdr:col>
      <xdr:colOff>550333</xdr:colOff>
      <xdr:row>10</xdr:row>
      <xdr:rowOff>158676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8467" y="1649634"/>
          <a:ext cx="1236133" cy="287042"/>
        </a:xfrm>
        <a:prstGeom prst="rect">
          <a:avLst/>
        </a:prstGeom>
      </xdr:spPr>
    </xdr:pic>
    <xdr:clientData/>
  </xdr:twoCellAnchor>
  <xdr:twoCellAnchor>
    <xdr:from>
      <xdr:col>8</xdr:col>
      <xdr:colOff>8467</xdr:colOff>
      <xdr:row>10</xdr:row>
      <xdr:rowOff>46567</xdr:rowOff>
    </xdr:from>
    <xdr:to>
      <xdr:col>8</xdr:col>
      <xdr:colOff>512234</xdr:colOff>
      <xdr:row>12</xdr:row>
      <xdr:rowOff>93133</xdr:rowOff>
    </xdr:to>
    <xdr:sp macro="" textlink="">
      <xdr:nvSpPr>
        <xdr:cNvPr id="9" name="右箭头 8"/>
        <xdr:cNvSpPr/>
      </xdr:nvSpPr>
      <xdr:spPr>
        <a:xfrm>
          <a:off x="5156200" y="1824567"/>
          <a:ext cx="503767" cy="402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177800</xdr:colOff>
          <xdr:row>28</xdr:row>
          <xdr:rowOff>169333</xdr:rowOff>
        </xdr:from>
        <xdr:to>
          <xdr:col>5</xdr:col>
          <xdr:colOff>122767</xdr:colOff>
          <xdr:row>32</xdr:row>
          <xdr:rowOff>160867</xdr:rowOff>
        </xdr:to>
        <xdr:sp macro="" textlink="">
          <xdr:nvSpPr>
            <xdr:cNvPr id="3073" name="对象 -2147482468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381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257175</xdr:colOff>
      <xdr:row>15</xdr:row>
      <xdr:rowOff>0</xdr:rowOff>
    </xdr:from>
    <xdr:to>
      <xdr:col>13</xdr:col>
      <xdr:colOff>646642</xdr:colOff>
      <xdr:row>17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2608" y="2730500"/>
          <a:ext cx="1358900" cy="4910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419100</xdr:colOff>
      <xdr:row>15</xdr:row>
      <xdr:rowOff>57150</xdr:rowOff>
    </xdr:from>
    <xdr:to>
      <xdr:col>16</xdr:col>
      <xdr:colOff>533400</xdr:colOff>
      <xdr:row>17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2787650"/>
          <a:ext cx="1104900" cy="4148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33</xdr:row>
      <xdr:rowOff>9525</xdr:rowOff>
    </xdr:from>
    <xdr:to>
      <xdr:col>8</xdr:col>
      <xdr:colOff>133985</xdr:colOff>
      <xdr:row>43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6025092"/>
          <a:ext cx="5768975" cy="192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628650</xdr:colOff>
      <xdr:row>28</xdr:row>
      <xdr:rowOff>73660</xdr:rowOff>
    </xdr:from>
    <xdr:to>
      <xdr:col>9</xdr:col>
      <xdr:colOff>591185</xdr:colOff>
      <xdr:row>31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5195993"/>
          <a:ext cx="2688802" cy="61637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154305</xdr:colOff>
      <xdr:row>4</xdr:row>
      <xdr:rowOff>97155</xdr:rowOff>
    </xdr:from>
    <xdr:to>
      <xdr:col>10</xdr:col>
      <xdr:colOff>158750</xdr:colOff>
      <xdr:row>10</xdr:row>
      <xdr:rowOff>108585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005" y="825288"/>
          <a:ext cx="2823845" cy="1103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</xdr:colOff>
      <xdr:row>18</xdr:row>
      <xdr:rowOff>83820</xdr:rowOff>
    </xdr:from>
    <xdr:to>
      <xdr:col>9</xdr:col>
      <xdr:colOff>835660</xdr:colOff>
      <xdr:row>21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0875" y="3373120"/>
          <a:ext cx="1717252" cy="557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COVAR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iuai.cn/aifarm1946.html" TargetMode="External"/><Relationship Id="rId1" Type="http://schemas.openxmlformats.org/officeDocument/2006/relationships/hyperlink" Target="https://www.geogebra.org/calculator/xq7wd4hj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mathportal.org/calculators/matrices-calculators/eigenvectors-calculator.ph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hyperlink" Target="https://www.mathportal.org/calculators/matrices-calculators/eigenvectors-calculator.php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www.intmath.com/matrices-determinants/eigenvalues-eigenvectors-calculator.php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wolframalpha.com/input/?i=eigenvector+calculator" TargetMode="External"/><Relationship Id="rId9" Type="http://schemas.openxmlformats.org/officeDocument/2006/relationships/image" Target="../media/image18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447691558" TargetMode="External"/><Relationship Id="rId2" Type="http://schemas.openxmlformats.org/officeDocument/2006/relationships/hyperlink" Target="https://www.bilibili.com/video/BV1NB4y1W7er?spm_id_from=333.337.search-card.all.click" TargetMode="External"/><Relationship Id="rId1" Type="http://schemas.openxmlformats.org/officeDocument/2006/relationships/hyperlink" Target="https://blog.csdn.net/qq1195365047/article/details/88703128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image" Target="../media/image26.w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workbookViewId="0">
      <selection activeCell="M1" sqref="M1"/>
    </sheetView>
  </sheetViews>
  <sheetFormatPr defaultRowHeight="14"/>
  <sheetData>
    <row r="1" spans="1:13">
      <c r="A1" s="2" t="s">
        <v>3</v>
      </c>
      <c r="C1" s="31" t="s">
        <v>98</v>
      </c>
      <c r="E1" s="2" t="s">
        <v>96</v>
      </c>
      <c r="M1" s="30" t="s">
        <v>97</v>
      </c>
    </row>
  </sheetData>
  <phoneticPr fontId="1" type="noConversion"/>
  <hyperlinks>
    <hyperlink ref="A1" r:id="rId1" display="https://www.geogebra.org/calculator/xq7wd4hj"/>
    <hyperlink ref="E1" r:id="rId2" display="https://www.aiuai.cn/aifarm1946.html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abSelected="1" topLeftCell="A57" zoomScale="85" zoomScaleNormal="85" workbookViewId="0">
      <selection activeCell="E86" sqref="E86"/>
    </sheetView>
  </sheetViews>
  <sheetFormatPr defaultRowHeight="14"/>
  <cols>
    <col min="3" max="3" width="8.9375" style="17"/>
    <col min="4" max="4" width="14.41015625" customWidth="1"/>
    <col min="6" max="6" width="15.29296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-1.749959253653067</v>
      </c>
      <c r="H1" s="5">
        <v>-1.527883206235165</v>
      </c>
      <c r="I1" s="5">
        <v>-1.0837311113993613</v>
      </c>
      <c r="J1" s="5">
        <v>-1.0837311113993613</v>
      </c>
      <c r="K1">
        <v>-1.0837311113993613</v>
      </c>
      <c r="L1">
        <v>-0.86165506398145941</v>
      </c>
      <c r="M1">
        <v>-0.86165506398145941</v>
      </c>
      <c r="N1">
        <v>-0.63957901656355753</v>
      </c>
      <c r="O1">
        <v>-0.41750296914565571</v>
      </c>
      <c r="P1">
        <v>-0.41750296914565571</v>
      </c>
      <c r="Q1">
        <v>-0.41750296914565571</v>
      </c>
      <c r="R1">
        <v>-0.19542692172775383</v>
      </c>
      <c r="S1">
        <v>2.6649125690148052E-2</v>
      </c>
      <c r="T1">
        <v>0.24872517310804992</v>
      </c>
      <c r="U1" s="5">
        <v>0.24872517310804992</v>
      </c>
      <c r="V1" s="5">
        <v>0.4708012205259518</v>
      </c>
      <c r="W1">
        <v>0.4708012205259518</v>
      </c>
      <c r="X1">
        <v>0.4708012205259518</v>
      </c>
      <c r="Y1">
        <v>0.4708012205259518</v>
      </c>
      <c r="Z1">
        <v>0.69287726794385363</v>
      </c>
      <c r="AA1">
        <v>0.9149533153617555</v>
      </c>
      <c r="AB1">
        <v>1.3591054101975593</v>
      </c>
      <c r="AC1">
        <v>1.3591054101975593</v>
      </c>
      <c r="AD1">
        <v>1.5811814576154612</v>
      </c>
      <c r="AE1">
        <v>2.025333552451265</v>
      </c>
    </row>
    <row r="2" spans="1:31" ht="14.35">
      <c r="A2" s="24">
        <v>3</v>
      </c>
      <c r="B2" s="24">
        <v>2</v>
      </c>
      <c r="C2" s="18"/>
      <c r="D2" s="18"/>
      <c r="E2">
        <f>(A2-A$27)/A$28</f>
        <v>-1.749959253653067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4</v>
      </c>
      <c r="B3" s="24">
        <v>10</v>
      </c>
      <c r="C3" s="18"/>
      <c r="D3" s="18"/>
      <c r="E3">
        <f t="shared" ref="E3:F26" si="0">(A3-A$27)/A$28</f>
        <v>-1.527883206235165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6</v>
      </c>
      <c r="B4" s="24">
        <v>5</v>
      </c>
      <c r="C4" s="18"/>
      <c r="D4" s="18"/>
      <c r="E4">
        <f t="shared" si="0"/>
        <v>-1.0837311113993613</v>
      </c>
      <c r="F4">
        <f t="shared" si="0"/>
        <v>-1.157978575240008</v>
      </c>
    </row>
    <row r="5" spans="1:31" ht="14.35">
      <c r="A5" s="24">
        <v>6</v>
      </c>
      <c r="B5" s="24">
        <v>8</v>
      </c>
      <c r="C5" s="18"/>
      <c r="D5" s="18"/>
      <c r="E5">
        <f t="shared" si="0"/>
        <v>-1.0837311113993613</v>
      </c>
      <c r="F5">
        <f t="shared" si="0"/>
        <v>-0.54637017282451084</v>
      </c>
      <c r="V5" t="s">
        <v>62</v>
      </c>
    </row>
    <row r="6" spans="1:31" ht="14.35">
      <c r="A6" s="24">
        <v>6</v>
      </c>
      <c r="B6" s="24">
        <v>10</v>
      </c>
      <c r="C6" s="18"/>
      <c r="D6" s="18"/>
      <c r="E6">
        <f t="shared" si="0"/>
        <v>-1.0837311113993613</v>
      </c>
      <c r="F6">
        <f t="shared" si="0"/>
        <v>-0.138631237880846</v>
      </c>
      <c r="V6" s="16" t="s">
        <v>57</v>
      </c>
    </row>
    <row r="7" spans="1:31" ht="14.35">
      <c r="A7" s="24">
        <v>7</v>
      </c>
      <c r="B7" s="24">
        <v>2</v>
      </c>
      <c r="C7" s="18"/>
      <c r="D7" s="18"/>
      <c r="E7">
        <f t="shared" si="0"/>
        <v>-0.86165506398145941</v>
      </c>
      <c r="F7">
        <f t="shared" si="0"/>
        <v>-1.7695869776555053</v>
      </c>
      <c r="V7" s="2" t="s">
        <v>65</v>
      </c>
    </row>
    <row r="8" spans="1:31" ht="14.35">
      <c r="A8" s="24">
        <v>7</v>
      </c>
      <c r="B8" s="24">
        <v>13</v>
      </c>
      <c r="C8" s="18"/>
      <c r="D8" s="18"/>
      <c r="E8">
        <f t="shared" si="0"/>
        <v>-0.86165506398145941</v>
      </c>
      <c r="F8">
        <f t="shared" si="0"/>
        <v>0.47297716453465127</v>
      </c>
      <c r="V8" t="s">
        <v>59</v>
      </c>
    </row>
    <row r="9" spans="1:31" ht="14.35">
      <c r="A9" s="24">
        <v>8</v>
      </c>
      <c r="B9" s="24">
        <v>9</v>
      </c>
      <c r="C9" s="18"/>
      <c r="D9" s="18"/>
      <c r="E9">
        <f t="shared" si="0"/>
        <v>-0.63957901656355753</v>
      </c>
      <c r="F9">
        <f t="shared" si="0"/>
        <v>-0.3425007053526784</v>
      </c>
      <c r="V9" t="s">
        <v>60</v>
      </c>
    </row>
    <row r="10" spans="1:31" ht="14.35">
      <c r="A10" s="24">
        <v>9</v>
      </c>
      <c r="B10" s="24">
        <v>5</v>
      </c>
      <c r="C10" s="18"/>
      <c r="D10" s="18"/>
      <c r="E10">
        <f t="shared" si="0"/>
        <v>-0.41750296914565571</v>
      </c>
      <c r="F10">
        <f t="shared" si="0"/>
        <v>-1.157978575240008</v>
      </c>
      <c r="V10" t="s">
        <v>61</v>
      </c>
    </row>
    <row r="11" spans="1:31" ht="14.35">
      <c r="A11" s="24">
        <v>9</v>
      </c>
      <c r="B11" s="24">
        <v>8</v>
      </c>
      <c r="C11" s="18"/>
      <c r="D11" s="18"/>
      <c r="E11">
        <f t="shared" si="0"/>
        <v>-0.41750296914565571</v>
      </c>
      <c r="F11">
        <f t="shared" si="0"/>
        <v>-0.54637017282451084</v>
      </c>
    </row>
    <row r="12" spans="1:31" ht="14.35">
      <c r="A12" s="24">
        <v>9</v>
      </c>
      <c r="B12" s="24">
        <v>14</v>
      </c>
      <c r="C12" s="18"/>
      <c r="D12" s="18"/>
      <c r="E12">
        <f t="shared" si="0"/>
        <v>-0.41750296914565571</v>
      </c>
      <c r="F12">
        <f t="shared" si="0"/>
        <v>0.67684663200648376</v>
      </c>
    </row>
    <row r="13" spans="1:31" ht="14.35">
      <c r="A13" s="24">
        <v>10</v>
      </c>
      <c r="B13" s="24">
        <v>7</v>
      </c>
      <c r="C13" s="18"/>
      <c r="D13" s="18"/>
      <c r="E13">
        <f t="shared" si="0"/>
        <v>-0.19542692172775383</v>
      </c>
      <c r="F13">
        <f t="shared" si="0"/>
        <v>-0.75023964029634327</v>
      </c>
    </row>
    <row r="14" spans="1:31" ht="14.35">
      <c r="A14" s="24">
        <v>11</v>
      </c>
      <c r="B14" s="24">
        <v>12</v>
      </c>
      <c r="C14" s="18"/>
      <c r="D14" s="18"/>
      <c r="E14">
        <f t="shared" si="0"/>
        <v>2.6649125690148052E-2</v>
      </c>
      <c r="F14">
        <f t="shared" si="0"/>
        <v>0.26910769706281884</v>
      </c>
    </row>
    <row r="15" spans="1:31" ht="14.35">
      <c r="A15" s="24">
        <v>12</v>
      </c>
      <c r="B15" s="24">
        <v>10</v>
      </c>
      <c r="C15" s="18"/>
      <c r="D15" s="18"/>
      <c r="E15">
        <f t="shared" si="0"/>
        <v>0.24872517310804992</v>
      </c>
      <c r="F15">
        <f t="shared" si="0"/>
        <v>-0.138631237880846</v>
      </c>
    </row>
    <row r="16" spans="1:31" ht="14.35">
      <c r="A16" s="24">
        <v>12</v>
      </c>
      <c r="B16" s="24">
        <v>11</v>
      </c>
      <c r="C16" s="18"/>
      <c r="D16" s="18"/>
      <c r="E16">
        <f t="shared" si="0"/>
        <v>0.24872517310804992</v>
      </c>
      <c r="F16">
        <f t="shared" si="0"/>
        <v>6.5238229590986435E-2</v>
      </c>
    </row>
    <row r="17" spans="1:11" ht="14.35">
      <c r="A17" s="24">
        <v>13</v>
      </c>
      <c r="B17" s="24">
        <v>6</v>
      </c>
      <c r="C17" s="18"/>
      <c r="D17" s="18"/>
      <c r="E17">
        <f t="shared" si="0"/>
        <v>0.4708012205259518</v>
      </c>
      <c r="F17">
        <f t="shared" si="0"/>
        <v>-0.9541091077681757</v>
      </c>
    </row>
    <row r="18" spans="1:11" ht="14.35">
      <c r="A18" s="24">
        <v>13</v>
      </c>
      <c r="B18" s="24">
        <v>14</v>
      </c>
      <c r="C18" s="18"/>
      <c r="D18" s="18"/>
      <c r="E18">
        <f t="shared" si="0"/>
        <v>0.4708012205259518</v>
      </c>
      <c r="F18">
        <f t="shared" si="0"/>
        <v>0.67684663200648376</v>
      </c>
    </row>
    <row r="19" spans="1:11" ht="14.35">
      <c r="A19" s="24">
        <v>13</v>
      </c>
      <c r="B19" s="24">
        <v>15</v>
      </c>
      <c r="C19" s="18"/>
      <c r="D19" s="18"/>
      <c r="E19">
        <f t="shared" si="0"/>
        <v>0.4708012205259518</v>
      </c>
      <c r="F19">
        <f t="shared" si="0"/>
        <v>0.88071609947831619</v>
      </c>
    </row>
    <row r="20" spans="1:11" ht="14.35">
      <c r="A20" s="24">
        <v>13</v>
      </c>
      <c r="B20" s="24">
        <v>17</v>
      </c>
      <c r="C20" s="18"/>
      <c r="D20" s="18"/>
      <c r="E20">
        <f t="shared" si="0"/>
        <v>0.4708012205259518</v>
      </c>
      <c r="F20">
        <f t="shared" si="0"/>
        <v>1.2884550344219809</v>
      </c>
    </row>
    <row r="21" spans="1:11" ht="14.35">
      <c r="A21" s="24">
        <v>14</v>
      </c>
      <c r="B21" s="24">
        <v>7</v>
      </c>
      <c r="C21" s="18"/>
      <c r="D21" s="18"/>
      <c r="E21">
        <f t="shared" si="0"/>
        <v>0.69287726794385363</v>
      </c>
      <c r="F21">
        <f t="shared" si="0"/>
        <v>-0.75023964029634327</v>
      </c>
    </row>
    <row r="22" spans="1:11" ht="14.35">
      <c r="A22" s="24">
        <v>15</v>
      </c>
      <c r="B22" s="24">
        <v>13</v>
      </c>
      <c r="C22" s="18"/>
      <c r="D22" s="18"/>
      <c r="E22">
        <f t="shared" si="0"/>
        <v>0.9149533153617555</v>
      </c>
      <c r="F22">
        <f t="shared" si="0"/>
        <v>0.47297716453465127</v>
      </c>
    </row>
    <row r="23" spans="1:11" ht="14.35">
      <c r="A23" s="24">
        <v>17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17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18</v>
      </c>
      <c r="B25" s="24">
        <v>19</v>
      </c>
      <c r="C25" s="18"/>
      <c r="D25" s="18"/>
      <c r="E25">
        <f t="shared" si="0"/>
        <v>1.5811814576154612</v>
      </c>
      <c r="F25">
        <f t="shared" si="0"/>
        <v>1.6961939693656458</v>
      </c>
    </row>
    <row r="26" spans="1:11" ht="14.35">
      <c r="A26" s="24">
        <v>20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10.88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4.5029619881436549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20.276666666666667</v>
      </c>
      <c r="B32" s="3">
        <f>_xlfn.COVARIANCE.S(A2:A26,B2:B26)</f>
        <v>15.585000000000003</v>
      </c>
      <c r="D32">
        <v>1</v>
      </c>
      <c r="E32">
        <v>0</v>
      </c>
    </row>
    <row r="33" spans="1:12">
      <c r="A33" s="3">
        <f>_xlfn.COVARIANCE.S(A2:A26,B2:B26)</f>
        <v>15.585000000000003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1.0000000000000007</v>
      </c>
      <c r="B36" s="22">
        <v>0.70560348031237818</v>
      </c>
      <c r="D36" s="2" t="s">
        <v>144</v>
      </c>
    </row>
    <row r="37" spans="1:12">
      <c r="A37" s="3">
        <v>0.70560348031237818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0.50212372857105991</v>
      </c>
    </row>
    <row r="39" spans="1:12">
      <c r="A39" s="32" t="s">
        <v>102</v>
      </c>
      <c r="D39" s="31" t="s">
        <v>73</v>
      </c>
      <c r="E39">
        <f>A36+B37</f>
        <v>2.0000000000000004</v>
      </c>
    </row>
    <row r="40" spans="1:12">
      <c r="A40" s="25" t="s">
        <v>72</v>
      </c>
      <c r="B40" s="25" t="s">
        <v>79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109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G86" s="32" t="s">
        <v>155</v>
      </c>
      <c r="L86" t="s">
        <v>112</v>
      </c>
      <c r="O86" t="s">
        <v>111</v>
      </c>
    </row>
    <row r="87" spans="1:16">
      <c r="A87" s="42" t="s">
        <v>147</v>
      </c>
      <c r="B87" s="42" t="s">
        <v>148</v>
      </c>
      <c r="C87" s="42" t="s">
        <v>149</v>
      </c>
      <c r="D87" s="42" t="s">
        <v>150</v>
      </c>
      <c r="E87" s="43" t="s">
        <v>147</v>
      </c>
      <c r="F87" s="43" t="s">
        <v>148</v>
      </c>
      <c r="G87" s="42" t="s">
        <v>153</v>
      </c>
      <c r="H87" s="42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3.486609773191049</v>
      </c>
      <c r="B88" s="26">
        <v>0.91921655639060895</v>
      </c>
      <c r="C88" s="3">
        <f>A88-A$113</f>
        <v>-11.722513635472501</v>
      </c>
      <c r="D88" s="3">
        <f>B88-B$113</f>
        <v>-0.14212340820394531</v>
      </c>
      <c r="E88" s="44">
        <f t="array" ref="E88:F112">MMULT(E2:F26,A80:B81)</f>
        <v>-2.4886950068578484</v>
      </c>
      <c r="F88" s="44">
        <v>-1.3878896741382096E-2</v>
      </c>
      <c r="G88" s="3">
        <f>C88/A$114</f>
        <v>-1.9049614757607578</v>
      </c>
      <c r="H88" s="3">
        <f>D88/B$114</f>
        <v>-5.5879010423744775E-2</v>
      </c>
      <c r="O88">
        <v>-0.66330211329970412</v>
      </c>
      <c r="P88">
        <v>0.74849738118111109</v>
      </c>
    </row>
    <row r="89" spans="1:16">
      <c r="A89" s="26">
        <v>10.136725795538291</v>
      </c>
      <c r="B89" s="26">
        <v>-3.6373882125691868</v>
      </c>
      <c r="C89" s="3">
        <f t="shared" ref="C89:D112" si="1">A89-A$113</f>
        <v>-5.0723976131252577</v>
      </c>
      <c r="D89" s="3">
        <f t="shared" si="1"/>
        <v>-4.6987281771637406</v>
      </c>
      <c r="E89" s="44">
        <v>-1.1784036643797609</v>
      </c>
      <c r="F89" s="44">
        <v>0.98234948760009777</v>
      </c>
      <c r="G89" s="3">
        <f t="shared" ref="G89:H112" si="2">C89/A$114</f>
        <v>-0.82428754985661912</v>
      </c>
      <c r="H89" s="3">
        <f t="shared" si="2"/>
        <v>-1.8474105293992473</v>
      </c>
    </row>
    <row r="90" spans="1:16">
      <c r="A90" s="26">
        <v>7.7215712870116739</v>
      </c>
      <c r="B90" s="26">
        <v>1.1752953462689453</v>
      </c>
      <c r="C90" s="3">
        <f t="shared" si="1"/>
        <v>-7.4875521216518752</v>
      </c>
      <c r="D90" s="3">
        <f t="shared" si="1"/>
        <v>0.11395538167439101</v>
      </c>
      <c r="E90" s="44">
        <v>-1.5851281208742685</v>
      </c>
      <c r="F90" s="44">
        <v>-5.25008851676243E-2</v>
      </c>
      <c r="G90" s="3">
        <f t="shared" si="2"/>
        <v>-1.2167610789836056</v>
      </c>
      <c r="H90" s="3">
        <f t="shared" si="2"/>
        <v>4.4804118061167797E-2</v>
      </c>
    </row>
    <row r="91" spans="1:16">
      <c r="A91" s="26">
        <v>9.9666265089004042</v>
      </c>
      <c r="B91" s="26">
        <v>-0.81411795326787217</v>
      </c>
      <c r="C91" s="3">
        <f t="shared" si="1"/>
        <v>-5.2424968997631449</v>
      </c>
      <c r="D91" s="3">
        <f t="shared" si="1"/>
        <v>-1.8754579178624264</v>
      </c>
      <c r="E91" s="44">
        <v>-1.1526556720955996</v>
      </c>
      <c r="F91" s="44">
        <v>0.37997156361104456</v>
      </c>
      <c r="G91" s="3">
        <f t="shared" si="2"/>
        <v>-0.85192945313571056</v>
      </c>
      <c r="H91" s="3">
        <f t="shared" si="2"/>
        <v>-0.73737840842617797</v>
      </c>
    </row>
    <row r="92" spans="1:16">
      <c r="A92" s="26">
        <v>11.463329990159556</v>
      </c>
      <c r="B92" s="26">
        <v>-2.1403934862924174</v>
      </c>
      <c r="C92" s="3">
        <f t="shared" si="1"/>
        <v>-3.7457934185039932</v>
      </c>
      <c r="D92" s="3">
        <f t="shared" si="1"/>
        <v>-3.2017334508869717</v>
      </c>
      <c r="E92" s="44">
        <v>-0.86434070624315362</v>
      </c>
      <c r="F92" s="44">
        <v>0.66828652946349054</v>
      </c>
      <c r="G92" s="3">
        <f t="shared" si="2"/>
        <v>-0.60870836923711413</v>
      </c>
      <c r="H92" s="3">
        <f t="shared" si="2"/>
        <v>-1.2588334260844085</v>
      </c>
    </row>
    <row r="93" spans="1:16">
      <c r="A93" s="26">
        <v>6.1398181624335777</v>
      </c>
      <c r="B93" s="26">
        <v>3.9132060089441474</v>
      </c>
      <c r="C93" s="3">
        <f t="shared" si="1"/>
        <v>-9.0693052462299715</v>
      </c>
      <c r="D93" s="3">
        <f t="shared" si="1"/>
        <v>2.8518660443495931</v>
      </c>
      <c r="E93" s="44">
        <v>-1.8605690905846335</v>
      </c>
      <c r="F93" s="44">
        <v>-0.64200481301459689</v>
      </c>
      <c r="G93" s="3">
        <f t="shared" si="2"/>
        <v>-1.4738031145217478</v>
      </c>
      <c r="H93" s="3">
        <f t="shared" si="2"/>
        <v>1.1212751962059331</v>
      </c>
    </row>
    <row r="94" spans="1:16">
      <c r="A94" s="26">
        <v>14.371687309358919</v>
      </c>
      <c r="B94" s="26">
        <v>-3.3813094226908502</v>
      </c>
      <c r="C94" s="3">
        <f t="shared" si="1"/>
        <v>-0.83743609930463059</v>
      </c>
      <c r="D94" s="3">
        <f t="shared" si="1"/>
        <v>-4.4426493872854049</v>
      </c>
      <c r="E94" s="44">
        <v>-0.27483677839618104</v>
      </c>
      <c r="F94" s="44">
        <v>0.94372749917385568</v>
      </c>
      <c r="G94" s="3">
        <f t="shared" si="2"/>
        <v>-0.13608715307946667</v>
      </c>
      <c r="H94" s="3">
        <f t="shared" si="2"/>
        <v>-1.746727400914335</v>
      </c>
    </row>
    <row r="95" spans="1:16">
      <c r="A95" s="26">
        <v>12.041582444151246</v>
      </c>
      <c r="B95" s="26">
        <v>1.9739006496624967E-2</v>
      </c>
      <c r="C95" s="3">
        <f t="shared" si="1"/>
        <v>-3.1675409645123036</v>
      </c>
      <c r="D95" s="3">
        <f t="shared" si="1"/>
        <v>-1.0416009580979293</v>
      </c>
      <c r="E95" s="44">
        <v>-0.69443523103276927</v>
      </c>
      <c r="F95" s="44">
        <v>0.21006608840066016</v>
      </c>
      <c r="G95" s="3">
        <f t="shared" si="2"/>
        <v>-0.51473973056690725</v>
      </c>
      <c r="H95" s="3">
        <f t="shared" si="2"/>
        <v>-0.40952881394045415</v>
      </c>
    </row>
    <row r="96" spans="1:16">
      <c r="A96" s="26">
        <v>9.7114775789435708</v>
      </c>
      <c r="B96" s="26">
        <v>3.4207874356840993</v>
      </c>
      <c r="C96" s="3">
        <f t="shared" si="1"/>
        <v>-5.4976458297199784</v>
      </c>
      <c r="D96" s="3">
        <f t="shared" si="1"/>
        <v>2.359447471089545</v>
      </c>
      <c r="E96" s="44">
        <v>-1.1140336836693574</v>
      </c>
      <c r="F96" s="44">
        <v>-0.52359532237253537</v>
      </c>
      <c r="G96" s="3">
        <f t="shared" si="2"/>
        <v>-0.89339230805434822</v>
      </c>
      <c r="H96" s="3">
        <f t="shared" si="2"/>
        <v>0.92766977303342613</v>
      </c>
    </row>
    <row r="97" spans="1:8">
      <c r="A97" s="26">
        <v>11.956532800832299</v>
      </c>
      <c r="B97" s="26">
        <v>1.4313741361472818</v>
      </c>
      <c r="C97" s="3">
        <f t="shared" si="1"/>
        <v>-3.2525906078312499</v>
      </c>
      <c r="D97" s="3">
        <f t="shared" si="1"/>
        <v>0.37003417155272755</v>
      </c>
      <c r="E97" s="44">
        <v>-0.68156123489068854</v>
      </c>
      <c r="F97" s="44">
        <v>-9.1122873593866449E-2</v>
      </c>
      <c r="G97" s="3">
        <f t="shared" si="2"/>
        <v>-0.52856068220645347</v>
      </c>
      <c r="H97" s="3">
        <f t="shared" si="2"/>
        <v>0.14548724654608045</v>
      </c>
    </row>
    <row r="98" spans="1:8">
      <c r="A98" s="26">
        <v>16.446643244609756</v>
      </c>
      <c r="B98" s="26">
        <v>-2.547452462926354</v>
      </c>
      <c r="C98" s="3">
        <f t="shared" si="1"/>
        <v>1.2375198359462072</v>
      </c>
      <c r="D98" s="3">
        <f t="shared" si="1"/>
        <v>-3.6087924275209082</v>
      </c>
      <c r="E98" s="44">
        <v>0.18338366266664924</v>
      </c>
      <c r="F98" s="44">
        <v>0.77382202396347144</v>
      </c>
      <c r="G98" s="3">
        <f t="shared" si="2"/>
        <v>0.20110256948933602</v>
      </c>
      <c r="H98" s="3">
        <f t="shared" si="2"/>
        <v>-1.4188778064286114</v>
      </c>
    </row>
    <row r="99" spans="1:8">
      <c r="A99" s="26">
        <v>11.871483157513357</v>
      </c>
      <c r="B99" s="26">
        <v>2.8430092657979387</v>
      </c>
      <c r="C99" s="3">
        <f t="shared" si="1"/>
        <v>-3.3376402511501926</v>
      </c>
      <c r="D99" s="3">
        <f t="shared" si="1"/>
        <v>1.7816693012033844</v>
      </c>
      <c r="E99" s="44">
        <v>-0.66868723874860792</v>
      </c>
      <c r="F99" s="44">
        <v>-0.39231183558839311</v>
      </c>
      <c r="G99" s="3">
        <f t="shared" si="2"/>
        <v>-0.54238163384599902</v>
      </c>
      <c r="H99" s="3">
        <f t="shared" si="2"/>
        <v>0.70050330703261499</v>
      </c>
    </row>
    <row r="100" spans="1:8">
      <c r="A100" s="26">
        <v>16.276543957971871</v>
      </c>
      <c r="B100" s="26">
        <v>0.2758177963749624</v>
      </c>
      <c r="C100" s="3">
        <f t="shared" si="1"/>
        <v>1.0674205493083218</v>
      </c>
      <c r="D100" s="3">
        <f t="shared" si="1"/>
        <v>-0.78552216821959187</v>
      </c>
      <c r="E100" s="44">
        <v>0.20913165495081065</v>
      </c>
      <c r="F100" s="44">
        <v>0.17144409997441801</v>
      </c>
      <c r="G100" s="3">
        <f t="shared" si="2"/>
        <v>0.17346066621024486</v>
      </c>
      <c r="H100" s="3">
        <f t="shared" si="2"/>
        <v>-0.30884568545554114</v>
      </c>
    </row>
    <row r="101" spans="1:8">
      <c r="A101" s="26">
        <v>15.443142574023348</v>
      </c>
      <c r="B101" s="26">
        <v>2.3505906925378905</v>
      </c>
      <c r="C101" s="3">
        <f t="shared" si="1"/>
        <v>0.23401916535979872</v>
      </c>
      <c r="D101" s="3">
        <f t="shared" si="1"/>
        <v>1.2892507279433363</v>
      </c>
      <c r="E101" s="44">
        <v>7.7848168166668411E-2</v>
      </c>
      <c r="F101" s="44">
        <v>-0.27390234494633159</v>
      </c>
      <c r="G101" s="3">
        <f t="shared" si="2"/>
        <v>3.8029172621400341E-2</v>
      </c>
      <c r="H101" s="3">
        <f t="shared" si="2"/>
        <v>0.50689788386010826</v>
      </c>
    </row>
    <row r="102" spans="1:8">
      <c r="A102" s="26">
        <v>16.191494314652925</v>
      </c>
      <c r="B102" s="26">
        <v>1.6874529260256184</v>
      </c>
      <c r="C102" s="3">
        <f t="shared" si="1"/>
        <v>0.98237090598937549</v>
      </c>
      <c r="D102" s="3">
        <f t="shared" si="1"/>
        <v>0.6261129614310641</v>
      </c>
      <c r="E102" s="44">
        <v>0.22200565109289139</v>
      </c>
      <c r="F102" s="44">
        <v>-0.1297448620201086</v>
      </c>
      <c r="G102" s="3">
        <f t="shared" si="2"/>
        <v>0.1596397145706987</v>
      </c>
      <c r="H102" s="3">
        <f t="shared" si="2"/>
        <v>0.24617037503099309</v>
      </c>
    </row>
    <row r="103" spans="1:8">
      <c r="A103" s="26">
        <v>13.113037708815675</v>
      </c>
      <c r="B103" s="26">
        <v>5.7516391217253648</v>
      </c>
      <c r="C103" s="3">
        <f t="shared" si="1"/>
        <v>-2.0960856998478743</v>
      </c>
      <c r="D103" s="3">
        <f t="shared" si="1"/>
        <v>4.690299157130811</v>
      </c>
      <c r="E103" s="44">
        <v>-0.34175028446991973</v>
      </c>
      <c r="F103" s="44">
        <v>-1.0075637557195272</v>
      </c>
      <c r="G103" s="3">
        <f t="shared" si="2"/>
        <v>-0.34062340486604031</v>
      </c>
      <c r="H103" s="3">
        <f t="shared" si="2"/>
        <v>1.8440964708339886</v>
      </c>
    </row>
    <row r="104" spans="1:8">
      <c r="A104" s="26">
        <v>19.099851633852285</v>
      </c>
      <c r="B104" s="26">
        <v>0.4465369896271838</v>
      </c>
      <c r="C104" s="3">
        <f t="shared" si="1"/>
        <v>3.8907282251887363</v>
      </c>
      <c r="D104" s="3">
        <f t="shared" si="1"/>
        <v>-0.61480297496737046</v>
      </c>
      <c r="E104" s="44">
        <v>0.81150957893986397</v>
      </c>
      <c r="F104" s="44">
        <v>0.14569610769025665</v>
      </c>
      <c r="G104" s="3">
        <f t="shared" si="2"/>
        <v>0.63226093072834588</v>
      </c>
      <c r="H104" s="3">
        <f t="shared" si="2"/>
        <v>-0.24172359979893387</v>
      </c>
    </row>
    <row r="105" spans="1:8">
      <c r="A105" s="26">
        <v>19.848203374481862</v>
      </c>
      <c r="B105" s="26">
        <v>-0.2166007768850875</v>
      </c>
      <c r="C105" s="3">
        <f t="shared" si="1"/>
        <v>4.6390799658183131</v>
      </c>
      <c r="D105" s="3">
        <f t="shared" si="1"/>
        <v>-1.2779407414796418</v>
      </c>
      <c r="E105" s="44">
        <v>0.95566706186608696</v>
      </c>
      <c r="F105" s="44">
        <v>0.28985359061647964</v>
      </c>
      <c r="G105" s="3">
        <f t="shared" si="2"/>
        <v>0.75387147267764421</v>
      </c>
      <c r="H105" s="3">
        <f t="shared" si="2"/>
        <v>-0.50245110862804865</v>
      </c>
    </row>
    <row r="106" spans="1:8">
      <c r="A106" s="26">
        <v>21.344906855741016</v>
      </c>
      <c r="B106" s="26">
        <v>-1.5428763099096336</v>
      </c>
      <c r="C106" s="3">
        <f t="shared" si="1"/>
        <v>6.1357834470774666</v>
      </c>
      <c r="D106" s="3">
        <f t="shared" si="1"/>
        <v>-2.6042162745041879</v>
      </c>
      <c r="E106" s="44">
        <v>1.2439820277185327</v>
      </c>
      <c r="F106" s="44">
        <v>0.57816855646892551</v>
      </c>
      <c r="G106" s="3">
        <f t="shared" si="2"/>
        <v>0.99709255657624096</v>
      </c>
      <c r="H106" s="3">
        <f t="shared" si="2"/>
        <v>-1.0239061262862796</v>
      </c>
    </row>
    <row r="107" spans="1:8">
      <c r="A107" s="26">
        <v>14.524691546755884</v>
      </c>
      <c r="B107" s="26">
        <v>5.8369987183514773</v>
      </c>
      <c r="C107" s="3">
        <f t="shared" si="1"/>
        <v>-0.68443186190766525</v>
      </c>
      <c r="D107" s="3">
        <f t="shared" si="1"/>
        <v>4.7756587537569235</v>
      </c>
      <c r="E107" s="44">
        <v>-4.056132247539318E-2</v>
      </c>
      <c r="F107" s="44">
        <v>-1.0204377518616079</v>
      </c>
      <c r="G107" s="3">
        <f t="shared" si="2"/>
        <v>-0.11122327260698947</v>
      </c>
      <c r="H107" s="3">
        <f t="shared" si="2"/>
        <v>1.8776575136622931</v>
      </c>
    </row>
    <row r="108" spans="1:8">
      <c r="A108" s="26">
        <v>19.678104087843977</v>
      </c>
      <c r="B108" s="26">
        <v>2.606669482416228</v>
      </c>
      <c r="C108" s="3">
        <f t="shared" si="1"/>
        <v>4.4689806791804276</v>
      </c>
      <c r="D108" s="3">
        <f t="shared" si="1"/>
        <v>1.5453295178216737</v>
      </c>
      <c r="E108" s="44">
        <v>0.98141505415024832</v>
      </c>
      <c r="F108" s="44">
        <v>-0.31252433337257368</v>
      </c>
      <c r="G108" s="3">
        <f t="shared" si="2"/>
        <v>0.7262295693985531</v>
      </c>
      <c r="H108" s="3">
        <f t="shared" si="2"/>
        <v>0.60758101234502127</v>
      </c>
    </row>
    <row r="109" spans="1:8">
      <c r="A109" s="26">
        <v>21.004708282465238</v>
      </c>
      <c r="B109" s="26">
        <v>4.1036642086929955</v>
      </c>
      <c r="C109" s="3">
        <f t="shared" si="1"/>
        <v>5.7955848738016886</v>
      </c>
      <c r="D109" s="3">
        <f t="shared" si="1"/>
        <v>3.0423242440984413</v>
      </c>
      <c r="E109" s="44">
        <v>1.2954780122868557</v>
      </c>
      <c r="F109" s="44">
        <v>-0.62658729150918102</v>
      </c>
      <c r="G109" s="3">
        <f t="shared" si="2"/>
        <v>0.94180875001805742</v>
      </c>
      <c r="H109" s="3">
        <f t="shared" si="2"/>
        <v>1.1961581156598595</v>
      </c>
    </row>
    <row r="110" spans="1:8">
      <c r="A110" s="26">
        <v>23.998115244983545</v>
      </c>
      <c r="B110" s="26">
        <v>1.451113142643905</v>
      </c>
      <c r="C110" s="3">
        <f t="shared" si="1"/>
        <v>8.7889918363199957</v>
      </c>
      <c r="D110" s="3">
        <f t="shared" si="1"/>
        <v>0.38977317804935074</v>
      </c>
      <c r="E110" s="44">
        <v>1.8721079439917476</v>
      </c>
      <c r="F110" s="44">
        <v>-4.995735980428917E-2</v>
      </c>
      <c r="G110" s="3">
        <f t="shared" si="2"/>
        <v>1.4282509178152507</v>
      </c>
      <c r="H110" s="3">
        <f t="shared" si="2"/>
        <v>0.15324808034339826</v>
      </c>
    </row>
    <row r="111" spans="1:8">
      <c r="A111" s="26">
        <v>26.158120823553329</v>
      </c>
      <c r="B111" s="26">
        <v>0.87333497275774619</v>
      </c>
      <c r="C111" s="3">
        <f t="shared" si="1"/>
        <v>10.94899741488978</v>
      </c>
      <c r="D111" s="3">
        <f t="shared" si="1"/>
        <v>-0.18800499183680808</v>
      </c>
      <c r="E111" s="44">
        <v>2.3174543889124974</v>
      </c>
      <c r="F111" s="44">
        <v>8.1326126979852864E-2</v>
      </c>
      <c r="G111" s="3">
        <f t="shared" si="2"/>
        <v>1.7792615920235997</v>
      </c>
      <c r="H111" s="3">
        <f t="shared" si="2"/>
        <v>-7.3918385657412197E-2</v>
      </c>
    </row>
    <row r="112" spans="1:8">
      <c r="A112" s="26">
        <v>28.23307675880417</v>
      </c>
      <c r="B112" s="26">
        <v>1.7071919325222424</v>
      </c>
      <c r="C112" s="3">
        <f t="shared" si="1"/>
        <v>13.023953350140621</v>
      </c>
      <c r="D112" s="3">
        <f t="shared" si="1"/>
        <v>0.64585196792768818</v>
      </c>
      <c r="E112" s="44">
        <v>2.7756748299753276</v>
      </c>
      <c r="F112" s="44">
        <v>-8.8579348230531263E-2</v>
      </c>
      <c r="G112" s="3">
        <f t="shared" si="2"/>
        <v>2.1164513145924029</v>
      </c>
      <c r="H112" s="3">
        <f t="shared" si="2"/>
        <v>0.25393120882831127</v>
      </c>
    </row>
    <row r="113" spans="1:7">
      <c r="A113">
        <f>AVERAGE(A88:A112)</f>
        <v>15.209123408663549</v>
      </c>
      <c r="B113">
        <f>AVERAGE(B88:B112)</f>
        <v>1.0613399645945543</v>
      </c>
    </row>
    <row r="114" spans="1:7" ht="14.35" thickBot="1">
      <c r="A114">
        <f>_xlfn.STDEV.S(A88:A112)</f>
        <v>6.1536749087227838</v>
      </c>
      <c r="B114">
        <f>_xlfn.STDEV.S(B88:B112)</f>
        <v>2.5434131192765816</v>
      </c>
    </row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37.86771488224425</v>
      </c>
      <c r="C116" s="38"/>
      <c r="E116" s="38" t="s">
        <v>15</v>
      </c>
      <c r="F116" s="38">
        <f>_xlfn.COVARIANCE.S(E88:E112,E88:E112)</f>
        <v>1.7056034803123776</v>
      </c>
      <c r="G116" s="38"/>
    </row>
    <row r="117" spans="1:7" ht="14.35" thickBot="1">
      <c r="A117" s="39" t="s">
        <v>16</v>
      </c>
      <c r="B117" s="39">
        <f>_xlfn.COVARIANCE.S(A88:A112,B88:B112)</f>
        <v>1.4764833691183199E-3</v>
      </c>
      <c r="C117" s="39">
        <f>_xlfn.COVARIANCE.S(B88:B112,B88:B112)</f>
        <v>6.4689502953082325</v>
      </c>
      <c r="E117" s="39" t="s">
        <v>16</v>
      </c>
      <c r="F117" s="39">
        <f>_xlfn.COVARIANCE.S(E88:E112,F88:F112)</f>
        <v>-3.0993726104118952E-16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opLeftCell="A17" zoomScaleNormal="100" workbookViewId="0">
      <selection activeCell="H70" sqref="H70"/>
    </sheetView>
  </sheetViews>
  <sheetFormatPr defaultRowHeight="14"/>
  <cols>
    <col min="3" max="3" width="8.9375" style="17"/>
    <col min="4" max="4" width="14.41015625" customWidth="1"/>
    <col min="6" max="6" width="15.1171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-1.7499592536530664</v>
      </c>
      <c r="H1" s="5">
        <v>-1.5278832062351646</v>
      </c>
      <c r="I1" s="5">
        <v>-1.0837311113993608</v>
      </c>
      <c r="J1" s="5">
        <v>-1.0837311113993608</v>
      </c>
      <c r="K1">
        <v>-1.0837311113993608</v>
      </c>
      <c r="L1">
        <v>-0.86165506398145908</v>
      </c>
      <c r="M1">
        <v>-0.86165506398145908</v>
      </c>
      <c r="N1">
        <v>-0.6395790165635572</v>
      </c>
      <c r="O1">
        <v>-0.41750296914565543</v>
      </c>
      <c r="P1">
        <v>-0.41750296914565543</v>
      </c>
      <c r="Q1">
        <v>-0.41750296914565543</v>
      </c>
      <c r="R1">
        <v>-0.19542692172775358</v>
      </c>
      <c r="S1">
        <v>2.6649125690148243E-2</v>
      </c>
      <c r="T1">
        <v>0.24872517310805006</v>
      </c>
      <c r="U1" s="5">
        <v>0.24872517310805006</v>
      </c>
      <c r="V1" s="5">
        <v>0.47080122052595191</v>
      </c>
      <c r="W1">
        <v>0.47080122052595191</v>
      </c>
      <c r="X1">
        <v>0.47080122052595191</v>
      </c>
      <c r="Y1">
        <v>0.47080122052595191</v>
      </c>
      <c r="Z1">
        <v>0.69287726794385374</v>
      </c>
      <c r="AA1">
        <v>0.91495331536175561</v>
      </c>
      <c r="AB1">
        <v>1.3591054101975593</v>
      </c>
      <c r="AC1">
        <v>1.3591054101975593</v>
      </c>
      <c r="AD1">
        <v>1.581181457615461</v>
      </c>
      <c r="AE1">
        <v>2.025333552451265</v>
      </c>
    </row>
    <row r="2" spans="1:31" ht="14.35">
      <c r="A2" s="24">
        <v>-11</v>
      </c>
      <c r="B2" s="24">
        <v>2</v>
      </c>
      <c r="C2" s="18"/>
      <c r="D2" s="18"/>
      <c r="E2">
        <f>(A2-A$27)/A$28</f>
        <v>-1.7499592536530664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-10</v>
      </c>
      <c r="B3" s="24">
        <v>10</v>
      </c>
      <c r="C3" s="18"/>
      <c r="D3" s="18"/>
      <c r="E3">
        <f t="shared" ref="E3:F26" si="0">(A3-A$27)/A$28</f>
        <v>-1.5278832062351646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-8</v>
      </c>
      <c r="B4" s="24">
        <v>5</v>
      </c>
      <c r="C4" s="18"/>
      <c r="D4" s="18"/>
      <c r="E4">
        <f t="shared" si="0"/>
        <v>-1.0837311113993608</v>
      </c>
      <c r="F4">
        <f t="shared" si="0"/>
        <v>-1.157978575240008</v>
      </c>
    </row>
    <row r="5" spans="1:31" ht="14.35">
      <c r="A5" s="24">
        <v>-8</v>
      </c>
      <c r="B5" s="24">
        <v>8</v>
      </c>
      <c r="C5" s="18"/>
      <c r="D5" s="18"/>
      <c r="E5">
        <f t="shared" si="0"/>
        <v>-1.0837311113993608</v>
      </c>
      <c r="F5">
        <f t="shared" si="0"/>
        <v>-0.54637017282451084</v>
      </c>
      <c r="V5" t="s">
        <v>62</v>
      </c>
    </row>
    <row r="6" spans="1:31" ht="14.35">
      <c r="A6" s="24">
        <v>-8</v>
      </c>
      <c r="B6" s="24">
        <v>10</v>
      </c>
      <c r="C6" s="18"/>
      <c r="D6" s="18"/>
      <c r="E6">
        <f t="shared" si="0"/>
        <v>-1.0837311113993608</v>
      </c>
      <c r="F6">
        <f t="shared" si="0"/>
        <v>-0.138631237880846</v>
      </c>
      <c r="V6" s="16" t="s">
        <v>57</v>
      </c>
    </row>
    <row r="7" spans="1:31" ht="14.35">
      <c r="A7" s="24">
        <v>-7</v>
      </c>
      <c r="B7" s="24">
        <v>2</v>
      </c>
      <c r="C7" s="18"/>
      <c r="D7" s="18"/>
      <c r="E7">
        <f t="shared" si="0"/>
        <v>-0.86165506398145908</v>
      </c>
      <c r="F7">
        <f t="shared" si="0"/>
        <v>-1.7695869776555053</v>
      </c>
      <c r="V7" s="2" t="s">
        <v>65</v>
      </c>
    </row>
    <row r="8" spans="1:31" ht="14.35">
      <c r="A8" s="24">
        <v>-7</v>
      </c>
      <c r="B8" s="24">
        <v>13</v>
      </c>
      <c r="C8" s="18"/>
      <c r="D8" s="18"/>
      <c r="E8">
        <f t="shared" si="0"/>
        <v>-0.86165506398145908</v>
      </c>
      <c r="F8">
        <f t="shared" si="0"/>
        <v>0.47297716453465127</v>
      </c>
      <c r="V8" t="s">
        <v>59</v>
      </c>
    </row>
    <row r="9" spans="1:31" ht="14.35">
      <c r="A9" s="24">
        <v>-6</v>
      </c>
      <c r="B9" s="24">
        <v>9</v>
      </c>
      <c r="C9" s="18"/>
      <c r="D9" s="18"/>
      <c r="E9">
        <f t="shared" si="0"/>
        <v>-0.6395790165635572</v>
      </c>
      <c r="F9">
        <f t="shared" si="0"/>
        <v>-0.3425007053526784</v>
      </c>
      <c r="V9" t="s">
        <v>60</v>
      </c>
    </row>
    <row r="10" spans="1:31" ht="14.35">
      <c r="A10" s="24">
        <v>-5</v>
      </c>
      <c r="B10" s="24">
        <v>5</v>
      </c>
      <c r="C10" s="18"/>
      <c r="D10" s="18"/>
      <c r="E10">
        <f t="shared" si="0"/>
        <v>-0.41750296914565543</v>
      </c>
      <c r="F10">
        <f t="shared" si="0"/>
        <v>-1.157978575240008</v>
      </c>
      <c r="V10" t="s">
        <v>61</v>
      </c>
    </row>
    <row r="11" spans="1:31" ht="14.35">
      <c r="A11" s="24">
        <v>-5</v>
      </c>
      <c r="B11" s="24">
        <v>8</v>
      </c>
      <c r="C11" s="18"/>
      <c r="D11" s="18"/>
      <c r="E11">
        <f t="shared" si="0"/>
        <v>-0.41750296914565543</v>
      </c>
      <c r="F11">
        <f t="shared" si="0"/>
        <v>-0.54637017282451084</v>
      </c>
    </row>
    <row r="12" spans="1:31" ht="14.35">
      <c r="A12" s="24">
        <v>-5</v>
      </c>
      <c r="B12" s="24">
        <v>14</v>
      </c>
      <c r="C12" s="18"/>
      <c r="D12" s="18"/>
      <c r="E12">
        <f t="shared" si="0"/>
        <v>-0.41750296914565543</v>
      </c>
      <c r="F12">
        <f t="shared" si="0"/>
        <v>0.67684663200648376</v>
      </c>
    </row>
    <row r="13" spans="1:31" ht="14.35">
      <c r="A13" s="24">
        <v>-4</v>
      </c>
      <c r="B13" s="24">
        <v>7</v>
      </c>
      <c r="C13" s="18"/>
      <c r="D13" s="18"/>
      <c r="E13">
        <f t="shared" si="0"/>
        <v>-0.19542692172775358</v>
      </c>
      <c r="F13">
        <f t="shared" si="0"/>
        <v>-0.75023964029634327</v>
      </c>
    </row>
    <row r="14" spans="1:31" ht="14.35">
      <c r="A14" s="24">
        <v>-3</v>
      </c>
      <c r="B14" s="24">
        <v>12</v>
      </c>
      <c r="C14" s="18"/>
      <c r="D14" s="18"/>
      <c r="E14">
        <f t="shared" si="0"/>
        <v>2.6649125690148243E-2</v>
      </c>
      <c r="F14">
        <f t="shared" si="0"/>
        <v>0.26910769706281884</v>
      </c>
    </row>
    <row r="15" spans="1:31" ht="14.35">
      <c r="A15" s="24">
        <v>-2</v>
      </c>
      <c r="B15" s="24">
        <v>10</v>
      </c>
      <c r="C15" s="18"/>
      <c r="D15" s="18"/>
      <c r="E15">
        <f t="shared" si="0"/>
        <v>0.24872517310805006</v>
      </c>
      <c r="F15">
        <f t="shared" si="0"/>
        <v>-0.138631237880846</v>
      </c>
    </row>
    <row r="16" spans="1:31" ht="14.35">
      <c r="A16" s="24">
        <v>-2</v>
      </c>
      <c r="B16" s="24">
        <v>11</v>
      </c>
      <c r="C16" s="18"/>
      <c r="D16" s="18"/>
      <c r="E16">
        <f t="shared" si="0"/>
        <v>0.24872517310805006</v>
      </c>
      <c r="F16">
        <f t="shared" si="0"/>
        <v>6.5238229590986435E-2</v>
      </c>
    </row>
    <row r="17" spans="1:11" ht="14.35">
      <c r="A17" s="24">
        <v>-1</v>
      </c>
      <c r="B17" s="24">
        <v>6</v>
      </c>
      <c r="C17" s="18"/>
      <c r="D17" s="18"/>
      <c r="E17">
        <f t="shared" si="0"/>
        <v>0.47080122052595191</v>
      </c>
      <c r="F17">
        <f t="shared" si="0"/>
        <v>-0.9541091077681757</v>
      </c>
    </row>
    <row r="18" spans="1:11" ht="14.35">
      <c r="A18" s="24">
        <v>-1</v>
      </c>
      <c r="B18" s="24">
        <v>14</v>
      </c>
      <c r="C18" s="18"/>
      <c r="D18" s="18"/>
      <c r="E18">
        <f t="shared" si="0"/>
        <v>0.47080122052595191</v>
      </c>
      <c r="F18">
        <f t="shared" si="0"/>
        <v>0.67684663200648376</v>
      </c>
    </row>
    <row r="19" spans="1:11" ht="14.35">
      <c r="A19" s="24">
        <v>-1</v>
      </c>
      <c r="B19" s="24">
        <v>15</v>
      </c>
      <c r="C19" s="18"/>
      <c r="D19" s="18"/>
      <c r="E19">
        <f t="shared" si="0"/>
        <v>0.47080122052595191</v>
      </c>
      <c r="F19">
        <f t="shared" si="0"/>
        <v>0.88071609947831619</v>
      </c>
    </row>
    <row r="20" spans="1:11" ht="14.35">
      <c r="A20" s="24">
        <v>-1</v>
      </c>
      <c r="B20" s="24">
        <v>17</v>
      </c>
      <c r="C20" s="18"/>
      <c r="D20" s="18"/>
      <c r="E20">
        <f t="shared" si="0"/>
        <v>0.47080122052595191</v>
      </c>
      <c r="F20">
        <f t="shared" si="0"/>
        <v>1.2884550344219809</v>
      </c>
    </row>
    <row r="21" spans="1:11" ht="14.35">
      <c r="A21" s="24">
        <v>0</v>
      </c>
      <c r="B21" s="24">
        <v>7</v>
      </c>
      <c r="C21" s="18"/>
      <c r="D21" s="18"/>
      <c r="E21">
        <f t="shared" si="0"/>
        <v>0.69287726794385374</v>
      </c>
      <c r="F21">
        <f t="shared" si="0"/>
        <v>-0.75023964029634327</v>
      </c>
    </row>
    <row r="22" spans="1:11" ht="14.35">
      <c r="A22" s="24">
        <v>1</v>
      </c>
      <c r="B22" s="24">
        <v>13</v>
      </c>
      <c r="C22" s="18"/>
      <c r="D22" s="18"/>
      <c r="E22">
        <f t="shared" si="0"/>
        <v>0.91495331536175561</v>
      </c>
      <c r="F22">
        <f t="shared" si="0"/>
        <v>0.47297716453465127</v>
      </c>
    </row>
    <row r="23" spans="1:11" ht="14.35">
      <c r="A23" s="24">
        <v>3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3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4</v>
      </c>
      <c r="B25" s="24">
        <v>19</v>
      </c>
      <c r="C25" s="18"/>
      <c r="D25" s="18"/>
      <c r="E25">
        <f t="shared" si="0"/>
        <v>1.581181457615461</v>
      </c>
      <c r="F25">
        <f t="shared" si="0"/>
        <v>1.6961939693656458</v>
      </c>
    </row>
    <row r="26" spans="1:11" ht="14.35">
      <c r="A26" s="24">
        <v>6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-3.12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4.5029619881436558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20.276666666666671</v>
      </c>
      <c r="B32" s="3">
        <f>_xlfn.COVARIANCE.S(A2:A26,B2:B26)</f>
        <v>15.585000000000001</v>
      </c>
      <c r="D32">
        <v>1</v>
      </c>
      <c r="E32">
        <v>0</v>
      </c>
    </row>
    <row r="33" spans="1:12">
      <c r="A33" s="3">
        <f>_xlfn.COVARIANCE.S(A2:A26,B2:B26)</f>
        <v>15.585000000000001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</v>
      </c>
      <c r="B36" s="22">
        <v>0.70560348031237796</v>
      </c>
      <c r="D36" s="2" t="s">
        <v>144</v>
      </c>
    </row>
    <row r="37" spans="1:12">
      <c r="A37" s="3">
        <v>0.70560348031237796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0.50212372857105958</v>
      </c>
    </row>
    <row r="39" spans="1:12">
      <c r="A39" s="32" t="s">
        <v>102</v>
      </c>
      <c r="D39" s="31" t="s">
        <v>73</v>
      </c>
      <c r="E39">
        <f>A36+B37</f>
        <v>2</v>
      </c>
    </row>
    <row r="40" spans="1:12">
      <c r="A40" s="25" t="s">
        <v>72</v>
      </c>
      <c r="B40" s="25" t="s">
        <v>74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89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L86" t="s">
        <v>112</v>
      </c>
      <c r="O86" t="s">
        <v>111</v>
      </c>
    </row>
    <row r="87" spans="1:16">
      <c r="A87" s="42" t="s">
        <v>156</v>
      </c>
      <c r="B87" s="42" t="s">
        <v>154</v>
      </c>
      <c r="C87" s="42" t="s">
        <v>149</v>
      </c>
      <c r="D87" s="42" t="s">
        <v>150</v>
      </c>
      <c r="E87" s="43" t="s">
        <v>156</v>
      </c>
      <c r="F87" s="43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-5.7996195891578015</v>
      </c>
      <c r="B88" s="26">
        <v>-9.5597465275467766</v>
      </c>
      <c r="C88" s="3">
        <f>A88-A$113</f>
        <v>-11.722513635472504</v>
      </c>
      <c r="D88" s="3">
        <f>B88-B$113</f>
        <v>-0.14212340820394331</v>
      </c>
      <c r="E88" s="44">
        <f t="array" ref="E88:F112">MMULT(E2:F26,A80:B81)</f>
        <v>-2.4886950068578479</v>
      </c>
      <c r="F88" s="44">
        <v>-1.387889674138254E-2</v>
      </c>
      <c r="O88">
        <v>-0.66330211329970412</v>
      </c>
      <c r="P88">
        <v>0.74849738118111109</v>
      </c>
    </row>
    <row r="89" spans="1:16">
      <c r="A89" s="26">
        <v>0.85049643318944135</v>
      </c>
      <c r="B89" s="26">
        <v>-14.116351296506572</v>
      </c>
      <c r="C89" s="3">
        <f t="shared" ref="C89:D112" si="1">A89-A$113</f>
        <v>-5.0723976131252613</v>
      </c>
      <c r="D89" s="3">
        <f t="shared" si="1"/>
        <v>-4.6987281771637388</v>
      </c>
      <c r="E89" s="44">
        <v>-1.1784036643797606</v>
      </c>
      <c r="F89" s="44">
        <v>0.98234948760009755</v>
      </c>
    </row>
    <row r="90" spans="1:16">
      <c r="A90" s="26">
        <v>-1.5646580753371757</v>
      </c>
      <c r="B90" s="26">
        <v>-9.3036677376684409</v>
      </c>
      <c r="C90" s="3">
        <f t="shared" si="1"/>
        <v>-7.4875521216518788</v>
      </c>
      <c r="D90" s="3">
        <f t="shared" si="1"/>
        <v>0.11395538167439234</v>
      </c>
      <c r="E90" s="44">
        <v>-1.585128120874268</v>
      </c>
      <c r="F90" s="44">
        <v>-5.2500885167624634E-2</v>
      </c>
    </row>
    <row r="91" spans="1:16">
      <c r="A91" s="26">
        <v>0.68039714655155326</v>
      </c>
      <c r="B91" s="26">
        <v>-11.293081037205258</v>
      </c>
      <c r="C91" s="3">
        <f t="shared" si="1"/>
        <v>-5.2424968997631494</v>
      </c>
      <c r="D91" s="3">
        <f t="shared" si="1"/>
        <v>-1.8754579178624251</v>
      </c>
      <c r="E91" s="44">
        <v>-1.1526556720955994</v>
      </c>
      <c r="F91" s="44">
        <v>0.37997156361104423</v>
      </c>
    </row>
    <row r="92" spans="1:16">
      <c r="A92" s="26">
        <v>2.1771006278107059</v>
      </c>
      <c r="B92" s="26">
        <v>-12.619356570229803</v>
      </c>
      <c r="C92" s="3">
        <f t="shared" si="1"/>
        <v>-3.7457934185039967</v>
      </c>
      <c r="D92" s="3">
        <f t="shared" si="1"/>
        <v>-3.2017334508869695</v>
      </c>
      <c r="E92" s="44">
        <v>-0.86434070624315329</v>
      </c>
      <c r="F92" s="44">
        <v>0.66828652946349021</v>
      </c>
    </row>
    <row r="93" spans="1:16">
      <c r="A93" s="26">
        <v>-3.1464111999152724</v>
      </c>
      <c r="B93" s="26">
        <v>-6.5657570749932379</v>
      </c>
      <c r="C93" s="3">
        <f t="shared" si="1"/>
        <v>-9.069305246229975</v>
      </c>
      <c r="D93" s="3">
        <f t="shared" si="1"/>
        <v>2.8518660443495953</v>
      </c>
      <c r="E93" s="44">
        <v>-1.8605690905846335</v>
      </c>
      <c r="F93" s="44">
        <v>-0.64200481301459711</v>
      </c>
    </row>
    <row r="94" spans="1:16">
      <c r="A94" s="26">
        <v>5.0854579470100676</v>
      </c>
      <c r="B94" s="26">
        <v>-13.860272506628235</v>
      </c>
      <c r="C94" s="3">
        <f t="shared" si="1"/>
        <v>-0.83743609930463503</v>
      </c>
      <c r="D94" s="3">
        <f t="shared" si="1"/>
        <v>-4.4426493872854014</v>
      </c>
      <c r="E94" s="44">
        <v>-0.27483677839618081</v>
      </c>
      <c r="F94" s="44">
        <v>0.94372749917385546</v>
      </c>
    </row>
    <row r="95" spans="1:16">
      <c r="A95" s="26">
        <v>2.7553530818023946</v>
      </c>
      <c r="B95" s="26">
        <v>-10.45922407744076</v>
      </c>
      <c r="C95" s="3">
        <f t="shared" si="1"/>
        <v>-3.167540964512308</v>
      </c>
      <c r="D95" s="3">
        <f t="shared" si="1"/>
        <v>-1.0416009580979271</v>
      </c>
      <c r="E95" s="44">
        <v>-0.69443523103276905</v>
      </c>
      <c r="F95" s="44">
        <v>0.21006608840065993</v>
      </c>
    </row>
    <row r="96" spans="1:16">
      <c r="A96" s="26">
        <v>0.42524821659472067</v>
      </c>
      <c r="B96" s="26">
        <v>-7.058175648253286</v>
      </c>
      <c r="C96" s="3">
        <f t="shared" si="1"/>
        <v>-5.4976458297199819</v>
      </c>
      <c r="D96" s="3">
        <f t="shared" si="1"/>
        <v>2.3594474710895472</v>
      </c>
      <c r="E96" s="44">
        <v>-1.1140336836693572</v>
      </c>
      <c r="F96" s="44">
        <v>-0.52359532237253559</v>
      </c>
    </row>
    <row r="97" spans="1:6">
      <c r="A97" s="26">
        <v>2.6703034384834496</v>
      </c>
      <c r="B97" s="26">
        <v>-9.0475889477901035</v>
      </c>
      <c r="C97" s="3">
        <f t="shared" si="1"/>
        <v>-3.252590607831253</v>
      </c>
      <c r="D97" s="3">
        <f t="shared" si="1"/>
        <v>0.37003417155272977</v>
      </c>
      <c r="E97" s="44">
        <v>-0.68156123489068832</v>
      </c>
      <c r="F97" s="44">
        <v>-9.1122873593866671E-2</v>
      </c>
    </row>
    <row r="98" spans="1:6">
      <c r="A98" s="26">
        <v>7.1604138822609062</v>
      </c>
      <c r="B98" s="26">
        <v>-13.026415546863738</v>
      </c>
      <c r="C98" s="3">
        <f t="shared" si="1"/>
        <v>1.2375198359462036</v>
      </c>
      <c r="D98" s="3">
        <f t="shared" si="1"/>
        <v>-3.6087924275209051</v>
      </c>
      <c r="E98" s="44">
        <v>0.18338366266664946</v>
      </c>
      <c r="F98" s="44">
        <v>0.77382202396347122</v>
      </c>
    </row>
    <row r="99" spans="1:6">
      <c r="A99" s="26">
        <v>2.5852537951645052</v>
      </c>
      <c r="B99" s="26">
        <v>-7.6359538181394466</v>
      </c>
      <c r="C99" s="3">
        <f t="shared" si="1"/>
        <v>-3.3376402511501975</v>
      </c>
      <c r="D99" s="3">
        <f t="shared" si="1"/>
        <v>1.7816693012033866</v>
      </c>
      <c r="E99" s="44">
        <v>-0.66868723874860769</v>
      </c>
      <c r="F99" s="44">
        <v>-0.39231183558839333</v>
      </c>
    </row>
    <row r="100" spans="1:6">
      <c r="A100" s="26">
        <v>6.990314595623019</v>
      </c>
      <c r="B100" s="26">
        <v>-10.203145287562425</v>
      </c>
      <c r="C100" s="3">
        <f t="shared" si="1"/>
        <v>1.0674205493083164</v>
      </c>
      <c r="D100" s="3">
        <f t="shared" si="1"/>
        <v>-0.78552216821959142</v>
      </c>
      <c r="E100" s="44">
        <v>0.20913165495081079</v>
      </c>
      <c r="F100" s="44">
        <v>0.17144409997441787</v>
      </c>
    </row>
    <row r="101" spans="1:6">
      <c r="A101" s="26">
        <v>6.1569132116744987</v>
      </c>
      <c r="B101" s="26">
        <v>-8.1283723913994947</v>
      </c>
      <c r="C101" s="3">
        <f t="shared" si="1"/>
        <v>0.23401916535979606</v>
      </c>
      <c r="D101" s="3">
        <f t="shared" si="1"/>
        <v>1.2892507279433385</v>
      </c>
      <c r="E101" s="44">
        <v>7.7848168166668522E-2</v>
      </c>
      <c r="F101" s="44">
        <v>-0.2739023449463317</v>
      </c>
    </row>
    <row r="102" spans="1:6">
      <c r="A102" s="26">
        <v>6.9052649523040746</v>
      </c>
      <c r="B102" s="26">
        <v>-8.791510157911766</v>
      </c>
      <c r="C102" s="3">
        <f t="shared" si="1"/>
        <v>0.98237090598937193</v>
      </c>
      <c r="D102" s="3">
        <f t="shared" si="1"/>
        <v>0.62611296143106721</v>
      </c>
      <c r="E102" s="44">
        <v>0.2220056510928915</v>
      </c>
      <c r="F102" s="44">
        <v>-0.12974486202010871</v>
      </c>
    </row>
    <row r="103" spans="1:6">
      <c r="A103" s="26">
        <v>3.8268083464668257</v>
      </c>
      <c r="B103" s="26">
        <v>-4.7273239622120196</v>
      </c>
      <c r="C103" s="3">
        <f t="shared" si="1"/>
        <v>-2.096085699847877</v>
      </c>
      <c r="D103" s="3">
        <f t="shared" si="1"/>
        <v>4.6902991571308137</v>
      </c>
      <c r="E103" s="44">
        <v>-0.34175028446991962</v>
      </c>
      <c r="F103" s="44">
        <v>-1.0075637557195272</v>
      </c>
    </row>
    <row r="104" spans="1:6">
      <c r="A104" s="26">
        <v>9.8136222715034354</v>
      </c>
      <c r="B104" s="26">
        <v>-10.0324260943102</v>
      </c>
      <c r="C104" s="3">
        <f t="shared" si="1"/>
        <v>3.8907282251887327</v>
      </c>
      <c r="D104" s="3">
        <f t="shared" si="1"/>
        <v>-0.61480297496736647</v>
      </c>
      <c r="E104" s="44">
        <v>0.81150957893986408</v>
      </c>
      <c r="F104" s="44">
        <v>0.14569610769025654</v>
      </c>
    </row>
    <row r="105" spans="1:6">
      <c r="A105" s="26">
        <v>10.561974012133012</v>
      </c>
      <c r="B105" s="26">
        <v>-10.695563860822471</v>
      </c>
      <c r="C105" s="3">
        <f t="shared" si="1"/>
        <v>4.6390799658183095</v>
      </c>
      <c r="D105" s="3">
        <f t="shared" si="1"/>
        <v>-1.2779407414796378</v>
      </c>
      <c r="E105" s="44">
        <v>0.95566706186608708</v>
      </c>
      <c r="F105" s="44">
        <v>0.28985359061647953</v>
      </c>
    </row>
    <row r="106" spans="1:6">
      <c r="A106" s="26">
        <v>12.058677493392166</v>
      </c>
      <c r="B106" s="26">
        <v>-12.021839393847017</v>
      </c>
      <c r="C106" s="3">
        <f t="shared" si="1"/>
        <v>6.135783447077463</v>
      </c>
      <c r="D106" s="3">
        <f t="shared" si="1"/>
        <v>-2.6042162745041839</v>
      </c>
      <c r="E106" s="44">
        <v>1.2439820277185329</v>
      </c>
      <c r="F106" s="44">
        <v>0.5781685564689254</v>
      </c>
    </row>
    <row r="107" spans="1:6">
      <c r="A107" s="26">
        <v>5.2384621844070338</v>
      </c>
      <c r="B107" s="26">
        <v>-4.641964365585908</v>
      </c>
      <c r="C107" s="3">
        <f t="shared" si="1"/>
        <v>-0.6844318619076688</v>
      </c>
      <c r="D107" s="3">
        <f t="shared" si="1"/>
        <v>4.7756587537569253</v>
      </c>
      <c r="E107" s="44">
        <v>-4.0561322475393125E-2</v>
      </c>
      <c r="F107" s="44">
        <v>-1.0204377518616079</v>
      </c>
    </row>
    <row r="108" spans="1:6">
      <c r="A108" s="26">
        <v>10.391874725495125</v>
      </c>
      <c r="B108" s="26">
        <v>-7.8722936015211582</v>
      </c>
      <c r="C108" s="3">
        <f t="shared" si="1"/>
        <v>4.4689806791804223</v>
      </c>
      <c r="D108" s="3">
        <f t="shared" si="1"/>
        <v>1.545329517821675</v>
      </c>
      <c r="E108" s="44">
        <v>0.98141505415024843</v>
      </c>
      <c r="F108" s="44">
        <v>-0.31252433337257379</v>
      </c>
    </row>
    <row r="109" spans="1:6">
      <c r="A109" s="26">
        <v>11.718478920116389</v>
      </c>
      <c r="B109" s="26">
        <v>-6.3752988752443889</v>
      </c>
      <c r="C109" s="3">
        <f t="shared" si="1"/>
        <v>5.7955848738016869</v>
      </c>
      <c r="D109" s="3">
        <f t="shared" si="1"/>
        <v>3.0423242440984444</v>
      </c>
      <c r="E109" s="44">
        <v>1.2954780122868557</v>
      </c>
      <c r="F109" s="44">
        <v>-0.62658729150918102</v>
      </c>
    </row>
    <row r="110" spans="1:6">
      <c r="A110" s="26">
        <v>14.711885882634695</v>
      </c>
      <c r="B110" s="26">
        <v>-9.0278499412934785</v>
      </c>
      <c r="C110" s="3">
        <f t="shared" si="1"/>
        <v>8.7889918363199921</v>
      </c>
      <c r="D110" s="3">
        <f t="shared" si="1"/>
        <v>0.38977317804935474</v>
      </c>
      <c r="E110" s="44">
        <v>1.8721079439917476</v>
      </c>
      <c r="F110" s="44">
        <v>-4.995735980428917E-2</v>
      </c>
    </row>
    <row r="111" spans="1:6">
      <c r="A111" s="26">
        <v>16.871891461204477</v>
      </c>
      <c r="B111" s="26">
        <v>-9.6056281111796391</v>
      </c>
      <c r="C111" s="3">
        <f t="shared" si="1"/>
        <v>10.948997414889774</v>
      </c>
      <c r="D111" s="3">
        <f t="shared" si="1"/>
        <v>-0.18800499183680586</v>
      </c>
      <c r="E111" s="44">
        <v>2.317454388912497</v>
      </c>
      <c r="F111" s="44">
        <v>8.1326126979853086E-2</v>
      </c>
    </row>
    <row r="112" spans="1:6">
      <c r="A112" s="26">
        <v>18.946847396455318</v>
      </c>
      <c r="B112" s="26">
        <v>-8.7717711514151429</v>
      </c>
      <c r="C112" s="3">
        <f t="shared" si="1"/>
        <v>13.023953350140616</v>
      </c>
      <c r="D112" s="3">
        <f t="shared" si="1"/>
        <v>0.6458519679276904</v>
      </c>
      <c r="E112" s="44">
        <v>2.7756748299753276</v>
      </c>
      <c r="F112" s="44">
        <v>-8.8579348230531263E-2</v>
      </c>
    </row>
    <row r="113" spans="1:7">
      <c r="A113">
        <f>AVERAGE(A88:A112)</f>
        <v>5.9228940463147026</v>
      </c>
      <c r="B113">
        <f>AVERAGE(B88:B112)</f>
        <v>-9.4176231193428332</v>
      </c>
    </row>
    <row r="114" spans="1:7" ht="14.35" thickBot="1"/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37.867714882244236</v>
      </c>
      <c r="C116" s="38"/>
      <c r="E116" s="38" t="s">
        <v>15</v>
      </c>
      <c r="F116" s="38">
        <f>_xlfn.COVARIANCE.S(E88:E112,E88:E112)</f>
        <v>1.7056034803123774</v>
      </c>
      <c r="G116" s="38"/>
    </row>
    <row r="117" spans="1:7" ht="14.35" thickBot="1">
      <c r="A117" s="39" t="s">
        <v>16</v>
      </c>
      <c r="B117" s="39">
        <f>_xlfn.COVARIANCE.S(A88:A112,B88:B112)</f>
        <v>1.4764833691217987E-3</v>
      </c>
      <c r="C117" s="39">
        <f>_xlfn.COVARIANCE.S(B88:B112,B88:B112)</f>
        <v>6.4689502953082316</v>
      </c>
      <c r="E117" s="39" t="s">
        <v>16</v>
      </c>
      <c r="F117" s="39">
        <f>_xlfn.COVARIANCE.S(E88:E112,F88:F112)</f>
        <v>-1.3299546649155522E-16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130" zoomScaleNormal="130" workbookViewId="0">
      <selection activeCell="D30" sqref="D30"/>
    </sheetView>
  </sheetViews>
  <sheetFormatPr defaultRowHeight="14"/>
  <sheetData>
    <row r="1" spans="1:13">
      <c r="A1">
        <v>20.276666666666667</v>
      </c>
      <c r="B1">
        <v>15.585000000000003</v>
      </c>
      <c r="E1" s="2" t="s">
        <v>80</v>
      </c>
      <c r="M1" s="30" t="s">
        <v>97</v>
      </c>
    </row>
    <row r="2" spans="1:13">
      <c r="A2">
        <v>15.585000000000003</v>
      </c>
      <c r="B2">
        <v>24.060000000000002</v>
      </c>
    </row>
    <row r="3" spans="1:13">
      <c r="E3" t="s">
        <v>77</v>
      </c>
    </row>
    <row r="10" spans="1:13">
      <c r="E10" t="s">
        <v>81</v>
      </c>
      <c r="G10" t="s">
        <v>78</v>
      </c>
    </row>
    <row r="19" spans="1:13">
      <c r="F19" t="s">
        <v>85</v>
      </c>
      <c r="G19" s="26" t="s">
        <v>83</v>
      </c>
      <c r="H19" s="26"/>
      <c r="I19" s="26" t="s">
        <v>82</v>
      </c>
      <c r="J19" s="26"/>
    </row>
    <row r="20" spans="1:13">
      <c r="G20" s="26">
        <v>1</v>
      </c>
      <c r="H20" s="26">
        <v>0</v>
      </c>
      <c r="I20" s="26">
        <v>6.4690000000000003</v>
      </c>
      <c r="J20" s="26">
        <v>0</v>
      </c>
      <c r="L20" s="27"/>
      <c r="M20" s="27"/>
    </row>
    <row r="21" spans="1:13">
      <c r="G21" s="26">
        <v>0</v>
      </c>
      <c r="H21" s="26">
        <v>1</v>
      </c>
      <c r="I21" s="26">
        <v>0</v>
      </c>
      <c r="J21" s="26">
        <v>6.4690000000000003</v>
      </c>
      <c r="L21" s="25"/>
    </row>
    <row r="23" spans="1:13">
      <c r="I23" t="s">
        <v>84</v>
      </c>
      <c r="L23" t="s">
        <v>87</v>
      </c>
    </row>
    <row r="24" spans="1:13">
      <c r="I24">
        <f>A1-I20</f>
        <v>13.807666666666666</v>
      </c>
      <c r="J24">
        <f>B1-J20</f>
        <v>15.585000000000003</v>
      </c>
      <c r="L24" s="27">
        <v>1</v>
      </c>
      <c r="M24" s="27">
        <v>1</v>
      </c>
    </row>
    <row r="25" spans="1:13">
      <c r="I25">
        <f>A2-I21</f>
        <v>15.585000000000003</v>
      </c>
      <c r="J25">
        <f>B2-J21</f>
        <v>17.591000000000001</v>
      </c>
      <c r="L25" s="25" t="s">
        <v>86</v>
      </c>
      <c r="M25">
        <f>-I24/J24</f>
        <v>-0.88595872099240702</v>
      </c>
    </row>
    <row r="27" spans="1:13">
      <c r="A27" s="30" t="s">
        <v>97</v>
      </c>
      <c r="F27" t="s">
        <v>88</v>
      </c>
      <c r="G27" s="26" t="s">
        <v>83</v>
      </c>
      <c r="H27" s="26"/>
      <c r="I27" s="26" t="s">
        <v>82</v>
      </c>
      <c r="J27" s="26"/>
    </row>
    <row r="28" spans="1:13">
      <c r="G28" s="26">
        <v>1</v>
      </c>
      <c r="H28" s="26">
        <v>0</v>
      </c>
      <c r="I28" s="26">
        <v>37.86</v>
      </c>
      <c r="J28" s="26">
        <v>0</v>
      </c>
    </row>
    <row r="29" spans="1:13">
      <c r="G29" s="26">
        <v>0</v>
      </c>
      <c r="H29" s="26">
        <v>1</v>
      </c>
      <c r="I29" s="26">
        <v>0</v>
      </c>
      <c r="J29" s="26">
        <v>37.86</v>
      </c>
    </row>
    <row r="31" spans="1:13">
      <c r="I31" t="s">
        <v>84</v>
      </c>
      <c r="L31" t="s">
        <v>87</v>
      </c>
    </row>
    <row r="32" spans="1:13">
      <c r="I32" s="25">
        <f>A1-I28</f>
        <v>-17.583333333333332</v>
      </c>
      <c r="J32" s="25">
        <f>B1-J28</f>
        <v>15.585000000000003</v>
      </c>
      <c r="L32" s="27">
        <v>1</v>
      </c>
      <c r="M32" s="27">
        <v>1</v>
      </c>
    </row>
    <row r="33" spans="8:13">
      <c r="I33" s="25">
        <f>A2-I29</f>
        <v>15.585000000000003</v>
      </c>
      <c r="J33" s="25">
        <f>B2-J29</f>
        <v>-13.799999999999997</v>
      </c>
      <c r="L33" s="25" t="s">
        <v>86</v>
      </c>
      <c r="M33">
        <f>-I32/J32</f>
        <v>1.128221580579617</v>
      </c>
    </row>
    <row r="35" spans="8:13">
      <c r="H35" s="25"/>
      <c r="I35" s="25"/>
      <c r="J35" s="25"/>
    </row>
    <row r="36" spans="8:13">
      <c r="H36" s="25"/>
      <c r="I36" s="25"/>
      <c r="J36" s="25"/>
    </row>
  </sheetData>
  <phoneticPr fontId="1" type="noConversion"/>
  <hyperlinks>
    <hyperlink ref="E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7"/>
  <sheetViews>
    <sheetView zoomScale="115" zoomScaleNormal="115" workbookViewId="0">
      <selection activeCell="D29" sqref="D29"/>
    </sheetView>
  </sheetViews>
  <sheetFormatPr defaultRowHeight="14"/>
  <cols>
    <col min="8" max="8" width="12.410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4"/>
      <c r="E1" s="20" t="s">
        <v>64</v>
      </c>
      <c r="G1" s="5">
        <f t="array" ref="G1:P3">TRANSPOSE(D2:F11)</f>
        <v>-11.689999999999998</v>
      </c>
      <c r="H1" s="5">
        <v>1.3100000000000023</v>
      </c>
      <c r="I1" s="5">
        <v>1.5099999999999909</v>
      </c>
      <c r="J1" s="5">
        <v>1.0099999999999909</v>
      </c>
      <c r="K1">
        <v>-4.6899999999999977</v>
      </c>
      <c r="L1">
        <v>-5.0900000000000034</v>
      </c>
      <c r="M1">
        <v>10.810000000000002</v>
      </c>
      <c r="N1">
        <v>12.009999999999991</v>
      </c>
      <c r="O1">
        <v>-1.6899999999999977</v>
      </c>
      <c r="P1">
        <v>-3.4900000000000091</v>
      </c>
    </row>
    <row r="2" spans="1:21">
      <c r="A2" s="1">
        <v>149.5</v>
      </c>
      <c r="B2" s="1">
        <v>69.5</v>
      </c>
      <c r="C2" s="1">
        <v>38.5</v>
      </c>
      <c r="D2">
        <f>(A2-A$12)</f>
        <v>-11.689999999999998</v>
      </c>
      <c r="E2">
        <f t="shared" ref="E2:F11" si="0">(B2-B$12)</f>
        <v>-7.7999999999999972</v>
      </c>
      <c r="F2">
        <f t="shared" si="0"/>
        <v>-12.729999999999997</v>
      </c>
      <c r="G2">
        <v>-7.7999999999999972</v>
      </c>
      <c r="H2">
        <v>-0.29999999999999716</v>
      </c>
      <c r="I2">
        <v>1.2000000000000028</v>
      </c>
      <c r="J2">
        <v>10.200000000000003</v>
      </c>
      <c r="K2">
        <v>-2.7999999999999972</v>
      </c>
      <c r="L2">
        <v>-2.7999999999999972</v>
      </c>
      <c r="M2">
        <v>-0.79999999999999716</v>
      </c>
      <c r="N2">
        <v>4.2000000000000028</v>
      </c>
      <c r="O2">
        <v>-2.7999999999999972</v>
      </c>
      <c r="P2">
        <v>1.7000000000000028</v>
      </c>
      <c r="Q2" s="19" t="s">
        <v>63</v>
      </c>
    </row>
    <row r="3" spans="1:21">
      <c r="A3" s="1">
        <v>162.5</v>
      </c>
      <c r="B3" s="1">
        <v>77</v>
      </c>
      <c r="C3" s="1">
        <v>55.5</v>
      </c>
      <c r="D3">
        <f>(A3-A$12)</f>
        <v>1.3100000000000023</v>
      </c>
      <c r="E3">
        <f t="shared" si="0"/>
        <v>-0.29999999999999716</v>
      </c>
      <c r="F3">
        <f t="shared" si="0"/>
        <v>4.2700000000000031</v>
      </c>
      <c r="G3">
        <v>-12.729999999999997</v>
      </c>
      <c r="H3">
        <v>4.2700000000000031</v>
      </c>
      <c r="I3">
        <v>-0.42999999999999972</v>
      </c>
      <c r="J3">
        <v>14.270000000000003</v>
      </c>
      <c r="K3">
        <v>-2.2299999999999969</v>
      </c>
      <c r="L3">
        <v>-5.7299999999999969</v>
      </c>
      <c r="M3">
        <v>-0.22999999999999687</v>
      </c>
      <c r="N3">
        <v>8.2700000000000031</v>
      </c>
      <c r="O3">
        <v>-7.7299999999999969</v>
      </c>
      <c r="P3">
        <v>2.2700000000000031</v>
      </c>
    </row>
    <row r="4" spans="1:21">
      <c r="A4" s="1">
        <v>162.69999999999999</v>
      </c>
      <c r="B4" s="1">
        <v>78.5</v>
      </c>
      <c r="C4" s="1">
        <v>50.8</v>
      </c>
      <c r="D4">
        <f t="shared" ref="D4:D11" si="1">(A4-A$12)</f>
        <v>1.5099999999999909</v>
      </c>
      <c r="E4">
        <f t="shared" si="0"/>
        <v>1.2000000000000028</v>
      </c>
      <c r="F4">
        <f t="shared" si="0"/>
        <v>-0.42999999999999972</v>
      </c>
    </row>
    <row r="5" spans="1:21">
      <c r="A5" s="1">
        <v>162.19999999999999</v>
      </c>
      <c r="B5" s="1">
        <v>87.5</v>
      </c>
      <c r="C5" s="1">
        <v>65.5</v>
      </c>
      <c r="D5">
        <f t="shared" si="1"/>
        <v>1.0099999999999909</v>
      </c>
      <c r="E5">
        <f t="shared" si="0"/>
        <v>10.200000000000003</v>
      </c>
      <c r="F5">
        <f t="shared" si="0"/>
        <v>14.270000000000003</v>
      </c>
    </row>
    <row r="6" spans="1:21">
      <c r="A6" s="1">
        <v>156.5</v>
      </c>
      <c r="B6" s="1">
        <v>74.5</v>
      </c>
      <c r="C6" s="1">
        <v>49</v>
      </c>
      <c r="D6">
        <f t="shared" si="1"/>
        <v>-4.6899999999999977</v>
      </c>
      <c r="E6">
        <f t="shared" si="0"/>
        <v>-2.7999999999999972</v>
      </c>
      <c r="F6">
        <f t="shared" si="0"/>
        <v>-2.2299999999999969</v>
      </c>
    </row>
    <row r="7" spans="1:21">
      <c r="A7" s="1">
        <v>156.1</v>
      </c>
      <c r="B7" s="1">
        <v>74.5</v>
      </c>
      <c r="C7" s="1">
        <v>45.5</v>
      </c>
      <c r="D7">
        <f t="shared" si="1"/>
        <v>-5.0900000000000034</v>
      </c>
      <c r="E7">
        <f t="shared" si="0"/>
        <v>-2.7999999999999972</v>
      </c>
      <c r="F7">
        <f t="shared" si="0"/>
        <v>-5.7299999999999969</v>
      </c>
    </row>
    <row r="8" spans="1:21">
      <c r="A8" s="1">
        <v>172</v>
      </c>
      <c r="B8" s="1">
        <v>76.5</v>
      </c>
      <c r="C8" s="1">
        <v>51</v>
      </c>
      <c r="D8">
        <f t="shared" si="1"/>
        <v>10.810000000000002</v>
      </c>
      <c r="E8">
        <f t="shared" si="0"/>
        <v>-0.79999999999999716</v>
      </c>
      <c r="F8">
        <f t="shared" si="0"/>
        <v>-0.22999999999999687</v>
      </c>
    </row>
    <row r="9" spans="1:21">
      <c r="A9" s="1">
        <v>173.2</v>
      </c>
      <c r="B9" s="1">
        <v>81.5</v>
      </c>
      <c r="C9" s="1">
        <v>59.5</v>
      </c>
      <c r="D9">
        <f t="shared" si="1"/>
        <v>12.009999999999991</v>
      </c>
      <c r="E9">
        <f t="shared" si="0"/>
        <v>4.2000000000000028</v>
      </c>
      <c r="F9">
        <f t="shared" si="0"/>
        <v>8.2700000000000031</v>
      </c>
    </row>
    <row r="10" spans="1:21">
      <c r="A10" s="1">
        <v>159.5</v>
      </c>
      <c r="B10" s="1">
        <v>74.5</v>
      </c>
      <c r="C10" s="1">
        <v>43.5</v>
      </c>
      <c r="D10">
        <f t="shared" si="1"/>
        <v>-1.6899999999999977</v>
      </c>
      <c r="E10">
        <f t="shared" si="0"/>
        <v>-2.7999999999999972</v>
      </c>
      <c r="F10">
        <f t="shared" si="0"/>
        <v>-7.7299999999999969</v>
      </c>
    </row>
    <row r="11" spans="1:21">
      <c r="A11" s="1">
        <v>157.69999999999999</v>
      </c>
      <c r="B11" s="1">
        <v>79</v>
      </c>
      <c r="C11" s="1">
        <v>53.5</v>
      </c>
      <c r="D11">
        <f t="shared" si="1"/>
        <v>-3.4900000000000091</v>
      </c>
      <c r="E11">
        <f t="shared" si="0"/>
        <v>1.7000000000000028</v>
      </c>
      <c r="F11">
        <f t="shared" si="0"/>
        <v>2.2700000000000031</v>
      </c>
    </row>
    <row r="12" spans="1:21">
      <c r="A12" s="18">
        <f>AVERAGE(A2:A11)</f>
        <v>161.19</v>
      </c>
      <c r="B12" s="18">
        <f>AVERAGE(B2:B11)</f>
        <v>77.3</v>
      </c>
      <c r="C12" s="18">
        <f>AVERAGE(C2:C11)</f>
        <v>51.23</v>
      </c>
    </row>
    <row r="13" spans="1:21">
      <c r="A13" s="18">
        <f>_xlfn.STDEV.S(A2:A11)</f>
        <v>7.1934306450013414</v>
      </c>
      <c r="B13" s="18">
        <f>_xlfn.STDEV.S(B2:B11)</f>
        <v>4.8430935935159827</v>
      </c>
      <c r="C13" s="18">
        <f>_xlfn.STDEV.S(C2:C11)</f>
        <v>7.8546589147248724</v>
      </c>
      <c r="S13" t="s">
        <v>58</v>
      </c>
    </row>
    <row r="14" spans="1:21">
      <c r="S14" t="s">
        <v>62</v>
      </c>
      <c r="U14" t="s">
        <v>61</v>
      </c>
    </row>
    <row r="15" spans="1:21">
      <c r="S15" s="16" t="s">
        <v>57</v>
      </c>
    </row>
    <row r="16" spans="1:21">
      <c r="S16" s="2" t="s">
        <v>65</v>
      </c>
    </row>
    <row r="17" spans="1:19">
      <c r="A17" s="6" t="s">
        <v>66</v>
      </c>
      <c r="S17" t="s">
        <v>59</v>
      </c>
    </row>
    <row r="18" spans="1:19">
      <c r="A18" s="28">
        <f>_xlfn.COVARIANCE.S(A2:A11,A2:A11)</f>
        <v>51.745444444444416</v>
      </c>
      <c r="B18" s="28">
        <f>_xlfn.COVARIANCE.S(A2:A11,B2:B11)</f>
        <v>18.986666666666647</v>
      </c>
      <c r="C18" s="28">
        <f>_xlfn.COVARIANCE.S(A2:A11,C2:C11)</f>
        <v>34.419222222222203</v>
      </c>
      <c r="G18" s="29"/>
      <c r="H18" s="29"/>
      <c r="I18" s="29"/>
      <c r="S18" t="s">
        <v>60</v>
      </c>
    </row>
    <row r="19" spans="1:19">
      <c r="A19" s="28">
        <f>B18</f>
        <v>18.986666666666647</v>
      </c>
      <c r="B19" s="28">
        <f>_xlfn.COVARIANCE.S(B2:B11,B2:B11)</f>
        <v>23.455555555555552</v>
      </c>
      <c r="C19" s="28">
        <f>_xlfn.COVARIANCE.S(B2:B11,C2:C11)</f>
        <v>36.195555555555551</v>
      </c>
      <c r="G19" s="29"/>
      <c r="H19" s="29"/>
      <c r="I19" s="29"/>
    </row>
    <row r="20" spans="1:19">
      <c r="A20" s="28">
        <f>C18</f>
        <v>34.419222222222203</v>
      </c>
      <c r="B20" s="28">
        <f>C19</f>
        <v>36.195555555555551</v>
      </c>
      <c r="C20" s="28">
        <f>_xlfn.COVARIANCE.S(C2:C11,C2:C11)</f>
        <v>61.695666666666675</v>
      </c>
      <c r="G20" s="29"/>
      <c r="H20" s="29"/>
      <c r="I20" s="29"/>
    </row>
    <row r="22" spans="1:19">
      <c r="A22" s="6" t="s">
        <v>69</v>
      </c>
      <c r="E22" t="s">
        <v>77</v>
      </c>
    </row>
    <row r="23" spans="1:19">
      <c r="A23" s="3">
        <f t="array" ref="A23:C25">MMULT(G1:P3, D2:F11)/9</f>
        <v>51.745444444444416</v>
      </c>
      <c r="B23" s="3">
        <v>18.986666666666647</v>
      </c>
      <c r="C23" s="3">
        <v>34.419222222222203</v>
      </c>
    </row>
    <row r="24" spans="1:19">
      <c r="A24" s="3">
        <v>18.986666666666647</v>
      </c>
      <c r="B24" s="3">
        <v>23.455555555555552</v>
      </c>
      <c r="C24" s="3">
        <v>36.195555555555551</v>
      </c>
    </row>
    <row r="25" spans="1:19">
      <c r="A25" s="3">
        <v>34.419222222222203</v>
      </c>
      <c r="B25" s="3">
        <v>36.195555555555551</v>
      </c>
      <c r="C25" s="3">
        <v>61.695666666666675</v>
      </c>
    </row>
    <row r="26" spans="1:19">
      <c r="A26" s="17"/>
      <c r="B26" s="17"/>
      <c r="C26" s="17"/>
      <c r="D26" t="s">
        <v>94</v>
      </c>
    </row>
    <row r="27" spans="1:19">
      <c r="A27" t="s">
        <v>72</v>
      </c>
      <c r="B27" t="s">
        <v>74</v>
      </c>
      <c r="C27" t="s">
        <v>90</v>
      </c>
      <c r="D27" s="2" t="s">
        <v>92</v>
      </c>
    </row>
    <row r="28" spans="1:19">
      <c r="A28">
        <v>110.02</v>
      </c>
      <c r="B28">
        <v>25.376000000000001</v>
      </c>
      <c r="C28">
        <v>1.5991</v>
      </c>
      <c r="D28" s="2" t="s">
        <v>93</v>
      </c>
    </row>
    <row r="29" spans="1:19">
      <c r="D29" s="2" t="s">
        <v>95</v>
      </c>
    </row>
    <row r="30" spans="1:19">
      <c r="A30">
        <v>0.78347999999999995</v>
      </c>
      <c r="B30">
        <v>-1.8324</v>
      </c>
      <c r="C30">
        <v>-8.8824E-2</v>
      </c>
    </row>
    <row r="31" spans="1:19">
      <c r="A31">
        <v>0.59041999999999994</v>
      </c>
      <c r="B31">
        <v>0.73787000000000003</v>
      </c>
      <c r="C31">
        <v>-1.5758000000000001</v>
      </c>
    </row>
    <row r="32" spans="1:19">
      <c r="A32">
        <v>1</v>
      </c>
      <c r="B32">
        <v>1</v>
      </c>
      <c r="C32">
        <v>1</v>
      </c>
    </row>
    <row r="34" spans="1:7">
      <c r="A34" t="s">
        <v>89</v>
      </c>
    </row>
    <row r="35" spans="1:7">
      <c r="A35">
        <f>A30/SQRT(A30^2+A31^2+A32^2)</f>
        <v>0.55928102821339898</v>
      </c>
      <c r="B35">
        <f t="shared" ref="B35:C35" si="2">B30/SQRT(B30^2+B31^2+B32^2)</f>
        <v>-0.82761307653892691</v>
      </c>
      <c r="C35">
        <f t="shared" si="2"/>
        <v>-4.7539346128446021E-2</v>
      </c>
      <c r="E35">
        <f t="array" ref="E35:G37">MINVERSE(A35:C37)</f>
        <v>0.55928265853492298</v>
      </c>
      <c r="F35">
        <v>0.42147403071210965</v>
      </c>
      <c r="G35">
        <v>0.71383650045784852</v>
      </c>
    </row>
    <row r="36" spans="1:7">
      <c r="A36">
        <f>A31/SQRT(A30^2+A31^2+A32^2)</f>
        <v>0.4214666675317239</v>
      </c>
      <c r="B36">
        <f t="shared" ref="B36:C36" si="3">B31/SQRT(B30^2+B31^2+B32^2)</f>
        <v>0.33326285788352872</v>
      </c>
      <c r="C36">
        <f t="shared" si="3"/>
        <v>-0.84338131168608987</v>
      </c>
      <c r="E36">
        <v>-0.82761358593879419</v>
      </c>
      <c r="F36">
        <v>0.33326746197004631</v>
      </c>
      <c r="G36">
        <v>0.45165091741497165</v>
      </c>
    </row>
    <row r="37" spans="1:7">
      <c r="A37">
        <f>A32/SQRT(A30^2+A31^2+A32^2)</f>
        <v>0.71384212515111944</v>
      </c>
      <c r="B37">
        <f t="shared" ref="B37:C37" si="4">B32/SQRT(B30^2+B31^2+B32^2)</f>
        <v>0.45165524805660712</v>
      </c>
      <c r="C37">
        <f t="shared" si="4"/>
        <v>0.53520834603762524</v>
      </c>
      <c r="E37">
        <v>-4.7539434436892049E-2</v>
      </c>
      <c r="F37">
        <v>-0.84338728894389303</v>
      </c>
      <c r="G37">
        <v>0.53519891923086937</v>
      </c>
    </row>
  </sheetData>
  <phoneticPr fontId="1" type="noConversion"/>
  <hyperlinks>
    <hyperlink ref="S15" r:id="rId1" display="http://www.baidu.com/link?url=HeJUzC2vM5eafFiUoQNnHh9D-zA1UEpBmu8x5VTB1Ow20JkIU3Eea5sB1oW-hJyyP2Hc3RdAnGxSw9Ki1W_oavwvcYatyr4eP1jUqCecOO_&amp;wd=&amp;eqid=b047f2630001085e0000000663185587"/>
    <hyperlink ref="D27" r:id="rId2"/>
    <hyperlink ref="D28" r:id="rId3"/>
    <hyperlink ref="D29" r:id="rId4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shapeId="2049" r:id="rId8">
          <objectPr defaultSize="0" autoPict="0" r:id="rId9">
            <anchor moveWithCells="1">
              <from>
                <xdr:col>0</xdr:col>
                <xdr:colOff>50800</xdr:colOff>
                <xdr:row>13</xdr:row>
                <xdr:rowOff>169333</xdr:rowOff>
              </from>
              <to>
                <xdr:col>2</xdr:col>
                <xdr:colOff>618067</xdr:colOff>
                <xdr:row>15</xdr:row>
                <xdr:rowOff>135467</xdr:rowOff>
              </to>
            </anchor>
          </objectPr>
        </oleObject>
      </mc:Choice>
      <mc:Fallback>
        <oleObject shapeId="2049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F2" sqref="F2:F4"/>
    </sheetView>
  </sheetViews>
  <sheetFormatPr defaultRowHeight="14"/>
  <sheetData>
    <row r="1" spans="1:15">
      <c r="E1" s="25" t="s">
        <v>115</v>
      </c>
      <c r="F1" s="25" t="s">
        <v>117</v>
      </c>
      <c r="G1" s="25" t="s">
        <v>121</v>
      </c>
      <c r="H1" s="25" t="s">
        <v>45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</row>
    <row r="2" spans="1:15">
      <c r="A2" s="1">
        <v>2</v>
      </c>
      <c r="B2" s="1">
        <v>3</v>
      </c>
      <c r="C2" s="1">
        <v>2</v>
      </c>
      <c r="E2" s="26">
        <v>0</v>
      </c>
      <c r="F2" s="26">
        <f>E6/E$9</f>
        <v>0.5</v>
      </c>
      <c r="G2" s="26">
        <f>F6/F$9</f>
        <v>0.5</v>
      </c>
      <c r="H2" s="26">
        <f>G6/G$9</f>
        <v>0.5</v>
      </c>
      <c r="I2" s="26">
        <f>H6/H$9</f>
        <v>0.5</v>
      </c>
      <c r="J2" s="26">
        <f t="shared" ref="J2:M2" si="0">I6/I$9</f>
        <v>0.5</v>
      </c>
      <c r="K2" s="26">
        <f t="shared" si="0"/>
        <v>0.5</v>
      </c>
      <c r="L2" s="26">
        <f t="shared" si="0"/>
        <v>0.5</v>
      </c>
      <c r="M2" s="26">
        <f t="shared" si="0"/>
        <v>0.5</v>
      </c>
    </row>
    <row r="3" spans="1:15">
      <c r="A3" s="1">
        <v>10</v>
      </c>
      <c r="B3" s="1">
        <v>3</v>
      </c>
      <c r="C3" s="1">
        <v>4</v>
      </c>
      <c r="D3" s="25" t="s">
        <v>143</v>
      </c>
      <c r="E3" s="26">
        <v>0</v>
      </c>
      <c r="F3" s="26">
        <f t="shared" ref="F3:G4" si="1">E7/E$9</f>
        <v>1</v>
      </c>
      <c r="G3" s="26">
        <f t="shared" si="1"/>
        <v>1</v>
      </c>
      <c r="H3" s="26">
        <f t="shared" ref="H3:I3" si="2">G7/G$9</f>
        <v>1</v>
      </c>
      <c r="I3" s="26">
        <f t="shared" si="2"/>
        <v>1</v>
      </c>
      <c r="J3" s="26">
        <f t="shared" ref="J3:M3" si="3">I7/I$9</f>
        <v>1</v>
      </c>
      <c r="K3" s="26">
        <f t="shared" si="3"/>
        <v>1</v>
      </c>
      <c r="L3" s="26">
        <f t="shared" si="3"/>
        <v>1</v>
      </c>
      <c r="M3" s="26">
        <f t="shared" si="3"/>
        <v>1</v>
      </c>
    </row>
    <row r="4" spans="1:15">
      <c r="A4" s="1">
        <v>3</v>
      </c>
      <c r="B4" s="1">
        <v>6</v>
      </c>
      <c r="C4" s="1">
        <v>1</v>
      </c>
      <c r="E4" s="26">
        <v>1</v>
      </c>
      <c r="F4" s="26">
        <f t="shared" si="1"/>
        <v>0.25</v>
      </c>
      <c r="G4" s="26">
        <f t="shared" si="1"/>
        <v>0.86111111111111116</v>
      </c>
      <c r="H4" s="26">
        <f t="shared" ref="H4:I4" si="4">G8/G$9</f>
        <v>0.73058252427184456</v>
      </c>
      <c r="I4" s="26">
        <f t="shared" si="4"/>
        <v>0.75355555555555542</v>
      </c>
      <c r="J4" s="26">
        <f t="shared" ref="J4:M4" si="5">I8/I$9</f>
        <v>0.74935437010733608</v>
      </c>
      <c r="K4" s="26">
        <f t="shared" si="5"/>
        <v>0.75011741481921779</v>
      </c>
      <c r="L4" s="26">
        <f t="shared" si="5"/>
        <v>0.74997865276249942</v>
      </c>
      <c r="M4" s="26">
        <f t="shared" si="5"/>
        <v>0.75000388134603857</v>
      </c>
    </row>
    <row r="5" spans="1:15">
      <c r="A5" s="18"/>
      <c r="B5" s="18"/>
      <c r="C5" s="18"/>
      <c r="E5" s="25" t="s">
        <v>116</v>
      </c>
      <c r="F5" s="25" t="s">
        <v>119</v>
      </c>
      <c r="G5" s="33" t="s">
        <v>120</v>
      </c>
      <c r="H5" s="25" t="s">
        <v>127</v>
      </c>
      <c r="I5" s="33" t="s">
        <v>128</v>
      </c>
      <c r="J5" s="25" t="s">
        <v>129</v>
      </c>
      <c r="K5" s="33" t="s">
        <v>130</v>
      </c>
      <c r="L5" s="25" t="s">
        <v>131</v>
      </c>
      <c r="M5" s="33" t="s">
        <v>132</v>
      </c>
    </row>
    <row r="6" spans="1:15">
      <c r="A6" s="18"/>
      <c r="B6" s="18"/>
      <c r="C6" s="18"/>
      <c r="E6" s="26">
        <f>MMULT($A2:$C2,E$2:E$4)</f>
        <v>2</v>
      </c>
      <c r="F6" s="26">
        <f>MMULT($A2:$C2,F$2:F$4)</f>
        <v>4.5</v>
      </c>
      <c r="G6" s="26">
        <f>MMULT($A2:$C2,G$2:G$4)</f>
        <v>5.7222222222222223</v>
      </c>
      <c r="H6" s="26">
        <f>MMULT($A2:$C2,H$2:H$4)</f>
        <v>5.4611650485436893</v>
      </c>
      <c r="I6" s="26">
        <f>MMULT($A2:$C2,I$2:I$4)</f>
        <v>5.5071111111111106</v>
      </c>
      <c r="J6" s="26">
        <f t="shared" ref="J6:M6" si="6">MMULT($A2:$C2,J$2:J$4)</f>
        <v>5.4987087402146724</v>
      </c>
      <c r="K6" s="26">
        <f t="shared" si="6"/>
        <v>5.5002348296384351</v>
      </c>
      <c r="L6" s="26">
        <f t="shared" si="6"/>
        <v>5.4999573055249993</v>
      </c>
      <c r="M6" s="26">
        <f t="shared" si="6"/>
        <v>5.5000077626920767</v>
      </c>
    </row>
    <row r="7" spans="1:15">
      <c r="A7" s="18"/>
      <c r="B7" s="18"/>
      <c r="C7" s="18"/>
      <c r="D7" t="s">
        <v>142</v>
      </c>
      <c r="E7" s="26">
        <f t="shared" ref="E7:F8" si="7">MMULT($A3:$C3,E$2:E$4)</f>
        <v>4</v>
      </c>
      <c r="F7" s="26">
        <f t="shared" si="7"/>
        <v>9</v>
      </c>
      <c r="G7" s="26">
        <f t="shared" ref="G7:H7" si="8">MMULT($A3:$C3,G$2:G$4)</f>
        <v>11.444444444444445</v>
      </c>
      <c r="H7" s="26">
        <f t="shared" si="8"/>
        <v>10.922330097087379</v>
      </c>
      <c r="I7" s="26">
        <f t="shared" ref="I7:J7" si="9">MMULT($A3:$C3,I$2:I$4)</f>
        <v>11.014222222222221</v>
      </c>
      <c r="J7" s="26">
        <f t="shared" si="9"/>
        <v>10.997417480429345</v>
      </c>
      <c r="K7" s="26">
        <f t="shared" ref="K7:M7" si="10">MMULT($A3:$C3,K$2:K$4)</f>
        <v>11.00046965927687</v>
      </c>
      <c r="L7" s="26">
        <f t="shared" si="10"/>
        <v>10.999914611049999</v>
      </c>
      <c r="M7" s="26">
        <f t="shared" si="10"/>
        <v>11.000015525384153</v>
      </c>
      <c r="O7" s="35" t="s">
        <v>139</v>
      </c>
    </row>
    <row r="8" spans="1:15">
      <c r="A8" s="18"/>
      <c r="B8" s="18"/>
      <c r="C8" s="18"/>
      <c r="E8" s="26">
        <f t="shared" si="7"/>
        <v>1</v>
      </c>
      <c r="F8" s="26">
        <f t="shared" si="7"/>
        <v>7.75</v>
      </c>
      <c r="G8" s="26">
        <f t="shared" ref="G8:H8" si="11">MMULT($A4:$C4,G$2:G$4)</f>
        <v>8.3611111111111107</v>
      </c>
      <c r="H8" s="26">
        <f t="shared" si="11"/>
        <v>8.2305825242718438</v>
      </c>
      <c r="I8" s="26">
        <f t="shared" ref="I8:J8" si="12">MMULT($A4:$C4,I$2:I$4)</f>
        <v>8.2535555555555558</v>
      </c>
      <c r="J8" s="26">
        <f t="shared" si="12"/>
        <v>8.2493543701073353</v>
      </c>
      <c r="K8" s="26">
        <f t="shared" ref="K8:M8" si="13">MMULT($A4:$C4,K$2:K$4)</f>
        <v>8.2501174148192185</v>
      </c>
      <c r="L8" s="26">
        <f t="shared" si="13"/>
        <v>8.2499786527624988</v>
      </c>
      <c r="M8" s="26">
        <f t="shared" si="13"/>
        <v>8.2500038813460392</v>
      </c>
      <c r="O8" t="s">
        <v>140</v>
      </c>
    </row>
    <row r="9" spans="1:15">
      <c r="A9" s="18"/>
      <c r="B9" s="18"/>
      <c r="C9" s="18"/>
      <c r="D9" s="25" t="s">
        <v>118</v>
      </c>
      <c r="E9" s="25">
        <f>MAX(E6:E8)</f>
        <v>4</v>
      </c>
      <c r="F9" s="25">
        <f>MAX(F6:F8)</f>
        <v>9</v>
      </c>
      <c r="G9" s="25">
        <f>MAX(G6:G8)</f>
        <v>11.444444444444445</v>
      </c>
      <c r="H9" s="25">
        <f>MAX(H6:H8)</f>
        <v>10.922330097087379</v>
      </c>
      <c r="I9" s="25">
        <f>MAX(I6:I8)</f>
        <v>11.014222222222221</v>
      </c>
      <c r="J9" s="25">
        <f t="shared" ref="J9:M9" si="14">MAX(J6:J8)</f>
        <v>10.997417480429345</v>
      </c>
      <c r="K9" s="25">
        <f t="shared" si="14"/>
        <v>11.00046965927687</v>
      </c>
      <c r="L9" s="25">
        <f t="shared" si="14"/>
        <v>10.999914611049999</v>
      </c>
      <c r="M9" s="25">
        <f t="shared" si="14"/>
        <v>11.000015525384153</v>
      </c>
      <c r="O9" s="2" t="s">
        <v>141</v>
      </c>
    </row>
    <row r="10" spans="1:15">
      <c r="G10" s="33"/>
      <c r="H10" s="33"/>
      <c r="I10" s="33"/>
      <c r="J10" s="33"/>
      <c r="K10" s="33"/>
      <c r="L10" s="33"/>
    </row>
    <row r="12" spans="1:15">
      <c r="A12" s="2" t="s">
        <v>114</v>
      </c>
    </row>
    <row r="13" spans="1:15">
      <c r="A13" t="s">
        <v>138</v>
      </c>
    </row>
    <row r="14" spans="1:15">
      <c r="A14" s="2" t="s">
        <v>137</v>
      </c>
    </row>
    <row r="16" spans="1:15">
      <c r="E16" s="25" t="s">
        <v>115</v>
      </c>
      <c r="F16" s="25" t="s">
        <v>117</v>
      </c>
      <c r="G16" s="25" t="s">
        <v>121</v>
      </c>
      <c r="H16" s="25" t="s">
        <v>45</v>
      </c>
      <c r="I16" s="25" t="s">
        <v>122</v>
      </c>
      <c r="J16" s="25" t="s">
        <v>123</v>
      </c>
      <c r="K16" s="25" t="s">
        <v>124</v>
      </c>
      <c r="L16" s="25" t="s">
        <v>125</v>
      </c>
      <c r="M16" s="25" t="s">
        <v>126</v>
      </c>
    </row>
    <row r="17" spans="1:13">
      <c r="A17" s="3">
        <v>51.745444444444416</v>
      </c>
      <c r="B17" s="3">
        <v>18.986666666666647</v>
      </c>
      <c r="C17" s="3">
        <v>34.419222222222203</v>
      </c>
      <c r="E17" s="26">
        <v>0</v>
      </c>
      <c r="F17" s="26">
        <f>E21/E$24</f>
        <v>0.55788719178908619</v>
      </c>
      <c r="G17" s="26">
        <f t="shared" ref="G17:M17" si="15">F21/F$24</f>
        <v>0.7287214408712861</v>
      </c>
      <c r="H17" s="26">
        <f t="shared" si="15"/>
        <v>0.77038473191191614</v>
      </c>
      <c r="I17" s="26">
        <f t="shared" si="15"/>
        <v>0.78014857452297237</v>
      </c>
      <c r="J17" s="26">
        <f t="shared" si="15"/>
        <v>0.78240642492415269</v>
      </c>
      <c r="K17" s="26">
        <f t="shared" si="15"/>
        <v>0.78292676161145858</v>
      </c>
      <c r="L17" s="26">
        <f t="shared" si="15"/>
        <v>0.7830465795908953</v>
      </c>
      <c r="M17" s="37">
        <f t="shared" si="15"/>
        <v>0.7830741649059918</v>
      </c>
    </row>
    <row r="18" spans="1:13">
      <c r="A18" s="3">
        <v>18.986666666666647</v>
      </c>
      <c r="B18" s="3">
        <v>23.455555555555552</v>
      </c>
      <c r="C18" s="3">
        <v>36.195555555555551</v>
      </c>
      <c r="D18" s="25" t="s">
        <v>143</v>
      </c>
      <c r="E18" s="26">
        <v>0</v>
      </c>
      <c r="F18" s="26">
        <f t="shared" ref="F18:M19" si="16">E22/E$24</f>
        <v>0.58667905723614644</v>
      </c>
      <c r="G18" s="26">
        <f t="shared" si="16"/>
        <v>0.59284389485144018</v>
      </c>
      <c r="H18" s="26">
        <f t="shared" si="16"/>
        <v>0.59071867038216297</v>
      </c>
      <c r="I18" s="26">
        <f t="shared" si="16"/>
        <v>0.59016697236216342</v>
      </c>
      <c r="J18" s="26">
        <f t="shared" si="16"/>
        <v>0.59003862731870171</v>
      </c>
      <c r="K18" s="26">
        <f t="shared" si="16"/>
        <v>0.59000903840994134</v>
      </c>
      <c r="L18" s="26">
        <f t="shared" si="16"/>
        <v>0.59000222481313858</v>
      </c>
      <c r="M18" s="37">
        <f t="shared" si="16"/>
        <v>0.59000065613803732</v>
      </c>
    </row>
    <row r="19" spans="1:13">
      <c r="A19" s="3">
        <v>34.419222222222203</v>
      </c>
      <c r="B19" s="3">
        <v>36.195555555555551</v>
      </c>
      <c r="C19" s="3">
        <v>61.695666666666675</v>
      </c>
      <c r="E19" s="26">
        <v>1</v>
      </c>
      <c r="F19" s="26">
        <f t="shared" si="16"/>
        <v>1</v>
      </c>
      <c r="G19" s="26">
        <f t="shared" si="16"/>
        <v>1</v>
      </c>
      <c r="H19" s="26">
        <f t="shared" si="16"/>
        <v>1</v>
      </c>
      <c r="I19" s="26">
        <f t="shared" si="16"/>
        <v>1</v>
      </c>
      <c r="J19" s="26">
        <f t="shared" si="16"/>
        <v>1</v>
      </c>
      <c r="K19" s="26">
        <f t="shared" si="16"/>
        <v>1</v>
      </c>
      <c r="L19" s="26">
        <f t="shared" si="16"/>
        <v>1</v>
      </c>
      <c r="M19" s="37">
        <f t="shared" si="16"/>
        <v>1</v>
      </c>
    </row>
    <row r="20" spans="1:13">
      <c r="E20" s="25" t="s">
        <v>116</v>
      </c>
      <c r="F20" s="25" t="s">
        <v>119</v>
      </c>
      <c r="G20" s="33" t="s">
        <v>120</v>
      </c>
      <c r="H20" s="25" t="s">
        <v>127</v>
      </c>
      <c r="I20" s="33" t="s">
        <v>128</v>
      </c>
      <c r="J20" s="25" t="s">
        <v>129</v>
      </c>
      <c r="K20" s="33" t="s">
        <v>130</v>
      </c>
      <c r="L20" s="25" t="s">
        <v>131</v>
      </c>
      <c r="M20" s="33" t="s">
        <v>132</v>
      </c>
    </row>
    <row r="21" spans="1:13">
      <c r="E21" s="26">
        <f>MMULT($A17:$C17,E$17:E$19)</f>
        <v>34.419222222222203</v>
      </c>
      <c r="F21" s="26">
        <f t="shared" ref="F21:M21" si="17">MMULT($A17:$C17,F$17:F$19)</f>
        <v>74.426422611268421</v>
      </c>
      <c r="G21" s="26">
        <f t="shared" si="17"/>
        <v>83.383366473215489</v>
      </c>
      <c r="H21" s="26">
        <f t="shared" si="17"/>
        <v>85.498901056541115</v>
      </c>
      <c r="I21" s="26">
        <f t="shared" si="17"/>
        <v>85.993660525529435</v>
      </c>
      <c r="J21" s="26">
        <f t="shared" si="17"/>
        <v>86.108057153469048</v>
      </c>
      <c r="K21" s="26">
        <f t="shared" si="17"/>
        <v>86.134420411866785</v>
      </c>
      <c r="L21" s="26">
        <f t="shared" si="17"/>
        <v>86.140491078973881</v>
      </c>
      <c r="M21" s="26">
        <f t="shared" si="17"/>
        <v>86.141888709452431</v>
      </c>
    </row>
    <row r="22" spans="1:13">
      <c r="E22" s="26">
        <f t="shared" ref="E22:M23" si="18">MMULT($A18:$C18,E$17:E$19)</f>
        <v>36.195555555555551</v>
      </c>
      <c r="F22" s="26">
        <f t="shared" si="18"/>
        <v>60.548856923941045</v>
      </c>
      <c r="G22" s="26">
        <f t="shared" si="18"/>
        <v>63.937029557691574</v>
      </c>
      <c r="H22" s="26">
        <f t="shared" si="18"/>
        <v>64.678228256309183</v>
      </c>
      <c r="I22" s="26">
        <f t="shared" si="18"/>
        <v>64.850670697793106</v>
      </c>
      <c r="J22" s="26">
        <f t="shared" si="18"/>
        <v>64.890529346446328</v>
      </c>
      <c r="K22" s="26">
        <f t="shared" si="18"/>
        <v>64.899714781389378</v>
      </c>
      <c r="L22" s="26">
        <f t="shared" si="18"/>
        <v>64.901829908727279</v>
      </c>
      <c r="M22" s="26">
        <f t="shared" si="18"/>
        <v>64.902316867763929</v>
      </c>
    </row>
    <row r="23" spans="1:13">
      <c r="E23" s="26">
        <f t="shared" si="18"/>
        <v>61.695666666666675</v>
      </c>
      <c r="F23" s="26">
        <f t="shared" si="18"/>
        <v>102.13288430525861</v>
      </c>
      <c r="G23" s="26">
        <f t="shared" si="18"/>
        <v>108.23600600998066</v>
      </c>
      <c r="H23" s="26">
        <f t="shared" si="18"/>
        <v>109.59310040247148</v>
      </c>
      <c r="I23" s="26">
        <f t="shared" si="18"/>
        <v>109.90919525471145</v>
      </c>
      <c r="J23" s="26">
        <f t="shared" si="18"/>
        <v>109.98226318926331</v>
      </c>
      <c r="K23" s="26">
        <f t="shared" si="18"/>
        <v>109.9991017863432</v>
      </c>
      <c r="L23" s="26">
        <f t="shared" si="18"/>
        <v>110.00297920608205</v>
      </c>
      <c r="M23" s="26">
        <f t="shared" si="18"/>
        <v>110.00387189210565</v>
      </c>
    </row>
    <row r="24" spans="1:13">
      <c r="D24" s="25" t="s">
        <v>118</v>
      </c>
      <c r="E24" s="25">
        <f>MAX(E21:E23)</f>
        <v>61.695666666666675</v>
      </c>
      <c r="F24" s="25">
        <f>MAX(F21:F23)</f>
        <v>102.13288430525861</v>
      </c>
      <c r="G24" s="25">
        <f>MAX(G21:G23)</f>
        <v>108.23600600998066</v>
      </c>
      <c r="H24" s="25">
        <f>MAX(H21:H23)</f>
        <v>109.59310040247148</v>
      </c>
      <c r="I24" s="25">
        <f>MAX(I21:I23)</f>
        <v>109.90919525471145</v>
      </c>
      <c r="J24" s="25">
        <f t="shared" ref="J24" si="19">MAX(J21:J23)</f>
        <v>109.98226318926331</v>
      </c>
      <c r="K24" s="25">
        <f t="shared" ref="K24" si="20">MAX(K21:K23)</f>
        <v>109.9991017863432</v>
      </c>
      <c r="L24" s="25">
        <f t="shared" ref="L24" si="21">MAX(L21:L23)</f>
        <v>110.00297920608205</v>
      </c>
      <c r="M24" s="36">
        <f t="shared" ref="M24" si="22">MAX(M21:M23)</f>
        <v>110.00387189210565</v>
      </c>
    </row>
    <row r="25" spans="1:13">
      <c r="F25" s="34"/>
    </row>
    <row r="26" spans="1:13">
      <c r="B26" s="34"/>
      <c r="C26" s="34"/>
      <c r="D26" s="34"/>
      <c r="E26" s="34"/>
      <c r="F26" s="34"/>
      <c r="J26" t="s">
        <v>134</v>
      </c>
      <c r="K26" t="s">
        <v>133</v>
      </c>
      <c r="L26" s="30">
        <f>M24</f>
        <v>110.00387189210565</v>
      </c>
    </row>
    <row r="27" spans="1:13">
      <c r="B27" s="34"/>
      <c r="C27" s="34"/>
      <c r="D27" s="34"/>
      <c r="E27" s="34"/>
      <c r="F27" s="34"/>
      <c r="J27" t="s">
        <v>136</v>
      </c>
      <c r="K27" t="s">
        <v>135</v>
      </c>
    </row>
    <row r="28" spans="1:13">
      <c r="B28" s="34"/>
      <c r="C28" s="34"/>
      <c r="D28" s="34"/>
      <c r="E28" s="34"/>
      <c r="J28" s="26">
        <f>M17</f>
        <v>0.7830741649059918</v>
      </c>
      <c r="K28" s="30">
        <f>J28/SQRT(J$28^2+J$29^2+J$30^2)</f>
        <v>0.55915244231128969</v>
      </c>
    </row>
    <row r="29" spans="1:13">
      <c r="J29" s="26">
        <f t="shared" ref="J29:J30" si="23">M18</f>
        <v>0.59000065613803732</v>
      </c>
      <c r="K29" s="30">
        <f t="shared" ref="K29:K30" si="24">J29/SQRT(J$28^2+J$29^2+J$30^2)</f>
        <v>0.42128871392973555</v>
      </c>
    </row>
    <row r="30" spans="1:13">
      <c r="J30" s="26">
        <f t="shared" si="23"/>
        <v>1</v>
      </c>
      <c r="K30" s="30">
        <f t="shared" si="24"/>
        <v>0.71404787358604282</v>
      </c>
    </row>
  </sheetData>
  <phoneticPr fontId="1" type="noConversion"/>
  <hyperlinks>
    <hyperlink ref="A12" r:id="rId1" display="https://blog.csdn.net/qq1195365047/article/details/88703128"/>
    <hyperlink ref="A14" r:id="rId2" display="https://www.bilibili.com/video/BV1NB4y1W7er?spm_id_from=333.337.search-card.all.click"/>
    <hyperlink ref="O9" r:id="rId3" display="https://zhuanlan.zhihu.com/p/447691558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62"/>
  <sheetViews>
    <sheetView topLeftCell="A7" workbookViewId="0">
      <selection activeCell="Q21" sqref="Q21"/>
    </sheetView>
  </sheetViews>
  <sheetFormatPr defaultColWidth="9" defaultRowHeight="14"/>
  <cols>
    <col min="1" max="9" width="9" style="8"/>
    <col min="10" max="10" width="12.703125" style="8" customWidth="1"/>
    <col min="11" max="11" width="14.3515625" style="8" customWidth="1"/>
    <col min="12" max="12" width="14.46875" style="8" customWidth="1"/>
    <col min="13" max="13" width="12" style="8" customWidth="1"/>
    <col min="14" max="16384" width="9" style="8"/>
  </cols>
  <sheetData>
    <row r="1" spans="1:17" ht="14.7" thickBot="1">
      <c r="A1" s="7" t="s">
        <v>4</v>
      </c>
      <c r="B1" s="7" t="s">
        <v>5</v>
      </c>
      <c r="C1" s="7" t="s">
        <v>6</v>
      </c>
      <c r="D1" s="7" t="s">
        <v>7</v>
      </c>
      <c r="E1" s="7" t="s">
        <v>8</v>
      </c>
      <c r="G1" s="7" t="s">
        <v>9</v>
      </c>
      <c r="J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</row>
    <row r="2" spans="1:17" ht="14.35">
      <c r="A2" s="7">
        <v>1</v>
      </c>
      <c r="B2" s="7">
        <v>3</v>
      </c>
      <c r="C2" s="7">
        <v>2</v>
      </c>
      <c r="D2" s="7">
        <f t="shared" ref="D2:E26" si="0">(B2-B$27)/SQRT(B$28)</f>
        <v>-1.7860446842132052</v>
      </c>
      <c r="E2" s="7">
        <f t="shared" si="0"/>
        <v>-1.8060771461374359</v>
      </c>
      <c r="G2" s="9"/>
      <c r="H2" s="9" t="s">
        <v>15</v>
      </c>
      <c r="I2" s="9" t="s">
        <v>16</v>
      </c>
      <c r="K2" s="8" t="s">
        <v>15</v>
      </c>
      <c r="L2" s="8" t="s">
        <v>16</v>
      </c>
      <c r="N2" s="8">
        <f>-I12/H12</f>
        <v>-0.99999999999155476</v>
      </c>
      <c r="O2" s="8">
        <f>1</f>
        <v>1</v>
      </c>
      <c r="P2" s="8">
        <f>-L12/K12</f>
        <v>0.9999999999999829</v>
      </c>
      <c r="Q2" s="8">
        <v>1</v>
      </c>
    </row>
    <row r="3" spans="1:17" ht="14.7" thickBot="1">
      <c r="A3" s="7">
        <v>2</v>
      </c>
      <c r="B3" s="7">
        <v>4</v>
      </c>
      <c r="C3" s="7">
        <v>10</v>
      </c>
      <c r="D3" s="7">
        <f t="shared" si="0"/>
        <v>-1.5593892674348795</v>
      </c>
      <c r="E3" s="7">
        <f t="shared" si="0"/>
        <v>-0.14148991467436128</v>
      </c>
      <c r="G3" s="10" t="s">
        <v>15</v>
      </c>
      <c r="H3" s="10">
        <v>1</v>
      </c>
      <c r="I3" s="11">
        <v>0.70560348031237796</v>
      </c>
      <c r="J3" s="8" t="s">
        <v>15</v>
      </c>
      <c r="K3" s="8">
        <f>VARP(罗毅扬!$D$2:$D$26)</f>
        <v>1</v>
      </c>
      <c r="L3" s="8">
        <v>0.70560348031237796</v>
      </c>
    </row>
    <row r="4" spans="1:17" ht="14.7" thickBot="1">
      <c r="A4" s="7">
        <v>3</v>
      </c>
      <c r="B4" s="7">
        <v>6</v>
      </c>
      <c r="C4" s="7">
        <v>5</v>
      </c>
      <c r="D4" s="7">
        <f t="shared" si="0"/>
        <v>-1.1060784338782286</v>
      </c>
      <c r="E4" s="7">
        <f t="shared" si="0"/>
        <v>-1.1818569343387828</v>
      </c>
      <c r="G4" s="11" t="s">
        <v>16</v>
      </c>
      <c r="H4" s="11">
        <v>0.70560348031237796</v>
      </c>
      <c r="I4" s="11">
        <v>1</v>
      </c>
      <c r="J4" s="8" t="s">
        <v>16</v>
      </c>
      <c r="K4" s="8">
        <v>0.70560348031237796</v>
      </c>
      <c r="L4" s="8">
        <f>VARP(罗毅扬!$E$2:$E$26)</f>
        <v>1</v>
      </c>
    </row>
    <row r="5" spans="1:17" ht="14.35">
      <c r="A5" s="7">
        <v>4</v>
      </c>
      <c r="B5" s="7">
        <v>6</v>
      </c>
      <c r="C5" s="7">
        <v>8</v>
      </c>
      <c r="D5" s="7">
        <f t="shared" si="0"/>
        <v>-1.1060784338782286</v>
      </c>
      <c r="E5" s="7">
        <f t="shared" si="0"/>
        <v>-0.55763672254012986</v>
      </c>
    </row>
    <row r="6" spans="1:17" ht="14.35">
      <c r="A6" s="7">
        <v>5</v>
      </c>
      <c r="B6" s="7">
        <v>6</v>
      </c>
      <c r="C6" s="7">
        <v>10</v>
      </c>
      <c r="D6" s="7">
        <f t="shared" si="0"/>
        <v>-1.1060784338782286</v>
      </c>
      <c r="E6" s="7">
        <f t="shared" si="0"/>
        <v>-0.14148991467436128</v>
      </c>
    </row>
    <row r="7" spans="1:17" ht="14.35">
      <c r="A7" s="7">
        <v>6</v>
      </c>
      <c r="B7" s="7">
        <v>7</v>
      </c>
      <c r="C7" s="7">
        <v>2</v>
      </c>
      <c r="D7" s="7">
        <f t="shared" si="0"/>
        <v>-0.87942301709990311</v>
      </c>
      <c r="E7" s="7">
        <f t="shared" si="0"/>
        <v>-1.8060771461374359</v>
      </c>
    </row>
    <row r="8" spans="1:17" ht="14.35">
      <c r="A8" s="7">
        <v>7</v>
      </c>
      <c r="B8" s="7">
        <v>7</v>
      </c>
      <c r="C8" s="7">
        <v>13</v>
      </c>
      <c r="D8" s="7">
        <f t="shared" si="0"/>
        <v>-0.87942301709990311</v>
      </c>
      <c r="E8" s="7">
        <f t="shared" si="0"/>
        <v>0.48273029712429166</v>
      </c>
      <c r="G8" s="8" t="s">
        <v>17</v>
      </c>
    </row>
    <row r="9" spans="1:17" ht="14.35">
      <c r="A9" s="7">
        <v>8</v>
      </c>
      <c r="B9" s="7">
        <v>8</v>
      </c>
      <c r="C9" s="7">
        <v>9</v>
      </c>
      <c r="D9" s="7">
        <f t="shared" si="0"/>
        <v>-0.65276760032157766</v>
      </c>
      <c r="E9" s="7">
        <f t="shared" si="0"/>
        <v>-0.3495633186072456</v>
      </c>
    </row>
    <row r="10" spans="1:17" ht="14.35">
      <c r="A10" s="7">
        <v>9</v>
      </c>
      <c r="B10" s="7">
        <v>9</v>
      </c>
      <c r="C10" s="7">
        <v>5</v>
      </c>
      <c r="D10" s="7">
        <f t="shared" si="0"/>
        <v>-0.42611218354325209</v>
      </c>
      <c r="E10" s="7">
        <f t="shared" si="0"/>
        <v>-1.1818569343387828</v>
      </c>
    </row>
    <row r="11" spans="1:17" ht="14.35">
      <c r="A11" s="7">
        <v>10</v>
      </c>
      <c r="B11" s="7">
        <v>9</v>
      </c>
      <c r="C11" s="7">
        <v>8</v>
      </c>
      <c r="D11" s="7">
        <f t="shared" si="0"/>
        <v>-0.42611218354325209</v>
      </c>
      <c r="E11" s="7">
        <f t="shared" si="0"/>
        <v>-0.55763672254012986</v>
      </c>
    </row>
    <row r="12" spans="1:17" ht="14.35">
      <c r="A12" s="7">
        <v>11</v>
      </c>
      <c r="B12" s="7">
        <v>9</v>
      </c>
      <c r="C12" s="7">
        <v>14</v>
      </c>
      <c r="D12" s="7">
        <f t="shared" si="0"/>
        <v>-0.42611218354325209</v>
      </c>
      <c r="E12" s="7">
        <f t="shared" si="0"/>
        <v>0.69080370105717603</v>
      </c>
      <c r="H12" s="8">
        <f>H18-H3</f>
        <v>-0.70560348031833697</v>
      </c>
      <c r="I12" s="8">
        <f>-I3</f>
        <v>-0.70560348031237796</v>
      </c>
      <c r="K12" s="8">
        <f>K18-H3</f>
        <v>0.70560348031239006</v>
      </c>
      <c r="L12" s="8">
        <f>-I3</f>
        <v>-0.70560348031237796</v>
      </c>
      <c r="N12" s="8">
        <v>0</v>
      </c>
    </row>
    <row r="13" spans="1:17" ht="14.35">
      <c r="A13" s="7">
        <v>12</v>
      </c>
      <c r="B13" s="7">
        <v>10</v>
      </c>
      <c r="C13" s="7">
        <v>7</v>
      </c>
      <c r="D13" s="7">
        <f t="shared" si="0"/>
        <v>-0.1994567667649266</v>
      </c>
      <c r="E13" s="7">
        <f t="shared" si="0"/>
        <v>-0.76571012647301417</v>
      </c>
      <c r="H13" s="8">
        <f>-H4</f>
        <v>-0.70560348031237796</v>
      </c>
      <c r="I13" s="8">
        <f>H18-I4</f>
        <v>-0.70560348031833697</v>
      </c>
      <c r="K13" s="8">
        <f>-H4</f>
        <v>-0.70560348031237796</v>
      </c>
      <c r="L13" s="8">
        <f>K18-I4</f>
        <v>0.70560348031239006</v>
      </c>
      <c r="N13" s="8">
        <v>0</v>
      </c>
    </row>
    <row r="14" spans="1:17" ht="14.35">
      <c r="A14" s="7">
        <v>13</v>
      </c>
      <c r="B14" s="7">
        <v>11</v>
      </c>
      <c r="C14" s="7">
        <v>12</v>
      </c>
      <c r="D14" s="7">
        <f t="shared" si="0"/>
        <v>2.7198650013398884E-2</v>
      </c>
      <c r="E14" s="7">
        <f t="shared" si="0"/>
        <v>0.27465689319140735</v>
      </c>
    </row>
    <row r="15" spans="1:17" ht="14.35">
      <c r="A15" s="7">
        <v>14</v>
      </c>
      <c r="B15" s="7">
        <v>12</v>
      </c>
      <c r="C15" s="7">
        <v>10</v>
      </c>
      <c r="D15" s="7">
        <f t="shared" si="0"/>
        <v>0.2538540667917244</v>
      </c>
      <c r="E15" s="7">
        <f t="shared" si="0"/>
        <v>-0.14148991467436128</v>
      </c>
      <c r="G15" s="8" t="s">
        <v>18</v>
      </c>
      <c r="H15" s="8">
        <f>MDETERM(H12:I13)</f>
        <v>8.4093978897318109E-12</v>
      </c>
      <c r="J15" s="8" t="s">
        <v>19</v>
      </c>
      <c r="K15" s="8">
        <f>MDETERM(K12:L13)</f>
        <v>1.7077623616146402E-14</v>
      </c>
    </row>
    <row r="16" spans="1:17" ht="14.35">
      <c r="A16" s="7">
        <v>15</v>
      </c>
      <c r="B16" s="7">
        <v>12</v>
      </c>
      <c r="C16" s="7">
        <v>11</v>
      </c>
      <c r="D16" s="7">
        <f t="shared" si="0"/>
        <v>0.2538540667917244</v>
      </c>
      <c r="E16" s="7">
        <f t="shared" si="0"/>
        <v>6.6583489258523046E-2</v>
      </c>
    </row>
    <row r="17" spans="1:17" ht="15.35">
      <c r="A17" s="7">
        <v>16</v>
      </c>
      <c r="B17" s="7">
        <v>13</v>
      </c>
      <c r="C17" s="7">
        <v>6</v>
      </c>
      <c r="D17" s="7">
        <f t="shared" si="0"/>
        <v>0.48050948357004986</v>
      </c>
      <c r="E17" s="7">
        <f t="shared" si="0"/>
        <v>-0.97378353040589849</v>
      </c>
      <c r="H17" s="12" t="s">
        <v>20</v>
      </c>
      <c r="K17" s="12" t="s">
        <v>21</v>
      </c>
    </row>
    <row r="18" spans="1:17" ht="14.35">
      <c r="A18" s="7">
        <v>17</v>
      </c>
      <c r="B18" s="7">
        <v>13</v>
      </c>
      <c r="C18" s="7">
        <v>14</v>
      </c>
      <c r="D18" s="7">
        <f t="shared" si="0"/>
        <v>0.48050948357004986</v>
      </c>
      <c r="E18" s="7">
        <f t="shared" si="0"/>
        <v>0.69080370105717603</v>
      </c>
      <c r="H18" s="8">
        <v>0.29439651968166303</v>
      </c>
      <c r="K18" s="8">
        <v>1.7056034803123901</v>
      </c>
    </row>
    <row r="19" spans="1:17" ht="14.35">
      <c r="A19" s="7">
        <v>18</v>
      </c>
      <c r="B19" s="7">
        <v>13</v>
      </c>
      <c r="C19" s="7">
        <v>15</v>
      </c>
      <c r="D19" s="7">
        <f t="shared" si="0"/>
        <v>0.48050948357004986</v>
      </c>
      <c r="E19" s="7">
        <f t="shared" si="0"/>
        <v>0.89887710499006024</v>
      </c>
      <c r="M19" s="8" t="s">
        <v>22</v>
      </c>
      <c r="P19" s="8" t="s">
        <v>23</v>
      </c>
    </row>
    <row r="20" spans="1:17" ht="14.35">
      <c r="A20" s="7">
        <v>19</v>
      </c>
      <c r="B20" s="7">
        <v>13</v>
      </c>
      <c r="C20" s="7">
        <v>17</v>
      </c>
      <c r="D20" s="7">
        <f t="shared" si="0"/>
        <v>0.48050948357004986</v>
      </c>
      <c r="E20" s="7">
        <f t="shared" si="0"/>
        <v>1.315023912855829</v>
      </c>
      <c r="M20" s="13">
        <f>$N2/SQRT($N2^2+$O2^2)</f>
        <v>-0.70710678118356174</v>
      </c>
      <c r="N20" s="13">
        <f>$P2/SQRT($P2^2+$Q2^2)</f>
        <v>0.70710678118654147</v>
      </c>
      <c r="P20" s="8">
        <f t="array" ref="P20:Q21">MMULT(MMULT(TRANSPOSE(M20:N21),H3:I4),M20:N21)</f>
        <v>0.29439651968762215</v>
      </c>
      <c r="Q20" s="8">
        <v>7.2046257848512596E-12</v>
      </c>
    </row>
    <row r="21" spans="1:17" ht="14.35">
      <c r="A21" s="7">
        <v>20</v>
      </c>
      <c r="B21" s="7">
        <v>14</v>
      </c>
      <c r="C21" s="7">
        <v>7</v>
      </c>
      <c r="D21" s="7">
        <f t="shared" si="0"/>
        <v>0.70716490034837531</v>
      </c>
      <c r="E21" s="7">
        <f t="shared" si="0"/>
        <v>-0.76571012647301417</v>
      </c>
      <c r="M21" s="13">
        <f>$O2/SQRT($N2^2+$O2^2)</f>
        <v>0.70710678118953341</v>
      </c>
      <c r="N21" s="8">
        <f>$Q2/SQRT($P2^2+$Q2^2)</f>
        <v>0.70710678118655357</v>
      </c>
      <c r="P21" s="8">
        <v>7.2045702737000283E-12</v>
      </c>
      <c r="Q21" s="8">
        <v>1.7056034803123781</v>
      </c>
    </row>
    <row r="22" spans="1:17" ht="14.35">
      <c r="A22" s="7">
        <v>21</v>
      </c>
      <c r="B22" s="7">
        <v>15</v>
      </c>
      <c r="C22" s="7">
        <v>13</v>
      </c>
      <c r="D22" s="7">
        <f t="shared" si="0"/>
        <v>0.93382031712670088</v>
      </c>
      <c r="E22" s="7">
        <f t="shared" si="0"/>
        <v>0.48273029712429166</v>
      </c>
    </row>
    <row r="23" spans="1:17" ht="14.35">
      <c r="A23" s="7">
        <v>22</v>
      </c>
      <c r="B23" s="7">
        <v>17</v>
      </c>
      <c r="C23" s="7">
        <v>13</v>
      </c>
      <c r="D23" s="7">
        <f t="shared" si="0"/>
        <v>1.3871311506833519</v>
      </c>
      <c r="E23" s="7">
        <f t="shared" si="0"/>
        <v>0.48273029712429166</v>
      </c>
      <c r="H23" s="8" t="s">
        <v>24</v>
      </c>
      <c r="K23" s="8" t="s">
        <v>25</v>
      </c>
    </row>
    <row r="24" spans="1:17" ht="14.35">
      <c r="A24" s="7">
        <v>23</v>
      </c>
      <c r="B24" s="7">
        <v>17</v>
      </c>
      <c r="C24" s="7">
        <v>17</v>
      </c>
      <c r="D24" s="7">
        <f t="shared" si="0"/>
        <v>1.3871311506833519</v>
      </c>
      <c r="E24" s="7">
        <f t="shared" si="0"/>
        <v>1.315023912855829</v>
      </c>
      <c r="H24" s="13">
        <f>$N2/SQRT($N2^2+$O2^2)</f>
        <v>-0.70710678118356174</v>
      </c>
      <c r="K24" s="13">
        <f>$P2/SQRT($P2^2+$Q2^2)</f>
        <v>0.70710678118654147</v>
      </c>
    </row>
    <row r="25" spans="1:17" ht="14.35">
      <c r="A25" s="7">
        <v>24</v>
      </c>
      <c r="B25" s="7">
        <v>18</v>
      </c>
      <c r="C25" s="7">
        <v>19</v>
      </c>
      <c r="D25" s="7">
        <f t="shared" si="0"/>
        <v>1.6137865674616774</v>
      </c>
      <c r="E25" s="7">
        <f t="shared" si="0"/>
        <v>1.7311707207215976</v>
      </c>
      <c r="H25" s="13">
        <f>$O2/SQRT($N2^2+$O2^2)</f>
        <v>0.70710678118953341</v>
      </c>
      <c r="K25" s="8">
        <f>$Q2/SQRT($P2^2+$Q2^2)</f>
        <v>0.70710678118655357</v>
      </c>
    </row>
    <row r="26" spans="1:17" ht="15.35">
      <c r="A26" s="7">
        <v>25</v>
      </c>
      <c r="B26" s="7">
        <v>20</v>
      </c>
      <c r="C26" s="7">
        <v>20</v>
      </c>
      <c r="D26" s="7">
        <f t="shared" si="0"/>
        <v>2.0670974010183283</v>
      </c>
      <c r="E26" s="7">
        <f t="shared" si="0"/>
        <v>1.9392441246544818</v>
      </c>
      <c r="G26" s="12" t="s">
        <v>26</v>
      </c>
      <c r="H26" s="8" t="s">
        <v>27</v>
      </c>
      <c r="I26" s="8" t="s">
        <v>28</v>
      </c>
      <c r="J26" s="8" t="s">
        <v>29</v>
      </c>
    </row>
    <row r="27" spans="1:17" ht="14.35">
      <c r="A27" s="7" t="s">
        <v>30</v>
      </c>
      <c r="B27" s="7">
        <f>SUM(B2:B26)/25</f>
        <v>10.88</v>
      </c>
      <c r="C27" s="7">
        <f>SUM(C2:C26)/25</f>
        <v>10.68</v>
      </c>
      <c r="D27" s="7">
        <f>SUM(D2:D26)/25</f>
        <v>-2.3092638912203257E-16</v>
      </c>
      <c r="E27" s="7">
        <f>SUM(E2:E26)/25</f>
        <v>0</v>
      </c>
      <c r="G27" s="13">
        <v>0.29439651968166303</v>
      </c>
      <c r="H27" s="13">
        <v>0.29439651968166303</v>
      </c>
      <c r="I27" s="14">
        <f>G27/(G27+G28)</f>
        <v>0.14719825984126919</v>
      </c>
      <c r="J27" s="14">
        <f>G27/(G27+G28)</f>
        <v>0.14719825984126919</v>
      </c>
    </row>
    <row r="28" spans="1:17" ht="14.35">
      <c r="A28" s="7" t="s">
        <v>31</v>
      </c>
      <c r="B28" s="7">
        <f>_xlfn.VAR.P(B2:B26)</f>
        <v>19.465599999999998</v>
      </c>
      <c r="C28" s="7">
        <f>_xlfn.VAR.P(C2:C26)</f>
        <v>23.0976</v>
      </c>
      <c r="D28" s="7">
        <f>_xlfn.VAR.P(D2:D26)</f>
        <v>1</v>
      </c>
      <c r="E28" s="7">
        <f>_xlfn.VAR.P(E2:E26)</f>
        <v>1</v>
      </c>
      <c r="G28" s="8">
        <v>1.7056034803123901</v>
      </c>
      <c r="H28" s="8">
        <f>G27+G28</f>
        <v>1.9999999999940532</v>
      </c>
      <c r="I28" s="14">
        <f>G28/(G27+G28)</f>
        <v>0.85280174015873078</v>
      </c>
      <c r="J28" s="14">
        <f>(G27+G28)/(G27+G28)</f>
        <v>1</v>
      </c>
    </row>
    <row r="29" spans="1:17" ht="14.35">
      <c r="A29" s="7" t="s">
        <v>32</v>
      </c>
      <c r="B29" s="7">
        <f>STDEVP(B2:B26)</f>
        <v>4.4119836808401729</v>
      </c>
      <c r="C29" s="7">
        <f>STDEVP(C2:C26)</f>
        <v>4.8059962546801884</v>
      </c>
      <c r="D29" s="7">
        <f>STDEVP(D2:D26)</f>
        <v>1</v>
      </c>
      <c r="E29" s="7">
        <f>STDEVP(E2:E26)</f>
        <v>1</v>
      </c>
    </row>
    <row r="31" spans="1:17">
      <c r="B31" s="8" t="s">
        <v>33</v>
      </c>
    </row>
    <row r="38" spans="10:23">
      <c r="K38" s="8" t="s">
        <v>34</v>
      </c>
    </row>
    <row r="39" spans="10:23">
      <c r="K39" s="8">
        <v>1</v>
      </c>
      <c r="L39" s="8">
        <v>-2</v>
      </c>
      <c r="M39" s="8">
        <v>0</v>
      </c>
    </row>
    <row r="40" spans="10:23">
      <c r="K40" s="8">
        <v>-2</v>
      </c>
      <c r="L40" s="8">
        <v>5</v>
      </c>
      <c r="M40" s="8">
        <v>0</v>
      </c>
    </row>
    <row r="41" spans="10:23" ht="16">
      <c r="K41" s="8">
        <v>0</v>
      </c>
      <c r="L41" s="15">
        <v>0</v>
      </c>
      <c r="M41" s="8">
        <v>2</v>
      </c>
    </row>
    <row r="43" spans="10:23">
      <c r="J43" s="8" t="s">
        <v>35</v>
      </c>
    </row>
    <row r="44" spans="10:23">
      <c r="K44" s="8">
        <f>K51-1</f>
        <v>-0.82842712474619096</v>
      </c>
      <c r="L44" s="8">
        <v>2</v>
      </c>
      <c r="M44" s="8">
        <v>0</v>
      </c>
      <c r="O44" s="8">
        <f>L51-1</f>
        <v>1.00000000001168</v>
      </c>
      <c r="P44" s="8">
        <v>2</v>
      </c>
      <c r="Q44" s="8">
        <v>0</v>
      </c>
      <c r="S44" s="8">
        <f>M51-1</f>
        <v>4.8284271247461898</v>
      </c>
      <c r="T44" s="8">
        <v>2</v>
      </c>
      <c r="U44" s="8">
        <v>0</v>
      </c>
      <c r="W44" s="8">
        <v>0</v>
      </c>
    </row>
    <row r="45" spans="10:23">
      <c r="K45" s="8">
        <v>2</v>
      </c>
      <c r="L45" s="8">
        <f>K51-5</f>
        <v>-4.8284271247461907</v>
      </c>
      <c r="M45" s="8">
        <v>0</v>
      </c>
      <c r="O45" s="8">
        <v>2</v>
      </c>
      <c r="P45" s="8">
        <f>L51-5</f>
        <v>-2.99999999998832</v>
      </c>
      <c r="Q45" s="8">
        <v>0</v>
      </c>
      <c r="S45" s="8">
        <v>2</v>
      </c>
      <c r="T45" s="8">
        <f>M51-5</f>
        <v>0.82842712474618985</v>
      </c>
      <c r="U45" s="8">
        <v>0</v>
      </c>
      <c r="W45" s="8">
        <v>0</v>
      </c>
    </row>
    <row r="46" spans="10:23">
      <c r="K46" s="8">
        <v>0</v>
      </c>
      <c r="L46" s="8">
        <v>0</v>
      </c>
      <c r="M46" s="8">
        <f>K51-2</f>
        <v>-1.828427124746191</v>
      </c>
      <c r="O46" s="8">
        <v>0</v>
      </c>
      <c r="P46" s="8">
        <v>0</v>
      </c>
      <c r="Q46" s="8">
        <f>L51-2</f>
        <v>1.1679990308266497E-11</v>
      </c>
      <c r="S46" s="8">
        <v>0</v>
      </c>
      <c r="T46" s="8">
        <v>0</v>
      </c>
      <c r="U46" s="8">
        <f>M51-2</f>
        <v>3.8284271247461898</v>
      </c>
      <c r="W46" s="8">
        <v>0</v>
      </c>
    </row>
    <row r="48" spans="10:23">
      <c r="J48" s="8" t="s">
        <v>36</v>
      </c>
      <c r="K48" s="8">
        <f>MDETERM(K44:M46)</f>
        <v>-8.1198475709695779E-15</v>
      </c>
      <c r="N48" s="8" t="s">
        <v>37</v>
      </c>
      <c r="O48" s="8">
        <f>MDETERM(O44:Q46)</f>
        <v>-8.1759932158138318E-11</v>
      </c>
      <c r="R48" s="8" t="s">
        <v>38</v>
      </c>
      <c r="S48" s="8">
        <f>MDETERM(S44:U46)</f>
        <v>-6.1568354995062639E-15</v>
      </c>
    </row>
    <row r="50" spans="10:23">
      <c r="K50" s="8" t="s">
        <v>39</v>
      </c>
      <c r="L50" s="8" t="s">
        <v>40</v>
      </c>
      <c r="M50" s="8" t="s">
        <v>41</v>
      </c>
      <c r="O50" s="8" t="s">
        <v>42</v>
      </c>
    </row>
    <row r="51" spans="10:23">
      <c r="K51" s="8">
        <v>0.17157287525380899</v>
      </c>
      <c r="L51" s="8">
        <v>2.00000000001168</v>
      </c>
      <c r="M51" s="8">
        <v>5.8284271247461898</v>
      </c>
      <c r="O51" s="8" t="s">
        <v>43</v>
      </c>
      <c r="P51" s="8" t="s">
        <v>44</v>
      </c>
      <c r="Q51" s="8" t="s">
        <v>45</v>
      </c>
      <c r="S51" s="8" t="s">
        <v>46</v>
      </c>
      <c r="T51" s="8">
        <v>2.41421356237309</v>
      </c>
      <c r="U51" s="8">
        <v>1</v>
      </c>
      <c r="V51" s="8">
        <v>0</v>
      </c>
    </row>
    <row r="52" spans="10:23">
      <c r="K52" s="8" t="s">
        <v>24</v>
      </c>
      <c r="L52" s="8" t="s">
        <v>25</v>
      </c>
      <c r="M52" s="8" t="s">
        <v>47</v>
      </c>
      <c r="O52" s="8">
        <v>-0.41421356237309498</v>
      </c>
      <c r="P52" s="8">
        <v>1</v>
      </c>
      <c r="Q52" s="8">
        <f>(S46*O52+T46*P52)/(-1*U46)</f>
        <v>0</v>
      </c>
      <c r="S52" s="8" t="s">
        <v>48</v>
      </c>
      <c r="T52" s="8">
        <v>0</v>
      </c>
      <c r="U52" s="8">
        <v>0</v>
      </c>
      <c r="V52" s="8">
        <v>1</v>
      </c>
      <c r="W52" s="8" t="s">
        <v>49</v>
      </c>
    </row>
    <row r="53" spans="10:23">
      <c r="J53" s="8" t="s">
        <v>22</v>
      </c>
      <c r="K53" s="8">
        <f>T51/SQRT(T51^2+U51^2+V51^2)</f>
        <v>0.92387953251128652</v>
      </c>
      <c r="L53" s="8">
        <f>T52/SQRT(T52^2+U52^2+V52^2)</f>
        <v>0</v>
      </c>
      <c r="M53" s="8">
        <f>T53/SQRT(T53^2+U53^2+V53^2)</f>
        <v>-0.38268343236508967</v>
      </c>
      <c r="O53" s="8">
        <f>S44*O52+T44*P52+U44*Q52</f>
        <v>4.4408920985006262E-16</v>
      </c>
      <c r="P53" s="8">
        <f>S45*O52+T45*P52+U45*Q52</f>
        <v>-1.1102230246251565E-16</v>
      </c>
      <c r="Q53" s="8">
        <f>O53-0*P53</f>
        <v>4.4408920985006262E-16</v>
      </c>
      <c r="S53" s="8" t="s">
        <v>50</v>
      </c>
      <c r="T53" s="8">
        <v>-0.41421356237309498</v>
      </c>
      <c r="U53" s="8">
        <v>1</v>
      </c>
      <c r="V53" s="8">
        <v>0</v>
      </c>
    </row>
    <row r="54" spans="10:23">
      <c r="K54" s="8">
        <f>U51/SQRT(T51^2+U51^2+V51^2)</f>
        <v>0.38268343236509045</v>
      </c>
      <c r="L54" s="8">
        <f>U52/SQRT(T52^2+U52^2+V52^2)</f>
        <v>0</v>
      </c>
      <c r="M54" s="8">
        <f>U53/SQRT(T53^2+U53^2+V53^2)</f>
        <v>0.92387953251128674</v>
      </c>
    </row>
    <row r="55" spans="10:23">
      <c r="K55" s="8">
        <f>V51/SQRT(T51^2+U51^2+V51^2)</f>
        <v>0</v>
      </c>
      <c r="L55" s="8">
        <f>V52/SQRT(T52^2+U52^2+V52^2)</f>
        <v>1</v>
      </c>
      <c r="M55" s="8">
        <f>V53/SQRT(T53^2+U53^2+V53^2)</f>
        <v>0</v>
      </c>
    </row>
    <row r="56" spans="10:23">
      <c r="J56" s="8" t="s">
        <v>51</v>
      </c>
      <c r="K56" s="8">
        <f>K51/($K$51+$L$51+$M$51)</f>
        <v>2.1446609406694819E-2</v>
      </c>
      <c r="L56" s="8">
        <f>L51/($K$51+$L$51+$M$51)</f>
        <v>0.25000000000109507</v>
      </c>
      <c r="M56" s="8">
        <f>M51/($K$51+$L$51+$M$51)</f>
        <v>0.72855339059221025</v>
      </c>
      <c r="O56" s="8" t="s">
        <v>52</v>
      </c>
      <c r="P56" s="8" t="s">
        <v>53</v>
      </c>
      <c r="S56" s="8">
        <f>M51/($K$51+$L$51+$M$51)</f>
        <v>0.72855339059221025</v>
      </c>
    </row>
    <row r="57" spans="10:23">
      <c r="P57" s="8" t="s">
        <v>54</v>
      </c>
      <c r="S57" s="8">
        <f>M51/($K$51+$L$51+$M$51)+L51/($K$51+$L$51+$M$51)</f>
        <v>0.97855339059330526</v>
      </c>
    </row>
    <row r="58" spans="10:23">
      <c r="O58" s="8" t="s">
        <v>55</v>
      </c>
      <c r="P58" s="8" t="s">
        <v>56</v>
      </c>
    </row>
    <row r="60" spans="10:23">
      <c r="J60" s="8" t="s">
        <v>23</v>
      </c>
      <c r="K60" s="8">
        <f t="array" ref="K60:M62">MMULT(MMULT(TRANSPOSE(K53:M55),K39:M41),K53:M55)</f>
        <v>0.17157287525380996</v>
      </c>
      <c r="L60" s="8">
        <v>0</v>
      </c>
      <c r="M60" s="8">
        <v>4.2466030691912238E-15</v>
      </c>
    </row>
    <row r="61" spans="10:23">
      <c r="K61" s="8">
        <v>0</v>
      </c>
      <c r="L61" s="8">
        <v>2</v>
      </c>
      <c r="M61" s="8">
        <v>0</v>
      </c>
    </row>
    <row r="62" spans="10:23">
      <c r="K62" s="8">
        <v>4.4408920985006262E-15</v>
      </c>
      <c r="L62" s="8">
        <v>0</v>
      </c>
      <c r="M62" s="8">
        <v>5.8284271247461898</v>
      </c>
    </row>
  </sheetData>
  <phoneticPr fontId="1" type="noConversion"/>
  <dataValidations count="3">
    <dataValidation type="decimal" operator="greaterThan" allowBlank="1" showInputMessage="1" showErrorMessage="1" sqref="G28">
      <formula1>D19+0.00001</formula1>
    </dataValidation>
    <dataValidation type="decimal" operator="greaterThan" allowBlank="1" showInputMessage="1" showErrorMessage="1" sqref="L51:M51">
      <formula1>K51+0.0001</formula1>
    </dataValidation>
    <dataValidation type="decimal" operator="greaterThan" allowBlank="1" showInputMessage="1" showErrorMessage="1" sqref="K18">
      <formula1>H18+0.00001</formula1>
    </dataValidation>
  </dataValidation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autoPict="0" altText="" r:id="rId4">
            <anchor moveWithCells="1">
              <from>
                <xdr:col>2</xdr:col>
                <xdr:colOff>177800</xdr:colOff>
                <xdr:row>28</xdr:row>
                <xdr:rowOff>169333</xdr:rowOff>
              </from>
              <to>
                <xdr:col>5</xdr:col>
                <xdr:colOff>122767</xdr:colOff>
                <xdr:row>32</xdr:row>
                <xdr:rowOff>160867</xdr:rowOff>
              </to>
            </anchor>
          </objectPr>
        </oleObject>
      </mc:Choice>
      <mc:Fallback>
        <oleObject progId="Equation.DSMT4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pca引例</vt:lpstr>
      <vt:lpstr>二维例子</vt:lpstr>
      <vt:lpstr>二维例子 (数据向左平移7个位置)</vt:lpstr>
      <vt:lpstr>机算求特征值例子</vt:lpstr>
      <vt:lpstr>三维-例4.3</vt:lpstr>
      <vt:lpstr>乘幂法求解主特征值</vt:lpstr>
      <vt:lpstr>罗毅扬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2022-09-20T16:44:34Z</dcterms:modified>
</cp:coreProperties>
</file>